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9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F:\OneDrive\Shared\Finances\"/>
    </mc:Choice>
  </mc:AlternateContent>
  <xr:revisionPtr revIDLastSave="0" documentId="13_ncr:1_{2BD599AE-8F52-4B5B-AA92-C9278C3C731F}" xr6:coauthVersionLast="45" xr6:coauthVersionMax="45" xr10:uidLastSave="{00000000-0000-0000-0000-000000000000}"/>
  <bookViews>
    <workbookView xWindow="-120" yWindow="-120" windowWidth="29040" windowHeight="15840" firstSheet="2" activeTab="2" xr2:uid="{00000000-000D-0000-FFFF-FFFF00000000}"/>
  </bookViews>
  <sheets>
    <sheet name="Dashboard" sheetId="10" state="hidden" r:id="rId1"/>
    <sheet name="Balance" sheetId="5" state="hidden" r:id="rId2"/>
    <sheet name="Dailies" sheetId="21" r:id="rId3"/>
    <sheet name="Reports" sheetId="27" r:id="rId4"/>
    <sheet name="USD Markets" sheetId="24" r:id="rId5"/>
    <sheet name="CAD Markets" sheetId="25" r:id="rId6"/>
    <sheet name="Holidays" sheetId="26" r:id="rId7"/>
    <sheet name="Scratch pad" sheetId="3" r:id="rId8"/>
    <sheet name="Quotes" sheetId="28" r:id="rId9"/>
  </sheets>
  <definedNames>
    <definedName name="CAD_Holdings_Cols">#REF!</definedName>
    <definedName name="CARESP_GainLossPct">Balance!$J$38</definedName>
    <definedName name="ColEnd">#REF!</definedName>
    <definedName name="ColEnd_CAD">#REF!</definedName>
    <definedName name="ColStart">#REF!</definedName>
    <definedName name="ColStart_CAD">#REF!</definedName>
    <definedName name="Companies_Cols">#REF!</definedName>
    <definedName name="Companies_Cols_CAD">#REF!</definedName>
    <definedName name="Daily_Cols">Dailies!$B$2:$CG$2</definedName>
    <definedName name="Day_Lookup">Balance!$K$2</definedName>
    <definedName name="EFUND_AnnualApp">'Scratch pad'!#REF!</definedName>
    <definedName name="EFUND_EmergLoss">'Scratch pad'!#REF!</definedName>
    <definedName name="EFUND_EmergYear">'Scratch pad'!#REF!</definedName>
    <definedName name="EFUND_Size">'Scratch pad'!#REF!</definedName>
    <definedName name="EndDate" localSheetId="5">'CAD Markets'!$C$5</definedName>
    <definedName name="EndDate">'USD Markets'!$C$5</definedName>
    <definedName name="EXACT_MATCH">'Scratch pad'!$D$31</definedName>
    <definedName name="ExternalData_1" localSheetId="3" hidden="1">Reports!$B$4:$F$34</definedName>
    <definedName name="ExternalData_2" localSheetId="3" hidden="1">Reports!$H$4:$J$14</definedName>
    <definedName name="ExternalData_3" localSheetId="3" hidden="1">Reports!$H$17:$J$27</definedName>
    <definedName name="ExternalData_4" localSheetId="3" hidden="1">Reports!$H$30:$I$35</definedName>
    <definedName name="iLastTradeDate">'USD Markets'!$C$26</definedName>
    <definedName name="Morningstar_Cols">#REF!</definedName>
    <definedName name="Morningstar_Cols_CAD">#REF!</definedName>
    <definedName name="MSFT">Balance!$F$16</definedName>
    <definedName name="pcCol1" localSheetId="5">'CAD Markets'!#REF!</definedName>
    <definedName name="pcCol1">'USD Markets'!#REF!</definedName>
    <definedName name="pcCol10" localSheetId="5">'CAD Markets'!#REF!</definedName>
    <definedName name="pcCol10">'USD Markets'!#REF!</definedName>
    <definedName name="pcCol2" localSheetId="5">'CAD Markets'!#REF!</definedName>
    <definedName name="pcCol2">'USD Markets'!#REF!</definedName>
    <definedName name="pcCol3" localSheetId="5">'CAD Markets'!#REF!</definedName>
    <definedName name="pcCol3">'USD Markets'!#REF!</definedName>
    <definedName name="pcCol4" localSheetId="5">'CAD Markets'!#REF!</definedName>
    <definedName name="pcCol4">'USD Markets'!#REF!</definedName>
    <definedName name="pcCol5" localSheetId="5">'CAD Markets'!#REF!</definedName>
    <definedName name="pcCol5">'USD Markets'!#REF!</definedName>
    <definedName name="pcCol6" localSheetId="5">'CAD Markets'!#REF!</definedName>
    <definedName name="pcCol6">'USD Markets'!#REF!</definedName>
    <definedName name="pcCol7" localSheetId="5">'CAD Markets'!#REF!</definedName>
    <definedName name="pcCol7">'USD Markets'!#REF!</definedName>
    <definedName name="pcCol8" localSheetId="5">'CAD Markets'!#REF!</definedName>
    <definedName name="pcCol8">'USD Markets'!#REF!</definedName>
    <definedName name="pcCol9" localSheetId="5">'CAD Markets'!#REF!</definedName>
    <definedName name="pcCol9">'USD Markets'!#REF!</definedName>
    <definedName name="PFV_Green">'Scratch pad'!$D$27</definedName>
    <definedName name="PFV_Grn">'Scratch pad'!$D$27</definedName>
    <definedName name="PFV_Red">'Scratch pad'!$D$26</definedName>
    <definedName name="PSR_Green">'Scratch pad'!$D$29</definedName>
    <definedName name="PSR_Red">'Scratch pad'!$D$28</definedName>
    <definedName name="RatingDefault">'Scratch pad'!$D$30</definedName>
    <definedName name="Return12Mo_Grn">'Scratch pad'!$D$25</definedName>
    <definedName name="Return12Mo_Red">'Scratch pad'!$D$24</definedName>
    <definedName name="Return3Mo_Grn">'Scratch pad'!$D$23</definedName>
    <definedName name="Return3Mo_Red">'Scratch pad'!$D$22</definedName>
    <definedName name="RRSP_Principal_CAD" localSheetId="5">#REF!</definedName>
    <definedName name="RRSP_Principal_CAD">#REF!</definedName>
    <definedName name="SI_Interest">'Scratch pad'!$E$68</definedName>
    <definedName name="Spousal_Pmts_Remain">'Scratch pad'!#REF!</definedName>
    <definedName name="StartDate" localSheetId="5">'CAD Markets'!$C$4</definedName>
    <definedName name="StartDate">'USD Markets'!$C$4</definedName>
    <definedName name="tbActualPerformance" localSheetId="5">'CAD Markets'!$B$10:$I$19</definedName>
    <definedName name="tbActualPerformance">'USD Markets'!$B$10:$I$20</definedName>
    <definedName name="TF_AI">'Scratch pad'!#REF!</definedName>
    <definedName name="TF_AR">'Scratch pad'!#REF!</definedName>
    <definedName name="TF_POSTR">'Scratch pad'!#REF!</definedName>
    <definedName name="TF_PRETR">'Scratch pad'!#REF!</definedName>
    <definedName name="TF_TAXAPPREC">'Scratch pad'!#REF!</definedName>
    <definedName name="USD_ExRate">Balance!$K$12</definedName>
    <definedName name="USHolidays">Holidays!$B$1:$B$32</definedName>
    <definedName name="USRRSP_AnnualPct">Balance!$J$32</definedName>
    <definedName name="USRRSP_GainLoss">Balance!$J$30</definedName>
    <definedName name="USRRSP_GainLossPct">Balance!$J$31</definedName>
    <definedName name="USRRSP_Principal">Balance!$J$29</definedName>
    <definedName name="USRRSP_TotalVal">Balance!$J$26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M977" i="21" l="1"/>
  <c r="AJ977" i="21"/>
  <c r="AI977" i="21"/>
  <c r="AD977" i="21"/>
  <c r="AC977" i="21"/>
  <c r="AB977" i="21"/>
  <c r="AA977" i="21"/>
  <c r="AE977" i="21" s="1"/>
  <c r="Y977" i="21"/>
  <c r="Z977" i="21" s="1"/>
  <c r="R977" i="21"/>
  <c r="O977" i="21"/>
  <c r="N977" i="21"/>
  <c r="AM976" i="21"/>
  <c r="AJ976" i="21"/>
  <c r="AG977" i="21" s="1"/>
  <c r="AK977" i="21" s="1"/>
  <c r="AD976" i="21"/>
  <c r="AC976" i="21"/>
  <c r="AB976" i="21"/>
  <c r="AI976" i="21" s="1"/>
  <c r="AA976" i="21"/>
  <c r="Y976" i="21"/>
  <c r="Z976" i="21" s="1"/>
  <c r="X976" i="21"/>
  <c r="W976" i="21"/>
  <c r="V976" i="21"/>
  <c r="V977" i="21" s="1"/>
  <c r="U976" i="21"/>
  <c r="U977" i="21" s="1"/>
  <c r="T976" i="21"/>
  <c r="T977" i="21" s="1"/>
  <c r="S976" i="21"/>
  <c r="S977" i="21" s="1"/>
  <c r="R976" i="21"/>
  <c r="O976" i="21"/>
  <c r="N976" i="21"/>
  <c r="AJ975" i="21"/>
  <c r="AG976" i="21" s="1"/>
  <c r="AD975" i="21"/>
  <c r="AC975" i="21"/>
  <c r="AB975" i="21"/>
  <c r="AI975" i="21" s="1"/>
  <c r="AA975" i="21"/>
  <c r="Y975" i="21"/>
  <c r="R975" i="21"/>
  <c r="O975" i="21"/>
  <c r="N975" i="21"/>
  <c r="AE976" i="21" l="1"/>
  <c r="AF976" i="21" s="1"/>
  <c r="AE975" i="21"/>
  <c r="X977" i="21"/>
  <c r="W977" i="21"/>
  <c r="AH977" i="21"/>
  <c r="AL977" i="21" s="1"/>
  <c r="AF977" i="21"/>
  <c r="AK976" i="21"/>
  <c r="Z975" i="21"/>
  <c r="AH975" i="21"/>
  <c r="AF975" i="21"/>
  <c r="AJ974" i="21"/>
  <c r="AG975" i="21" s="1"/>
  <c r="AK975" i="21" s="1"/>
  <c r="AD974" i="21"/>
  <c r="AC974" i="21"/>
  <c r="AB974" i="21"/>
  <c r="AI974" i="21" s="1"/>
  <c r="AA974" i="21"/>
  <c r="Y974" i="21"/>
  <c r="Z974" i="21" s="1"/>
  <c r="R974" i="21"/>
  <c r="O974" i="21"/>
  <c r="N974" i="21"/>
  <c r="AH976" i="21" l="1"/>
  <c r="AL976" i="21" s="1"/>
  <c r="AL975" i="21"/>
  <c r="AE974" i="21"/>
  <c r="AF974" i="21" s="1"/>
  <c r="D970" i="21"/>
  <c r="AH974" i="21" l="1"/>
  <c r="AJ973" i="21"/>
  <c r="AG974" i="21" s="1"/>
  <c r="AK974" i="21" s="1"/>
  <c r="AD973" i="21"/>
  <c r="AC973" i="21"/>
  <c r="AB973" i="21"/>
  <c r="AI973" i="21" s="1"/>
  <c r="AA973" i="21"/>
  <c r="Y973" i="21"/>
  <c r="R973" i="21"/>
  <c r="O973" i="21"/>
  <c r="N973" i="21"/>
  <c r="AJ972" i="21"/>
  <c r="AD972" i="21"/>
  <c r="AC972" i="21"/>
  <c r="AB972" i="21"/>
  <c r="AI972" i="21" s="1"/>
  <c r="AA972" i="21"/>
  <c r="Y972" i="21"/>
  <c r="R972" i="21"/>
  <c r="O972" i="21"/>
  <c r="N972" i="21"/>
  <c r="AJ971" i="21"/>
  <c r="AD971" i="21"/>
  <c r="AC971" i="21"/>
  <c r="AB971" i="21"/>
  <c r="AI971" i="21" s="1"/>
  <c r="AA971" i="21"/>
  <c r="Y971" i="21"/>
  <c r="R971" i="21"/>
  <c r="O971" i="21"/>
  <c r="N971" i="21"/>
  <c r="AJ970" i="21"/>
  <c r="AD970" i="21"/>
  <c r="AC970" i="21"/>
  <c r="AB970" i="21"/>
  <c r="AI970" i="21" s="1"/>
  <c r="AA970" i="21"/>
  <c r="Y970" i="21"/>
  <c r="R970" i="21"/>
  <c r="O970" i="21"/>
  <c r="N970" i="21"/>
  <c r="AJ969" i="21"/>
  <c r="AG970" i="21" s="1"/>
  <c r="AK970" i="21" s="1"/>
  <c r="AD969" i="21"/>
  <c r="AC969" i="21"/>
  <c r="AB969" i="21"/>
  <c r="AI969" i="21" s="1"/>
  <c r="AA969" i="21"/>
  <c r="Y969" i="21"/>
  <c r="R969" i="21"/>
  <c r="O969" i="21"/>
  <c r="N969" i="21"/>
  <c r="AJ968" i="21"/>
  <c r="AD968" i="21"/>
  <c r="AC968" i="21"/>
  <c r="AB968" i="21"/>
  <c r="AI968" i="21" s="1"/>
  <c r="AA968" i="21"/>
  <c r="Y968" i="21"/>
  <c r="R968" i="21"/>
  <c r="O968" i="21"/>
  <c r="N968" i="21"/>
  <c r="AL974" i="21" l="1"/>
  <c r="AG973" i="21"/>
  <c r="AK973" i="21" s="1"/>
  <c r="AG972" i="21"/>
  <c r="AK972" i="21" s="1"/>
  <c r="AG969" i="21"/>
  <c r="AK969" i="21" s="1"/>
  <c r="AE973" i="21"/>
  <c r="AF973" i="21" s="1"/>
  <c r="Z969" i="21"/>
  <c r="Z970" i="21"/>
  <c r="Z973" i="21"/>
  <c r="Z968" i="21"/>
  <c r="Z972" i="21"/>
  <c r="Z971" i="21"/>
  <c r="AG971" i="21"/>
  <c r="AK971" i="21" s="1"/>
  <c r="AE971" i="21"/>
  <c r="AF971" i="21" s="1"/>
  <c r="AE970" i="21"/>
  <c r="AH970" i="21" s="1"/>
  <c r="AL970" i="21" s="1"/>
  <c r="AE968" i="21"/>
  <c r="AH968" i="21" s="1"/>
  <c r="AE969" i="21"/>
  <c r="AH969" i="21" s="1"/>
  <c r="AL969" i="21" s="1"/>
  <c r="AE972" i="21"/>
  <c r="AH972" i="21" s="1"/>
  <c r="AL972" i="21" s="1"/>
  <c r="AH973" i="21"/>
  <c r="B326" i="28"/>
  <c r="C326" i="28"/>
  <c r="D326" i="28"/>
  <c r="E326" i="28"/>
  <c r="F326" i="28"/>
  <c r="G326" i="28"/>
  <c r="H326" i="28"/>
  <c r="I326" i="28"/>
  <c r="J326" i="28"/>
  <c r="K326" i="28"/>
  <c r="L326" i="28"/>
  <c r="M326" i="28"/>
  <c r="N326" i="28"/>
  <c r="O326" i="28"/>
  <c r="P326" i="28"/>
  <c r="Q326" i="28"/>
  <c r="R326" i="28"/>
  <c r="S326" i="28"/>
  <c r="T326" i="28"/>
  <c r="U326" i="28"/>
  <c r="B327" i="28"/>
  <c r="C327" i="28"/>
  <c r="D327" i="28"/>
  <c r="E327" i="28"/>
  <c r="F327" i="28"/>
  <c r="G327" i="28"/>
  <c r="H327" i="28"/>
  <c r="I327" i="28"/>
  <c r="J327" i="28"/>
  <c r="L327" i="28"/>
  <c r="M327" i="28"/>
  <c r="N327" i="28"/>
  <c r="O327" i="28"/>
  <c r="P327" i="28"/>
  <c r="Q327" i="28"/>
  <c r="R327" i="28"/>
  <c r="S327" i="28"/>
  <c r="T327" i="28"/>
  <c r="U327" i="28"/>
  <c r="V825" i="21"/>
  <c r="V826" i="21" s="1"/>
  <c r="V827" i="21" s="1"/>
  <c r="V828" i="21" s="1"/>
  <c r="V829" i="21" s="1"/>
  <c r="V830" i="21" s="1"/>
  <c r="V831" i="21" s="1"/>
  <c r="V832" i="21" s="1"/>
  <c r="V833" i="21" s="1"/>
  <c r="V834" i="21" s="1"/>
  <c r="V835" i="21" s="1"/>
  <c r="V836" i="21" s="1"/>
  <c r="V837" i="21" s="1"/>
  <c r="V838" i="21" s="1"/>
  <c r="V839" i="21" s="1"/>
  <c r="V840" i="21" s="1"/>
  <c r="V841" i="21" s="1"/>
  <c r="V842" i="21" s="1"/>
  <c r="V843" i="21" s="1"/>
  <c r="V844" i="21" s="1"/>
  <c r="V845" i="21" s="1"/>
  <c r="V846" i="21" s="1"/>
  <c r="V847" i="21" s="1"/>
  <c r="V848" i="21" s="1"/>
  <c r="V849" i="21" s="1"/>
  <c r="V850" i="21" s="1"/>
  <c r="V851" i="21" s="1"/>
  <c r="V852" i="21" s="1"/>
  <c r="V853" i="21" s="1"/>
  <c r="V854" i="21" s="1"/>
  <c r="V855" i="21" s="1"/>
  <c r="V856" i="21" s="1"/>
  <c r="V857" i="21" s="1"/>
  <c r="V858" i="21" s="1"/>
  <c r="V859" i="21" s="1"/>
  <c r="V860" i="21" s="1"/>
  <c r="V861" i="21" s="1"/>
  <c r="V862" i="21" s="1"/>
  <c r="V863" i="21" s="1"/>
  <c r="V864" i="21" s="1"/>
  <c r="V865" i="21" s="1"/>
  <c r="V866" i="21" s="1"/>
  <c r="V867" i="21" s="1"/>
  <c r="V868" i="21" s="1"/>
  <c r="V869" i="21" s="1"/>
  <c r="V870" i="21" s="1"/>
  <c r="V871" i="21" s="1"/>
  <c r="V872" i="21" s="1"/>
  <c r="V873" i="21" s="1"/>
  <c r="V874" i="21" s="1"/>
  <c r="V875" i="21" s="1"/>
  <c r="V876" i="21" s="1"/>
  <c r="V877" i="21" s="1"/>
  <c r="V878" i="21" s="1"/>
  <c r="V879" i="21" s="1"/>
  <c r="V880" i="21" s="1"/>
  <c r="V881" i="21" s="1"/>
  <c r="V882" i="21" s="1"/>
  <c r="V883" i="21" s="1"/>
  <c r="V884" i="21" s="1"/>
  <c r="V885" i="21" s="1"/>
  <c r="V886" i="21" s="1"/>
  <c r="V887" i="21" s="1"/>
  <c r="V888" i="21" s="1"/>
  <c r="V889" i="21" s="1"/>
  <c r="V890" i="21" s="1"/>
  <c r="V891" i="21" s="1"/>
  <c r="V892" i="21" s="1"/>
  <c r="V893" i="21" s="1"/>
  <c r="V894" i="21" s="1"/>
  <c r="V895" i="21" s="1"/>
  <c r="V896" i="21" s="1"/>
  <c r="V897" i="21" s="1"/>
  <c r="V898" i="21" s="1"/>
  <c r="V899" i="21" s="1"/>
  <c r="V900" i="21" s="1"/>
  <c r="V901" i="21" s="1"/>
  <c r="V902" i="21" s="1"/>
  <c r="V903" i="21" s="1"/>
  <c r="V904" i="21" s="1"/>
  <c r="V905" i="21" s="1"/>
  <c r="V906" i="21" s="1"/>
  <c r="V907" i="21" s="1"/>
  <c r="V908" i="21" s="1"/>
  <c r="V909" i="21" s="1"/>
  <c r="V910" i="21" s="1"/>
  <c r="V911" i="21" s="1"/>
  <c r="V912" i="21" s="1"/>
  <c r="V913" i="21" s="1"/>
  <c r="V914" i="21" s="1"/>
  <c r="V915" i="21" s="1"/>
  <c r="V916" i="21" s="1"/>
  <c r="V917" i="21" s="1"/>
  <c r="V918" i="21" s="1"/>
  <c r="V919" i="21" s="1"/>
  <c r="V920" i="21" s="1"/>
  <c r="V921" i="21" s="1"/>
  <c r="V922" i="21" s="1"/>
  <c r="V923" i="21" s="1"/>
  <c r="V924" i="21" s="1"/>
  <c r="V925" i="21" s="1"/>
  <c r="V926" i="21" s="1"/>
  <c r="V927" i="21" s="1"/>
  <c r="V928" i="21" s="1"/>
  <c r="V929" i="21" s="1"/>
  <c r="V930" i="21" s="1"/>
  <c r="V931" i="21" s="1"/>
  <c r="V932" i="21" s="1"/>
  <c r="V933" i="21" s="1"/>
  <c r="V934" i="21" s="1"/>
  <c r="V935" i="21" s="1"/>
  <c r="V936" i="21" s="1"/>
  <c r="V937" i="21" s="1"/>
  <c r="V938" i="21" s="1"/>
  <c r="V939" i="21" s="1"/>
  <c r="V940" i="21" s="1"/>
  <c r="V941" i="21" s="1"/>
  <c r="V942" i="21" s="1"/>
  <c r="V943" i="21" s="1"/>
  <c r="V944" i="21" s="1"/>
  <c r="V945" i="21" s="1"/>
  <c r="V946" i="21" s="1"/>
  <c r="V947" i="21" s="1"/>
  <c r="V948" i="21" s="1"/>
  <c r="V949" i="21" s="1"/>
  <c r="V950" i="21" s="1"/>
  <c r="V951" i="21" s="1"/>
  <c r="V952" i="21" s="1"/>
  <c r="V953" i="21" s="1"/>
  <c r="V954" i="21" s="1"/>
  <c r="V955" i="21" s="1"/>
  <c r="V956" i="21" s="1"/>
  <c r="V957" i="21" s="1"/>
  <c r="V958" i="21" s="1"/>
  <c r="V959" i="21" s="1"/>
  <c r="V960" i="21" s="1"/>
  <c r="V961" i="21" s="1"/>
  <c r="V962" i="21" s="1"/>
  <c r="V963" i="21" s="1"/>
  <c r="V964" i="21" s="1"/>
  <c r="V965" i="21" s="1"/>
  <c r="V966" i="21" s="1"/>
  <c r="V967" i="21" s="1"/>
  <c r="V968" i="21" s="1"/>
  <c r="V969" i="21" s="1"/>
  <c r="V970" i="21" s="1"/>
  <c r="V971" i="21" s="1"/>
  <c r="V972" i="21" s="1"/>
  <c r="V973" i="21" s="1"/>
  <c r="V974" i="21" s="1"/>
  <c r="V975" i="21" s="1"/>
  <c r="U825" i="21"/>
  <c r="U826" i="21" s="1"/>
  <c r="U827" i="21" s="1"/>
  <c r="U828" i="21" s="1"/>
  <c r="U829" i="21" s="1"/>
  <c r="U830" i="21" s="1"/>
  <c r="U831" i="21" s="1"/>
  <c r="U832" i="21" s="1"/>
  <c r="U833" i="21" s="1"/>
  <c r="U834" i="21" s="1"/>
  <c r="U835" i="21" s="1"/>
  <c r="U836" i="21" s="1"/>
  <c r="U837" i="21" s="1"/>
  <c r="U838" i="21" s="1"/>
  <c r="U839" i="21" s="1"/>
  <c r="U840" i="21" s="1"/>
  <c r="U841" i="21" s="1"/>
  <c r="U842" i="21" s="1"/>
  <c r="U843" i="21" s="1"/>
  <c r="U844" i="21" s="1"/>
  <c r="U845" i="21" s="1"/>
  <c r="U846" i="21" s="1"/>
  <c r="U847" i="21" s="1"/>
  <c r="U848" i="21" s="1"/>
  <c r="U849" i="21" s="1"/>
  <c r="U850" i="21" s="1"/>
  <c r="U851" i="21" s="1"/>
  <c r="U852" i="21" s="1"/>
  <c r="U853" i="21" s="1"/>
  <c r="U854" i="21" s="1"/>
  <c r="U855" i="21" s="1"/>
  <c r="U856" i="21" s="1"/>
  <c r="U857" i="21" s="1"/>
  <c r="U858" i="21" s="1"/>
  <c r="U859" i="21" s="1"/>
  <c r="U860" i="21" s="1"/>
  <c r="U861" i="21" s="1"/>
  <c r="U862" i="21" s="1"/>
  <c r="U863" i="21" s="1"/>
  <c r="U864" i="21" s="1"/>
  <c r="U865" i="21" s="1"/>
  <c r="U866" i="21" s="1"/>
  <c r="U867" i="21" s="1"/>
  <c r="U868" i="21" s="1"/>
  <c r="U869" i="21" s="1"/>
  <c r="U870" i="21" s="1"/>
  <c r="U871" i="21" s="1"/>
  <c r="U872" i="21" s="1"/>
  <c r="U873" i="21" s="1"/>
  <c r="U874" i="21" s="1"/>
  <c r="U875" i="21" s="1"/>
  <c r="U876" i="21" s="1"/>
  <c r="U877" i="21" s="1"/>
  <c r="U878" i="21" s="1"/>
  <c r="U879" i="21" s="1"/>
  <c r="U880" i="21" s="1"/>
  <c r="U881" i="21" s="1"/>
  <c r="U882" i="21" s="1"/>
  <c r="U883" i="21" s="1"/>
  <c r="U884" i="21" s="1"/>
  <c r="U885" i="21" s="1"/>
  <c r="U886" i="21" s="1"/>
  <c r="U887" i="21" s="1"/>
  <c r="U888" i="21" s="1"/>
  <c r="U889" i="21" s="1"/>
  <c r="U890" i="21" s="1"/>
  <c r="U891" i="21" s="1"/>
  <c r="U892" i="21" s="1"/>
  <c r="U893" i="21" s="1"/>
  <c r="U894" i="21" s="1"/>
  <c r="U895" i="21" s="1"/>
  <c r="U896" i="21" s="1"/>
  <c r="U897" i="21" s="1"/>
  <c r="U898" i="21" s="1"/>
  <c r="U899" i="21" s="1"/>
  <c r="U900" i="21" s="1"/>
  <c r="U901" i="21" s="1"/>
  <c r="U902" i="21" s="1"/>
  <c r="U903" i="21" s="1"/>
  <c r="U904" i="21" s="1"/>
  <c r="U905" i="21" s="1"/>
  <c r="U906" i="21" s="1"/>
  <c r="U907" i="21" s="1"/>
  <c r="U908" i="21" s="1"/>
  <c r="U909" i="21" s="1"/>
  <c r="U910" i="21" s="1"/>
  <c r="U911" i="21" s="1"/>
  <c r="U912" i="21" s="1"/>
  <c r="U913" i="21" s="1"/>
  <c r="U914" i="21" s="1"/>
  <c r="U915" i="21" s="1"/>
  <c r="U916" i="21" s="1"/>
  <c r="U917" i="21" s="1"/>
  <c r="U918" i="21" s="1"/>
  <c r="U919" i="21" s="1"/>
  <c r="U920" i="21" s="1"/>
  <c r="U921" i="21" s="1"/>
  <c r="U922" i="21" s="1"/>
  <c r="U923" i="21" s="1"/>
  <c r="U924" i="21" s="1"/>
  <c r="U925" i="21" s="1"/>
  <c r="U926" i="21" s="1"/>
  <c r="U927" i="21" s="1"/>
  <c r="U928" i="21" s="1"/>
  <c r="U929" i="21" s="1"/>
  <c r="U930" i="21" s="1"/>
  <c r="U931" i="21" s="1"/>
  <c r="U932" i="21" s="1"/>
  <c r="U933" i="21" s="1"/>
  <c r="U934" i="21" s="1"/>
  <c r="U935" i="21" s="1"/>
  <c r="U936" i="21" s="1"/>
  <c r="U937" i="21" s="1"/>
  <c r="U938" i="21" s="1"/>
  <c r="U939" i="21" s="1"/>
  <c r="U940" i="21" s="1"/>
  <c r="U941" i="21" s="1"/>
  <c r="U942" i="21" s="1"/>
  <c r="U943" i="21" s="1"/>
  <c r="U944" i="21" s="1"/>
  <c r="U945" i="21" s="1"/>
  <c r="U946" i="21" s="1"/>
  <c r="U947" i="21" s="1"/>
  <c r="U948" i="21" s="1"/>
  <c r="U949" i="21" s="1"/>
  <c r="U950" i="21" s="1"/>
  <c r="U951" i="21" s="1"/>
  <c r="U952" i="21" s="1"/>
  <c r="U953" i="21" s="1"/>
  <c r="U954" i="21" s="1"/>
  <c r="U955" i="21" s="1"/>
  <c r="U956" i="21" s="1"/>
  <c r="U957" i="21" s="1"/>
  <c r="U958" i="21" s="1"/>
  <c r="U959" i="21" s="1"/>
  <c r="U960" i="21" s="1"/>
  <c r="U961" i="21" s="1"/>
  <c r="U962" i="21" s="1"/>
  <c r="U963" i="21" s="1"/>
  <c r="U964" i="21" s="1"/>
  <c r="U965" i="21" s="1"/>
  <c r="U966" i="21" s="1"/>
  <c r="U967" i="21" s="1"/>
  <c r="U968" i="21" s="1"/>
  <c r="U969" i="21" s="1"/>
  <c r="U970" i="21" s="1"/>
  <c r="U971" i="21" s="1"/>
  <c r="U972" i="21" s="1"/>
  <c r="U973" i="21" s="1"/>
  <c r="U974" i="21" s="1"/>
  <c r="U975" i="21" s="1"/>
  <c r="T825" i="21"/>
  <c r="T826" i="21" s="1"/>
  <c r="T827" i="21" s="1"/>
  <c r="T828" i="21" s="1"/>
  <c r="T829" i="21" s="1"/>
  <c r="T830" i="21" s="1"/>
  <c r="T831" i="21" s="1"/>
  <c r="T832" i="21" s="1"/>
  <c r="T833" i="21" s="1"/>
  <c r="T834" i="21" s="1"/>
  <c r="T835" i="21" s="1"/>
  <c r="T836" i="21" s="1"/>
  <c r="T837" i="21" s="1"/>
  <c r="T838" i="21" s="1"/>
  <c r="T839" i="21" s="1"/>
  <c r="T840" i="21" s="1"/>
  <c r="T841" i="21" s="1"/>
  <c r="T842" i="21" s="1"/>
  <c r="T843" i="21" s="1"/>
  <c r="T844" i="21" s="1"/>
  <c r="T845" i="21" s="1"/>
  <c r="T846" i="21" s="1"/>
  <c r="T847" i="21" s="1"/>
  <c r="T848" i="21" s="1"/>
  <c r="T849" i="21" s="1"/>
  <c r="T850" i="21" s="1"/>
  <c r="T851" i="21" s="1"/>
  <c r="T852" i="21" s="1"/>
  <c r="T853" i="21" s="1"/>
  <c r="T854" i="21" s="1"/>
  <c r="T855" i="21" s="1"/>
  <c r="T856" i="21" s="1"/>
  <c r="T857" i="21" s="1"/>
  <c r="T858" i="21" s="1"/>
  <c r="T859" i="21" s="1"/>
  <c r="T860" i="21" s="1"/>
  <c r="T861" i="21" s="1"/>
  <c r="T862" i="21" s="1"/>
  <c r="T863" i="21" s="1"/>
  <c r="T864" i="21" s="1"/>
  <c r="T865" i="21" s="1"/>
  <c r="T866" i="21" s="1"/>
  <c r="T867" i="21" s="1"/>
  <c r="T868" i="21" s="1"/>
  <c r="T869" i="21" s="1"/>
  <c r="T870" i="21" s="1"/>
  <c r="T871" i="21" s="1"/>
  <c r="T872" i="21" s="1"/>
  <c r="T873" i="21" s="1"/>
  <c r="T874" i="21" s="1"/>
  <c r="T875" i="21" s="1"/>
  <c r="T876" i="21" s="1"/>
  <c r="T877" i="21" s="1"/>
  <c r="T878" i="21" s="1"/>
  <c r="T879" i="21" s="1"/>
  <c r="T880" i="21" s="1"/>
  <c r="T881" i="21" s="1"/>
  <c r="T882" i="21" s="1"/>
  <c r="T883" i="21" s="1"/>
  <c r="T884" i="21" s="1"/>
  <c r="T885" i="21" s="1"/>
  <c r="T886" i="21" s="1"/>
  <c r="T887" i="21" s="1"/>
  <c r="T888" i="21" s="1"/>
  <c r="T889" i="21" s="1"/>
  <c r="T890" i="21" s="1"/>
  <c r="T891" i="21" s="1"/>
  <c r="T892" i="21" s="1"/>
  <c r="T893" i="21" s="1"/>
  <c r="T894" i="21" s="1"/>
  <c r="T895" i="21" s="1"/>
  <c r="T896" i="21" s="1"/>
  <c r="T897" i="21" s="1"/>
  <c r="T898" i="21" s="1"/>
  <c r="T899" i="21" s="1"/>
  <c r="T900" i="21" s="1"/>
  <c r="T901" i="21" s="1"/>
  <c r="T902" i="21" s="1"/>
  <c r="T903" i="21" s="1"/>
  <c r="T904" i="21" s="1"/>
  <c r="T905" i="21" s="1"/>
  <c r="T906" i="21" s="1"/>
  <c r="T907" i="21" s="1"/>
  <c r="T908" i="21" s="1"/>
  <c r="T909" i="21" s="1"/>
  <c r="T910" i="21" s="1"/>
  <c r="T911" i="21" s="1"/>
  <c r="T912" i="21" s="1"/>
  <c r="T913" i="21" s="1"/>
  <c r="T914" i="21" s="1"/>
  <c r="T915" i="21" s="1"/>
  <c r="T916" i="21" s="1"/>
  <c r="T917" i="21" s="1"/>
  <c r="T918" i="21" s="1"/>
  <c r="T919" i="21" s="1"/>
  <c r="T920" i="21" s="1"/>
  <c r="T921" i="21" s="1"/>
  <c r="T922" i="21" s="1"/>
  <c r="T923" i="21" s="1"/>
  <c r="T924" i="21" s="1"/>
  <c r="T925" i="21" s="1"/>
  <c r="T926" i="21" s="1"/>
  <c r="T927" i="21" s="1"/>
  <c r="T928" i="21" s="1"/>
  <c r="T929" i="21" s="1"/>
  <c r="T930" i="21" s="1"/>
  <c r="T931" i="21" s="1"/>
  <c r="T932" i="21" s="1"/>
  <c r="T933" i="21" s="1"/>
  <c r="T934" i="21" s="1"/>
  <c r="T935" i="21" s="1"/>
  <c r="T936" i="21" s="1"/>
  <c r="T937" i="21" s="1"/>
  <c r="T938" i="21" s="1"/>
  <c r="T939" i="21" s="1"/>
  <c r="T940" i="21" s="1"/>
  <c r="T941" i="21" s="1"/>
  <c r="T942" i="21" s="1"/>
  <c r="T943" i="21" s="1"/>
  <c r="T944" i="21" s="1"/>
  <c r="T945" i="21" s="1"/>
  <c r="T946" i="21" s="1"/>
  <c r="T947" i="21" s="1"/>
  <c r="T948" i="21" s="1"/>
  <c r="T949" i="21" s="1"/>
  <c r="T950" i="21" s="1"/>
  <c r="T951" i="21" s="1"/>
  <c r="T952" i="21" s="1"/>
  <c r="T953" i="21" s="1"/>
  <c r="T954" i="21" s="1"/>
  <c r="T955" i="21" s="1"/>
  <c r="T956" i="21" s="1"/>
  <c r="T957" i="21" s="1"/>
  <c r="T958" i="21" s="1"/>
  <c r="T959" i="21" s="1"/>
  <c r="T960" i="21" s="1"/>
  <c r="T961" i="21" s="1"/>
  <c r="T962" i="21" s="1"/>
  <c r="T963" i="21" s="1"/>
  <c r="T964" i="21" s="1"/>
  <c r="T965" i="21" s="1"/>
  <c r="T966" i="21" s="1"/>
  <c r="T967" i="21" s="1"/>
  <c r="T968" i="21" s="1"/>
  <c r="T969" i="21" s="1"/>
  <c r="T970" i="21" s="1"/>
  <c r="T971" i="21" s="1"/>
  <c r="T972" i="21" s="1"/>
  <c r="T973" i="21" s="1"/>
  <c r="T974" i="21" s="1"/>
  <c r="T975" i="21" s="1"/>
  <c r="S825" i="21"/>
  <c r="S826" i="21" s="1"/>
  <c r="S827" i="21" s="1"/>
  <c r="S828" i="21" s="1"/>
  <c r="S829" i="21" s="1"/>
  <c r="S830" i="21" s="1"/>
  <c r="S831" i="21" s="1"/>
  <c r="S832" i="21" s="1"/>
  <c r="S833" i="21" s="1"/>
  <c r="S834" i="21" s="1"/>
  <c r="S835" i="21" s="1"/>
  <c r="S836" i="21" s="1"/>
  <c r="S837" i="21" s="1"/>
  <c r="S838" i="21" s="1"/>
  <c r="S839" i="21" s="1"/>
  <c r="S840" i="21" s="1"/>
  <c r="S841" i="21" s="1"/>
  <c r="S842" i="21" s="1"/>
  <c r="S843" i="21" s="1"/>
  <c r="S844" i="21" s="1"/>
  <c r="S845" i="21" s="1"/>
  <c r="S846" i="21" s="1"/>
  <c r="S847" i="21" s="1"/>
  <c r="S848" i="21" s="1"/>
  <c r="S849" i="21" s="1"/>
  <c r="S850" i="21" s="1"/>
  <c r="S851" i="21" s="1"/>
  <c r="S852" i="21" s="1"/>
  <c r="S853" i="21" s="1"/>
  <c r="S854" i="21" s="1"/>
  <c r="S855" i="21" s="1"/>
  <c r="S856" i="21" s="1"/>
  <c r="S857" i="21" s="1"/>
  <c r="S858" i="21" s="1"/>
  <c r="S859" i="21" s="1"/>
  <c r="S860" i="21" s="1"/>
  <c r="S861" i="21" s="1"/>
  <c r="S862" i="21" s="1"/>
  <c r="S863" i="21" s="1"/>
  <c r="S864" i="21" s="1"/>
  <c r="S865" i="21" s="1"/>
  <c r="S866" i="21" s="1"/>
  <c r="S867" i="21" s="1"/>
  <c r="S868" i="21" s="1"/>
  <c r="S869" i="21" s="1"/>
  <c r="S870" i="21" s="1"/>
  <c r="S871" i="21" s="1"/>
  <c r="S872" i="21" s="1"/>
  <c r="S873" i="21" s="1"/>
  <c r="S874" i="21" s="1"/>
  <c r="S875" i="21" s="1"/>
  <c r="S876" i="21" s="1"/>
  <c r="S877" i="21" s="1"/>
  <c r="S878" i="21" s="1"/>
  <c r="S879" i="21" s="1"/>
  <c r="S880" i="21" s="1"/>
  <c r="S881" i="21" s="1"/>
  <c r="S882" i="21" s="1"/>
  <c r="S883" i="21" s="1"/>
  <c r="S884" i="21" s="1"/>
  <c r="S885" i="21" s="1"/>
  <c r="S886" i="21" s="1"/>
  <c r="S887" i="21" s="1"/>
  <c r="S888" i="21" s="1"/>
  <c r="S889" i="21" s="1"/>
  <c r="S890" i="21" s="1"/>
  <c r="S891" i="21" s="1"/>
  <c r="S892" i="21" s="1"/>
  <c r="S893" i="21" s="1"/>
  <c r="S894" i="21" s="1"/>
  <c r="S895" i="21" s="1"/>
  <c r="S896" i="21" s="1"/>
  <c r="S897" i="21" s="1"/>
  <c r="S898" i="21" s="1"/>
  <c r="S899" i="21" s="1"/>
  <c r="S900" i="21" s="1"/>
  <c r="S901" i="21" s="1"/>
  <c r="S902" i="21" s="1"/>
  <c r="S903" i="21" s="1"/>
  <c r="S904" i="21" s="1"/>
  <c r="S905" i="21" s="1"/>
  <c r="S906" i="21" s="1"/>
  <c r="S907" i="21" s="1"/>
  <c r="S908" i="21" s="1"/>
  <c r="S909" i="21" s="1"/>
  <c r="S910" i="21" s="1"/>
  <c r="S911" i="21" s="1"/>
  <c r="S912" i="21" s="1"/>
  <c r="S913" i="21" s="1"/>
  <c r="S914" i="21" s="1"/>
  <c r="S915" i="21" s="1"/>
  <c r="S916" i="21" s="1"/>
  <c r="S917" i="21" s="1"/>
  <c r="S918" i="21" s="1"/>
  <c r="S919" i="21" s="1"/>
  <c r="S920" i="21" s="1"/>
  <c r="S921" i="21" s="1"/>
  <c r="S922" i="21" s="1"/>
  <c r="S923" i="21" s="1"/>
  <c r="S924" i="21" s="1"/>
  <c r="S925" i="21" s="1"/>
  <c r="S926" i="21" s="1"/>
  <c r="S927" i="21" s="1"/>
  <c r="S928" i="21" s="1"/>
  <c r="S929" i="21" s="1"/>
  <c r="S930" i="21" s="1"/>
  <c r="S931" i="21" s="1"/>
  <c r="S932" i="21" s="1"/>
  <c r="S933" i="21" s="1"/>
  <c r="S934" i="21" s="1"/>
  <c r="S935" i="21" s="1"/>
  <c r="S936" i="21" s="1"/>
  <c r="S937" i="21" s="1"/>
  <c r="S938" i="21" s="1"/>
  <c r="S939" i="21" s="1"/>
  <c r="S940" i="21" s="1"/>
  <c r="S941" i="21" s="1"/>
  <c r="S942" i="21" s="1"/>
  <c r="S943" i="21" s="1"/>
  <c r="S944" i="21" s="1"/>
  <c r="S945" i="21" s="1"/>
  <c r="S946" i="21" s="1"/>
  <c r="S947" i="21" s="1"/>
  <c r="S948" i="21" s="1"/>
  <c r="S949" i="21" s="1"/>
  <c r="S950" i="21" s="1"/>
  <c r="S951" i="21" s="1"/>
  <c r="S952" i="21" s="1"/>
  <c r="S953" i="21" s="1"/>
  <c r="S954" i="21" s="1"/>
  <c r="S955" i="21" s="1"/>
  <c r="S956" i="21" s="1"/>
  <c r="S957" i="21" s="1"/>
  <c r="S958" i="21" s="1"/>
  <c r="S959" i="21" s="1"/>
  <c r="S960" i="21" s="1"/>
  <c r="S961" i="21" s="1"/>
  <c r="S962" i="21" s="1"/>
  <c r="S963" i="21" s="1"/>
  <c r="S964" i="21" s="1"/>
  <c r="S965" i="21" s="1"/>
  <c r="S966" i="21" s="1"/>
  <c r="S967" i="21" s="1"/>
  <c r="S968" i="21" s="1"/>
  <c r="AJ967" i="21"/>
  <c r="AG968" i="21" s="1"/>
  <c r="AK968" i="21" s="1"/>
  <c r="AD967" i="21"/>
  <c r="AC967" i="21"/>
  <c r="AB967" i="21"/>
  <c r="AI967" i="21" s="1"/>
  <c r="AA967" i="21"/>
  <c r="Y967" i="21"/>
  <c r="R967" i="21"/>
  <c r="O967" i="21"/>
  <c r="N967" i="21"/>
  <c r="AL973" i="21" l="1"/>
  <c r="AF970" i="21"/>
  <c r="AH971" i="21"/>
  <c r="AL971" i="21" s="1"/>
  <c r="S969" i="21"/>
  <c r="X968" i="21"/>
  <c r="W968" i="21"/>
  <c r="AF968" i="21"/>
  <c r="AF969" i="21"/>
  <c r="AF972" i="21"/>
  <c r="AL968" i="21"/>
  <c r="Z967" i="21"/>
  <c r="AE967" i="21"/>
  <c r="AH967" i="21" s="1"/>
  <c r="B325" i="28"/>
  <c r="C325" i="28"/>
  <c r="D325" i="28"/>
  <c r="E325" i="28"/>
  <c r="F325" i="28"/>
  <c r="G325" i="28"/>
  <c r="H325" i="28"/>
  <c r="I325" i="28"/>
  <c r="J325" i="28"/>
  <c r="K325" i="28"/>
  <c r="L325" i="28"/>
  <c r="M325" i="28"/>
  <c r="N325" i="28"/>
  <c r="O325" i="28"/>
  <c r="P325" i="28"/>
  <c r="Q325" i="28"/>
  <c r="R325" i="28"/>
  <c r="S325" i="28"/>
  <c r="T325" i="28"/>
  <c r="U325" i="28"/>
  <c r="F39" i="3"/>
  <c r="F40" i="3"/>
  <c r="F38" i="3"/>
  <c r="AJ966" i="21"/>
  <c r="AG967" i="21" s="1"/>
  <c r="AK967" i="21" s="1"/>
  <c r="AD966" i="21"/>
  <c r="AC966" i="21"/>
  <c r="AB966" i="21"/>
  <c r="AI966" i="21" s="1"/>
  <c r="AA966" i="21"/>
  <c r="Y966" i="21"/>
  <c r="R966" i="21"/>
  <c r="O966" i="21"/>
  <c r="N966" i="21"/>
  <c r="W969" i="21" l="1"/>
  <c r="X969" i="21"/>
  <c r="S970" i="21"/>
  <c r="AF967" i="21"/>
  <c r="AL967" i="21"/>
  <c r="Z966" i="21"/>
  <c r="AE966" i="21"/>
  <c r="AF966" i="21" s="1"/>
  <c r="AJ965" i="21"/>
  <c r="AG966" i="21" s="1"/>
  <c r="AK966" i="21" s="1"/>
  <c r="AD965" i="21"/>
  <c r="AC965" i="21"/>
  <c r="AB965" i="21"/>
  <c r="AI965" i="21" s="1"/>
  <c r="AA965" i="21"/>
  <c r="Y965" i="21"/>
  <c r="R965" i="21"/>
  <c r="O965" i="21"/>
  <c r="N965" i="21"/>
  <c r="K324" i="28"/>
  <c r="X970" i="21" l="1"/>
  <c r="W970" i="21"/>
  <c r="S971" i="21"/>
  <c r="AH966" i="21"/>
  <c r="AL966" i="21" s="1"/>
  <c r="Z965" i="21"/>
  <c r="AE965" i="21"/>
  <c r="AH965" i="21" s="1"/>
  <c r="B320" i="28"/>
  <c r="C320" i="28"/>
  <c r="D320" i="28"/>
  <c r="E320" i="28"/>
  <c r="F320" i="28"/>
  <c r="G320" i="28"/>
  <c r="H320" i="28"/>
  <c r="I320" i="28"/>
  <c r="J320" i="28"/>
  <c r="K320" i="28"/>
  <c r="L320" i="28"/>
  <c r="M320" i="28"/>
  <c r="N320" i="28"/>
  <c r="O320" i="28"/>
  <c r="P320" i="28"/>
  <c r="Q320" i="28"/>
  <c r="R320" i="28"/>
  <c r="S320" i="28"/>
  <c r="T320" i="28"/>
  <c r="U320" i="28"/>
  <c r="B321" i="28"/>
  <c r="C321" i="28"/>
  <c r="D321" i="28"/>
  <c r="E321" i="28"/>
  <c r="F321" i="28"/>
  <c r="G321" i="28"/>
  <c r="G322" i="28" s="1"/>
  <c r="G323" i="28" s="1"/>
  <c r="G324" i="28" s="1"/>
  <c r="H321" i="28"/>
  <c r="H322" i="28" s="1"/>
  <c r="H323" i="28" s="1"/>
  <c r="I321" i="28"/>
  <c r="I322" i="28" s="1"/>
  <c r="I323" i="28" s="1"/>
  <c r="I324" i="28" s="1"/>
  <c r="J321" i="28"/>
  <c r="J322" i="28" s="1"/>
  <c r="J323" i="28" s="1"/>
  <c r="K321" i="28"/>
  <c r="K322" i="28" s="1"/>
  <c r="K323" i="28" s="1"/>
  <c r="L321" i="28"/>
  <c r="M321" i="28"/>
  <c r="N321" i="28"/>
  <c r="O321" i="28"/>
  <c r="P321" i="28"/>
  <c r="Q321" i="28"/>
  <c r="R321" i="28"/>
  <c r="R322" i="28" s="1"/>
  <c r="R323" i="28" s="1"/>
  <c r="R324" i="28" s="1"/>
  <c r="S321" i="28"/>
  <c r="S322" i="28" s="1"/>
  <c r="S323" i="28" s="1"/>
  <c r="S324" i="28" s="1"/>
  <c r="T321" i="28"/>
  <c r="T322" i="28" s="1"/>
  <c r="T323" i="28" s="1"/>
  <c r="T324" i="28" s="1"/>
  <c r="U321" i="28"/>
  <c r="U322" i="28" s="1"/>
  <c r="U323" i="28" s="1"/>
  <c r="U324" i="28" s="1"/>
  <c r="B322" i="28"/>
  <c r="C322" i="28"/>
  <c r="C323" i="28" s="1"/>
  <c r="D322" i="28"/>
  <c r="E322" i="28"/>
  <c r="F322" i="28"/>
  <c r="F323" i="28" s="1"/>
  <c r="L322" i="28"/>
  <c r="L323" i="28" s="1"/>
  <c r="L324" i="28" s="1"/>
  <c r="M322" i="28"/>
  <c r="M323" i="28" s="1"/>
  <c r="M324" i="28" s="1"/>
  <c r="N322" i="28"/>
  <c r="N323" i="28" s="1"/>
  <c r="N324" i="28" s="1"/>
  <c r="O322" i="28"/>
  <c r="O323" i="28" s="1"/>
  <c r="O324" i="28" s="1"/>
  <c r="P322" i="28"/>
  <c r="P323" i="28" s="1"/>
  <c r="P324" i="28" s="1"/>
  <c r="Q322" i="28"/>
  <c r="B323" i="28"/>
  <c r="D323" i="28"/>
  <c r="D324" i="28" s="1"/>
  <c r="E323" i="28"/>
  <c r="E324" i="28" s="1"/>
  <c r="Q323" i="28"/>
  <c r="Q324" i="28" s="1"/>
  <c r="B324" i="28"/>
  <c r="C324" i="28"/>
  <c r="F324" i="28"/>
  <c r="H324" i="28"/>
  <c r="J324" i="28"/>
  <c r="B312" i="28"/>
  <c r="C312" i="28"/>
  <c r="D312" i="28"/>
  <c r="E312" i="28"/>
  <c r="F312" i="28"/>
  <c r="G312" i="28"/>
  <c r="H312" i="28"/>
  <c r="I312" i="28"/>
  <c r="J312" i="28"/>
  <c r="K312" i="28"/>
  <c r="L312" i="28"/>
  <c r="M312" i="28"/>
  <c r="N312" i="28"/>
  <c r="O312" i="28"/>
  <c r="P312" i="28"/>
  <c r="Q312" i="28"/>
  <c r="R312" i="28"/>
  <c r="S312" i="28"/>
  <c r="T312" i="28"/>
  <c r="U312" i="28"/>
  <c r="B313" i="28"/>
  <c r="C313" i="28"/>
  <c r="D313" i="28"/>
  <c r="E313" i="28"/>
  <c r="F313" i="28"/>
  <c r="G313" i="28"/>
  <c r="H313" i="28"/>
  <c r="I313" i="28"/>
  <c r="J313" i="28"/>
  <c r="K313" i="28"/>
  <c r="L313" i="28"/>
  <c r="M313" i="28"/>
  <c r="N313" i="28"/>
  <c r="O313" i="28"/>
  <c r="P313" i="28"/>
  <c r="Q313" i="28"/>
  <c r="R313" i="28"/>
  <c r="S313" i="28"/>
  <c r="T313" i="28"/>
  <c r="U313" i="28"/>
  <c r="B314" i="28"/>
  <c r="B315" i="28" s="1"/>
  <c r="B316" i="28" s="1"/>
  <c r="C314" i="28"/>
  <c r="C315" i="28" s="1"/>
  <c r="C316" i="28" s="1"/>
  <c r="D314" i="28"/>
  <c r="D315" i="28" s="1"/>
  <c r="D316" i="28" s="1"/>
  <c r="E314" i="28"/>
  <c r="E315" i="28" s="1"/>
  <c r="E316" i="28" s="1"/>
  <c r="F314" i="28"/>
  <c r="G314" i="28"/>
  <c r="G315" i="28" s="1"/>
  <c r="G316" i="28" s="1"/>
  <c r="H314" i="28"/>
  <c r="H315" i="28" s="1"/>
  <c r="H316" i="28" s="1"/>
  <c r="I314" i="28"/>
  <c r="I315" i="28" s="1"/>
  <c r="I316" i="28" s="1"/>
  <c r="J314" i="28"/>
  <c r="J315" i="28" s="1"/>
  <c r="J316" i="28" s="1"/>
  <c r="K314" i="28"/>
  <c r="K315" i="28" s="1"/>
  <c r="K316" i="28" s="1"/>
  <c r="L314" i="28"/>
  <c r="L315" i="28" s="1"/>
  <c r="L316" i="28" s="1"/>
  <c r="M314" i="28"/>
  <c r="M315" i="28" s="1"/>
  <c r="M316" i="28" s="1"/>
  <c r="N314" i="28"/>
  <c r="N315" i="28" s="1"/>
  <c r="N316" i="28" s="1"/>
  <c r="O314" i="28"/>
  <c r="O315" i="28" s="1"/>
  <c r="O316" i="28" s="1"/>
  <c r="P314" i="28"/>
  <c r="P315" i="28" s="1"/>
  <c r="P316" i="28" s="1"/>
  <c r="Q314" i="28"/>
  <c r="Q315" i="28" s="1"/>
  <c r="Q316" i="28" s="1"/>
  <c r="R314" i="28"/>
  <c r="R315" i="28" s="1"/>
  <c r="R316" i="28" s="1"/>
  <c r="S314" i="28"/>
  <c r="S315" i="28" s="1"/>
  <c r="S316" i="28" s="1"/>
  <c r="T314" i="28"/>
  <c r="T315" i="28" s="1"/>
  <c r="T316" i="28" s="1"/>
  <c r="U314" i="28"/>
  <c r="U315" i="28" s="1"/>
  <c r="U316" i="28" s="1"/>
  <c r="F315" i="28"/>
  <c r="F316" i="28" s="1"/>
  <c r="B317" i="28"/>
  <c r="C317" i="28"/>
  <c r="D317" i="28"/>
  <c r="E317" i="28"/>
  <c r="F317" i="28"/>
  <c r="G317" i="28"/>
  <c r="H317" i="28"/>
  <c r="I317" i="28"/>
  <c r="J317" i="28"/>
  <c r="K317" i="28"/>
  <c r="L317" i="28"/>
  <c r="M317" i="28"/>
  <c r="N317" i="28"/>
  <c r="O317" i="28"/>
  <c r="P317" i="28"/>
  <c r="Q317" i="28"/>
  <c r="R317" i="28"/>
  <c r="S317" i="28"/>
  <c r="T317" i="28"/>
  <c r="U317" i="28"/>
  <c r="B318" i="28"/>
  <c r="C318" i="28"/>
  <c r="D318" i="28"/>
  <c r="E318" i="28"/>
  <c r="F318" i="28"/>
  <c r="G318" i="28"/>
  <c r="H318" i="28"/>
  <c r="I318" i="28"/>
  <c r="J318" i="28"/>
  <c r="K318" i="28"/>
  <c r="L318" i="28"/>
  <c r="M318" i="28"/>
  <c r="N318" i="28"/>
  <c r="O318" i="28"/>
  <c r="P318" i="28"/>
  <c r="Q318" i="28"/>
  <c r="R318" i="28"/>
  <c r="S318" i="28"/>
  <c r="T318" i="28"/>
  <c r="U318" i="28"/>
  <c r="B319" i="28"/>
  <c r="C319" i="28"/>
  <c r="D319" i="28"/>
  <c r="E319" i="28"/>
  <c r="F319" i="28"/>
  <c r="G319" i="28"/>
  <c r="H319" i="28"/>
  <c r="I319" i="28"/>
  <c r="J319" i="28"/>
  <c r="K319" i="28"/>
  <c r="L319" i="28"/>
  <c r="M319" i="28"/>
  <c r="N319" i="28"/>
  <c r="O319" i="28"/>
  <c r="P319" i="28"/>
  <c r="Q319" i="28"/>
  <c r="R319" i="28"/>
  <c r="S319" i="28"/>
  <c r="T319" i="28"/>
  <c r="U319" i="28"/>
  <c r="W971" i="21" l="1"/>
  <c r="X971" i="21"/>
  <c r="S972" i="21"/>
  <c r="AF965" i="21"/>
  <c r="AJ964" i="21"/>
  <c r="AG965" i="21" s="1"/>
  <c r="AK965" i="21" s="1"/>
  <c r="AL965" i="21" s="1"/>
  <c r="AD964" i="21"/>
  <c r="AC964" i="21"/>
  <c r="AB964" i="21"/>
  <c r="AI964" i="21" s="1"/>
  <c r="AA964" i="21"/>
  <c r="Y964" i="21"/>
  <c r="R964" i="21"/>
  <c r="O964" i="21"/>
  <c r="N964" i="21"/>
  <c r="S973" i="21" l="1"/>
  <c r="S974" i="21" s="1"/>
  <c r="S975" i="21" s="1"/>
  <c r="X972" i="21"/>
  <c r="W972" i="21"/>
  <c r="Z964" i="21"/>
  <c r="AE964" i="21"/>
  <c r="AH964" i="21" s="1"/>
  <c r="AJ963" i="21"/>
  <c r="AG964" i="21" s="1"/>
  <c r="AK964" i="21" s="1"/>
  <c r="AD963" i="21"/>
  <c r="AC963" i="21"/>
  <c r="AB963" i="21"/>
  <c r="AI963" i="21" s="1"/>
  <c r="AA963" i="21"/>
  <c r="Y963" i="21"/>
  <c r="R963" i="21"/>
  <c r="O963" i="21"/>
  <c r="N963" i="21"/>
  <c r="AJ962" i="21"/>
  <c r="AD962" i="21"/>
  <c r="AC962" i="21"/>
  <c r="AB962" i="21"/>
  <c r="AI962" i="21" s="1"/>
  <c r="AA962" i="21"/>
  <c r="Y962" i="21"/>
  <c r="R962" i="21"/>
  <c r="O962" i="21"/>
  <c r="N962" i="21"/>
  <c r="AJ961" i="21"/>
  <c r="AD961" i="21"/>
  <c r="AC961" i="21"/>
  <c r="AB961" i="21"/>
  <c r="AI961" i="21" s="1"/>
  <c r="AA961" i="21"/>
  <c r="Y961" i="21"/>
  <c r="R961" i="21"/>
  <c r="O961" i="21"/>
  <c r="N961" i="21"/>
  <c r="AJ960" i="21"/>
  <c r="AD960" i="21"/>
  <c r="AC960" i="21"/>
  <c r="AB960" i="21"/>
  <c r="AI960" i="21" s="1"/>
  <c r="AA960" i="21"/>
  <c r="Y960" i="21"/>
  <c r="R960" i="21"/>
  <c r="O960" i="21"/>
  <c r="N960" i="21"/>
  <c r="X975" i="21" l="1"/>
  <c r="W975" i="21"/>
  <c r="X974" i="21"/>
  <c r="W974" i="21"/>
  <c r="X973" i="21"/>
  <c r="W973" i="21"/>
  <c r="Z960" i="21"/>
  <c r="AF964" i="21"/>
  <c r="AG962" i="21"/>
  <c r="AK962" i="21" s="1"/>
  <c r="AL964" i="21"/>
  <c r="Z962" i="21"/>
  <c r="AG963" i="21"/>
  <c r="AK963" i="21" s="1"/>
  <c r="Z963" i="21"/>
  <c r="Z961" i="21"/>
  <c r="AE963" i="21"/>
  <c r="AH963" i="21" s="1"/>
  <c r="AE961" i="21"/>
  <c r="AH961" i="21" s="1"/>
  <c r="AE962" i="21"/>
  <c r="AF962" i="21" s="1"/>
  <c r="AE960" i="21"/>
  <c r="AH960" i="21" s="1"/>
  <c r="AG961" i="21"/>
  <c r="AK961" i="21" s="1"/>
  <c r="AJ959" i="21"/>
  <c r="AG960" i="21" s="1"/>
  <c r="AK960" i="21" s="1"/>
  <c r="AD959" i="21"/>
  <c r="AC959" i="21"/>
  <c r="AB959" i="21"/>
  <c r="AI959" i="21" s="1"/>
  <c r="AA959" i="21"/>
  <c r="Y959" i="21"/>
  <c r="R959" i="21"/>
  <c r="O959" i="21"/>
  <c r="N959" i="21"/>
  <c r="AJ958" i="21"/>
  <c r="AD958" i="21"/>
  <c r="AC958" i="21"/>
  <c r="AB958" i="21"/>
  <c r="AI958" i="21" s="1"/>
  <c r="AA958" i="21"/>
  <c r="Y958" i="21"/>
  <c r="R958" i="21"/>
  <c r="O958" i="21"/>
  <c r="N958" i="21"/>
  <c r="AF960" i="21" l="1"/>
  <c r="AL963" i="21"/>
  <c r="AF963" i="21"/>
  <c r="AH962" i="21"/>
  <c r="AL962" i="21" s="1"/>
  <c r="AF961" i="21"/>
  <c r="AL960" i="21"/>
  <c r="AG959" i="21"/>
  <c r="AK959" i="21" s="1"/>
  <c r="AL961" i="21"/>
  <c r="Z959" i="21"/>
  <c r="Z958" i="21"/>
  <c r="AE959" i="21"/>
  <c r="AH959" i="21" s="1"/>
  <c r="AE958" i="21"/>
  <c r="AH958" i="21" s="1"/>
  <c r="AJ957" i="21"/>
  <c r="AG958" i="21" s="1"/>
  <c r="AK958" i="21" s="1"/>
  <c r="AD957" i="21"/>
  <c r="AC957" i="21"/>
  <c r="AB957" i="21"/>
  <c r="AI957" i="21" s="1"/>
  <c r="AA957" i="21"/>
  <c r="Y957" i="21"/>
  <c r="R957" i="21"/>
  <c r="O957" i="21"/>
  <c r="N957" i="21"/>
  <c r="AF959" i="21" l="1"/>
  <c r="AL959" i="21"/>
  <c r="Z957" i="21"/>
  <c r="AF958" i="21"/>
  <c r="AL958" i="21"/>
  <c r="AE957" i="21"/>
  <c r="AF957" i="21" s="1"/>
  <c r="AJ956" i="21"/>
  <c r="AG957" i="21" s="1"/>
  <c r="AK957" i="21" s="1"/>
  <c r="AD956" i="21"/>
  <c r="AC956" i="21"/>
  <c r="AB956" i="21"/>
  <c r="AI956" i="21" s="1"/>
  <c r="AA956" i="21"/>
  <c r="Y956" i="21"/>
  <c r="R956" i="21"/>
  <c r="O956" i="21"/>
  <c r="N956" i="21"/>
  <c r="AD955" i="21"/>
  <c r="AC955" i="21"/>
  <c r="AB955" i="21"/>
  <c r="AI955" i="21" s="1"/>
  <c r="AA955" i="21"/>
  <c r="Y955" i="21"/>
  <c r="R955" i="21"/>
  <c r="O955" i="21"/>
  <c r="N955" i="21"/>
  <c r="AD954" i="21"/>
  <c r="AC954" i="21"/>
  <c r="AB954" i="21"/>
  <c r="AI954" i="21" s="1"/>
  <c r="AA954" i="21"/>
  <c r="Y954" i="21"/>
  <c r="R954" i="21"/>
  <c r="O954" i="21"/>
  <c r="N954" i="21"/>
  <c r="AD953" i="21"/>
  <c r="AC953" i="21"/>
  <c r="AB953" i="21"/>
  <c r="AI953" i="21" s="1"/>
  <c r="AA953" i="21"/>
  <c r="Y953" i="21"/>
  <c r="R953" i="21"/>
  <c r="O953" i="21"/>
  <c r="N953" i="21"/>
  <c r="AH957" i="21" l="1"/>
  <c r="AL957" i="21" s="1"/>
  <c r="Z953" i="21"/>
  <c r="Z956" i="21"/>
  <c r="Z955" i="21"/>
  <c r="Z954" i="21"/>
  <c r="AE953" i="21"/>
  <c r="AH953" i="21" s="1"/>
  <c r="AE956" i="21"/>
  <c r="AH956" i="21" s="1"/>
  <c r="AE954" i="21"/>
  <c r="AF954" i="21" s="1"/>
  <c r="AE955" i="21"/>
  <c r="AH955" i="21" s="1"/>
  <c r="AD952" i="21"/>
  <c r="AC952" i="21"/>
  <c r="AB952" i="21"/>
  <c r="AI952" i="21" s="1"/>
  <c r="AA952" i="21"/>
  <c r="Y952" i="21"/>
  <c r="R952" i="21"/>
  <c r="O952" i="21"/>
  <c r="N952" i="21"/>
  <c r="AF953" i="21" l="1"/>
  <c r="AF955" i="21"/>
  <c r="AF956" i="21"/>
  <c r="AH954" i="21"/>
  <c r="Z952" i="21"/>
  <c r="AE952" i="21"/>
  <c r="AH952" i="21" s="1"/>
  <c r="K307" i="28"/>
  <c r="B310" i="28"/>
  <c r="C310" i="28"/>
  <c r="D310" i="28"/>
  <c r="E310" i="28"/>
  <c r="F310" i="28"/>
  <c r="G310" i="28"/>
  <c r="H310" i="28"/>
  <c r="I310" i="28"/>
  <c r="J310" i="28"/>
  <c r="K310" i="28"/>
  <c r="K311" i="28" s="1"/>
  <c r="L310" i="28"/>
  <c r="M310" i="28"/>
  <c r="N310" i="28"/>
  <c r="O310" i="28"/>
  <c r="P310" i="28"/>
  <c r="Q310" i="28"/>
  <c r="R310" i="28"/>
  <c r="S310" i="28"/>
  <c r="T310" i="28"/>
  <c r="U310" i="28"/>
  <c r="B311" i="28"/>
  <c r="C311" i="28"/>
  <c r="D311" i="28"/>
  <c r="E311" i="28"/>
  <c r="F311" i="28"/>
  <c r="G311" i="28"/>
  <c r="H311" i="28"/>
  <c r="I311" i="28"/>
  <c r="J311" i="28"/>
  <c r="L311" i="28"/>
  <c r="M311" i="28"/>
  <c r="N311" i="28"/>
  <c r="O311" i="28"/>
  <c r="P311" i="28"/>
  <c r="Q311" i="28"/>
  <c r="R311" i="28"/>
  <c r="S311" i="28"/>
  <c r="T311" i="28"/>
  <c r="U311" i="28"/>
  <c r="AJ951" i="21"/>
  <c r="AD951" i="21"/>
  <c r="AC951" i="21"/>
  <c r="AB951" i="21"/>
  <c r="AI951" i="21" s="1"/>
  <c r="AA951" i="21"/>
  <c r="Y951" i="21"/>
  <c r="R951" i="21"/>
  <c r="O951" i="21"/>
  <c r="N951" i="21"/>
  <c r="AD950" i="21"/>
  <c r="AC950" i="21"/>
  <c r="AB950" i="21"/>
  <c r="AI950" i="21" s="1"/>
  <c r="AA950" i="21"/>
  <c r="Y950" i="21"/>
  <c r="R950" i="21"/>
  <c r="O950" i="21"/>
  <c r="N950" i="21"/>
  <c r="AJ950" i="21" l="1"/>
  <c r="AG951" i="21" s="1"/>
  <c r="AK951" i="21" s="1"/>
  <c r="AJ954" i="21"/>
  <c r="AJ955" i="21"/>
  <c r="AG956" i="21" s="1"/>
  <c r="AK956" i="21" s="1"/>
  <c r="AL956" i="21" s="1"/>
  <c r="AJ953" i="21"/>
  <c r="AJ952" i="21"/>
  <c r="AG952" i="21" s="1"/>
  <c r="AK952" i="21" s="1"/>
  <c r="AL952" i="21" s="1"/>
  <c r="AF952" i="21"/>
  <c r="Z951" i="21"/>
  <c r="Z950" i="21"/>
  <c r="AE950" i="21"/>
  <c r="AF950" i="21" s="1"/>
  <c r="AE951" i="21"/>
  <c r="AH951" i="21" s="1"/>
  <c r="D23" i="24" a="1"/>
  <c r="D23" i="24" s="1"/>
  <c r="D22" i="24" a="1"/>
  <c r="D22" i="24" s="1"/>
  <c r="D21" i="24" a="1"/>
  <c r="D21" i="24" s="1"/>
  <c r="D20" i="24" a="1"/>
  <c r="D20" i="24" s="1"/>
  <c r="D19" i="24" a="1"/>
  <c r="D19" i="24" s="1"/>
  <c r="D18" i="24" a="1"/>
  <c r="D18" i="24" s="1"/>
  <c r="D17" i="24" a="1"/>
  <c r="D17" i="24" s="1"/>
  <c r="D16" i="24" a="1"/>
  <c r="D16" i="24" s="1"/>
  <c r="D15" i="24" a="1"/>
  <c r="D15" i="24" s="1"/>
  <c r="D14" i="24" a="1"/>
  <c r="D14" i="24" s="1"/>
  <c r="D13" i="24" a="1"/>
  <c r="D13" i="24" s="1"/>
  <c r="C23" i="24" a="1"/>
  <c r="C23" i="24" s="1"/>
  <c r="C22" i="24" a="1"/>
  <c r="C22" i="24" s="1"/>
  <c r="C21" i="24" a="1"/>
  <c r="C21" i="24" s="1"/>
  <c r="C20" i="24" a="1"/>
  <c r="C20" i="24" s="1"/>
  <c r="C19" i="24" a="1"/>
  <c r="C19" i="24" s="1"/>
  <c r="C18" i="24" a="1"/>
  <c r="C18" i="24" s="1"/>
  <c r="C17" i="24" a="1"/>
  <c r="C17" i="24" s="1"/>
  <c r="C16" i="24" a="1"/>
  <c r="C16" i="24" s="1"/>
  <c r="C15" i="24" a="1"/>
  <c r="C15" i="24" s="1"/>
  <c r="C14" i="24" a="1"/>
  <c r="C14" i="24" s="1"/>
  <c r="C13" i="24" a="1"/>
  <c r="C13" i="24" s="1"/>
  <c r="D12" i="24" a="1"/>
  <c r="D12" i="24" s="1"/>
  <c r="C12" i="24" a="1"/>
  <c r="C12" i="24" s="1"/>
  <c r="AD949" i="21"/>
  <c r="AD948" i="21"/>
  <c r="AD947" i="21"/>
  <c r="AD946" i="21"/>
  <c r="AD945" i="21"/>
  <c r="AC949" i="21"/>
  <c r="AC948" i="21"/>
  <c r="AC947" i="21"/>
  <c r="AC946" i="21"/>
  <c r="AC945" i="21"/>
  <c r="AB949" i="21"/>
  <c r="AB948" i="21"/>
  <c r="AB947" i="21"/>
  <c r="AB946" i="21"/>
  <c r="AB945" i="21"/>
  <c r="AA949" i="21"/>
  <c r="AA948" i="21"/>
  <c r="AA947" i="21"/>
  <c r="AA946" i="21"/>
  <c r="AG954" i="21" l="1"/>
  <c r="AK954" i="21" s="1"/>
  <c r="AL954" i="21" s="1"/>
  <c r="AG955" i="21"/>
  <c r="AK955" i="21" s="1"/>
  <c r="AL955" i="21" s="1"/>
  <c r="AG953" i="21"/>
  <c r="AK953" i="21" s="1"/>
  <c r="AL953" i="21" s="1"/>
  <c r="AL951" i="21"/>
  <c r="AH950" i="21"/>
  <c r="AF951" i="21"/>
  <c r="K306" i="28"/>
  <c r="AI948" i="21"/>
  <c r="Y948" i="21"/>
  <c r="R948" i="21"/>
  <c r="O948" i="21"/>
  <c r="N948" i="21"/>
  <c r="AI947" i="21"/>
  <c r="Y947" i="21"/>
  <c r="R947" i="21"/>
  <c r="O947" i="21"/>
  <c r="N947" i="21"/>
  <c r="AI946" i="21"/>
  <c r="Y946" i="21"/>
  <c r="R946" i="21"/>
  <c r="O946" i="21"/>
  <c r="N946" i="21"/>
  <c r="Z947" i="21" l="1"/>
  <c r="Z948" i="21"/>
  <c r="Z946" i="21"/>
  <c r="K308" i="28"/>
  <c r="K309" i="28" s="1"/>
  <c r="AJ948" i="21" s="1"/>
  <c r="AE948" i="21"/>
  <c r="AH948" i="21" s="1"/>
  <c r="AE947" i="21"/>
  <c r="AH947" i="21" s="1"/>
  <c r="AE946" i="21"/>
  <c r="AH946" i="21" s="1"/>
  <c r="AA933" i="21"/>
  <c r="AA934" i="21"/>
  <c r="AA935" i="21"/>
  <c r="AA936" i="21"/>
  <c r="AA937" i="21"/>
  <c r="AA938" i="21"/>
  <c r="AA939" i="21"/>
  <c r="AA940" i="21"/>
  <c r="AA941" i="21"/>
  <c r="AA942" i="21"/>
  <c r="AA943" i="21"/>
  <c r="AA944" i="21"/>
  <c r="AA945" i="21"/>
  <c r="AB914" i="21"/>
  <c r="AB915" i="21"/>
  <c r="AB916" i="21"/>
  <c r="AB917" i="21"/>
  <c r="AB918" i="21"/>
  <c r="AB919" i="21"/>
  <c r="AB920" i="21"/>
  <c r="AB921" i="21"/>
  <c r="AB922" i="21"/>
  <c r="AB923" i="21"/>
  <c r="AB924" i="21"/>
  <c r="AB925" i="21"/>
  <c r="AB926" i="21"/>
  <c r="AB927" i="21"/>
  <c r="AB928" i="21"/>
  <c r="AB929" i="21"/>
  <c r="AB930" i="21"/>
  <c r="AB931" i="21"/>
  <c r="AB932" i="21"/>
  <c r="AB933" i="21"/>
  <c r="AB934" i="21"/>
  <c r="AB935" i="21"/>
  <c r="AB936" i="21"/>
  <c r="AB937" i="21"/>
  <c r="AB938" i="21"/>
  <c r="AB939" i="21"/>
  <c r="AB940" i="21"/>
  <c r="AB941" i="21"/>
  <c r="AB942" i="21"/>
  <c r="AB943" i="21"/>
  <c r="AB944" i="21"/>
  <c r="AC933" i="21"/>
  <c r="AD933" i="21"/>
  <c r="AC934" i="21"/>
  <c r="AD934" i="21"/>
  <c r="AC935" i="21"/>
  <c r="AD935" i="21"/>
  <c r="AC936" i="21"/>
  <c r="AD936" i="21"/>
  <c r="AC937" i="21"/>
  <c r="AD937" i="21"/>
  <c r="AC938" i="21"/>
  <c r="AD938" i="21"/>
  <c r="AC939" i="21"/>
  <c r="AD939" i="21"/>
  <c r="AC940" i="21"/>
  <c r="AD940" i="21"/>
  <c r="AC941" i="21"/>
  <c r="AD941" i="21"/>
  <c r="AC942" i="21"/>
  <c r="AD942" i="21"/>
  <c r="AC943" i="21"/>
  <c r="AD943" i="21"/>
  <c r="AC944" i="21"/>
  <c r="AD944" i="21"/>
  <c r="B297" i="28"/>
  <c r="C297" i="28"/>
  <c r="D297" i="28"/>
  <c r="E297" i="28"/>
  <c r="F297" i="28"/>
  <c r="G297" i="28"/>
  <c r="H297" i="28"/>
  <c r="I297" i="28"/>
  <c r="J297" i="28"/>
  <c r="K297" i="28"/>
  <c r="L297" i="28"/>
  <c r="M297" i="28"/>
  <c r="N297" i="28"/>
  <c r="O297" i="28"/>
  <c r="P297" i="28"/>
  <c r="Q297" i="28"/>
  <c r="R297" i="28"/>
  <c r="S297" i="28"/>
  <c r="T297" i="28"/>
  <c r="U297" i="28"/>
  <c r="B298" i="28"/>
  <c r="C298" i="28"/>
  <c r="D298" i="28"/>
  <c r="E298" i="28"/>
  <c r="F298" i="28"/>
  <c r="G298" i="28"/>
  <c r="H298" i="28"/>
  <c r="I298" i="28"/>
  <c r="J298" i="28"/>
  <c r="K298" i="28"/>
  <c r="L298" i="28"/>
  <c r="M298" i="28"/>
  <c r="N298" i="28"/>
  <c r="O298" i="28"/>
  <c r="P298" i="28"/>
  <c r="Q298" i="28"/>
  <c r="R298" i="28"/>
  <c r="S298" i="28"/>
  <c r="T298" i="28"/>
  <c r="U298" i="28"/>
  <c r="B299" i="28"/>
  <c r="C299" i="28"/>
  <c r="D299" i="28"/>
  <c r="E299" i="28"/>
  <c r="F299" i="28"/>
  <c r="G299" i="28"/>
  <c r="H299" i="28"/>
  <c r="I299" i="28"/>
  <c r="J299" i="28"/>
  <c r="K299" i="28"/>
  <c r="L299" i="28"/>
  <c r="M299" i="28"/>
  <c r="N299" i="28"/>
  <c r="O299" i="28"/>
  <c r="P299" i="28"/>
  <c r="Q299" i="28"/>
  <c r="R299" i="28"/>
  <c r="S299" i="28"/>
  <c r="T299" i="28"/>
  <c r="U299" i="28"/>
  <c r="B300" i="28"/>
  <c r="B301" i="28" s="1"/>
  <c r="B302" i="28" s="1"/>
  <c r="C300" i="28"/>
  <c r="D300" i="28"/>
  <c r="E300" i="28"/>
  <c r="F300" i="28"/>
  <c r="F301" i="28" s="1"/>
  <c r="F302" i="28" s="1"/>
  <c r="G300" i="28"/>
  <c r="G301" i="28" s="1"/>
  <c r="G302" i="28" s="1"/>
  <c r="H300" i="28"/>
  <c r="H301" i="28" s="1"/>
  <c r="H302" i="28" s="1"/>
  <c r="I300" i="28"/>
  <c r="I301" i="28" s="1"/>
  <c r="I302" i="28" s="1"/>
  <c r="J300" i="28"/>
  <c r="K300" i="28"/>
  <c r="L300" i="28"/>
  <c r="L301" i="28" s="1"/>
  <c r="L302" i="28" s="1"/>
  <c r="M300" i="28"/>
  <c r="M301" i="28" s="1"/>
  <c r="M302" i="28" s="1"/>
  <c r="N300" i="28"/>
  <c r="N301" i="28" s="1"/>
  <c r="N302" i="28" s="1"/>
  <c r="O300" i="28"/>
  <c r="P300" i="28"/>
  <c r="Q300" i="28"/>
  <c r="Q301" i="28" s="1"/>
  <c r="Q302" i="28" s="1"/>
  <c r="R300" i="28"/>
  <c r="R301" i="28" s="1"/>
  <c r="R302" i="28" s="1"/>
  <c r="S300" i="28"/>
  <c r="S301" i="28" s="1"/>
  <c r="S302" i="28" s="1"/>
  <c r="T300" i="28"/>
  <c r="U300" i="28"/>
  <c r="U301" i="28" s="1"/>
  <c r="U302" i="28" s="1"/>
  <c r="C301" i="28"/>
  <c r="D301" i="28"/>
  <c r="D302" i="28" s="1"/>
  <c r="E301" i="28"/>
  <c r="E302" i="28" s="1"/>
  <c r="J301" i="28"/>
  <c r="J302" i="28" s="1"/>
  <c r="K301" i="28"/>
  <c r="K302" i="28" s="1"/>
  <c r="O301" i="28"/>
  <c r="O302" i="28" s="1"/>
  <c r="P301" i="28"/>
  <c r="P302" i="28" s="1"/>
  <c r="T301" i="28"/>
  <c r="T302" i="28" s="1"/>
  <c r="C302" i="28"/>
  <c r="B303" i="28"/>
  <c r="C303" i="28"/>
  <c r="D303" i="28"/>
  <c r="E303" i="28"/>
  <c r="F303" i="28"/>
  <c r="G303" i="28"/>
  <c r="H303" i="28"/>
  <c r="I303" i="28"/>
  <c r="J303" i="28"/>
  <c r="K303" i="28"/>
  <c r="L303" i="28"/>
  <c r="M303" i="28"/>
  <c r="N303" i="28"/>
  <c r="O303" i="28"/>
  <c r="P303" i="28"/>
  <c r="Q303" i="28"/>
  <c r="R303" i="28"/>
  <c r="S303" i="28"/>
  <c r="T303" i="28"/>
  <c r="U303" i="28"/>
  <c r="B304" i="28"/>
  <c r="C304" i="28"/>
  <c r="D304" i="28"/>
  <c r="E304" i="28"/>
  <c r="F304" i="28"/>
  <c r="G304" i="28"/>
  <c r="H304" i="28"/>
  <c r="I304" i="28"/>
  <c r="J304" i="28"/>
  <c r="K304" i="28"/>
  <c r="L304" i="28"/>
  <c r="M304" i="28"/>
  <c r="N304" i="28"/>
  <c r="O304" i="28"/>
  <c r="P304" i="28"/>
  <c r="Q304" i="28"/>
  <c r="R304" i="28"/>
  <c r="S304" i="28"/>
  <c r="T304" i="28"/>
  <c r="U304" i="28"/>
  <c r="B305" i="28"/>
  <c r="B306" i="28" s="1"/>
  <c r="B307" i="28" s="1"/>
  <c r="B308" i="28" s="1"/>
  <c r="B309" i="28" s="1"/>
  <c r="C305" i="28"/>
  <c r="D305" i="28"/>
  <c r="E305" i="28"/>
  <c r="E306" i="28" s="1"/>
  <c r="E307" i="28" s="1"/>
  <c r="E308" i="28" s="1"/>
  <c r="E309" i="28" s="1"/>
  <c r="F305" i="28"/>
  <c r="F306" i="28" s="1"/>
  <c r="F307" i="28" s="1"/>
  <c r="F308" i="28" s="1"/>
  <c r="F309" i="28" s="1"/>
  <c r="G305" i="28"/>
  <c r="H305" i="28"/>
  <c r="H306" i="28" s="1"/>
  <c r="H307" i="28" s="1"/>
  <c r="H308" i="28" s="1"/>
  <c r="H309" i="28" s="1"/>
  <c r="I305" i="28"/>
  <c r="J305" i="28"/>
  <c r="J306" i="28" s="1"/>
  <c r="J307" i="28" s="1"/>
  <c r="J308" i="28" s="1"/>
  <c r="J309" i="28" s="1"/>
  <c r="K305" i="28"/>
  <c r="L305" i="28"/>
  <c r="M305" i="28"/>
  <c r="M306" i="28" s="1"/>
  <c r="M307" i="28" s="1"/>
  <c r="M308" i="28" s="1"/>
  <c r="M309" i="28" s="1"/>
  <c r="N305" i="28"/>
  <c r="N306" i="28" s="1"/>
  <c r="N307" i="28" s="1"/>
  <c r="N308" i="28" s="1"/>
  <c r="N309" i="28" s="1"/>
  <c r="O305" i="28"/>
  <c r="O306" i="28" s="1"/>
  <c r="O307" i="28" s="1"/>
  <c r="O308" i="28" s="1"/>
  <c r="O309" i="28" s="1"/>
  <c r="P305" i="28"/>
  <c r="Q305" i="28"/>
  <c r="Q306" i="28" s="1"/>
  <c r="Q307" i="28" s="1"/>
  <c r="Q308" i="28" s="1"/>
  <c r="Q309" i="28" s="1"/>
  <c r="R305" i="28"/>
  <c r="R306" i="28" s="1"/>
  <c r="R307" i="28" s="1"/>
  <c r="R308" i="28" s="1"/>
  <c r="R309" i="28" s="1"/>
  <c r="S305" i="28"/>
  <c r="S306" i="28" s="1"/>
  <c r="S307" i="28" s="1"/>
  <c r="S308" i="28" s="1"/>
  <c r="S309" i="28" s="1"/>
  <c r="T305" i="28"/>
  <c r="U305" i="28"/>
  <c r="U306" i="28" s="1"/>
  <c r="U307" i="28" s="1"/>
  <c r="U308" i="28" s="1"/>
  <c r="U309" i="28" s="1"/>
  <c r="C306" i="28"/>
  <c r="C307" i="28" s="1"/>
  <c r="C308" i="28" s="1"/>
  <c r="C309" i="28" s="1"/>
  <c r="D306" i="28"/>
  <c r="D307" i="28" s="1"/>
  <c r="D308" i="28" s="1"/>
  <c r="D309" i="28" s="1"/>
  <c r="G306" i="28"/>
  <c r="G307" i="28" s="1"/>
  <c r="G308" i="28" s="1"/>
  <c r="G309" i="28" s="1"/>
  <c r="I306" i="28"/>
  <c r="I307" i="28" s="1"/>
  <c r="I308" i="28" s="1"/>
  <c r="I309" i="28" s="1"/>
  <c r="L306" i="28"/>
  <c r="L307" i="28" s="1"/>
  <c r="L308" i="28" s="1"/>
  <c r="L309" i="28" s="1"/>
  <c r="P306" i="28"/>
  <c r="P307" i="28" s="1"/>
  <c r="P308" i="28" s="1"/>
  <c r="P309" i="28" s="1"/>
  <c r="T306" i="28"/>
  <c r="T307" i="28" s="1"/>
  <c r="T308" i="28" s="1"/>
  <c r="T309" i="28" s="1"/>
  <c r="AF948" i="21" l="1"/>
  <c r="AJ946" i="21"/>
  <c r="AJ947" i="21"/>
  <c r="AG948" i="21" s="1"/>
  <c r="AF947" i="21"/>
  <c r="AF946" i="21"/>
  <c r="AJ945" i="21"/>
  <c r="AI945" i="21"/>
  <c r="Y945" i="21"/>
  <c r="R945" i="21"/>
  <c r="O945" i="21"/>
  <c r="N945" i="21"/>
  <c r="AJ944" i="21"/>
  <c r="AI944" i="21"/>
  <c r="Y944" i="21"/>
  <c r="R944" i="21"/>
  <c r="O944" i="21"/>
  <c r="N944" i="21"/>
  <c r="AJ943" i="21"/>
  <c r="AI943" i="21"/>
  <c r="Y943" i="21"/>
  <c r="R943" i="21"/>
  <c r="O943" i="21"/>
  <c r="N943" i="21"/>
  <c r="AJ942" i="21"/>
  <c r="AI942" i="21"/>
  <c r="Y942" i="21"/>
  <c r="R942" i="21"/>
  <c r="O942" i="21"/>
  <c r="N942" i="21"/>
  <c r="AJ941" i="21"/>
  <c r="AI941" i="21"/>
  <c r="Y941" i="21"/>
  <c r="R941" i="21"/>
  <c r="O941" i="21"/>
  <c r="N941" i="21"/>
  <c r="AJ940" i="21"/>
  <c r="AI940" i="21"/>
  <c r="Y940" i="21"/>
  <c r="R940" i="21"/>
  <c r="O940" i="21"/>
  <c r="N940" i="21"/>
  <c r="AJ939" i="21"/>
  <c r="AI939" i="21"/>
  <c r="Y939" i="21"/>
  <c r="R939" i="21"/>
  <c r="O939" i="21"/>
  <c r="N939" i="21"/>
  <c r="AJ938" i="21"/>
  <c r="AI938" i="21"/>
  <c r="Y938" i="21"/>
  <c r="R938" i="21"/>
  <c r="O938" i="21"/>
  <c r="N938" i="21"/>
  <c r="AJ937" i="21"/>
  <c r="AI937" i="21"/>
  <c r="Y937" i="21"/>
  <c r="R937" i="21"/>
  <c r="O937" i="21"/>
  <c r="N937" i="21"/>
  <c r="AG947" i="21" l="1"/>
  <c r="AK947" i="21" s="1"/>
  <c r="AL947" i="21" s="1"/>
  <c r="AG946" i="21"/>
  <c r="AK946" i="21" s="1"/>
  <c r="AL946" i="21" s="1"/>
  <c r="AG945" i="21"/>
  <c r="AG944" i="21"/>
  <c r="AG942" i="21"/>
  <c r="AG938" i="21"/>
  <c r="AG940" i="21"/>
  <c r="AK948" i="21"/>
  <c r="AL948" i="21" s="1"/>
  <c r="Z937" i="21"/>
  <c r="Z939" i="21"/>
  <c r="Z941" i="21"/>
  <c r="Z943" i="21"/>
  <c r="Z938" i="21"/>
  <c r="Z940" i="21"/>
  <c r="Z942" i="21"/>
  <c r="Z944" i="21"/>
  <c r="Z945" i="21"/>
  <c r="AG941" i="21"/>
  <c r="AG943" i="21"/>
  <c r="AG939" i="21"/>
  <c r="AE943" i="21"/>
  <c r="AF943" i="21" s="1"/>
  <c r="AE939" i="21"/>
  <c r="AH939" i="21" s="1"/>
  <c r="AE945" i="21"/>
  <c r="AH945" i="21" s="1"/>
  <c r="AE941" i="21"/>
  <c r="AF941" i="21" s="1"/>
  <c r="AE944" i="21"/>
  <c r="AH944" i="21" s="1"/>
  <c r="AE940" i="21"/>
  <c r="AF940" i="21" s="1"/>
  <c r="AE937" i="21"/>
  <c r="AH937" i="21" s="1"/>
  <c r="AE938" i="21"/>
  <c r="AH938" i="21" s="1"/>
  <c r="AE942" i="21"/>
  <c r="AF942" i="21" s="1"/>
  <c r="B296" i="28"/>
  <c r="C296" i="28"/>
  <c r="D296" i="28"/>
  <c r="E296" i="28"/>
  <c r="F296" i="28"/>
  <c r="G296" i="28"/>
  <c r="H296" i="28"/>
  <c r="I296" i="28"/>
  <c r="J296" i="28"/>
  <c r="K296" i="28"/>
  <c r="AJ935" i="21" s="1"/>
  <c r="L296" i="28"/>
  <c r="M296" i="28"/>
  <c r="N296" i="28"/>
  <c r="O296" i="28"/>
  <c r="P296" i="28"/>
  <c r="Q296" i="28"/>
  <c r="R296" i="28"/>
  <c r="S296" i="28"/>
  <c r="T296" i="28"/>
  <c r="U296" i="28"/>
  <c r="AJ936" i="21"/>
  <c r="AG937" i="21" s="1"/>
  <c r="AI936" i="21"/>
  <c r="Y936" i="21"/>
  <c r="R936" i="21"/>
  <c r="O936" i="21"/>
  <c r="N936" i="21"/>
  <c r="AI935" i="21"/>
  <c r="Y935" i="21"/>
  <c r="R935" i="21"/>
  <c r="O935" i="21"/>
  <c r="N935" i="21"/>
  <c r="AI934" i="21"/>
  <c r="Y934" i="21"/>
  <c r="R934" i="21"/>
  <c r="O934" i="21"/>
  <c r="N934" i="21"/>
  <c r="AI933" i="21"/>
  <c r="Y933" i="21"/>
  <c r="R933" i="21"/>
  <c r="O933" i="21"/>
  <c r="N933" i="21"/>
  <c r="AF944" i="21" l="1"/>
  <c r="Z935" i="21"/>
  <c r="Z933" i="21"/>
  <c r="Z936" i="21"/>
  <c r="AF945" i="21"/>
  <c r="AF939" i="21"/>
  <c r="Z934" i="21"/>
  <c r="AG936" i="21"/>
  <c r="AH940" i="21"/>
  <c r="AH943" i="21"/>
  <c r="AH942" i="21"/>
  <c r="AH941" i="21"/>
  <c r="AF938" i="21"/>
  <c r="AF937" i="21"/>
  <c r="AE936" i="21"/>
  <c r="AH936" i="21" s="1"/>
  <c r="AE934" i="21"/>
  <c r="AH934" i="21" s="1"/>
  <c r="AE933" i="21"/>
  <c r="AH933" i="21" s="1"/>
  <c r="AE935" i="21"/>
  <c r="AH935" i="21" s="1"/>
  <c r="AJ949" i="21"/>
  <c r="AG950" i="21" s="1"/>
  <c r="AK950" i="21" s="1"/>
  <c r="AL950" i="21" s="1"/>
  <c r="AD932" i="21"/>
  <c r="AD931" i="21"/>
  <c r="AD930" i="21"/>
  <c r="AD929" i="21"/>
  <c r="AD928" i="21"/>
  <c r="AD927" i="21"/>
  <c r="AD926" i="21"/>
  <c r="AD925" i="21"/>
  <c r="AD924" i="21"/>
  <c r="AD923" i="21"/>
  <c r="AD922" i="21"/>
  <c r="AD921" i="21"/>
  <c r="AD920" i="21"/>
  <c r="AD919" i="21"/>
  <c r="AD918" i="21"/>
  <c r="AD917" i="21"/>
  <c r="AD916" i="21"/>
  <c r="AD915" i="21"/>
  <c r="AD914" i="21"/>
  <c r="AA932" i="21"/>
  <c r="AA931" i="21"/>
  <c r="AA930" i="21"/>
  <c r="AA929" i="21"/>
  <c r="AA928" i="21"/>
  <c r="AA927" i="21"/>
  <c r="AA926" i="21"/>
  <c r="AA925" i="21"/>
  <c r="AA924" i="21"/>
  <c r="AA923" i="21"/>
  <c r="AA922" i="21"/>
  <c r="AA921" i="21"/>
  <c r="AA920" i="21"/>
  <c r="AA919" i="21"/>
  <c r="AA918" i="21"/>
  <c r="AA917" i="21"/>
  <c r="AA916" i="21"/>
  <c r="AA915" i="21"/>
  <c r="AA914" i="21"/>
  <c r="AA913" i="21"/>
  <c r="AI949" i="21"/>
  <c r="AI932" i="21"/>
  <c r="AI931" i="21"/>
  <c r="AI930" i="21"/>
  <c r="AI929" i="21"/>
  <c r="AI928" i="21"/>
  <c r="AI927" i="21"/>
  <c r="AI926" i="21"/>
  <c r="AI925" i="21"/>
  <c r="AI924" i="21"/>
  <c r="AI923" i="21"/>
  <c r="AC932" i="21"/>
  <c r="AC931" i="21"/>
  <c r="AC930" i="21"/>
  <c r="D294" i="28"/>
  <c r="D295" i="28" s="1"/>
  <c r="AJ931" i="21"/>
  <c r="N294" i="28"/>
  <c r="N295" i="28" s="1"/>
  <c r="P294" i="28"/>
  <c r="P295" i="28" s="1"/>
  <c r="Q294" i="28"/>
  <c r="Q295" i="28" s="1"/>
  <c r="F294" i="28"/>
  <c r="F295" i="28" s="1"/>
  <c r="H294" i="28"/>
  <c r="H295" i="28" s="1"/>
  <c r="I294" i="28"/>
  <c r="I295" i="28" s="1"/>
  <c r="J294" i="28"/>
  <c r="J295" i="28" s="1"/>
  <c r="AJ932" i="21"/>
  <c r="S294" i="28"/>
  <c r="S295" i="28" s="1"/>
  <c r="U294" i="28"/>
  <c r="U295" i="28" s="1"/>
  <c r="B294" i="28"/>
  <c r="B295" i="28" s="1"/>
  <c r="C294" i="28"/>
  <c r="C295" i="28" s="1"/>
  <c r="E294" i="28"/>
  <c r="E295" i="28" s="1"/>
  <c r="G294" i="28"/>
  <c r="G295" i="28" s="1"/>
  <c r="K294" i="28"/>
  <c r="L294" i="28"/>
  <c r="L295" i="28" s="1"/>
  <c r="M294" i="28"/>
  <c r="M295" i="28" s="1"/>
  <c r="O294" i="28"/>
  <c r="O295" i="28" s="1"/>
  <c r="R294" i="28"/>
  <c r="R295" i="28" s="1"/>
  <c r="T294" i="28"/>
  <c r="T295" i="28" s="1"/>
  <c r="AG949" i="21" l="1"/>
  <c r="AK949" i="21" s="1"/>
  <c r="AK936" i="21"/>
  <c r="AL936" i="21" s="1"/>
  <c r="AG932" i="21"/>
  <c r="AK932" i="21" s="1"/>
  <c r="K295" i="28"/>
  <c r="AJ934" i="21" s="1"/>
  <c r="AG935" i="21" s="1"/>
  <c r="AJ933" i="21"/>
  <c r="AF936" i="21"/>
  <c r="AF934" i="21"/>
  <c r="AF933" i="21"/>
  <c r="AF935" i="21"/>
  <c r="Y932" i="21"/>
  <c r="R932" i="21"/>
  <c r="O932" i="21"/>
  <c r="N932" i="21"/>
  <c r="Z932" i="21" l="1"/>
  <c r="AG934" i="21"/>
  <c r="AG933" i="21"/>
  <c r="AE932" i="21"/>
  <c r="AH932" i="21" s="1"/>
  <c r="AL932" i="21" s="1"/>
  <c r="Y949" i="21"/>
  <c r="R949" i="21"/>
  <c r="O949" i="21"/>
  <c r="N949" i="21"/>
  <c r="Z949" i="21" l="1"/>
  <c r="AF932" i="21"/>
  <c r="AE949" i="21"/>
  <c r="AH949" i="21" s="1"/>
  <c r="AL949" i="21" s="1"/>
  <c r="AJ930" i="21"/>
  <c r="AG931" i="21" s="1"/>
  <c r="AK931" i="21" l="1"/>
  <c r="AK935" i="21"/>
  <c r="AL935" i="21" s="1"/>
  <c r="AF949" i="21"/>
  <c r="Y930" i="21"/>
  <c r="R930" i="21"/>
  <c r="O930" i="21"/>
  <c r="N930" i="21"/>
  <c r="Z930" i="21" l="1"/>
  <c r="AE930" i="21"/>
  <c r="AH930" i="21" s="1"/>
  <c r="AC929" i="21"/>
  <c r="AC928" i="21"/>
  <c r="AC927" i="21"/>
  <c r="AC926" i="21"/>
  <c r="AC925" i="21"/>
  <c r="AC924" i="21"/>
  <c r="AC923" i="21"/>
  <c r="AC922" i="21"/>
  <c r="AC921" i="21"/>
  <c r="AC920" i="21"/>
  <c r="AC919" i="21"/>
  <c r="AC918" i="21"/>
  <c r="AC917" i="21"/>
  <c r="AC916" i="21"/>
  <c r="AC915" i="21"/>
  <c r="AC914" i="21"/>
  <c r="Y931" i="21"/>
  <c r="R931" i="21"/>
  <c r="O931" i="21"/>
  <c r="N931" i="21"/>
  <c r="Z931" i="21" l="1"/>
  <c r="AF930" i="21"/>
  <c r="AE931" i="21"/>
  <c r="AH931" i="21" s="1"/>
  <c r="AL931" i="21" s="1"/>
  <c r="AJ914" i="21"/>
  <c r="AJ915" i="21"/>
  <c r="AJ916" i="21"/>
  <c r="AJ917" i="21"/>
  <c r="AJ918" i="21"/>
  <c r="AJ921" i="21"/>
  <c r="AJ922" i="21"/>
  <c r="AJ923" i="21"/>
  <c r="AJ928" i="21"/>
  <c r="AJ929" i="21"/>
  <c r="N929" i="21"/>
  <c r="N928" i="21"/>
  <c r="Y929" i="21"/>
  <c r="R929" i="21"/>
  <c r="O929" i="21"/>
  <c r="Y928" i="21"/>
  <c r="R928" i="21"/>
  <c r="O928" i="21"/>
  <c r="Y927" i="21"/>
  <c r="R927" i="21"/>
  <c r="O927" i="21"/>
  <c r="N927" i="21"/>
  <c r="Y926" i="21"/>
  <c r="R926" i="21"/>
  <c r="O926" i="21"/>
  <c r="N926" i="21"/>
  <c r="Y925" i="21"/>
  <c r="R925" i="21"/>
  <c r="O925" i="21"/>
  <c r="N925" i="21"/>
  <c r="Y924" i="21"/>
  <c r="R924" i="21"/>
  <c r="O924" i="21"/>
  <c r="N924" i="21"/>
  <c r="Y923" i="21"/>
  <c r="R923" i="21"/>
  <c r="O923" i="21"/>
  <c r="N923" i="21"/>
  <c r="AI922" i="21"/>
  <c r="Y922" i="21"/>
  <c r="R922" i="21"/>
  <c r="O922" i="21"/>
  <c r="N922" i="21"/>
  <c r="AI921" i="21"/>
  <c r="Y921" i="21"/>
  <c r="R921" i="21"/>
  <c r="O921" i="21"/>
  <c r="N921" i="21"/>
  <c r="AI920" i="21"/>
  <c r="Y920" i="21"/>
  <c r="R920" i="21"/>
  <c r="O920" i="21"/>
  <c r="N920" i="21"/>
  <c r="AI919" i="21"/>
  <c r="Y919" i="21"/>
  <c r="R919" i="21"/>
  <c r="O919" i="21"/>
  <c r="N919" i="21"/>
  <c r="AI918" i="21"/>
  <c r="Y918" i="21"/>
  <c r="R918" i="21"/>
  <c r="O918" i="21"/>
  <c r="N918" i="21"/>
  <c r="Z921" i="21" l="1"/>
  <c r="Z919" i="21"/>
  <c r="Z918" i="21"/>
  <c r="AG918" i="21"/>
  <c r="AK918" i="21" s="1"/>
  <c r="Z924" i="21"/>
  <c r="Z927" i="21"/>
  <c r="Z928" i="21"/>
  <c r="AG915" i="21"/>
  <c r="AK915" i="21" s="1"/>
  <c r="Z922" i="21"/>
  <c r="Z920" i="21"/>
  <c r="Z925" i="21"/>
  <c r="Z929" i="21"/>
  <c r="Z923" i="21"/>
  <c r="Z926" i="21"/>
  <c r="AK937" i="21"/>
  <c r="AL937" i="21" s="1"/>
  <c r="AG922" i="21"/>
  <c r="AK922" i="21" s="1"/>
  <c r="AK944" i="21"/>
  <c r="AL944" i="21" s="1"/>
  <c r="AG929" i="21"/>
  <c r="AK929" i="21" s="1"/>
  <c r="AG917" i="21"/>
  <c r="AK917" i="21" s="1"/>
  <c r="AK939" i="21"/>
  <c r="AL939" i="21" s="1"/>
  <c r="AK945" i="21"/>
  <c r="AL945" i="21" s="1"/>
  <c r="AG930" i="21"/>
  <c r="AK930" i="21" s="1"/>
  <c r="AL930" i="21" s="1"/>
  <c r="AK938" i="21"/>
  <c r="AL938" i="21" s="1"/>
  <c r="AG923" i="21"/>
  <c r="AK923" i="21" s="1"/>
  <c r="AG916" i="21"/>
  <c r="AK916" i="21" s="1"/>
  <c r="AK933" i="21"/>
  <c r="AL933" i="21" s="1"/>
  <c r="AJ924" i="21"/>
  <c r="AG924" i="21" s="1"/>
  <c r="AK934" i="21"/>
  <c r="AL934" i="21" s="1"/>
  <c r="AJ920" i="21"/>
  <c r="AG921" i="21" s="1"/>
  <c r="AJ919" i="21"/>
  <c r="AF931" i="21"/>
  <c r="AE924" i="21"/>
  <c r="AH924" i="21" s="1"/>
  <c r="AE919" i="21"/>
  <c r="AH919" i="21" s="1"/>
  <c r="AE927" i="21"/>
  <c r="AH927" i="21" s="1"/>
  <c r="AE926" i="21"/>
  <c r="AE929" i="21"/>
  <c r="AH929" i="21" s="1"/>
  <c r="AE925" i="21"/>
  <c r="AE923" i="21"/>
  <c r="AH923" i="21" s="1"/>
  <c r="AE918" i="21"/>
  <c r="AH918" i="21" s="1"/>
  <c r="AE922" i="21"/>
  <c r="AH922" i="21" s="1"/>
  <c r="AE921" i="21"/>
  <c r="AH921" i="21" s="1"/>
  <c r="AE920" i="21"/>
  <c r="AH920" i="21" s="1"/>
  <c r="AE928" i="21"/>
  <c r="AH928" i="21" s="1"/>
  <c r="AI917" i="21"/>
  <c r="Y917" i="21"/>
  <c r="R917" i="21"/>
  <c r="O917" i="21"/>
  <c r="N917" i="21"/>
  <c r="AI916" i="21"/>
  <c r="Y916" i="21"/>
  <c r="R916" i="21"/>
  <c r="O916" i="21"/>
  <c r="N916" i="21"/>
  <c r="Z917" i="21" l="1"/>
  <c r="Z916" i="21"/>
  <c r="AG920" i="21"/>
  <c r="AK920" i="21" s="1"/>
  <c r="AL920" i="21" s="1"/>
  <c r="AG919" i="21"/>
  <c r="AK919" i="21" s="1"/>
  <c r="AL919" i="21" s="1"/>
  <c r="AK924" i="21"/>
  <c r="AL924" i="21" s="1"/>
  <c r="AK940" i="21"/>
  <c r="AL940" i="21" s="1"/>
  <c r="AL918" i="21"/>
  <c r="AL929" i="21"/>
  <c r="AL922" i="21"/>
  <c r="AK921" i="21"/>
  <c r="AL921" i="21" s="1"/>
  <c r="AJ925" i="21"/>
  <c r="AG925" i="21" s="1"/>
  <c r="AL923" i="21"/>
  <c r="AF925" i="21"/>
  <c r="AH925" i="21"/>
  <c r="AF926" i="21"/>
  <c r="AH926" i="21"/>
  <c r="AF924" i="21"/>
  <c r="AF927" i="21"/>
  <c r="AF919" i="21"/>
  <c r="AF920" i="21"/>
  <c r="AF929" i="21"/>
  <c r="AF923" i="21"/>
  <c r="AF928" i="21"/>
  <c r="AF922" i="21"/>
  <c r="AF918" i="21"/>
  <c r="AF921" i="21"/>
  <c r="AE916" i="21"/>
  <c r="AH916" i="21" s="1"/>
  <c r="AL916" i="21" s="1"/>
  <c r="AE917" i="21"/>
  <c r="AH917" i="21" s="1"/>
  <c r="AL917" i="21" s="1"/>
  <c r="AI914" i="21"/>
  <c r="Y914" i="21"/>
  <c r="R914" i="21"/>
  <c r="O914" i="21"/>
  <c r="N914" i="21"/>
  <c r="AJ909" i="21"/>
  <c r="AJ910" i="21"/>
  <c r="AI915" i="21"/>
  <c r="Y915" i="21"/>
  <c r="R915" i="21"/>
  <c r="O915" i="21"/>
  <c r="N915" i="21"/>
  <c r="AD913" i="21"/>
  <c r="AC913" i="21"/>
  <c r="AB913" i="21"/>
  <c r="AI913" i="21" s="1"/>
  <c r="Y913" i="21"/>
  <c r="R913" i="21"/>
  <c r="O913" i="21"/>
  <c r="N913" i="21"/>
  <c r="AD912" i="21"/>
  <c r="AC912" i="21"/>
  <c r="AB912" i="21"/>
  <c r="AI912" i="21" s="1"/>
  <c r="AA912" i="21"/>
  <c r="Y912" i="21"/>
  <c r="R912" i="21"/>
  <c r="O912" i="21"/>
  <c r="N912" i="21"/>
  <c r="Z914" i="21" l="1"/>
  <c r="Z913" i="21"/>
  <c r="Z912" i="21"/>
  <c r="Z915" i="21"/>
  <c r="AG910" i="21"/>
  <c r="AK910" i="21" s="1"/>
  <c r="AK925" i="21"/>
  <c r="AL925" i="21" s="1"/>
  <c r="AK941" i="21"/>
  <c r="AL941" i="21" s="1"/>
  <c r="AJ912" i="21"/>
  <c r="AJ911" i="21"/>
  <c r="AG911" i="21" s="1"/>
  <c r="AJ927" i="21"/>
  <c r="AJ926" i="21"/>
  <c r="AJ913" i="21"/>
  <c r="AG914" i="21" s="1"/>
  <c r="AF917" i="21"/>
  <c r="AF916" i="21"/>
  <c r="AE914" i="21"/>
  <c r="AH914" i="21" s="1"/>
  <c r="AE915" i="21"/>
  <c r="AH915" i="21" s="1"/>
  <c r="AL915" i="21" s="1"/>
  <c r="AE913" i="21"/>
  <c r="AE912" i="21"/>
  <c r="AH912" i="21" s="1"/>
  <c r="AD911" i="21"/>
  <c r="AC911" i="21"/>
  <c r="AB911" i="21"/>
  <c r="AI911" i="21" s="1"/>
  <c r="AA911" i="21"/>
  <c r="Y911" i="21"/>
  <c r="R911" i="21"/>
  <c r="O911" i="21"/>
  <c r="N911" i="21"/>
  <c r="Z911" i="21" l="1"/>
  <c r="AG927" i="21"/>
  <c r="AK927" i="21" s="1"/>
  <c r="AL927" i="21" s="1"/>
  <c r="AG913" i="21"/>
  <c r="AK913" i="21" s="1"/>
  <c r="AK911" i="21"/>
  <c r="AG912" i="21"/>
  <c r="AK912" i="21" s="1"/>
  <c r="AL912" i="21" s="1"/>
  <c r="AK943" i="21"/>
  <c r="AL943" i="21" s="1"/>
  <c r="AG928" i="21"/>
  <c r="AK928" i="21" s="1"/>
  <c r="AL928" i="21" s="1"/>
  <c r="AG926" i="21"/>
  <c r="AK926" i="21" s="1"/>
  <c r="AL926" i="21" s="1"/>
  <c r="AK942" i="21"/>
  <c r="AL942" i="21" s="1"/>
  <c r="AK914" i="21"/>
  <c r="AL914" i="21" s="1"/>
  <c r="AF913" i="21"/>
  <c r="AH913" i="21"/>
  <c r="AF914" i="21"/>
  <c r="AF915" i="21"/>
  <c r="AF912" i="21"/>
  <c r="AE911" i="21"/>
  <c r="AD910" i="21"/>
  <c r="AC910" i="21"/>
  <c r="AB910" i="21"/>
  <c r="AI910" i="21" s="1"/>
  <c r="AA910" i="21"/>
  <c r="Y910" i="21"/>
  <c r="R910" i="21"/>
  <c r="O910" i="21"/>
  <c r="N910" i="21"/>
  <c r="Z910" i="21" l="1"/>
  <c r="AL913" i="21"/>
  <c r="AF911" i="21"/>
  <c r="AH911" i="21"/>
  <c r="AL911" i="21" s="1"/>
  <c r="AE910" i="21"/>
  <c r="AH910" i="21" s="1"/>
  <c r="AL910" i="21" s="1"/>
  <c r="AD909" i="21"/>
  <c r="AC909" i="21"/>
  <c r="AB909" i="21"/>
  <c r="AI909" i="21" s="1"/>
  <c r="AA909" i="21"/>
  <c r="Y909" i="21"/>
  <c r="R909" i="21"/>
  <c r="O909" i="21"/>
  <c r="N909" i="21"/>
  <c r="Z909" i="21" l="1"/>
  <c r="AF910" i="21"/>
  <c r="AE909" i="21"/>
  <c r="AH909" i="21" s="1"/>
  <c r="AF909" i="21" l="1"/>
  <c r="AJ908" i="21"/>
  <c r="AD908" i="21"/>
  <c r="AC908" i="21"/>
  <c r="AB908" i="21"/>
  <c r="AI908" i="21" s="1"/>
  <c r="AA908" i="21"/>
  <c r="Y908" i="21"/>
  <c r="R908" i="21"/>
  <c r="O908" i="21"/>
  <c r="N908" i="21"/>
  <c r="Z908" i="21" l="1"/>
  <c r="AG909" i="21"/>
  <c r="AK909" i="21" s="1"/>
  <c r="AL909" i="21" s="1"/>
  <c r="AE908" i="21"/>
  <c r="AH908" i="21" s="1"/>
  <c r="AF908" i="21" l="1"/>
  <c r="F36" i="3"/>
  <c r="AJ907" i="21" l="1"/>
  <c r="AD907" i="21"/>
  <c r="AC907" i="21"/>
  <c r="AB907" i="21"/>
  <c r="AI907" i="21" s="1"/>
  <c r="AA907" i="21"/>
  <c r="Y907" i="21"/>
  <c r="R907" i="21"/>
  <c r="O907" i="21"/>
  <c r="N907" i="21"/>
  <c r="AD906" i="21"/>
  <c r="AC906" i="21"/>
  <c r="AB906" i="21"/>
  <c r="AI906" i="21" s="1"/>
  <c r="AA906" i="21"/>
  <c r="Y906" i="21"/>
  <c r="R906" i="21"/>
  <c r="O906" i="21"/>
  <c r="N906" i="21"/>
  <c r="AD905" i="21"/>
  <c r="AC905" i="21"/>
  <c r="AB905" i="21"/>
  <c r="AI905" i="21" s="1"/>
  <c r="AA905" i="21"/>
  <c r="Y905" i="21"/>
  <c r="R905" i="21"/>
  <c r="O905" i="21"/>
  <c r="N905" i="21"/>
  <c r="Z905" i="21" l="1"/>
  <c r="Z907" i="21"/>
  <c r="Z906" i="21"/>
  <c r="AG908" i="21"/>
  <c r="AK908" i="21" s="1"/>
  <c r="AL908" i="21" s="1"/>
  <c r="AJ906" i="21"/>
  <c r="AG907" i="21" s="1"/>
  <c r="AJ905" i="21"/>
  <c r="AE907" i="21"/>
  <c r="AH907" i="21" s="1"/>
  <c r="AE906" i="21"/>
  <c r="AH906" i="21" s="1"/>
  <c r="AE905" i="21"/>
  <c r="AH905" i="21" s="1"/>
  <c r="AJ904" i="21"/>
  <c r="AD904" i="21"/>
  <c r="AC904" i="21"/>
  <c r="AB904" i="21"/>
  <c r="AI904" i="21" s="1"/>
  <c r="AA904" i="21"/>
  <c r="Y904" i="21"/>
  <c r="R904" i="21"/>
  <c r="O904" i="21"/>
  <c r="N904" i="21"/>
  <c r="AG906" i="21" l="1"/>
  <c r="AK906" i="21" s="1"/>
  <c r="AL906" i="21" s="1"/>
  <c r="Z904" i="21"/>
  <c r="AG905" i="21"/>
  <c r="AK905" i="21" s="1"/>
  <c r="AL905" i="21" s="1"/>
  <c r="AF905" i="21"/>
  <c r="AF906" i="21"/>
  <c r="AK907" i="21"/>
  <c r="AL907" i="21" s="1"/>
  <c r="AF907" i="21"/>
  <c r="AE904" i="21"/>
  <c r="AF904" i="21" s="1"/>
  <c r="AJ903" i="21"/>
  <c r="AD903" i="21"/>
  <c r="AC903" i="21"/>
  <c r="AB903" i="21"/>
  <c r="AI903" i="21" s="1"/>
  <c r="AA903" i="21"/>
  <c r="Y903" i="21"/>
  <c r="R903" i="21"/>
  <c r="O903" i="21"/>
  <c r="N903" i="21"/>
  <c r="Z903" i="21" l="1"/>
  <c r="AG904" i="21"/>
  <c r="AK904" i="21" s="1"/>
  <c r="AH904" i="21"/>
  <c r="AE903" i="21"/>
  <c r="AH903" i="21" s="1"/>
  <c r="AJ902" i="21"/>
  <c r="AD902" i="21"/>
  <c r="AC902" i="21"/>
  <c r="AB902" i="21"/>
  <c r="AI902" i="21" s="1"/>
  <c r="AA902" i="21"/>
  <c r="Y902" i="21"/>
  <c r="R902" i="21"/>
  <c r="O902" i="21"/>
  <c r="N902" i="21"/>
  <c r="Z902" i="21" l="1"/>
  <c r="AG903" i="21"/>
  <c r="AK903" i="21" s="1"/>
  <c r="AL903" i="21" s="1"/>
  <c r="AL904" i="21"/>
  <c r="AF903" i="21"/>
  <c r="AE902" i="21"/>
  <c r="AH902" i="21" s="1"/>
  <c r="D36" i="3"/>
  <c r="E36" i="3"/>
  <c r="AF902" i="21" l="1"/>
  <c r="AJ901" i="21"/>
  <c r="AD901" i="21"/>
  <c r="AC901" i="21"/>
  <c r="AB901" i="21"/>
  <c r="AI901" i="21" s="1"/>
  <c r="AA901" i="21"/>
  <c r="Y901" i="21"/>
  <c r="R901" i="21"/>
  <c r="O901" i="21"/>
  <c r="N901" i="21"/>
  <c r="Z901" i="21" l="1"/>
  <c r="AG902" i="21"/>
  <c r="AK902" i="21" s="1"/>
  <c r="AL902" i="21" s="1"/>
  <c r="AE901" i="21"/>
  <c r="AF901" i="21" s="1"/>
  <c r="AD900" i="21"/>
  <c r="AC900" i="21"/>
  <c r="AB900" i="21"/>
  <c r="AI900" i="21" s="1"/>
  <c r="AA900" i="21"/>
  <c r="Y900" i="21"/>
  <c r="R900" i="21"/>
  <c r="O900" i="21"/>
  <c r="N900" i="21"/>
  <c r="AD899" i="21"/>
  <c r="AC899" i="21"/>
  <c r="AB899" i="21"/>
  <c r="AI899" i="21" s="1"/>
  <c r="AA899" i="21"/>
  <c r="Y899" i="21"/>
  <c r="R899" i="21"/>
  <c r="O899" i="21"/>
  <c r="N899" i="21"/>
  <c r="AD898" i="21"/>
  <c r="AC898" i="21"/>
  <c r="AB898" i="21"/>
  <c r="AI898" i="21" s="1"/>
  <c r="AA898" i="21"/>
  <c r="Y898" i="21"/>
  <c r="R898" i="21"/>
  <c r="O898" i="21"/>
  <c r="N898" i="21"/>
  <c r="Z898" i="21" l="1"/>
  <c r="Z900" i="21"/>
  <c r="Z899" i="21"/>
  <c r="AJ898" i="21"/>
  <c r="AH901" i="21"/>
  <c r="AJ899" i="21"/>
  <c r="AJ900" i="21"/>
  <c r="AE900" i="21"/>
  <c r="AH900" i="21" s="1"/>
  <c r="AE899" i="21"/>
  <c r="AF899" i="21" s="1"/>
  <c r="AE898" i="21"/>
  <c r="AF898" i="21" s="1"/>
  <c r="AJ897" i="21"/>
  <c r="AD897" i="21"/>
  <c r="AC897" i="21"/>
  <c r="AB897" i="21"/>
  <c r="AI897" i="21" s="1"/>
  <c r="AA897" i="21"/>
  <c r="Y897" i="21"/>
  <c r="R897" i="21"/>
  <c r="O897" i="21"/>
  <c r="N897" i="21"/>
  <c r="AG898" i="21" l="1"/>
  <c r="AK898" i="21" s="1"/>
  <c r="Z897" i="21"/>
  <c r="AG900" i="21"/>
  <c r="AK900" i="21" s="1"/>
  <c r="AL900" i="21" s="1"/>
  <c r="AG899" i="21"/>
  <c r="AK899" i="21" s="1"/>
  <c r="AG901" i="21"/>
  <c r="AK901" i="21" s="1"/>
  <c r="AL901" i="21" s="1"/>
  <c r="AH899" i="21"/>
  <c r="AF900" i="21"/>
  <c r="AH898" i="21"/>
  <c r="AE897" i="21"/>
  <c r="AF897" i="21" s="1"/>
  <c r="AJ896" i="21"/>
  <c r="AD896" i="21"/>
  <c r="AC896" i="21"/>
  <c r="AB896" i="21"/>
  <c r="AI896" i="21" s="1"/>
  <c r="AA896" i="21"/>
  <c r="Y896" i="21"/>
  <c r="R896" i="21"/>
  <c r="O896" i="21"/>
  <c r="N896" i="21"/>
  <c r="Z896" i="21" l="1"/>
  <c r="AG897" i="21"/>
  <c r="AK897" i="21" s="1"/>
  <c r="AL899" i="21"/>
  <c r="AL898" i="21"/>
  <c r="AH897" i="21"/>
  <c r="AE896" i="21"/>
  <c r="AH896" i="21" s="1"/>
  <c r="AJ895" i="21"/>
  <c r="AD895" i="21"/>
  <c r="AC895" i="21"/>
  <c r="AB895" i="21"/>
  <c r="AI895" i="21" s="1"/>
  <c r="AA895" i="21"/>
  <c r="Y895" i="21"/>
  <c r="R895" i="21"/>
  <c r="O895" i="21"/>
  <c r="N895" i="21"/>
  <c r="Z895" i="21" l="1"/>
  <c r="AL897" i="21"/>
  <c r="AG896" i="21"/>
  <c r="AK896" i="21" s="1"/>
  <c r="AL896" i="21" s="1"/>
  <c r="AF896" i="21"/>
  <c r="AE895" i="21"/>
  <c r="AH895" i="21" s="1"/>
  <c r="AJ894" i="21"/>
  <c r="AD894" i="21"/>
  <c r="AC894" i="21"/>
  <c r="AB894" i="21"/>
  <c r="AI894" i="21" s="1"/>
  <c r="AA894" i="21"/>
  <c r="Y894" i="21"/>
  <c r="R894" i="21"/>
  <c r="O894" i="21"/>
  <c r="N894" i="21"/>
  <c r="Z894" i="21" l="1"/>
  <c r="AG895" i="21"/>
  <c r="AK895" i="21" s="1"/>
  <c r="AL895" i="21" s="1"/>
  <c r="AF895" i="21"/>
  <c r="AE894" i="21"/>
  <c r="AH894" i="21" s="1"/>
  <c r="AJ893" i="21"/>
  <c r="AD893" i="21"/>
  <c r="AC893" i="21"/>
  <c r="AB893" i="21"/>
  <c r="AI893" i="21" s="1"/>
  <c r="AA893" i="21"/>
  <c r="Y893" i="21"/>
  <c r="R893" i="21"/>
  <c r="O893" i="21"/>
  <c r="N893" i="21"/>
  <c r="AD892" i="21"/>
  <c r="AC892" i="21"/>
  <c r="AB892" i="21"/>
  <c r="AI892" i="21" s="1"/>
  <c r="AA892" i="21"/>
  <c r="Y892" i="21"/>
  <c r="R892" i="21"/>
  <c r="O892" i="21"/>
  <c r="N892" i="21"/>
  <c r="AD891" i="21"/>
  <c r="AC891" i="21"/>
  <c r="AB891" i="21"/>
  <c r="AI891" i="21" s="1"/>
  <c r="AA891" i="21"/>
  <c r="Y891" i="21"/>
  <c r="R891" i="21"/>
  <c r="O891" i="21"/>
  <c r="N891" i="21"/>
  <c r="Z892" i="21" l="1"/>
  <c r="Z893" i="21"/>
  <c r="Z891" i="21"/>
  <c r="AG894" i="21"/>
  <c r="AK894" i="21" s="1"/>
  <c r="AL894" i="21" s="1"/>
  <c r="AF894" i="21"/>
  <c r="AJ891" i="21"/>
  <c r="AJ892" i="21"/>
  <c r="AG893" i="21" s="1"/>
  <c r="AE892" i="21"/>
  <c r="AH892" i="21" s="1"/>
  <c r="AE893" i="21"/>
  <c r="AF893" i="21" s="1"/>
  <c r="AE891" i="21"/>
  <c r="AF891" i="21" s="1"/>
  <c r="AJ890" i="21"/>
  <c r="AD890" i="21"/>
  <c r="AC890" i="21"/>
  <c r="AB890" i="21"/>
  <c r="AI890" i="21" s="1"/>
  <c r="AA890" i="21"/>
  <c r="Y890" i="21"/>
  <c r="R890" i="21"/>
  <c r="O890" i="21"/>
  <c r="N890" i="21"/>
  <c r="Z890" i="21" l="1"/>
  <c r="AG891" i="21"/>
  <c r="AK891" i="21" s="1"/>
  <c r="AG892" i="21"/>
  <c r="AK892" i="21" s="1"/>
  <c r="AL892" i="21" s="1"/>
  <c r="AK893" i="21"/>
  <c r="AF892" i="21"/>
  <c r="AH893" i="21"/>
  <c r="AH891" i="21"/>
  <c r="AE890" i="21"/>
  <c r="AH890" i="21" s="1"/>
  <c r="AJ889" i="21"/>
  <c r="AD889" i="21"/>
  <c r="AC889" i="21"/>
  <c r="AB889" i="21"/>
  <c r="AI889" i="21" s="1"/>
  <c r="AA889" i="21"/>
  <c r="Y889" i="21"/>
  <c r="R889" i="21"/>
  <c r="O889" i="21"/>
  <c r="N889" i="21"/>
  <c r="AJ888" i="21"/>
  <c r="AD888" i="21"/>
  <c r="AC888" i="21"/>
  <c r="AB888" i="21"/>
  <c r="AI888" i="21" s="1"/>
  <c r="AA888" i="21"/>
  <c r="Y888" i="21"/>
  <c r="R888" i="21"/>
  <c r="O888" i="21"/>
  <c r="N888" i="21"/>
  <c r="Z888" i="21" l="1"/>
  <c r="Z889" i="21"/>
  <c r="AG889" i="21"/>
  <c r="AK889" i="21" s="1"/>
  <c r="AG890" i="21"/>
  <c r="AK890" i="21" s="1"/>
  <c r="AL890" i="21" s="1"/>
  <c r="AL893" i="21"/>
  <c r="AL891" i="21"/>
  <c r="AF890" i="21"/>
  <c r="AE888" i="21"/>
  <c r="AH888" i="21" s="1"/>
  <c r="AE889" i="21"/>
  <c r="AH889" i="21" s="1"/>
  <c r="AF888" i="21" l="1"/>
  <c r="AF889" i="21"/>
  <c r="AL889" i="21"/>
  <c r="AJ887" i="21"/>
  <c r="AD887" i="21"/>
  <c r="AC887" i="21"/>
  <c r="AB887" i="21"/>
  <c r="AI887" i="21" s="1"/>
  <c r="AA887" i="21"/>
  <c r="Y887" i="21"/>
  <c r="R887" i="21"/>
  <c r="O887" i="21"/>
  <c r="N887" i="21"/>
  <c r="Z887" i="21" l="1"/>
  <c r="AG888" i="21"/>
  <c r="AK888" i="21" s="1"/>
  <c r="AL888" i="21" s="1"/>
  <c r="AE887" i="21"/>
  <c r="AH887" i="21" s="1"/>
  <c r="AJ886" i="21"/>
  <c r="AD886" i="21"/>
  <c r="AC886" i="21"/>
  <c r="AB886" i="21"/>
  <c r="AI886" i="21" s="1"/>
  <c r="AA886" i="21"/>
  <c r="Y886" i="21"/>
  <c r="R886" i="21"/>
  <c r="O886" i="21"/>
  <c r="N886" i="21"/>
  <c r="AJ885" i="21"/>
  <c r="AD885" i="21"/>
  <c r="AC885" i="21"/>
  <c r="AB885" i="21"/>
  <c r="AI885" i="21" s="1"/>
  <c r="AA885" i="21"/>
  <c r="Y885" i="21"/>
  <c r="R885" i="21"/>
  <c r="O885" i="21"/>
  <c r="N885" i="21"/>
  <c r="AJ884" i="21"/>
  <c r="AD884" i="21"/>
  <c r="AC884" i="21"/>
  <c r="AB884" i="21"/>
  <c r="AI884" i="21" s="1"/>
  <c r="AA884" i="21"/>
  <c r="Y884" i="21"/>
  <c r="R884" i="21"/>
  <c r="O884" i="21"/>
  <c r="N884" i="21"/>
  <c r="AG886" i="21" l="1"/>
  <c r="AK886" i="21" s="1"/>
  <c r="Z884" i="21"/>
  <c r="Z886" i="21"/>
  <c r="Z885" i="21"/>
  <c r="AG885" i="21"/>
  <c r="AK885" i="21" s="1"/>
  <c r="AG887" i="21"/>
  <c r="AK887" i="21" s="1"/>
  <c r="AL887" i="21" s="1"/>
  <c r="AF887" i="21"/>
  <c r="AE885" i="21"/>
  <c r="AF885" i="21" s="1"/>
  <c r="AE884" i="21"/>
  <c r="AH884" i="21" s="1"/>
  <c r="AE886" i="21"/>
  <c r="AH886" i="21" s="1"/>
  <c r="AJ883" i="21"/>
  <c r="AG884" i="21" s="1"/>
  <c r="AD883" i="21"/>
  <c r="AC883" i="21"/>
  <c r="AB883" i="21"/>
  <c r="AI883" i="21" s="1"/>
  <c r="AA883" i="21"/>
  <c r="Y883" i="21"/>
  <c r="R883" i="21"/>
  <c r="O883" i="21"/>
  <c r="N883" i="21"/>
  <c r="Z883" i="21" l="1"/>
  <c r="AH885" i="21"/>
  <c r="AL885" i="21" s="1"/>
  <c r="AF884" i="21"/>
  <c r="AL886" i="21"/>
  <c r="AF886" i="21"/>
  <c r="AK884" i="21"/>
  <c r="AL884" i="21" s="1"/>
  <c r="AE883" i="21"/>
  <c r="AH883" i="21" s="1"/>
  <c r="AJ882" i="21"/>
  <c r="AD882" i="21"/>
  <c r="AC882" i="21"/>
  <c r="AB882" i="21"/>
  <c r="AI882" i="21" s="1"/>
  <c r="AA882" i="21"/>
  <c r="Y882" i="21"/>
  <c r="R882" i="21"/>
  <c r="O882" i="21"/>
  <c r="N882" i="21"/>
  <c r="AJ881" i="21"/>
  <c r="AD881" i="21"/>
  <c r="AC881" i="21"/>
  <c r="AB881" i="21"/>
  <c r="AI881" i="21" s="1"/>
  <c r="AA881" i="21"/>
  <c r="Y881" i="21"/>
  <c r="R881" i="21"/>
  <c r="O881" i="21"/>
  <c r="N881" i="21"/>
  <c r="Z881" i="21" l="1"/>
  <c r="Z882" i="21"/>
  <c r="AG882" i="21"/>
  <c r="AK882" i="21" s="1"/>
  <c r="AG883" i="21"/>
  <c r="AK883" i="21" s="1"/>
  <c r="AL883" i="21" s="1"/>
  <c r="AF883" i="21"/>
  <c r="AE882" i="21"/>
  <c r="AH882" i="21" s="1"/>
  <c r="AE881" i="21"/>
  <c r="AH881" i="21" s="1"/>
  <c r="AJ880" i="21"/>
  <c r="AD880" i="21"/>
  <c r="AC880" i="21"/>
  <c r="AB880" i="21"/>
  <c r="AI880" i="21" s="1"/>
  <c r="AA880" i="21"/>
  <c r="Y880" i="21"/>
  <c r="R880" i="21"/>
  <c r="O880" i="21"/>
  <c r="N880" i="21"/>
  <c r="Z880" i="21" l="1"/>
  <c r="AG881" i="21"/>
  <c r="AK881" i="21" s="1"/>
  <c r="AL881" i="21" s="1"/>
  <c r="AL882" i="21"/>
  <c r="AF882" i="21"/>
  <c r="AF881" i="21"/>
  <c r="AE880" i="21"/>
  <c r="AH880" i="21" s="1"/>
  <c r="AJ879" i="21"/>
  <c r="AD879" i="21"/>
  <c r="AC879" i="21"/>
  <c r="AB879" i="21"/>
  <c r="AI879" i="21" s="1"/>
  <c r="AA879" i="21"/>
  <c r="Y879" i="21"/>
  <c r="R879" i="21"/>
  <c r="O879" i="21"/>
  <c r="N879" i="21"/>
  <c r="AJ878" i="21"/>
  <c r="AD878" i="21"/>
  <c r="AC878" i="21"/>
  <c r="AB878" i="21"/>
  <c r="AI878" i="21" s="1"/>
  <c r="AA878" i="21"/>
  <c r="Y878" i="21"/>
  <c r="R878" i="21"/>
  <c r="O878" i="21"/>
  <c r="N878" i="21"/>
  <c r="AJ877" i="21"/>
  <c r="AD877" i="21"/>
  <c r="AC877" i="21"/>
  <c r="AB877" i="21"/>
  <c r="AI877" i="21" s="1"/>
  <c r="AA877" i="21"/>
  <c r="Y877" i="21"/>
  <c r="R877" i="21"/>
  <c r="O877" i="21"/>
  <c r="N877" i="21"/>
  <c r="Z879" i="21" l="1"/>
  <c r="Z878" i="21"/>
  <c r="Z877" i="21"/>
  <c r="AG878" i="21"/>
  <c r="AK878" i="21" s="1"/>
  <c r="AG880" i="21"/>
  <c r="AK880" i="21" s="1"/>
  <c r="AL880" i="21" s="1"/>
  <c r="AG879" i="21"/>
  <c r="AK879" i="21" s="1"/>
  <c r="AF880" i="21"/>
  <c r="AE878" i="21"/>
  <c r="AH878" i="21" s="1"/>
  <c r="AE879" i="21"/>
  <c r="AF879" i="21" s="1"/>
  <c r="AE877" i="21"/>
  <c r="AF877" i="21" s="1"/>
  <c r="AJ876" i="21"/>
  <c r="AG877" i="21" s="1"/>
  <c r="AD876" i="21"/>
  <c r="AC876" i="21"/>
  <c r="AB876" i="21"/>
  <c r="AI876" i="21" s="1"/>
  <c r="AA876" i="21"/>
  <c r="Y876" i="21"/>
  <c r="R876" i="21"/>
  <c r="O876" i="21"/>
  <c r="N876" i="21"/>
  <c r="Z876" i="21" l="1"/>
  <c r="AL878" i="21"/>
  <c r="AF878" i="21"/>
  <c r="AH877" i="21"/>
  <c r="AH879" i="21"/>
  <c r="AL879" i="21" s="1"/>
  <c r="AK877" i="21"/>
  <c r="AE876" i="21"/>
  <c r="AF876" i="21" s="1"/>
  <c r="AJ875" i="21"/>
  <c r="AD875" i="21"/>
  <c r="AC875" i="21"/>
  <c r="AB875" i="21"/>
  <c r="AI875" i="21" s="1"/>
  <c r="AA875" i="21"/>
  <c r="Y875" i="21"/>
  <c r="R875" i="21"/>
  <c r="O875" i="21"/>
  <c r="N875" i="21"/>
  <c r="Z875" i="21" l="1"/>
  <c r="AG876" i="21"/>
  <c r="AK876" i="21" s="1"/>
  <c r="AL877" i="21"/>
  <c r="AH876" i="21"/>
  <c r="AE875" i="21"/>
  <c r="AH875" i="21" s="1"/>
  <c r="AJ874" i="21"/>
  <c r="AD874" i="21"/>
  <c r="AC874" i="21"/>
  <c r="AB874" i="21"/>
  <c r="AI874" i="21" s="1"/>
  <c r="AA874" i="21"/>
  <c r="Y874" i="21"/>
  <c r="R874" i="21"/>
  <c r="O874" i="21"/>
  <c r="N874" i="21"/>
  <c r="Z874" i="21" l="1"/>
  <c r="AG875" i="21"/>
  <c r="AK875" i="21" s="1"/>
  <c r="AL875" i="21" s="1"/>
  <c r="AL876" i="21"/>
  <c r="AF875" i="21"/>
  <c r="AE874" i="21"/>
  <c r="AF874" i="21" s="1"/>
  <c r="AJ873" i="21"/>
  <c r="AD873" i="21"/>
  <c r="AC873" i="21"/>
  <c r="AB873" i="21"/>
  <c r="AI873" i="21" s="1"/>
  <c r="AA873" i="21"/>
  <c r="Y873" i="21"/>
  <c r="R873" i="21"/>
  <c r="O873" i="21"/>
  <c r="N873" i="21"/>
  <c r="Z873" i="21" l="1"/>
  <c r="AG874" i="21"/>
  <c r="AK874" i="21" s="1"/>
  <c r="AH874" i="21"/>
  <c r="AE873" i="21"/>
  <c r="AH873" i="21" s="1"/>
  <c r="N872" i="21"/>
  <c r="N871" i="21"/>
  <c r="N870" i="21"/>
  <c r="N869" i="21"/>
  <c r="AL874" i="21" l="1"/>
  <c r="AF873" i="21"/>
  <c r="AJ872" i="21"/>
  <c r="AD872" i="21"/>
  <c r="AC872" i="21"/>
  <c r="AB872" i="21"/>
  <c r="AI872" i="21" s="1"/>
  <c r="AA872" i="21"/>
  <c r="Y872" i="21"/>
  <c r="R872" i="21"/>
  <c r="O872" i="21"/>
  <c r="AJ871" i="21"/>
  <c r="AD871" i="21"/>
  <c r="AC871" i="21"/>
  <c r="AB871" i="21"/>
  <c r="AI871" i="21" s="1"/>
  <c r="AA871" i="21"/>
  <c r="Y871" i="21"/>
  <c r="R871" i="21"/>
  <c r="O871" i="21"/>
  <c r="AJ870" i="21"/>
  <c r="AD870" i="21"/>
  <c r="AC870" i="21"/>
  <c r="AB870" i="21"/>
  <c r="AI870" i="21" s="1"/>
  <c r="AA870" i="21"/>
  <c r="Y870" i="21"/>
  <c r="Z870" i="21" s="1"/>
  <c r="R870" i="21"/>
  <c r="O870" i="21"/>
  <c r="Z871" i="21" l="1"/>
  <c r="Z872" i="21"/>
  <c r="AG872" i="21"/>
  <c r="AK872" i="21" s="1"/>
  <c r="AG871" i="21"/>
  <c r="AK871" i="21" s="1"/>
  <c r="AG873" i="21"/>
  <c r="AK873" i="21" s="1"/>
  <c r="AL873" i="21" s="1"/>
  <c r="AE872" i="21"/>
  <c r="AH872" i="21" s="1"/>
  <c r="AE871" i="21"/>
  <c r="AF871" i="21" s="1"/>
  <c r="AE870" i="21"/>
  <c r="AH870" i="21" s="1"/>
  <c r="AJ869" i="21"/>
  <c r="AG870" i="21" s="1"/>
  <c r="AD869" i="21"/>
  <c r="AC869" i="21"/>
  <c r="AB869" i="21"/>
  <c r="AI869" i="21" s="1"/>
  <c r="AA869" i="21"/>
  <c r="Y869" i="21"/>
  <c r="R869" i="21"/>
  <c r="O869" i="21"/>
  <c r="Z869" i="21" l="1"/>
  <c r="AH871" i="21"/>
  <c r="AL871" i="21" s="1"/>
  <c r="AL872" i="21"/>
  <c r="AF872" i="21"/>
  <c r="AF870" i="21"/>
  <c r="AK870" i="21"/>
  <c r="AL870" i="21" s="1"/>
  <c r="AE869" i="21"/>
  <c r="AF869" i="21" s="1"/>
  <c r="AJ868" i="21"/>
  <c r="AD868" i="21"/>
  <c r="AC868" i="21"/>
  <c r="AB868" i="21"/>
  <c r="AI868" i="21" s="1"/>
  <c r="AA868" i="21"/>
  <c r="Y868" i="21"/>
  <c r="R868" i="21"/>
  <c r="O868" i="21"/>
  <c r="N868" i="21"/>
  <c r="Z868" i="21" l="1"/>
  <c r="AG869" i="21"/>
  <c r="AK869" i="21" s="1"/>
  <c r="AH869" i="21"/>
  <c r="AE868" i="21"/>
  <c r="AH868" i="21" s="1"/>
  <c r="AJ867" i="21"/>
  <c r="AD867" i="21"/>
  <c r="AC867" i="21"/>
  <c r="AB867" i="21"/>
  <c r="AI867" i="21" s="1"/>
  <c r="AA867" i="21"/>
  <c r="Y867" i="21"/>
  <c r="R867" i="21"/>
  <c r="O867" i="21"/>
  <c r="N867" i="21"/>
  <c r="Z867" i="21" l="1"/>
  <c r="AG868" i="21"/>
  <c r="AK868" i="21" s="1"/>
  <c r="AL868" i="21" s="1"/>
  <c r="AL869" i="21"/>
  <c r="AF868" i="21"/>
  <c r="AE867" i="21"/>
  <c r="AF867" i="21" s="1"/>
  <c r="AH867" i="21" l="1"/>
  <c r="AJ866" i="21" l="1"/>
  <c r="AD866" i="21"/>
  <c r="AC866" i="21"/>
  <c r="AB866" i="21"/>
  <c r="AI866" i="21" s="1"/>
  <c r="AA866" i="21"/>
  <c r="Y866" i="21"/>
  <c r="R866" i="21"/>
  <c r="O866" i="21"/>
  <c r="N866" i="21"/>
  <c r="Z866" i="21" l="1"/>
  <c r="AG867" i="21"/>
  <c r="AK867" i="21" s="1"/>
  <c r="AL867" i="21" s="1"/>
  <c r="AE866" i="21"/>
  <c r="AH866" i="21" s="1"/>
  <c r="AJ865" i="21"/>
  <c r="AD865" i="21"/>
  <c r="AC865" i="21"/>
  <c r="AB865" i="21"/>
  <c r="AI865" i="21" s="1"/>
  <c r="AA865" i="21"/>
  <c r="Y865" i="21"/>
  <c r="R865" i="21"/>
  <c r="O865" i="21"/>
  <c r="N865" i="21"/>
  <c r="AJ864" i="21"/>
  <c r="AD864" i="21"/>
  <c r="AC864" i="21"/>
  <c r="AB864" i="21"/>
  <c r="AI864" i="21" s="1"/>
  <c r="AA864" i="21"/>
  <c r="Y864" i="21"/>
  <c r="R864" i="21"/>
  <c r="O864" i="21"/>
  <c r="N864" i="21"/>
  <c r="AJ863" i="21"/>
  <c r="AD863" i="21"/>
  <c r="AC863" i="21"/>
  <c r="AB863" i="21"/>
  <c r="AI863" i="21" s="1"/>
  <c r="AA863" i="21"/>
  <c r="Y863" i="21"/>
  <c r="R863" i="21"/>
  <c r="O863" i="21"/>
  <c r="N863" i="21"/>
  <c r="Z865" i="21" l="1"/>
  <c r="Z864" i="21"/>
  <c r="Z863" i="21"/>
  <c r="AG864" i="21"/>
  <c r="AK864" i="21" s="1"/>
  <c r="AG866" i="21"/>
  <c r="AK866" i="21" s="1"/>
  <c r="AL866" i="21" s="1"/>
  <c r="AG865" i="21"/>
  <c r="AK865" i="21" s="1"/>
  <c r="AE864" i="21"/>
  <c r="AH864" i="21" s="1"/>
  <c r="AF866" i="21"/>
  <c r="AE865" i="21"/>
  <c r="AF865" i="21" s="1"/>
  <c r="AE863" i="21"/>
  <c r="AH863" i="21" s="1"/>
  <c r="AJ862" i="21"/>
  <c r="AG863" i="21" s="1"/>
  <c r="AD862" i="21"/>
  <c r="AC862" i="21"/>
  <c r="AB862" i="21"/>
  <c r="AI862" i="21" s="1"/>
  <c r="AA862" i="21"/>
  <c r="Y862" i="21"/>
  <c r="R862" i="21"/>
  <c r="O862" i="21"/>
  <c r="N862" i="21"/>
  <c r="Z862" i="21" l="1"/>
  <c r="AF864" i="21"/>
  <c r="AH865" i="21"/>
  <c r="AL865" i="21" s="1"/>
  <c r="AF863" i="21"/>
  <c r="AL864" i="21"/>
  <c r="AK863" i="21"/>
  <c r="AL863" i="21" s="1"/>
  <c r="AE862" i="21"/>
  <c r="AH862" i="21" s="1"/>
  <c r="AJ861" i="21"/>
  <c r="AD861" i="21"/>
  <c r="AC861" i="21"/>
  <c r="AB861" i="21"/>
  <c r="AI861" i="21" s="1"/>
  <c r="AA861" i="21"/>
  <c r="Y861" i="21"/>
  <c r="R861" i="21"/>
  <c r="O861" i="21"/>
  <c r="N861" i="21"/>
  <c r="Z861" i="21" l="1"/>
  <c r="AG862" i="21"/>
  <c r="AK862" i="21" s="1"/>
  <c r="AL862" i="21" s="1"/>
  <c r="AF862" i="21"/>
  <c r="AE861" i="21"/>
  <c r="AH861" i="21" s="1"/>
  <c r="AJ860" i="21"/>
  <c r="AD860" i="21"/>
  <c r="AC860" i="21"/>
  <c r="AB860" i="21"/>
  <c r="AI860" i="21" s="1"/>
  <c r="AA860" i="21"/>
  <c r="Y860" i="21"/>
  <c r="R860" i="21"/>
  <c r="O860" i="21"/>
  <c r="N860" i="21"/>
  <c r="Z860" i="21" l="1"/>
  <c r="AG861" i="21"/>
  <c r="AK861" i="21" s="1"/>
  <c r="AL861" i="21" s="1"/>
  <c r="AF861" i="21"/>
  <c r="AE860" i="21"/>
  <c r="AH860" i="21" s="1"/>
  <c r="AJ859" i="21"/>
  <c r="AD859" i="21"/>
  <c r="AC859" i="21"/>
  <c r="AB859" i="21"/>
  <c r="AI859" i="21" s="1"/>
  <c r="AA859" i="21"/>
  <c r="Y859" i="21"/>
  <c r="R859" i="21"/>
  <c r="O859" i="21"/>
  <c r="N859" i="21"/>
  <c r="Z859" i="21" l="1"/>
  <c r="AG860" i="21"/>
  <c r="AK860" i="21" s="1"/>
  <c r="AL860" i="21" s="1"/>
  <c r="AF860" i="21"/>
  <c r="AE859" i="21"/>
  <c r="AH859" i="21" s="1"/>
  <c r="AF859" i="21" l="1"/>
  <c r="AJ858" i="21"/>
  <c r="AD858" i="21"/>
  <c r="AC858" i="21"/>
  <c r="AB858" i="21"/>
  <c r="AI858" i="21" s="1"/>
  <c r="AA858" i="21"/>
  <c r="Y858" i="21"/>
  <c r="R858" i="21"/>
  <c r="O858" i="21"/>
  <c r="N858" i="21"/>
  <c r="AJ857" i="21"/>
  <c r="AG858" i="21" s="1"/>
  <c r="AD857" i="21"/>
  <c r="AC857" i="21"/>
  <c r="AB857" i="21"/>
  <c r="AI857" i="21" s="1"/>
  <c r="AA857" i="21"/>
  <c r="Y857" i="21"/>
  <c r="R857" i="21"/>
  <c r="O857" i="21"/>
  <c r="N857" i="21"/>
  <c r="AJ856" i="21"/>
  <c r="AD856" i="21"/>
  <c r="AC856" i="21"/>
  <c r="AB856" i="21"/>
  <c r="AI856" i="21" s="1"/>
  <c r="AA856" i="21"/>
  <c r="Y856" i="21"/>
  <c r="R856" i="21"/>
  <c r="O856" i="21"/>
  <c r="N856" i="21"/>
  <c r="Z858" i="21" l="1"/>
  <c r="Z857" i="21"/>
  <c r="Z856" i="21"/>
  <c r="AG857" i="21"/>
  <c r="AK857" i="21" s="1"/>
  <c r="AG859" i="21"/>
  <c r="AK859" i="21" s="1"/>
  <c r="AL859" i="21" s="1"/>
  <c r="AK858" i="21"/>
  <c r="AE858" i="21"/>
  <c r="AF858" i="21" s="1"/>
  <c r="AE857" i="21"/>
  <c r="AF857" i="21" s="1"/>
  <c r="AE856" i="21"/>
  <c r="AH856" i="21" s="1"/>
  <c r="N855" i="21"/>
  <c r="N854" i="21"/>
  <c r="AJ855" i="21"/>
  <c r="AG856" i="21" s="1"/>
  <c r="AJ854" i="21"/>
  <c r="AD825" i="21"/>
  <c r="AD826" i="21"/>
  <c r="AD827" i="21"/>
  <c r="AD828" i="21"/>
  <c r="AD829" i="21"/>
  <c r="AD830" i="21"/>
  <c r="AD831" i="21"/>
  <c r="AD832" i="21"/>
  <c r="AD833" i="21"/>
  <c r="AD834" i="21"/>
  <c r="AD835" i="21"/>
  <c r="AD836" i="21"/>
  <c r="AD837" i="21"/>
  <c r="AD838" i="21"/>
  <c r="AD839" i="21"/>
  <c r="AD840" i="21"/>
  <c r="AD841" i="21"/>
  <c r="AD842" i="21"/>
  <c r="AD843" i="21"/>
  <c r="AD844" i="21"/>
  <c r="AD845" i="21"/>
  <c r="AD846" i="21"/>
  <c r="AD847" i="21"/>
  <c r="AD848" i="21"/>
  <c r="AD849" i="21"/>
  <c r="AD850" i="21"/>
  <c r="AD851" i="21"/>
  <c r="AD852" i="21"/>
  <c r="AD853" i="21"/>
  <c r="AD854" i="21"/>
  <c r="AD855" i="21"/>
  <c r="AC825" i="21"/>
  <c r="AC826" i="21"/>
  <c r="AC827" i="21"/>
  <c r="AC828" i="21"/>
  <c r="AC829" i="21"/>
  <c r="AC830" i="21"/>
  <c r="AC831" i="21"/>
  <c r="AC832" i="21"/>
  <c r="AC833" i="21"/>
  <c r="AC834" i="21"/>
  <c r="AC835" i="21"/>
  <c r="AC836" i="21"/>
  <c r="AC837" i="21"/>
  <c r="AC838" i="21"/>
  <c r="AC839" i="21"/>
  <c r="AC840" i="21"/>
  <c r="AC841" i="21"/>
  <c r="AC842" i="21"/>
  <c r="AC843" i="21"/>
  <c r="AC844" i="21"/>
  <c r="AC845" i="21"/>
  <c r="AC846" i="21"/>
  <c r="AC847" i="21"/>
  <c r="AC848" i="21"/>
  <c r="AC849" i="21"/>
  <c r="AC850" i="21"/>
  <c r="AC851" i="21"/>
  <c r="AC852" i="21"/>
  <c r="AC853" i="21"/>
  <c r="AC854" i="21"/>
  <c r="AC855" i="21"/>
  <c r="AB825" i="21"/>
  <c r="AB826" i="21"/>
  <c r="AB827" i="21"/>
  <c r="AB828" i="21"/>
  <c r="AB829" i="21"/>
  <c r="AB830" i="21"/>
  <c r="AB831" i="21"/>
  <c r="AB832" i="21"/>
  <c r="AB833" i="21"/>
  <c r="AB834" i="21"/>
  <c r="AB835" i="21"/>
  <c r="AB836" i="21"/>
  <c r="AB837" i="21"/>
  <c r="AB838" i="21"/>
  <c r="AB839" i="21"/>
  <c r="AB840" i="21"/>
  <c r="AB841" i="21"/>
  <c r="AB842" i="21"/>
  <c r="AB843" i="21"/>
  <c r="AB844" i="21"/>
  <c r="AB845" i="21"/>
  <c r="AB846" i="21"/>
  <c r="AB847" i="21"/>
  <c r="AB848" i="21"/>
  <c r="AB849" i="21"/>
  <c r="AB850" i="21"/>
  <c r="AB851" i="21"/>
  <c r="AB852" i="21"/>
  <c r="AB853" i="21"/>
  <c r="AB854" i="21"/>
  <c r="AB855" i="21"/>
  <c r="AI855" i="21" s="1"/>
  <c r="AA825" i="21"/>
  <c r="AA826" i="21"/>
  <c r="AA827" i="21"/>
  <c r="AA828" i="21"/>
  <c r="AA829" i="21"/>
  <c r="AA830" i="21"/>
  <c r="AA831" i="21"/>
  <c r="AA832" i="21"/>
  <c r="AA833" i="21"/>
  <c r="AA834" i="21"/>
  <c r="AA835" i="21"/>
  <c r="AA836" i="21"/>
  <c r="AA837" i="21"/>
  <c r="AA838" i="21"/>
  <c r="AA839" i="21"/>
  <c r="AA840" i="21"/>
  <c r="AA841" i="21"/>
  <c r="AA842" i="21"/>
  <c r="AA843" i="21"/>
  <c r="AA844" i="21"/>
  <c r="AA845" i="21"/>
  <c r="AA846" i="21"/>
  <c r="AA847" i="21"/>
  <c r="AA848" i="21"/>
  <c r="AA849" i="21"/>
  <c r="AA850" i="21"/>
  <c r="AA851" i="21"/>
  <c r="AA852" i="21"/>
  <c r="AA853" i="21"/>
  <c r="AA854" i="21"/>
  <c r="AA855" i="21"/>
  <c r="Y855" i="21"/>
  <c r="O855" i="21"/>
  <c r="Z855" i="21" l="1"/>
  <c r="AG855" i="21"/>
  <c r="AK855" i="21" s="1"/>
  <c r="AF856" i="21"/>
  <c r="AH857" i="21"/>
  <c r="AL857" i="21" s="1"/>
  <c r="AH858" i="21"/>
  <c r="AL858" i="21" s="1"/>
  <c r="AK856" i="21"/>
  <c r="AL856" i="21" s="1"/>
  <c r="AE854" i="21"/>
  <c r="AE855" i="21"/>
  <c r="AF855" i="21" s="1"/>
  <c r="R855" i="21"/>
  <c r="O854" i="21"/>
  <c r="AI854" i="21"/>
  <c r="AH855" i="21" l="1"/>
  <c r="AL855" i="21" s="1"/>
  <c r="R854" i="21"/>
  <c r="AH854" i="21" s="1"/>
  <c r="Y854" i="21"/>
  <c r="Z854" i="21" s="1"/>
  <c r="AJ853" i="21"/>
  <c r="AI853" i="21"/>
  <c r="Y853" i="21"/>
  <c r="R853" i="21"/>
  <c r="O853" i="21"/>
  <c r="N853" i="21"/>
  <c r="Z853" i="21" l="1"/>
  <c r="AG854" i="21"/>
  <c r="AK854" i="21" s="1"/>
  <c r="AL854" i="21" s="1"/>
  <c r="AE853" i="21"/>
  <c r="AH853" i="21" s="1"/>
  <c r="AJ852" i="21"/>
  <c r="AG853" i="21" s="1"/>
  <c r="AI852" i="21"/>
  <c r="Y852" i="21"/>
  <c r="R852" i="21"/>
  <c r="O852" i="21"/>
  <c r="N852" i="21"/>
  <c r="Z852" i="21" l="1"/>
  <c r="AF853" i="21"/>
  <c r="AE852" i="21"/>
  <c r="AH852" i="21" s="1"/>
  <c r="AJ851" i="21"/>
  <c r="AG852" i="21" s="1"/>
  <c r="AI851" i="21"/>
  <c r="Y851" i="21"/>
  <c r="R851" i="21"/>
  <c r="O851" i="21"/>
  <c r="N851" i="21"/>
  <c r="AJ850" i="21"/>
  <c r="AI850" i="21"/>
  <c r="Y850" i="21"/>
  <c r="R850" i="21"/>
  <c r="O850" i="21"/>
  <c r="N850" i="21"/>
  <c r="AJ849" i="21"/>
  <c r="AI849" i="21"/>
  <c r="Y849" i="21"/>
  <c r="R849" i="21"/>
  <c r="O849" i="21"/>
  <c r="N849" i="21"/>
  <c r="Z850" i="21" l="1"/>
  <c r="Z851" i="21"/>
  <c r="Z849" i="21"/>
  <c r="AK853" i="21"/>
  <c r="AL853" i="21" s="1"/>
  <c r="AG851" i="21"/>
  <c r="AK852" i="21"/>
  <c r="AL852" i="21" s="1"/>
  <c r="AG850" i="21"/>
  <c r="AF852" i="21"/>
  <c r="AE849" i="21"/>
  <c r="AF849" i="21" s="1"/>
  <c r="AE850" i="21"/>
  <c r="AH850" i="21" s="1"/>
  <c r="AE851" i="21"/>
  <c r="AF851" i="21" s="1"/>
  <c r="AJ848" i="21"/>
  <c r="AG849" i="21" s="1"/>
  <c r="AI848" i="21"/>
  <c r="Y848" i="21"/>
  <c r="R848" i="21"/>
  <c r="O848" i="21"/>
  <c r="N848" i="21"/>
  <c r="Z848" i="21" l="1"/>
  <c r="AF850" i="21"/>
  <c r="AH849" i="21"/>
  <c r="AH851" i="21"/>
  <c r="AK851" i="21"/>
  <c r="AE848" i="21"/>
  <c r="AF848" i="21" s="1"/>
  <c r="AJ847" i="21"/>
  <c r="AI847" i="21"/>
  <c r="Y847" i="21"/>
  <c r="R847" i="21"/>
  <c r="O847" i="21"/>
  <c r="N847" i="21"/>
  <c r="Z847" i="21" l="1"/>
  <c r="AK850" i="21"/>
  <c r="AL850" i="21" s="1"/>
  <c r="AG848" i="21"/>
  <c r="AL851" i="21"/>
  <c r="AH848" i="21"/>
  <c r="AE847" i="21"/>
  <c r="AH847" i="21" s="1"/>
  <c r="N846" i="21"/>
  <c r="N845" i="21"/>
  <c r="N844" i="21"/>
  <c r="N843" i="21"/>
  <c r="N842" i="21"/>
  <c r="N841" i="21"/>
  <c r="AJ846" i="21"/>
  <c r="AI846" i="21"/>
  <c r="Y846" i="21"/>
  <c r="R846" i="21"/>
  <c r="O846" i="21"/>
  <c r="AI845" i="21"/>
  <c r="Y845" i="21"/>
  <c r="R845" i="21"/>
  <c r="O845" i="21"/>
  <c r="AI844" i="21"/>
  <c r="Y844" i="21"/>
  <c r="R844" i="21"/>
  <c r="O844" i="21"/>
  <c r="AI843" i="21"/>
  <c r="Y843" i="21"/>
  <c r="R843" i="21"/>
  <c r="O843" i="21"/>
  <c r="AI842" i="21"/>
  <c r="Y842" i="21"/>
  <c r="R842" i="21"/>
  <c r="O842" i="21"/>
  <c r="Z844" i="21" l="1"/>
  <c r="Z842" i="21"/>
  <c r="Z845" i="21"/>
  <c r="Z846" i="21"/>
  <c r="Z843" i="21"/>
  <c r="AK849" i="21"/>
  <c r="AL849" i="21" s="1"/>
  <c r="AG847" i="21"/>
  <c r="AF847" i="21"/>
  <c r="AE842" i="21"/>
  <c r="AH842" i="21" s="1"/>
  <c r="AE846" i="21"/>
  <c r="AH846" i="21" s="1"/>
  <c r="AE843" i="21"/>
  <c r="AH843" i="21" s="1"/>
  <c r="AE844" i="21"/>
  <c r="AH844" i="21" s="1"/>
  <c r="AE845" i="21"/>
  <c r="AH845" i="21" s="1"/>
  <c r="AI841" i="21"/>
  <c r="Y841" i="21"/>
  <c r="R841" i="21"/>
  <c r="O841" i="21"/>
  <c r="Z841" i="21" l="1"/>
  <c r="AF842" i="21"/>
  <c r="AF846" i="21"/>
  <c r="AF844" i="21"/>
  <c r="AF843" i="21"/>
  <c r="AF845" i="21"/>
  <c r="AE841" i="21"/>
  <c r="AH841" i="21" s="1"/>
  <c r="AI840" i="21"/>
  <c r="Y840" i="21"/>
  <c r="R840" i="21"/>
  <c r="O840" i="21"/>
  <c r="N840" i="21"/>
  <c r="Z840" i="21" l="1"/>
  <c r="AE840" i="21"/>
  <c r="AH840" i="21" s="1"/>
  <c r="AF841" i="21"/>
  <c r="AJ840" i="21" l="1"/>
  <c r="AF840" i="21"/>
  <c r="AJ839" i="21"/>
  <c r="AI839" i="21"/>
  <c r="Y839" i="21"/>
  <c r="R839" i="21"/>
  <c r="O839" i="21"/>
  <c r="N839" i="21"/>
  <c r="AJ838" i="21"/>
  <c r="AI838" i="21"/>
  <c r="Y838" i="21"/>
  <c r="R838" i="21"/>
  <c r="O838" i="21"/>
  <c r="N838" i="21"/>
  <c r="AJ837" i="21"/>
  <c r="AI837" i="21"/>
  <c r="Y837" i="21"/>
  <c r="R837" i="21"/>
  <c r="O837" i="21"/>
  <c r="N837" i="21"/>
  <c r="AJ836" i="21"/>
  <c r="AI836" i="21"/>
  <c r="Y836" i="21"/>
  <c r="R836" i="21"/>
  <c r="O836" i="21"/>
  <c r="N836" i="21"/>
  <c r="AJ835" i="21"/>
  <c r="AI835" i="21"/>
  <c r="Y835" i="21"/>
  <c r="R835" i="21"/>
  <c r="O835" i="21"/>
  <c r="N835" i="21"/>
  <c r="AJ834" i="21"/>
  <c r="AI834" i="21"/>
  <c r="Y834" i="21"/>
  <c r="R834" i="21"/>
  <c r="O834" i="21"/>
  <c r="N834" i="21"/>
  <c r="Z834" i="21" l="1"/>
  <c r="Z836" i="21"/>
  <c r="AG837" i="21"/>
  <c r="AK837" i="21" s="1"/>
  <c r="Z838" i="21"/>
  <c r="Z837" i="21"/>
  <c r="Z839" i="21"/>
  <c r="Z835" i="21"/>
  <c r="AG835" i="21"/>
  <c r="AG839" i="21"/>
  <c r="AK839" i="21" s="1"/>
  <c r="AG840" i="21"/>
  <c r="AK840" i="21" s="1"/>
  <c r="AL840" i="21" s="1"/>
  <c r="AG836" i="21"/>
  <c r="AG838" i="21"/>
  <c r="AK838" i="21" s="1"/>
  <c r="AJ841" i="21"/>
  <c r="AE836" i="21"/>
  <c r="AH836" i="21" s="1"/>
  <c r="AE839" i="21"/>
  <c r="AF839" i="21" s="1"/>
  <c r="AE835" i="21"/>
  <c r="AF835" i="21" s="1"/>
  <c r="AE837" i="21"/>
  <c r="AH837" i="21" s="1"/>
  <c r="AE838" i="21"/>
  <c r="AF838" i="21" s="1"/>
  <c r="AE834" i="21"/>
  <c r="AH834" i="21" s="1"/>
  <c r="D82" i="3"/>
  <c r="AJ832" i="21"/>
  <c r="AI832" i="21"/>
  <c r="Y832" i="21"/>
  <c r="R832" i="21"/>
  <c r="O832" i="21"/>
  <c r="N832" i="21"/>
  <c r="AI831" i="21"/>
  <c r="Y831" i="21"/>
  <c r="R831" i="21"/>
  <c r="O831" i="21"/>
  <c r="N831" i="21"/>
  <c r="AJ833" i="21"/>
  <c r="AI833" i="21"/>
  <c r="Y833" i="21"/>
  <c r="R833" i="21"/>
  <c r="O833" i="21"/>
  <c r="N833" i="21"/>
  <c r="AI830" i="21"/>
  <c r="Y830" i="21"/>
  <c r="R830" i="21"/>
  <c r="O830" i="21"/>
  <c r="N830" i="21"/>
  <c r="AI829" i="21"/>
  <c r="Y829" i="21"/>
  <c r="R829" i="21"/>
  <c r="O829" i="21"/>
  <c r="N829" i="21"/>
  <c r="AI828" i="21"/>
  <c r="Y828" i="21"/>
  <c r="R828" i="21"/>
  <c r="O828" i="21"/>
  <c r="N828" i="21"/>
  <c r="Z828" i="21" l="1"/>
  <c r="Z831" i="21"/>
  <c r="Z829" i="21"/>
  <c r="Z833" i="21"/>
  <c r="Z832" i="21"/>
  <c r="Z830" i="21"/>
  <c r="AK835" i="21"/>
  <c r="AG833" i="21"/>
  <c r="AG841" i="21"/>
  <c r="AK841" i="21" s="1"/>
  <c r="AL841" i="21" s="1"/>
  <c r="AK836" i="21"/>
  <c r="AL836" i="21" s="1"/>
  <c r="AG834" i="21"/>
  <c r="AF836" i="21"/>
  <c r="AH838" i="21"/>
  <c r="AL838" i="21" s="1"/>
  <c r="AJ842" i="21"/>
  <c r="AF834" i="21"/>
  <c r="AH835" i="21"/>
  <c r="AL837" i="21"/>
  <c r="AH839" i="21"/>
  <c r="AL839" i="21" s="1"/>
  <c r="AF837" i="21"/>
  <c r="AE831" i="21"/>
  <c r="AH831" i="21" s="1"/>
  <c r="AE832" i="21"/>
  <c r="AH832" i="21" s="1"/>
  <c r="AE829" i="21"/>
  <c r="AH829" i="21" s="1"/>
  <c r="AE828" i="21"/>
  <c r="AH828" i="21" s="1"/>
  <c r="AE833" i="21"/>
  <c r="AH833" i="21" s="1"/>
  <c r="AE830" i="21"/>
  <c r="AF830" i="21" s="1"/>
  <c r="AI827" i="21"/>
  <c r="Y827" i="21"/>
  <c r="R827" i="21"/>
  <c r="O827" i="21"/>
  <c r="N827" i="21"/>
  <c r="AL835" i="21" l="1"/>
  <c r="Z827" i="21"/>
  <c r="AG842" i="21"/>
  <c r="AK842" i="21" s="1"/>
  <c r="AL842" i="21" s="1"/>
  <c r="AJ843" i="21"/>
  <c r="AJ845" i="21"/>
  <c r="AG846" i="21" s="1"/>
  <c r="AJ844" i="21"/>
  <c r="AF831" i="21"/>
  <c r="AF828" i="21"/>
  <c r="AF833" i="21"/>
  <c r="AF832" i="21"/>
  <c r="AH830" i="21"/>
  <c r="AF829" i="21"/>
  <c r="AE827" i="21"/>
  <c r="AH827" i="21" s="1"/>
  <c r="AI826" i="21"/>
  <c r="Y826" i="21"/>
  <c r="R826" i="21"/>
  <c r="O826" i="21"/>
  <c r="N826" i="21"/>
  <c r="AI825" i="21"/>
  <c r="Y825" i="21"/>
  <c r="R825" i="21"/>
  <c r="O825" i="21"/>
  <c r="N825" i="21"/>
  <c r="Z825" i="21" l="1"/>
  <c r="Z826" i="21"/>
  <c r="AG845" i="21"/>
  <c r="AK845" i="21" s="1"/>
  <c r="AL845" i="21" s="1"/>
  <c r="AG844" i="21"/>
  <c r="AK844" i="21" s="1"/>
  <c r="AL844" i="21" s="1"/>
  <c r="AG843" i="21"/>
  <c r="AK843" i="21" s="1"/>
  <c r="AL843" i="21" s="1"/>
  <c r="AK848" i="21"/>
  <c r="AL848" i="21" s="1"/>
  <c r="AK847" i="21"/>
  <c r="AL847" i="21" s="1"/>
  <c r="AK846" i="21"/>
  <c r="AL846" i="21" s="1"/>
  <c r="AF827" i="21"/>
  <c r="AE826" i="21"/>
  <c r="AH826" i="21" s="1"/>
  <c r="AE825" i="21"/>
  <c r="AF825" i="21" s="1"/>
  <c r="AH825" i="21" l="1"/>
  <c r="AF826" i="21"/>
  <c r="AJ825" i="21"/>
  <c r="AG825" i="21" l="1"/>
  <c r="AK825" i="21" s="1"/>
  <c r="AL825" i="21" s="1"/>
  <c r="AJ828" i="21"/>
  <c r="AJ831" i="21"/>
  <c r="AJ829" i="21"/>
  <c r="AJ830" i="21"/>
  <c r="AJ827" i="21"/>
  <c r="AJ826" i="21"/>
  <c r="AM973" i="21" s="1"/>
  <c r="AM975" i="21" l="1"/>
  <c r="AM974" i="21"/>
  <c r="AM970" i="21"/>
  <c r="AM969" i="21"/>
  <c r="AM968" i="21"/>
  <c r="AM972" i="21"/>
  <c r="AM971" i="21"/>
  <c r="AG828" i="21"/>
  <c r="AK828" i="21" s="1"/>
  <c r="AL828" i="21" s="1"/>
  <c r="AG830" i="21"/>
  <c r="AK830" i="21" s="1"/>
  <c r="AL830" i="21" s="1"/>
  <c r="AG827" i="21"/>
  <c r="AK827" i="21" s="1"/>
  <c r="AL827" i="21" s="1"/>
  <c r="AK834" i="21"/>
  <c r="AL834" i="21" s="1"/>
  <c r="AG832" i="21"/>
  <c r="AK832" i="21" s="1"/>
  <c r="AL832" i="21" s="1"/>
  <c r="AG829" i="21"/>
  <c r="AK829" i="21" s="1"/>
  <c r="AL829" i="21" s="1"/>
  <c r="AG831" i="21"/>
  <c r="AK831" i="21" s="1"/>
  <c r="AL831" i="21" s="1"/>
  <c r="AG826" i="21"/>
  <c r="AK826" i="21" s="1"/>
  <c r="AL826" i="21" s="1"/>
  <c r="AK833" i="21"/>
  <c r="AL833" i="21" s="1"/>
  <c r="D83" i="3" l="1"/>
  <c r="D84" i="3"/>
  <c r="D85" i="3"/>
  <c r="C26" i="24" l="1"/>
  <c r="AM967" i="21" l="1"/>
  <c r="AM966" i="21"/>
  <c r="AM965" i="21"/>
  <c r="AM964" i="21"/>
  <c r="AM962" i="21"/>
  <c r="AM963" i="21" l="1"/>
  <c r="AM961" i="21"/>
  <c r="AM960" i="21" l="1"/>
  <c r="AM959" i="21" l="1"/>
  <c r="E14" i="3"/>
  <c r="D19" i="25" l="1"/>
  <c r="D18" i="25"/>
  <c r="D17" i="25"/>
  <c r="D16" i="25"/>
  <c r="D15" i="25"/>
  <c r="D14" i="25"/>
  <c r="D13" i="25"/>
  <c r="D12" i="25"/>
  <c r="C19" i="25"/>
  <c r="C18" i="25"/>
  <c r="C17" i="25"/>
  <c r="C16" i="25"/>
  <c r="C15" i="25"/>
  <c r="C14" i="25"/>
  <c r="C13" i="25"/>
  <c r="C12" i="25"/>
  <c r="I223" i="21" l="1"/>
  <c r="H8" i="21"/>
  <c r="H7" i="21"/>
  <c r="H6" i="21"/>
  <c r="P13" i="21"/>
  <c r="P12" i="21"/>
  <c r="P11" i="21"/>
  <c r="P10" i="21"/>
  <c r="P9" i="21"/>
  <c r="P8" i="21"/>
  <c r="P7" i="21"/>
  <c r="P6" i="21"/>
  <c r="P5" i="21"/>
  <c r="P4" i="21"/>
  <c r="P3" i="21"/>
  <c r="P215" i="21"/>
  <c r="P214" i="21"/>
  <c r="P213" i="21"/>
  <c r="P212" i="21"/>
  <c r="P211" i="21"/>
  <c r="P210" i="21"/>
  <c r="P209" i="21"/>
  <c r="P208" i="21"/>
  <c r="P207" i="21"/>
  <c r="P206" i="21"/>
  <c r="P205" i="21"/>
  <c r="P204" i="21"/>
  <c r="P203" i="21"/>
  <c r="P202" i="21"/>
  <c r="P201" i="21"/>
  <c r="P200" i="21"/>
  <c r="P199" i="21"/>
  <c r="P198" i="21"/>
  <c r="P197" i="21"/>
  <c r="P196" i="21"/>
  <c r="P195" i="21"/>
  <c r="P194" i="21"/>
  <c r="P193" i="21"/>
  <c r="P192" i="21"/>
  <c r="P191" i="21"/>
  <c r="P243" i="21"/>
  <c r="P242" i="21"/>
  <c r="P241" i="21"/>
  <c r="P240" i="21"/>
  <c r="P239" i="21"/>
  <c r="P238" i="21"/>
  <c r="P237" i="21"/>
  <c r="P236" i="21"/>
  <c r="P235" i="21"/>
  <c r="P234" i="21"/>
  <c r="P233" i="21"/>
  <c r="P232" i="21"/>
  <c r="P231" i="21"/>
  <c r="P230" i="21"/>
  <c r="P229" i="21"/>
  <c r="P228" i="21"/>
  <c r="P227" i="21"/>
  <c r="P226" i="21"/>
  <c r="P225" i="21"/>
  <c r="P224" i="21"/>
  <c r="P223" i="21"/>
  <c r="P222" i="21"/>
  <c r="P221" i="21"/>
  <c r="P220" i="21"/>
  <c r="P219" i="21"/>
  <c r="P218" i="21"/>
  <c r="P217" i="21"/>
  <c r="P216" i="21"/>
  <c r="P190" i="21"/>
  <c r="P189" i="21"/>
  <c r="P188" i="21"/>
  <c r="P187" i="21"/>
  <c r="P186" i="21"/>
  <c r="P185" i="21"/>
  <c r="P184" i="21"/>
  <c r="P183" i="21"/>
  <c r="P182" i="21"/>
  <c r="P181" i="21"/>
  <c r="P180" i="21"/>
  <c r="P179" i="21"/>
  <c r="P178" i="21"/>
  <c r="P177" i="21"/>
  <c r="P176" i="21"/>
  <c r="P175" i="21"/>
  <c r="P174" i="21"/>
  <c r="P173" i="21"/>
  <c r="P172" i="21"/>
  <c r="P171" i="21"/>
  <c r="P170" i="21"/>
  <c r="P169" i="21"/>
  <c r="P168" i="21"/>
  <c r="P167" i="21"/>
  <c r="P166" i="21"/>
  <c r="P165" i="21"/>
  <c r="P164" i="21"/>
  <c r="P163" i="21"/>
  <c r="P162" i="21"/>
  <c r="P161" i="21"/>
  <c r="P160" i="21"/>
  <c r="P159" i="21"/>
  <c r="P158" i="21"/>
  <c r="P157" i="21"/>
  <c r="P156" i="21"/>
  <c r="P155" i="21"/>
  <c r="P154" i="21"/>
  <c r="P153" i="21"/>
  <c r="P152" i="21"/>
  <c r="P151" i="21"/>
  <c r="P150" i="21"/>
  <c r="P149" i="21"/>
  <c r="P148" i="21"/>
  <c r="P147" i="21"/>
  <c r="P146" i="21"/>
  <c r="P145" i="21"/>
  <c r="P144" i="21"/>
  <c r="P143" i="21"/>
  <c r="P142" i="21"/>
  <c r="P141" i="21"/>
  <c r="P140" i="21"/>
  <c r="P139" i="21"/>
  <c r="P138" i="21"/>
  <c r="P137" i="21"/>
  <c r="P136" i="21"/>
  <c r="P135" i="21"/>
  <c r="P134" i="21"/>
  <c r="P133" i="21"/>
  <c r="P132" i="21"/>
  <c r="P131" i="21"/>
  <c r="P130" i="21"/>
  <c r="P129" i="21"/>
  <c r="P128" i="21"/>
  <c r="P127" i="21"/>
  <c r="P126" i="21"/>
  <c r="P125" i="21"/>
  <c r="P124" i="21"/>
  <c r="P123" i="21"/>
  <c r="P122" i="21"/>
  <c r="P121" i="21"/>
  <c r="P120" i="21"/>
  <c r="P119" i="21"/>
  <c r="P118" i="21"/>
  <c r="P117" i="21"/>
  <c r="P116" i="21"/>
  <c r="P115" i="21"/>
  <c r="P114" i="21"/>
  <c r="P113" i="21"/>
  <c r="P112" i="21"/>
  <c r="P111" i="21"/>
  <c r="P110" i="21"/>
  <c r="P109" i="21"/>
  <c r="P108" i="21"/>
  <c r="P107" i="21"/>
  <c r="P106" i="21"/>
  <c r="P105" i="21"/>
  <c r="P104" i="21"/>
  <c r="P103" i="21"/>
  <c r="P102" i="21"/>
  <c r="P101" i="21"/>
  <c r="P100" i="21"/>
  <c r="P99" i="21"/>
  <c r="P98" i="21"/>
  <c r="P97" i="21"/>
  <c r="P96" i="21"/>
  <c r="P95" i="21"/>
  <c r="P94" i="21"/>
  <c r="P93" i="21"/>
  <c r="P92" i="21"/>
  <c r="P91" i="21"/>
  <c r="P90" i="21"/>
  <c r="P89" i="21"/>
  <c r="P88" i="21"/>
  <c r="P87" i="21"/>
  <c r="P86" i="21"/>
  <c r="P85" i="21"/>
  <c r="P84" i="21"/>
  <c r="P83" i="21"/>
  <c r="P82" i="21"/>
  <c r="P81" i="21"/>
  <c r="P80" i="21"/>
  <c r="P79" i="21"/>
  <c r="P78" i="21"/>
  <c r="P77" i="21"/>
  <c r="P76" i="21"/>
  <c r="P75" i="21"/>
  <c r="P74" i="21"/>
  <c r="P73" i="21"/>
  <c r="P72" i="21"/>
  <c r="P71" i="21"/>
  <c r="P70" i="21"/>
  <c r="P69" i="21"/>
  <c r="P68" i="21"/>
  <c r="P67" i="21"/>
  <c r="P66" i="21"/>
  <c r="P65" i="21"/>
  <c r="P64" i="21"/>
  <c r="P63" i="21"/>
  <c r="P62" i="21"/>
  <c r="P61" i="21"/>
  <c r="P60" i="21"/>
  <c r="P59" i="21"/>
  <c r="P58" i="21"/>
  <c r="P57" i="21"/>
  <c r="P56" i="21"/>
  <c r="P55" i="21"/>
  <c r="P54" i="21"/>
  <c r="P53" i="21"/>
  <c r="P52" i="21"/>
  <c r="P51" i="21"/>
  <c r="P50" i="21"/>
  <c r="P49" i="21"/>
  <c r="P48" i="21"/>
  <c r="P47" i="21"/>
  <c r="P46" i="21"/>
  <c r="P45" i="21"/>
  <c r="P44" i="21"/>
  <c r="P43" i="21"/>
  <c r="P42" i="21"/>
  <c r="P41" i="21"/>
  <c r="P40" i="21"/>
  <c r="P39" i="21"/>
  <c r="P38" i="21"/>
  <c r="P37" i="21"/>
  <c r="P36" i="21"/>
  <c r="P35" i="21"/>
  <c r="P34" i="21"/>
  <c r="P33" i="21"/>
  <c r="P32" i="21"/>
  <c r="P31" i="21"/>
  <c r="P30" i="21"/>
  <c r="P29" i="21"/>
  <c r="P28" i="21"/>
  <c r="P27" i="21"/>
  <c r="P26" i="21"/>
  <c r="P25" i="21"/>
  <c r="P24" i="21"/>
  <c r="P23" i="21"/>
  <c r="P22" i="21"/>
  <c r="P21" i="21"/>
  <c r="P20" i="21"/>
  <c r="P19" i="21"/>
  <c r="P18" i="21"/>
  <c r="P17" i="21"/>
  <c r="P16" i="21"/>
  <c r="P15" i="21"/>
  <c r="P14" i="21"/>
  <c r="P244" i="21"/>
  <c r="P272" i="21"/>
  <c r="P271" i="21"/>
  <c r="P270" i="21"/>
  <c r="P269" i="21"/>
  <c r="P268" i="21"/>
  <c r="P267" i="21"/>
  <c r="P266" i="21"/>
  <c r="P265" i="21"/>
  <c r="P264" i="21"/>
  <c r="P263" i="21"/>
  <c r="P262" i="21"/>
  <c r="P261" i="21"/>
  <c r="P260" i="21"/>
  <c r="P259" i="21"/>
  <c r="P258" i="21"/>
  <c r="P257" i="21"/>
  <c r="P256" i="21"/>
  <c r="P255" i="21"/>
  <c r="P254" i="21"/>
  <c r="P253" i="21"/>
  <c r="P252" i="21"/>
  <c r="P251" i="21"/>
  <c r="P250" i="21"/>
  <c r="P249" i="21"/>
  <c r="P248" i="21"/>
  <c r="P247" i="21"/>
  <c r="P246" i="21"/>
  <c r="P245" i="21"/>
  <c r="D11" i="25" l="1"/>
  <c r="C11" i="25"/>
  <c r="D11" i="24"/>
  <c r="C11" i="24"/>
  <c r="D28" i="24"/>
  <c r="E28" i="24"/>
  <c r="F28" i="24"/>
  <c r="P605" i="21"/>
  <c r="P604" i="21"/>
  <c r="P598" i="21"/>
  <c r="P597" i="21"/>
  <c r="P591" i="21"/>
  <c r="P590" i="21"/>
  <c r="P584" i="21"/>
  <c r="P583" i="21"/>
  <c r="P577" i="21"/>
  <c r="P576" i="21"/>
  <c r="P570" i="21"/>
  <c r="P569" i="21"/>
  <c r="P568" i="21"/>
  <c r="P563" i="21"/>
  <c r="P562" i="21"/>
  <c r="AM952" i="21" l="1"/>
  <c r="AM958" i="21"/>
  <c r="AM957" i="21"/>
  <c r="AM954" i="21"/>
  <c r="AM953" i="21"/>
  <c r="AM956" i="21"/>
  <c r="AM955" i="21"/>
  <c r="AM950" i="21"/>
  <c r="AM951" i="21"/>
  <c r="AM944" i="21"/>
  <c r="AM949" i="21"/>
  <c r="AM945" i="21"/>
  <c r="AM946" i="21"/>
  <c r="AM948" i="21"/>
  <c r="AM947" i="21"/>
  <c r="AM939" i="21"/>
  <c r="AM940" i="21"/>
  <c r="AM943" i="21"/>
  <c r="AM941" i="21"/>
  <c r="AM942" i="21"/>
  <c r="AM937" i="21"/>
  <c r="AM938" i="21"/>
  <c r="AM936" i="21"/>
  <c r="AM933" i="21"/>
  <c r="AM934" i="21"/>
  <c r="AM935" i="21"/>
  <c r="AM840" i="21"/>
  <c r="AM923" i="21"/>
  <c r="AM900" i="21"/>
  <c r="AM864" i="21"/>
  <c r="AM858" i="21"/>
  <c r="AM890" i="21"/>
  <c r="AM848" i="21"/>
  <c r="AM857" i="21"/>
  <c r="AM855" i="21"/>
  <c r="AM884" i="21"/>
  <c r="AM909" i="21"/>
  <c r="AM851" i="21"/>
  <c r="AM868" i="21"/>
  <c r="AM886" i="21"/>
  <c r="AM876" i="21"/>
  <c r="AM932" i="21"/>
  <c r="AM888" i="21"/>
  <c r="AM921" i="21"/>
  <c r="AM907" i="21"/>
  <c r="AM916" i="21"/>
  <c r="AM887" i="21"/>
  <c r="AM852" i="21"/>
  <c r="AM897" i="21"/>
  <c r="AM911" i="21"/>
  <c r="AM914" i="21"/>
  <c r="AM919" i="21"/>
  <c r="AM889" i="21"/>
  <c r="AM882" i="21"/>
  <c r="AM920" i="21"/>
  <c r="AM929" i="21"/>
  <c r="AM865" i="21"/>
  <c r="AM927" i="21"/>
  <c r="AM925" i="21"/>
  <c r="AM871" i="21"/>
  <c r="AM930" i="21"/>
  <c r="AM856" i="21"/>
  <c r="AM862" i="21"/>
  <c r="AM908" i="21"/>
  <c r="AM928" i="21"/>
  <c r="AM869" i="21"/>
  <c r="AM870" i="21"/>
  <c r="AM903" i="21"/>
  <c r="AM912" i="21"/>
  <c r="AM905" i="21"/>
  <c r="AM850" i="21"/>
  <c r="AM899" i="21"/>
  <c r="AM844" i="21"/>
  <c r="AM829" i="21"/>
  <c r="AM859" i="21"/>
  <c r="AM881" i="21"/>
  <c r="AM902" i="21"/>
  <c r="AM867" i="21"/>
  <c r="AM893" i="21"/>
  <c r="AM825" i="21"/>
  <c r="AM910" i="21"/>
  <c r="AM898" i="21"/>
  <c r="AM849" i="21"/>
  <c r="AM877" i="21"/>
  <c r="AM826" i="21"/>
  <c r="AM836" i="21"/>
  <c r="AM895" i="21"/>
  <c r="AM875" i="21"/>
  <c r="AM841" i="21"/>
  <c r="AM917" i="21"/>
  <c r="AM918" i="21"/>
  <c r="AM837" i="21"/>
  <c r="AM891" i="21"/>
  <c r="AM922" i="21"/>
  <c r="AM861" i="21"/>
  <c r="AM854" i="21"/>
  <c r="AM839" i="21"/>
  <c r="AM879" i="21"/>
  <c r="AM866" i="21"/>
  <c r="AM926" i="21"/>
  <c r="AM838" i="21"/>
  <c r="AM896" i="21"/>
  <c r="AM873" i="21"/>
  <c r="AM878" i="21"/>
  <c r="AM904" i="21"/>
  <c r="AM913" i="21"/>
  <c r="AM847" i="21"/>
  <c r="AM915" i="21"/>
  <c r="AM885" i="21"/>
  <c r="AM901" i="21"/>
  <c r="AM853" i="21"/>
  <c r="AM860" i="21"/>
  <c r="AM880" i="21"/>
  <c r="AM842" i="21"/>
  <c r="AM843" i="21"/>
  <c r="AM924" i="21"/>
  <c r="AM830" i="21"/>
  <c r="AM906" i="21"/>
  <c r="AM894" i="21"/>
  <c r="AM833" i="21"/>
  <c r="AM874" i="21"/>
  <c r="AM931" i="21"/>
  <c r="AM846" i="21"/>
  <c r="AM828" i="21"/>
  <c r="AM831" i="21"/>
  <c r="AM845" i="21"/>
  <c r="AM863" i="21"/>
  <c r="AM835" i="21"/>
  <c r="AM892" i="21"/>
  <c r="AM827" i="21"/>
  <c r="AM834" i="21"/>
  <c r="AM883" i="21"/>
  <c r="AM872" i="21"/>
  <c r="AM832" i="21"/>
  <c r="P472" i="21"/>
  <c r="P471" i="21"/>
  <c r="P465" i="21"/>
  <c r="P464" i="21"/>
  <c r="P556" i="21"/>
  <c r="P555" i="21"/>
  <c r="P549" i="21"/>
  <c r="P548" i="21"/>
  <c r="P542" i="21"/>
  <c r="P541" i="21"/>
  <c r="P535" i="21"/>
  <c r="P534" i="21"/>
  <c r="P528" i="21"/>
  <c r="P527" i="21"/>
  <c r="P521" i="21"/>
  <c r="P520" i="21"/>
  <c r="P508" i="21"/>
  <c r="P514" i="21"/>
  <c r="P513" i="21"/>
  <c r="P507" i="21"/>
  <c r="P506" i="21"/>
  <c r="P500" i="21"/>
  <c r="P499" i="21"/>
  <c r="P493" i="21"/>
  <c r="P492" i="21"/>
  <c r="P486" i="21"/>
  <c r="P485" i="21"/>
  <c r="P479" i="21"/>
  <c r="P478" i="21"/>
  <c r="P460" i="21"/>
  <c r="P459" i="21"/>
  <c r="P458" i="21"/>
  <c r="P457" i="21"/>
  <c r="P455" i="21"/>
  <c r="P453" i="21"/>
  <c r="P451" i="21"/>
  <c r="P450" i="21"/>
  <c r="P444" i="21"/>
  <c r="P443" i="21"/>
  <c r="P437" i="21"/>
  <c r="P436" i="21"/>
  <c r="P430" i="21"/>
  <c r="P429" i="21"/>
  <c r="P423" i="21"/>
  <c r="P422" i="21"/>
  <c r="P416" i="21"/>
  <c r="P415" i="21"/>
  <c r="P409" i="21"/>
  <c r="P408" i="21"/>
  <c r="P402" i="21"/>
  <c r="P401" i="21"/>
  <c r="P395" i="21"/>
  <c r="P394" i="21"/>
  <c r="P388" i="21"/>
  <c r="P387" i="21"/>
  <c r="P381" i="21"/>
  <c r="P380" i="21"/>
  <c r="P374" i="21"/>
  <c r="P373" i="21"/>
  <c r="P367" i="21"/>
  <c r="P366" i="21"/>
  <c r="P360" i="21"/>
  <c r="P359" i="21"/>
  <c r="P353" i="21"/>
  <c r="P352" i="21"/>
  <c r="P346" i="21"/>
  <c r="P345" i="21"/>
  <c r="P339" i="21"/>
  <c r="P338" i="21"/>
  <c r="P332" i="21"/>
  <c r="P331" i="21"/>
  <c r="P325" i="21"/>
  <c r="P324" i="21"/>
  <c r="P318" i="21"/>
  <c r="P317" i="21"/>
  <c r="P311" i="21"/>
  <c r="P310" i="21"/>
  <c r="P304" i="21"/>
  <c r="P303" i="21"/>
  <c r="P297" i="21"/>
  <c r="P296" i="21"/>
  <c r="P290" i="21"/>
  <c r="P289" i="21"/>
  <c r="P283" i="21"/>
  <c r="P282" i="21"/>
  <c r="P276" i="21"/>
  <c r="P275" i="21"/>
  <c r="P274" i="21"/>
  <c r="C10" i="25" l="1"/>
  <c r="D10" i="25"/>
  <c r="H347" i="21" l="1"/>
  <c r="D224" i="3"/>
  <c r="D225" i="3" s="1"/>
  <c r="D226" i="3" s="1"/>
  <c r="D227" i="3" s="1"/>
  <c r="D228" i="3" s="1"/>
  <c r="D229" i="3" s="1"/>
  <c r="D230" i="3" s="1"/>
  <c r="D231" i="3" s="1"/>
  <c r="D232" i="3" s="1"/>
  <c r="D233" i="3" s="1"/>
  <c r="D234" i="3" s="1"/>
  <c r="D235" i="3" s="1"/>
  <c r="D236" i="3" s="1"/>
  <c r="D237" i="3" s="1"/>
  <c r="D238" i="3" s="1"/>
  <c r="D239" i="3" s="1"/>
  <c r="D240" i="3" s="1"/>
  <c r="D241" i="3" s="1"/>
  <c r="D242" i="3" s="1"/>
  <c r="D243" i="3" s="1"/>
  <c r="D244" i="3" s="1"/>
  <c r="D245" i="3" s="1"/>
  <c r="D246" i="3" s="1"/>
  <c r="D247" i="3" s="1"/>
  <c r="D248" i="3" s="1"/>
  <c r="D249" i="3" s="1"/>
  <c r="D250" i="3" s="1"/>
  <c r="D251" i="3" s="1"/>
  <c r="D252" i="3" s="1"/>
  <c r="D253" i="3" s="1"/>
  <c r="D254" i="3" s="1"/>
  <c r="D255" i="3" s="1"/>
  <c r="D256" i="3" s="1"/>
  <c r="D257" i="3" s="1"/>
  <c r="D258" i="3" s="1"/>
  <c r="D259" i="3" s="1"/>
  <c r="D260" i="3" s="1"/>
  <c r="D261" i="3" s="1"/>
  <c r="D262" i="3" s="1"/>
  <c r="D263" i="3" s="1"/>
  <c r="D264" i="3" s="1"/>
  <c r="D265" i="3" s="1"/>
  <c r="D266" i="3" s="1"/>
  <c r="D267" i="3" s="1"/>
  <c r="D268" i="3" s="1"/>
  <c r="C10" i="24" l="1"/>
  <c r="AF854" i="21" l="1"/>
  <c r="G11" i="24" l="1"/>
  <c r="G11" i="25"/>
  <c r="C42" i="24" l="1"/>
  <c r="C41" i="24"/>
  <c r="C40" i="24"/>
  <c r="C39" i="24"/>
  <c r="C38" i="24"/>
  <c r="C37" i="24"/>
  <c r="C36" i="24"/>
  <c r="C35" i="24"/>
  <c r="C34" i="24"/>
  <c r="C33" i="24"/>
  <c r="C32" i="24"/>
  <c r="C31" i="24"/>
  <c r="D10" i="24" l="1"/>
  <c r="B42" i="24" l="1"/>
  <c r="D42" i="24" l="1"/>
  <c r="F42" i="24"/>
  <c r="E42" i="24"/>
  <c r="E16" i="24"/>
  <c r="F16" i="24" s="1"/>
  <c r="D86" i="3" l="1"/>
  <c r="B41" i="24" l="1"/>
  <c r="D41" i="24" l="1"/>
  <c r="F41" i="24"/>
  <c r="E41" i="24"/>
  <c r="E17" i="24"/>
  <c r="F17" i="24" s="1"/>
  <c r="B40" i="24" l="1"/>
  <c r="F40" i="24" l="1"/>
  <c r="D40" i="24"/>
  <c r="E40" i="24"/>
  <c r="E23" i="24"/>
  <c r="F23" i="24" s="1"/>
  <c r="E30" i="24" l="1"/>
  <c r="H30" i="24"/>
  <c r="G30" i="24"/>
  <c r="F30" i="24"/>
  <c r="D30" i="24" l="1"/>
  <c r="H28" i="24"/>
  <c r="G28" i="24"/>
  <c r="B39" i="24"/>
  <c r="F39" i="24" l="1"/>
  <c r="E39" i="24"/>
  <c r="D39" i="24"/>
  <c r="G39" i="24"/>
  <c r="G42" i="24"/>
  <c r="G41" i="24"/>
  <c r="G40" i="24"/>
  <c r="H42" i="24"/>
  <c r="H39" i="24"/>
  <c r="H41" i="24"/>
  <c r="H40" i="24"/>
  <c r="E18" i="24"/>
  <c r="F18" i="24" s="1"/>
  <c r="C22" i="25" l="1"/>
  <c r="C33" i="25" l="1"/>
  <c r="B33" i="25"/>
  <c r="C32" i="25"/>
  <c r="B32" i="25"/>
  <c r="C31" i="25"/>
  <c r="B31" i="25"/>
  <c r="C30" i="25"/>
  <c r="B30" i="25"/>
  <c r="C29" i="25"/>
  <c r="B29" i="25"/>
  <c r="C28" i="25"/>
  <c r="B28" i="25"/>
  <c r="C27" i="25"/>
  <c r="B27" i="25"/>
  <c r="C26" i="25"/>
  <c r="B26" i="25"/>
  <c r="C25" i="25"/>
  <c r="B25" i="25"/>
  <c r="C24" i="25"/>
  <c r="G32" i="25" l="1"/>
  <c r="F32" i="25"/>
  <c r="H32" i="25"/>
  <c r="E32" i="25"/>
  <c r="D32" i="25"/>
  <c r="G33" i="25"/>
  <c r="F33" i="25"/>
  <c r="E33" i="25"/>
  <c r="D33" i="25"/>
  <c r="H33" i="25"/>
  <c r="E31" i="25"/>
  <c r="D31" i="25"/>
  <c r="H31" i="25"/>
  <c r="F31" i="25"/>
  <c r="G31" i="25"/>
  <c r="G29" i="25"/>
  <c r="F29" i="25"/>
  <c r="D29" i="25"/>
  <c r="H29" i="25"/>
  <c r="E29" i="25"/>
  <c r="H30" i="25"/>
  <c r="G30" i="25"/>
  <c r="E30" i="25"/>
  <c r="F30" i="25"/>
  <c r="D30" i="25"/>
  <c r="E27" i="25"/>
  <c r="D27" i="25"/>
  <c r="G27" i="25"/>
  <c r="H27" i="25"/>
  <c r="F27" i="25"/>
  <c r="D28" i="25"/>
  <c r="E28" i="25"/>
  <c r="H28" i="25"/>
  <c r="G28" i="25"/>
  <c r="F28" i="25"/>
  <c r="H26" i="25"/>
  <c r="G26" i="25"/>
  <c r="E26" i="25"/>
  <c r="D26" i="25"/>
  <c r="F26" i="25"/>
  <c r="E17" i="25"/>
  <c r="F17" i="25" s="1"/>
  <c r="E14" i="25"/>
  <c r="F14" i="25" s="1"/>
  <c r="E15" i="25"/>
  <c r="F15" i="25" s="1"/>
  <c r="E13" i="25"/>
  <c r="F13" i="25" s="1"/>
  <c r="E16" i="25"/>
  <c r="F16" i="25" s="1"/>
  <c r="E18" i="25"/>
  <c r="F18" i="25" s="1"/>
  <c r="E19" i="25"/>
  <c r="F19" i="25" s="1"/>
  <c r="E12" i="25"/>
  <c r="F12" i="25" s="1"/>
  <c r="C29" i="24"/>
  <c r="C30" i="24"/>
  <c r="B29" i="24"/>
  <c r="B30" i="24"/>
  <c r="B38" i="24"/>
  <c r="B33" i="24"/>
  <c r="B34" i="24"/>
  <c r="B35" i="24"/>
  <c r="B36" i="24"/>
  <c r="B37" i="24"/>
  <c r="B32" i="24"/>
  <c r="B31" i="24"/>
  <c r="F31" i="24" l="1"/>
  <c r="E31" i="24"/>
  <c r="D31" i="24"/>
  <c r="H31" i="24"/>
  <c r="G31" i="24"/>
  <c r="E35" i="24"/>
  <c r="D35" i="24"/>
  <c r="F35" i="24"/>
  <c r="H35" i="24"/>
  <c r="G35" i="24"/>
  <c r="E37" i="24"/>
  <c r="D37" i="24"/>
  <c r="F37" i="24"/>
  <c r="H37" i="24"/>
  <c r="G37" i="24"/>
  <c r="F36" i="24"/>
  <c r="E36" i="24"/>
  <c r="D36" i="24"/>
  <c r="G36" i="24"/>
  <c r="H36" i="24"/>
  <c r="D34" i="24"/>
  <c r="E34" i="24"/>
  <c r="F34" i="24"/>
  <c r="G34" i="24"/>
  <c r="H34" i="24"/>
  <c r="D32" i="24"/>
  <c r="E32" i="24"/>
  <c r="F32" i="24"/>
  <c r="G32" i="24"/>
  <c r="H32" i="24"/>
  <c r="E33" i="24"/>
  <c r="F33" i="24"/>
  <c r="D33" i="24"/>
  <c r="H33" i="24"/>
  <c r="G33" i="24"/>
  <c r="D38" i="24"/>
  <c r="F38" i="24"/>
  <c r="E38" i="24"/>
  <c r="G38" i="24"/>
  <c r="H38" i="24"/>
  <c r="E19" i="24" l="1"/>
  <c r="F19" i="24" s="1"/>
  <c r="E13" i="24"/>
  <c r="F13" i="24" s="1"/>
  <c r="E20" i="24"/>
  <c r="F20" i="24" s="1"/>
  <c r="E21" i="24"/>
  <c r="F21" i="24" s="1"/>
  <c r="E14" i="24"/>
  <c r="F14" i="24" s="1"/>
  <c r="E22" i="24"/>
  <c r="F22" i="24" s="1"/>
  <c r="E15" i="24"/>
  <c r="F15" i="24" s="1"/>
  <c r="E12" i="24"/>
  <c r="F12" i="24" s="1"/>
  <c r="D87" i="3" l="1"/>
  <c r="D88" i="3" l="1"/>
  <c r="D89" i="3" l="1"/>
  <c r="P607" i="21" l="1"/>
  <c r="D90" i="3" l="1"/>
  <c r="D91" i="3"/>
  <c r="P606" i="21" l="1"/>
  <c r="P603" i="21" l="1"/>
  <c r="P602" i="21" l="1"/>
  <c r="P601" i="21" l="1"/>
  <c r="P600" i="21" l="1"/>
  <c r="P599" i="21" l="1"/>
  <c r="P596" i="21" l="1"/>
  <c r="P595" i="21"/>
  <c r="P594" i="21"/>
  <c r="P593" i="21"/>
  <c r="P592" i="21" l="1"/>
  <c r="P589" i="21" l="1"/>
  <c r="P588" i="21" l="1"/>
  <c r="P587" i="21" l="1"/>
  <c r="P586" i="21" l="1"/>
  <c r="P585" i="21" l="1"/>
  <c r="P582" i="21" l="1"/>
  <c r="P581" i="21" l="1"/>
  <c r="P580" i="21"/>
  <c r="P579" i="21" l="1"/>
  <c r="P578" i="21" l="1"/>
  <c r="P575" i="21" l="1"/>
  <c r="P574" i="21" l="1"/>
  <c r="P573" i="21"/>
  <c r="P572" i="21" l="1"/>
  <c r="P571" i="21" l="1"/>
  <c r="P567" i="21"/>
  <c r="P566" i="21" l="1"/>
  <c r="P565" i="21" l="1"/>
  <c r="P564" i="21" l="1"/>
  <c r="P561" i="21"/>
  <c r="P560" i="21" l="1"/>
  <c r="P559" i="21" l="1"/>
  <c r="P558" i="21" l="1"/>
  <c r="P557" i="21"/>
  <c r="P554" i="21" l="1"/>
  <c r="P553" i="21" l="1"/>
  <c r="P552" i="21" l="1"/>
  <c r="P551" i="21" l="1"/>
  <c r="P550" i="21" l="1"/>
  <c r="P547" i="21" l="1"/>
  <c r="P546" i="21" l="1"/>
  <c r="P545" i="21" l="1"/>
  <c r="P544" i="21"/>
  <c r="P543" i="21" l="1"/>
  <c r="P540" i="21" l="1"/>
  <c r="P539" i="21" l="1"/>
  <c r="P538" i="21" l="1"/>
  <c r="P537" i="21" l="1"/>
  <c r="E40" i="3"/>
  <c r="N77" i="3" l="1"/>
  <c r="L77" i="3"/>
  <c r="P536" i="21" l="1"/>
  <c r="P533" i="21" l="1"/>
  <c r="P532" i="21" l="1"/>
  <c r="P531" i="21"/>
  <c r="P530" i="21" l="1"/>
  <c r="P529" i="21" l="1"/>
  <c r="P526" i="21"/>
  <c r="P525" i="21" l="1"/>
  <c r="P524" i="21" l="1"/>
  <c r="P523" i="21" l="1"/>
  <c r="D92" i="3" l="1"/>
  <c r="P522" i="21"/>
  <c r="P519" i="21" l="1"/>
  <c r="P518" i="21" l="1"/>
  <c r="P517" i="21" l="1"/>
  <c r="P516" i="21" l="1"/>
  <c r="P515" i="21" l="1"/>
  <c r="P512" i="21" l="1"/>
  <c r="P511" i="21" l="1"/>
  <c r="P510" i="21" l="1"/>
  <c r="D93" i="3" l="1"/>
  <c r="P509" i="21"/>
  <c r="P505" i="21" l="1"/>
  <c r="P504" i="21" l="1"/>
  <c r="P503" i="21" l="1"/>
  <c r="P502" i="21" l="1"/>
  <c r="P501" i="21" l="1"/>
  <c r="P498" i="21" l="1"/>
  <c r="P497" i="21" l="1"/>
  <c r="P496" i="21" l="1"/>
  <c r="P495" i="21" l="1"/>
  <c r="P494" i="21" l="1"/>
  <c r="P491" i="21" l="1"/>
  <c r="P490" i="21" l="1"/>
  <c r="P489" i="21" l="1"/>
  <c r="P488" i="21"/>
  <c r="P487" i="21" l="1"/>
  <c r="P484" i="21" l="1"/>
  <c r="P483" i="21" l="1"/>
  <c r="P482" i="21" l="1"/>
  <c r="P481" i="21" l="1"/>
  <c r="P480" i="21" l="1"/>
  <c r="P477" i="21" l="1"/>
  <c r="P476" i="21" l="1"/>
  <c r="D94" i="3" l="1"/>
  <c r="P475" i="21" l="1"/>
  <c r="P474" i="21"/>
  <c r="P473" i="21" l="1"/>
  <c r="P470" i="21" l="1"/>
  <c r="P469" i="21" l="1"/>
  <c r="P468" i="21" l="1"/>
  <c r="P467" i="21"/>
  <c r="P466" i="21" l="1"/>
  <c r="P463" i="21" l="1"/>
  <c r="P462" i="21"/>
  <c r="P461" i="21" l="1"/>
  <c r="P456" i="21" l="1"/>
  <c r="P454" i="21" l="1"/>
  <c r="P452" i="21" l="1"/>
  <c r="P449" i="21" l="1"/>
  <c r="P448" i="21" l="1"/>
  <c r="P447" i="21" l="1"/>
  <c r="P446" i="21" l="1"/>
  <c r="P445" i="21" l="1"/>
  <c r="P442" i="21"/>
  <c r="P441" i="21"/>
  <c r="P440" i="21" l="1"/>
  <c r="P439" i="21" l="1"/>
  <c r="P434" i="21" l="1"/>
  <c r="P438" i="21"/>
  <c r="P435" i="21" l="1"/>
  <c r="P433" i="21" l="1"/>
  <c r="D95" i="3" l="1"/>
  <c r="P432" i="21"/>
  <c r="P431" i="21" l="1"/>
  <c r="P428" i="21" l="1"/>
  <c r="P427" i="21" l="1"/>
  <c r="P426" i="21" l="1"/>
  <c r="P425" i="21" l="1"/>
  <c r="P424" i="21" l="1"/>
  <c r="P421" i="21" l="1"/>
  <c r="P420" i="21" l="1"/>
  <c r="P419" i="21"/>
  <c r="P418" i="21" l="1"/>
  <c r="P417" i="21" l="1"/>
  <c r="P414" i="21" l="1"/>
  <c r="P413" i="21" l="1"/>
  <c r="P412" i="21" l="1"/>
  <c r="P411" i="21" l="1"/>
  <c r="P410" i="21" l="1"/>
  <c r="D96" i="3" l="1"/>
  <c r="P407" i="21"/>
  <c r="P406" i="21" l="1"/>
  <c r="P405" i="21"/>
  <c r="P404" i="21" l="1"/>
  <c r="P403" i="21" l="1"/>
  <c r="P400" i="21"/>
  <c r="P399" i="21" l="1"/>
  <c r="P398" i="21" l="1"/>
  <c r="P397" i="21" l="1"/>
  <c r="P396" i="21" l="1"/>
  <c r="P393" i="21" l="1"/>
  <c r="P392" i="21" l="1"/>
  <c r="P391" i="21" l="1"/>
  <c r="P390" i="21" l="1"/>
  <c r="P389" i="21" l="1"/>
  <c r="P386" i="21" l="1"/>
  <c r="P385" i="21" l="1"/>
  <c r="P384" i="21" l="1"/>
  <c r="P382" i="21" l="1"/>
  <c r="P379" i="21" l="1"/>
  <c r="P378" i="21" l="1"/>
  <c r="P377" i="21" l="1"/>
  <c r="P302" i="21" l="1"/>
  <c r="P301" i="21"/>
  <c r="P300" i="21"/>
  <c r="P299" i="21"/>
  <c r="P298" i="21"/>
  <c r="P295" i="21"/>
  <c r="P294" i="21"/>
  <c r="P293" i="21"/>
  <c r="P292" i="21"/>
  <c r="P291" i="21"/>
  <c r="P288" i="21"/>
  <c r="P287" i="21"/>
  <c r="P286" i="21"/>
  <c r="P285" i="21"/>
  <c r="P284" i="21"/>
  <c r="P281" i="21"/>
  <c r="P280" i="21"/>
  <c r="P279" i="21"/>
  <c r="P278" i="21"/>
  <c r="P277" i="21"/>
  <c r="P273" i="21"/>
  <c r="P376" i="21" l="1"/>
  <c r="P375" i="21" l="1"/>
  <c r="P372" i="21" l="1"/>
  <c r="P371" i="21" l="1"/>
  <c r="P370" i="21" l="1"/>
  <c r="P369" i="21" l="1"/>
  <c r="P320" i="21" l="1"/>
  <c r="P319" i="21"/>
  <c r="P316" i="21"/>
  <c r="P315" i="21"/>
  <c r="P314" i="21"/>
  <c r="P313" i="21"/>
  <c r="P312" i="21"/>
  <c r="P309" i="21"/>
  <c r="P308" i="21"/>
  <c r="P307" i="21"/>
  <c r="P306" i="21"/>
  <c r="P305" i="21"/>
  <c r="P335" i="21"/>
  <c r="P334" i="21"/>
  <c r="P333" i="21"/>
  <c r="P330" i="21"/>
  <c r="P329" i="21"/>
  <c r="P328" i="21"/>
  <c r="P327" i="21"/>
  <c r="P326" i="21"/>
  <c r="P323" i="21"/>
  <c r="P322" i="21"/>
  <c r="P321" i="21"/>
  <c r="J29" i="5" l="1"/>
  <c r="J27" i="5"/>
  <c r="J26" i="5"/>
  <c r="J22" i="5"/>
  <c r="J21" i="5"/>
  <c r="J20" i="5"/>
  <c r="J36" i="5"/>
  <c r="J35" i="5"/>
  <c r="J34" i="5"/>
  <c r="K15" i="5"/>
  <c r="K6" i="5"/>
  <c r="K9" i="5"/>
  <c r="K11" i="5"/>
  <c r="K10" i="5"/>
  <c r="J28" i="5" l="1"/>
  <c r="K33" i="5"/>
  <c r="J38" i="5"/>
  <c r="J39" i="5" s="1"/>
  <c r="P368" i="21"/>
  <c r="P357" i="21" l="1"/>
  <c r="P358" i="21"/>
  <c r="P344" i="21"/>
  <c r="P343" i="21"/>
  <c r="P342" i="21"/>
  <c r="P341" i="21"/>
  <c r="P340" i="21"/>
  <c r="P337" i="21"/>
  <c r="P336" i="21"/>
  <c r="P354" i="21"/>
  <c r="P351" i="21"/>
  <c r="P350" i="21"/>
  <c r="P349" i="21"/>
  <c r="P348" i="21"/>
  <c r="P347" i="21"/>
  <c r="P383" i="21"/>
  <c r="P355" i="21"/>
  <c r="P356" i="21"/>
  <c r="P361" i="21"/>
  <c r="P362" i="21"/>
  <c r="P363" i="21"/>
  <c r="P365" i="21" l="1"/>
  <c r="P364" i="21"/>
  <c r="K14" i="5" s="1"/>
  <c r="J24" i="5" l="1"/>
  <c r="J23" i="5"/>
  <c r="J31" i="5"/>
  <c r="J32" i="5" s="1"/>
  <c r="J30" i="5"/>
  <c r="K13" i="5"/>
  <c r="K25" i="5"/>
  <c r="D40" i="3"/>
  <c r="K12" i="5" l="1"/>
  <c r="K19" i="5"/>
  <c r="K17" i="5"/>
  <c r="D97" i="3"/>
  <c r="K4" i="5" l="1"/>
  <c r="K8" i="5"/>
  <c r="D98" i="3" l="1"/>
  <c r="D99" i="3" l="1"/>
  <c r="D100" i="3" l="1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C220" i="3"/>
  <c r="D220" i="3" l="1"/>
  <c r="AA15" i="10" l="1"/>
  <c r="AA5" i="10" l="1"/>
  <c r="J77" i="3" l="1"/>
  <c r="I77" i="3"/>
  <c r="H77" i="3"/>
  <c r="G77" i="3"/>
  <c r="F77" i="3"/>
  <c r="E77" i="3"/>
  <c r="K76" i="3"/>
  <c r="K77" i="3" s="1"/>
  <c r="D66" i="3"/>
  <c r="E66" i="3" s="1"/>
  <c r="F66" i="3" s="1"/>
  <c r="G66" i="3" s="1"/>
  <c r="H66" i="3" s="1"/>
  <c r="I66" i="3" s="1"/>
  <c r="J66" i="3" s="1"/>
  <c r="K66" i="3" s="1"/>
  <c r="L66" i="3" s="1"/>
  <c r="N66" i="3" s="1"/>
  <c r="O66" i="3" s="1"/>
  <c r="P66" i="3" s="1"/>
  <c r="Q66" i="3" s="1"/>
  <c r="R66" i="3" s="1"/>
  <c r="S66" i="3" s="1"/>
  <c r="D65" i="3"/>
  <c r="D57" i="3"/>
  <c r="E58" i="3" s="1"/>
  <c r="E17" i="3"/>
  <c r="C28" i="10"/>
  <c r="C33" i="10"/>
  <c r="K22" i="10"/>
  <c r="K15" i="10"/>
  <c r="K5" i="10"/>
  <c r="E65" i="3" l="1"/>
  <c r="F65" i="3" s="1"/>
  <c r="G65" i="3" s="1"/>
  <c r="H65" i="3" s="1"/>
  <c r="I65" i="3" s="1"/>
  <c r="J65" i="3" s="1"/>
  <c r="K65" i="3" s="1"/>
  <c r="L65" i="3" s="1"/>
  <c r="N65" i="3" s="1"/>
  <c r="O65" i="3" s="1"/>
  <c r="P65" i="3" s="1"/>
  <c r="Q65" i="3" s="1"/>
  <c r="R65" i="3" s="1"/>
  <c r="S65" i="3" s="1"/>
  <c r="E57" i="3"/>
  <c r="F58" i="3" s="1"/>
  <c r="C35" i="10"/>
  <c r="F57" i="3" l="1"/>
  <c r="G58" i="3" s="1"/>
  <c r="G57" i="3" l="1"/>
  <c r="H57" i="3" s="1"/>
  <c r="C42" i="10" l="1"/>
  <c r="H58" i="3"/>
  <c r="I58" i="3" s="1"/>
  <c r="I57" i="3"/>
  <c r="S5" i="10" l="1"/>
  <c r="C48" i="10"/>
  <c r="J58" i="3"/>
  <c r="J57" i="3"/>
  <c r="C50" i="10" l="1"/>
  <c r="C52" i="10"/>
  <c r="C5" i="10"/>
  <c r="K11" i="10"/>
  <c r="K57" i="3"/>
  <c r="K58" i="3"/>
  <c r="L57" i="3" l="1"/>
  <c r="L58" i="3"/>
  <c r="N58" i="3" l="1"/>
  <c r="N57" i="3"/>
  <c r="J37" i="5"/>
  <c r="C283" i="3"/>
  <c r="D269" i="3"/>
  <c r="D270" i="3" s="1"/>
  <c r="D271" i="3" s="1"/>
  <c r="D272" i="3" s="1"/>
  <c r="D273" i="3" s="1"/>
  <c r="D274" i="3" s="1"/>
  <c r="D275" i="3" s="1"/>
  <c r="D276" i="3" s="1"/>
  <c r="D277" i="3" s="1"/>
  <c r="D278" i="3" s="1"/>
  <c r="D279" i="3" s="1"/>
  <c r="D280" i="3" s="1"/>
  <c r="D281" i="3" s="1"/>
  <c r="D282" i="3" s="1"/>
  <c r="H11" i="25" l="1"/>
  <c r="E11" i="25" s="1"/>
  <c r="F11" i="25" s="1"/>
  <c r="H11" i="24" l="1"/>
  <c r="E11" i="24" s="1"/>
  <c r="F11" i="24" s="1"/>
  <c r="D25" i="25" l="1"/>
  <c r="F25" i="25"/>
  <c r="E25" i="25"/>
  <c r="G25" i="25"/>
  <c r="H25" i="25"/>
  <c r="W825" i="21" l="1"/>
  <c r="X825" i="21"/>
  <c r="W826" i="21" l="1"/>
  <c r="X826" i="21"/>
  <c r="W828" i="21" l="1"/>
  <c r="X828" i="21"/>
  <c r="W827" i="21"/>
  <c r="X827" i="21"/>
  <c r="W829" i="21" l="1"/>
  <c r="X829" i="21"/>
  <c r="X831" i="21" l="1"/>
  <c r="W831" i="21"/>
  <c r="X830" i="21"/>
  <c r="W830" i="21"/>
  <c r="X834" i="21" l="1"/>
  <c r="W840" i="21"/>
  <c r="X837" i="21"/>
  <c r="X843" i="21"/>
  <c r="W834" i="21"/>
  <c r="W837" i="21"/>
  <c r="X840" i="21"/>
  <c r="W843" i="21"/>
  <c r="W852" i="21"/>
  <c r="X852" i="21"/>
  <c r="W849" i="21"/>
  <c r="X849" i="21"/>
  <c r="X846" i="21"/>
  <c r="W846" i="21"/>
  <c r="X836" i="21"/>
  <c r="W836" i="21"/>
  <c r="W835" i="21"/>
  <c r="X835" i="21"/>
  <c r="X832" i="21"/>
  <c r="W832" i="21"/>
  <c r="W833" i="21"/>
  <c r="X833" i="21"/>
  <c r="W853" i="21" l="1"/>
  <c r="X853" i="21"/>
  <c r="X850" i="21"/>
  <c r="W850" i="21"/>
  <c r="X847" i="21"/>
  <c r="W847" i="21"/>
  <c r="W842" i="21"/>
  <c r="X842" i="21"/>
  <c r="W844" i="21"/>
  <c r="X844" i="21"/>
  <c r="W841" i="21"/>
  <c r="X841" i="21"/>
  <c r="W838" i="21"/>
  <c r="X838" i="21"/>
  <c r="W839" i="21"/>
  <c r="X839" i="21"/>
  <c r="W856" i="21" l="1"/>
  <c r="X856" i="21"/>
  <c r="W855" i="21"/>
  <c r="X855" i="21"/>
  <c r="W854" i="21"/>
  <c r="X854" i="21"/>
  <c r="X851" i="21"/>
  <c r="W851" i="21"/>
  <c r="W848" i="21"/>
  <c r="X848" i="21"/>
  <c r="W845" i="21"/>
  <c r="X845" i="21"/>
  <c r="X857" i="21" l="1"/>
  <c r="W857" i="21"/>
  <c r="W863" i="21" l="1"/>
  <c r="X863" i="21"/>
  <c r="W862" i="21"/>
  <c r="X862" i="21"/>
  <c r="X861" i="21"/>
  <c r="W861" i="21"/>
  <c r="X860" i="21"/>
  <c r="W860" i="21"/>
  <c r="W859" i="21"/>
  <c r="X859" i="21"/>
  <c r="W858" i="21"/>
  <c r="X858" i="21"/>
  <c r="W864" i="21" l="1"/>
  <c r="X864" i="21"/>
  <c r="W870" i="21" l="1"/>
  <c r="X870" i="21"/>
  <c r="X869" i="21"/>
  <c r="W869" i="21"/>
  <c r="X868" i="21"/>
  <c r="W868" i="21"/>
  <c r="X867" i="21"/>
  <c r="W867" i="21"/>
  <c r="W866" i="21"/>
  <c r="X866" i="21"/>
  <c r="W865" i="21"/>
  <c r="X865" i="21"/>
  <c r="W871" i="21" l="1"/>
  <c r="X871" i="21"/>
  <c r="W877" i="21" l="1"/>
  <c r="X877" i="21"/>
  <c r="W876" i="21"/>
  <c r="G10" i="25" s="1"/>
  <c r="X876" i="21"/>
  <c r="X875" i="21"/>
  <c r="W875" i="21"/>
  <c r="X874" i="21"/>
  <c r="W874" i="21"/>
  <c r="W873" i="21"/>
  <c r="X873" i="21"/>
  <c r="W872" i="21"/>
  <c r="X872" i="21"/>
  <c r="W878" i="21" l="1"/>
  <c r="X878" i="21"/>
  <c r="X885" i="21" l="1"/>
  <c r="W885" i="21"/>
  <c r="W884" i="21"/>
  <c r="X884" i="21"/>
  <c r="X883" i="21"/>
  <c r="W883" i="21"/>
  <c r="X882" i="21"/>
  <c r="W882" i="21"/>
  <c r="X881" i="21"/>
  <c r="W881" i="21"/>
  <c r="W880" i="21"/>
  <c r="X880" i="21"/>
  <c r="W879" i="21"/>
  <c r="G10" i="24" s="1"/>
  <c r="X879" i="21"/>
  <c r="W888" i="21" l="1"/>
  <c r="X888" i="21"/>
  <c r="W887" i="21"/>
  <c r="X887" i="21"/>
  <c r="X886" i="21"/>
  <c r="W886" i="21"/>
  <c r="X891" i="21" l="1"/>
  <c r="W891" i="21"/>
  <c r="W890" i="21"/>
  <c r="X890" i="21"/>
  <c r="X889" i="21"/>
  <c r="W889" i="21"/>
  <c r="X892" i="21" l="1"/>
  <c r="W892" i="21"/>
  <c r="W898" i="21" l="1"/>
  <c r="X898" i="21"/>
  <c r="W897" i="21"/>
  <c r="X897" i="21"/>
  <c r="X896" i="21"/>
  <c r="W896" i="21"/>
  <c r="W895" i="21"/>
  <c r="X895" i="21"/>
  <c r="X894" i="21"/>
  <c r="W894" i="21"/>
  <c r="X893" i="21"/>
  <c r="W893" i="21"/>
  <c r="X899" i="21" l="1"/>
  <c r="W899" i="21"/>
  <c r="X905" i="21" l="1"/>
  <c r="W905" i="21"/>
  <c r="X904" i="21"/>
  <c r="W904" i="21"/>
  <c r="X903" i="21"/>
  <c r="W903" i="21"/>
  <c r="W902" i="21"/>
  <c r="X902" i="21"/>
  <c r="X901" i="21"/>
  <c r="W901" i="21"/>
  <c r="X900" i="21"/>
  <c r="W900" i="21"/>
  <c r="X906" i="21" l="1"/>
  <c r="W906" i="21"/>
  <c r="X912" i="21" l="1"/>
  <c r="W912" i="21"/>
  <c r="X911" i="21"/>
  <c r="W911" i="21"/>
  <c r="X910" i="21"/>
  <c r="W910" i="21"/>
  <c r="X909" i="21"/>
  <c r="W909" i="21"/>
  <c r="X908" i="21"/>
  <c r="W908" i="21"/>
  <c r="X907" i="21"/>
  <c r="W907" i="21"/>
  <c r="X946" i="21" l="1"/>
  <c r="W946" i="21"/>
  <c r="X918" i="21"/>
  <c r="W914" i="21"/>
  <c r="W918" i="21"/>
  <c r="X914" i="21"/>
  <c r="W916" i="21"/>
  <c r="X937" i="21"/>
  <c r="X916" i="21"/>
  <c r="W937" i="21"/>
  <c r="W939" i="21"/>
  <c r="X939" i="21"/>
  <c r="W920" i="21"/>
  <c r="X920" i="21"/>
  <c r="W913" i="21"/>
  <c r="X913" i="21"/>
  <c r="H10" i="25"/>
  <c r="E10" i="25" s="1"/>
  <c r="F10" i="25" s="1"/>
  <c r="H10" i="24"/>
  <c r="E10" i="24" s="1"/>
  <c r="F10" i="24" s="1"/>
  <c r="W947" i="21" l="1"/>
  <c r="X947" i="21"/>
  <c r="W938" i="21"/>
  <c r="X938" i="21"/>
  <c r="W941" i="21"/>
  <c r="X941" i="21"/>
  <c r="W919" i="21"/>
  <c r="X919" i="21"/>
  <c r="X922" i="21"/>
  <c r="W922" i="21"/>
  <c r="W917" i="21"/>
  <c r="X917" i="21"/>
  <c r="W915" i="21"/>
  <c r="X915" i="21"/>
  <c r="X948" i="21" l="1"/>
  <c r="W948" i="21"/>
  <c r="W940" i="21"/>
  <c r="X940" i="21"/>
  <c r="W943" i="21"/>
  <c r="X943" i="21"/>
  <c r="X924" i="21"/>
  <c r="W924" i="21"/>
  <c r="W921" i="21"/>
  <c r="X921" i="21"/>
  <c r="X950" i="21" l="1"/>
  <c r="W950" i="21"/>
  <c r="W942" i="21"/>
  <c r="X942" i="21"/>
  <c r="X934" i="21"/>
  <c r="W934" i="21"/>
  <c r="X923" i="21"/>
  <c r="W923" i="21"/>
  <c r="X926" i="21"/>
  <c r="W926" i="21"/>
  <c r="X953" i="21" l="1"/>
  <c r="W953" i="21"/>
  <c r="W952" i="21"/>
  <c r="X952" i="21"/>
  <c r="W951" i="21"/>
  <c r="X951" i="21"/>
  <c r="W945" i="21"/>
  <c r="X945" i="21"/>
  <c r="X933" i="21"/>
  <c r="W933" i="21"/>
  <c r="W936" i="21"/>
  <c r="X936" i="21"/>
  <c r="X931" i="21"/>
  <c r="W928" i="21"/>
  <c r="X928" i="21"/>
  <c r="X925" i="21"/>
  <c r="W925" i="21"/>
  <c r="W954" i="21" l="1"/>
  <c r="X954" i="21"/>
  <c r="W944" i="21"/>
  <c r="X944" i="21"/>
  <c r="W931" i="21"/>
  <c r="W935" i="21"/>
  <c r="X935" i="21"/>
  <c r="W932" i="21"/>
  <c r="X932" i="21"/>
  <c r="W927" i="21"/>
  <c r="X927" i="21"/>
  <c r="X955" i="21" l="1"/>
  <c r="W955" i="21"/>
  <c r="X929" i="21"/>
  <c r="W929" i="21"/>
  <c r="X949" i="21"/>
  <c r="W949" i="21"/>
  <c r="X930" i="21"/>
  <c r="W930" i="21"/>
  <c r="X958" i="21" l="1"/>
  <c r="W958" i="21"/>
  <c r="W957" i="21"/>
  <c r="X957" i="21"/>
  <c r="W956" i="21"/>
  <c r="X956" i="21"/>
  <c r="X960" i="21" l="1"/>
  <c r="W960" i="21"/>
  <c r="X959" i="21"/>
  <c r="W959" i="21"/>
  <c r="X961" i="21" l="1"/>
  <c r="W961" i="21"/>
  <c r="X962" i="21" l="1"/>
  <c r="W962" i="21"/>
  <c r="X967" i="21" l="1"/>
  <c r="W967" i="21"/>
  <c r="X966" i="21"/>
  <c r="W966" i="21"/>
  <c r="W965" i="21"/>
  <c r="X965" i="21"/>
  <c r="W964" i="21"/>
  <c r="X964" i="21"/>
  <c r="W963" i="21"/>
  <c r="X963" i="21"/>
  <c r="E29" i="24" l="1"/>
  <c r="E24" i="25" s="1"/>
  <c r="H29" i="24"/>
  <c r="H24" i="25" s="1"/>
  <c r="G29" i="24"/>
  <c r="G24" i="25" s="1"/>
  <c r="D29" i="24"/>
  <c r="D24" i="25" s="1"/>
  <c r="F29" i="24"/>
  <c r="F24" i="2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Chase (PREMIER)</author>
  </authors>
  <commentList>
    <comment ref="K9" authorId="0" shapeId="0" xr:uid="{BAB8D285-6007-42FA-9B15-487E7E3F9EF6}">
      <text>
        <r>
          <rPr>
            <b/>
            <sz val="9"/>
            <color indexed="81"/>
            <rFont val="Tahoma"/>
            <family val="2"/>
          </rPr>
          <t>David Chase (PREMIER):</t>
        </r>
        <r>
          <rPr>
            <sz val="9"/>
            <color indexed="81"/>
            <rFont val="Tahoma"/>
            <family val="2"/>
          </rPr>
          <t xml:space="preserve">
Paid on 28th</t>
        </r>
      </text>
    </comment>
    <comment ref="K10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David Chase (PREMIER):</t>
        </r>
        <r>
          <rPr>
            <sz val="9"/>
            <color indexed="81"/>
            <rFont val="Tahoma"/>
            <family val="2"/>
          </rPr>
          <t xml:space="preserve">
Paid on 28th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tc={2CC4945C-AFCA-4800-B4BA-86445EDB4E7D}</author>
  </authors>
  <commentList>
    <comment ref="Q2" authorId="0" shapeId="0" xr:uid="{2CC4945C-AFCA-4800-B4BA-86445EDB4E7D}">
      <text>
        <t>[Threaded comment]
Your version of Excel allows you to read this threaded comment; however, any edits to it will get removed if the file is opened in a newer version of Excel. Learn more: https://go.microsoft.com/fwlink/?linkid=870924
Comment:
    Payments are made on the 28th of each month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Chase</author>
  </authors>
  <commentList>
    <comment ref="C26" authorId="0" shapeId="0" xr:uid="{59099D02-E94B-44E0-A26C-4E250B643FF6}">
      <text>
        <r>
          <rPr>
            <b/>
            <sz val="9"/>
            <color indexed="81"/>
            <rFont val="Tahoma"/>
            <family val="2"/>
          </rPr>
          <t xml:space="preserve">If it's any weekday after 4PM return today, otherwise return one working day ago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E545293-E39B-4B8C-BB5F-CF5E75699D19}" keepAlive="1" name="Query - qryBestDays" description="Connection to the 'qryBestDays' query in the workbook." type="5" refreshedVersion="6" background="1" saveData="1">
    <dbPr connection="Provider=Microsoft.Mashup.OleDb.1;Data Source=$Workbook$;Location=qryBestDays;Extended Properties=&quot;&quot;" command="SELECT * FROM [qryBestDays]"/>
  </connection>
  <connection id="2" xr16:uid="{D955706C-0EB2-488A-B087-B9A17DBC7528}" keepAlive="1" name="Query - qryRecentPerformance" description="Connection to the 'qryRecentPerformance' query in the workbook." type="5" refreshedVersion="6" background="1" saveData="1">
    <dbPr connection="Provider=Microsoft.Mashup.OleDb.1;Data Source=$Workbook$;Location=qryRecentPerformance;Extended Properties=&quot;&quot;" command="SELECT * FROM [qryRecentPerformance]"/>
  </connection>
  <connection id="3" xr16:uid="{EBE1CDD7-0C8E-481B-BCAD-A2A6AD249187}" keepAlive="1" name="Query - qryRRSPTotal" description="Connection to the 'qryRRSPTotal' query in the workbook." type="5" refreshedVersion="6" background="1" saveData="1">
    <dbPr connection="Provider=Microsoft.Mashup.OleDb.1;Data Source=$Workbook$;Location=qryRRSPTotal;Extended Properties=&quot;&quot;" command="SELECT * FROM [qryRRSPTotal]"/>
  </connection>
  <connection id="4" xr16:uid="{00A5946A-3831-4EFE-A111-208A0C01F1FB}" keepAlive="1" name="Query - qryWorstDays" description="Connection to the 'qryWorstDays' query in the workbook." type="5" refreshedVersion="6" background="1" saveData="1">
    <dbPr connection="Provider=Microsoft.Mashup.OleDb.1;Data Source=$Workbook$;Location=qryWorstDays;Extended Properties=&quot;&quot;" command="SELECT * FROM [qryWorstDay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<sst xmlns="http://schemas.openxmlformats.org/spreadsheetml/2006/main" count="504" uniqueCount="292">
  <si>
    <t>Gain/Loss $</t>
  </si>
  <si>
    <t>Gain/Loss %</t>
  </si>
  <si>
    <t>Recurring Payments</t>
  </si>
  <si>
    <t>Insurance</t>
  </si>
  <si>
    <t>7th</t>
  </si>
  <si>
    <t>Mortgage Payment</t>
  </si>
  <si>
    <t>28th</t>
  </si>
  <si>
    <t>MySunLife RRSP</t>
  </si>
  <si>
    <t>30th</t>
  </si>
  <si>
    <t>Spousal Payments</t>
  </si>
  <si>
    <t>Reference Info</t>
  </si>
  <si>
    <t>Other</t>
  </si>
  <si>
    <t>RRSP Room</t>
  </si>
  <si>
    <t>TFSA Room</t>
  </si>
  <si>
    <t>RRSP loan mthly payment</t>
  </si>
  <si>
    <t>Total over one year</t>
  </si>
  <si>
    <t>My Accounts</t>
  </si>
  <si>
    <t>Account</t>
  </si>
  <si>
    <t>Short name</t>
  </si>
  <si>
    <t>152174937 MorganStanley</t>
  </si>
  <si>
    <t>MS Stock Plan</t>
  </si>
  <si>
    <t>45513494 BMO Individual</t>
  </si>
  <si>
    <t>BMO Unregistered</t>
  </si>
  <si>
    <t>45750200 BMO RESP</t>
  </si>
  <si>
    <t>BMO Registered</t>
  </si>
  <si>
    <t>59262127 CIBC Registered (CAD)</t>
  </si>
  <si>
    <t>59262127 CIBC Registered (USD)</t>
  </si>
  <si>
    <t>Date</t>
  </si>
  <si>
    <t>The Power of Compound Interest</t>
  </si>
  <si>
    <t>Investing in RRSP</t>
  </si>
  <si>
    <t>Year 1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</si>
  <si>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</si>
  <si>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</si>
  <si>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</si>
  <si>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</si>
  <si>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</si>
  <si>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</si>
  <si>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</si>
  <si>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</si>
  <si>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</si>
  <si>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Year 11</t>
  </si>
  <si>
    <t>Year 12</t>
  </si>
  <si>
    <t>Year 13</t>
  </si>
  <si>
    <t>Year 14</t>
  </si>
  <si>
    <t>Year 15</t>
  </si>
  <si>
    <t>Interest rate:</t>
  </si>
  <si>
    <t>Opening principal</t>
  </si>
  <si>
    <t>Straight Interest</t>
  </si>
  <si>
    <t>Principal</t>
  </si>
  <si>
    <t>Contribution</t>
  </si>
  <si>
    <t>Contrib. growth rate</t>
  </si>
  <si>
    <t>Opening principal:</t>
  </si>
  <si>
    <t>Opening annual contrib:</t>
  </si>
  <si>
    <t>Income and Savings by Year</t>
  </si>
  <si>
    <t>Source</t>
  </si>
  <si>
    <t>Taxable Income</t>
  </si>
  <si>
    <t>RRSP Contribution</t>
  </si>
  <si>
    <t>RRSP as % Income</t>
  </si>
  <si>
    <t>Total</t>
  </si>
  <si>
    <t>Description</t>
  </si>
  <si>
    <t>Personal Net Worth</t>
  </si>
  <si>
    <t>Worth</t>
  </si>
  <si>
    <t>Delta</t>
  </si>
  <si>
    <t>Comments</t>
  </si>
  <si>
    <t>Created my stock portfolio.  $10k cheque from Randal, dropped both vehicles by $1k.  Upgraded house to $650k.</t>
  </si>
  <si>
    <t xml:space="preserve"> </t>
  </si>
  <si>
    <t>CBI Bonus.  Paid off all debt in full.</t>
  </si>
  <si>
    <t>RBI bonus and stock vest.  Paid off Visa and $1,000 to Line of Credit.  Dropped  both cars by $2k.</t>
  </si>
  <si>
    <t>Sold trailer</t>
  </si>
  <si>
    <t>Depreciated Mazda by 1k, factored in Visa owing</t>
  </si>
  <si>
    <t>Appreciated house by 20%</t>
  </si>
  <si>
    <t>Dropped Mazda by 1k, adjusted for consumer debt</t>
  </si>
  <si>
    <t>Trump takes over</t>
  </si>
  <si>
    <t>Adjusted stock vest actuals</t>
  </si>
  <si>
    <t>Added August stock vest</t>
  </si>
  <si>
    <t>Brexit</t>
  </si>
  <si>
    <t>Added stock vest</t>
  </si>
  <si>
    <t>Adjusted GSK pension plan balance</t>
  </si>
  <si>
    <t>Added $5k to house for bathroom reno</t>
  </si>
  <si>
    <t>Added bonus and Mustang</t>
  </si>
  <si>
    <t>Subtracted bike and camping</t>
  </si>
  <si>
    <t>Added mortgage prepayment 4k</t>
  </si>
  <si>
    <t>Added mortgage prepayment 4k, list only principal owing</t>
  </si>
  <si>
    <t>Added residual value of truck</t>
  </si>
  <si>
    <t>Adjust for divorce</t>
  </si>
  <si>
    <t>Last month before divorce</t>
  </si>
  <si>
    <t>Bonus paid, stock award</t>
  </si>
  <si>
    <t>Added A/C replacement</t>
  </si>
  <si>
    <t>Added 2013 Income Tax return owing</t>
  </si>
  <si>
    <t>Adjusted home value for realtor estimate, paid RRSP loan and trailer, added Randal gift</t>
  </si>
  <si>
    <t>Added value of trailer, not just debt</t>
  </si>
  <si>
    <t>Took out RRSP loan</t>
  </si>
  <si>
    <t>Bonus paid</t>
  </si>
  <si>
    <t>Added 2013 stock vest and tree removal</t>
  </si>
  <si>
    <t>Added 2012 stock vest</t>
  </si>
  <si>
    <t>Added bathroom and stove, adjusted for home resale value</t>
  </si>
  <si>
    <t>Did true-up for actual mortgage owing</t>
  </si>
  <si>
    <t>Dividends paid</t>
  </si>
  <si>
    <t>European debt crisis</t>
  </si>
  <si>
    <t>Did true-up for actual trailer owing</t>
  </si>
  <si>
    <t>Added Christmas and Orlando</t>
  </si>
  <si>
    <t>Bought trailer</t>
  </si>
  <si>
    <t>Global financial crisis hits full swing</t>
  </si>
  <si>
    <t>Brandy and I are married</t>
  </si>
  <si>
    <t>Financial Statement</t>
  </si>
  <si>
    <t>Investment Portfolio</t>
  </si>
  <si>
    <t>Cash</t>
  </si>
  <si>
    <t>Assuming 10% annual interest, $1 donated in RRSP quadruples in 10 years.  At 20% interest it becomes $8.</t>
  </si>
  <si>
    <t>Constants</t>
  </si>
  <si>
    <t>12-Month Return Red</t>
  </si>
  <si>
    <t>3-Month Return Red</t>
  </si>
  <si>
    <t>3-Month Return Green</t>
  </si>
  <si>
    <t>12-Month Return Green</t>
  </si>
  <si>
    <t>Default Rating</t>
  </si>
  <si>
    <t>Home Loan</t>
  </si>
  <si>
    <t>Net Worth</t>
  </si>
  <si>
    <t>Mortgage</t>
  </si>
  <si>
    <t>Retirement Target</t>
  </si>
  <si>
    <t>10x current income</t>
  </si>
  <si>
    <t>$428 paid Monthly on 28th</t>
  </si>
  <si>
    <t>2.80% variable interest rate</t>
  </si>
  <si>
    <t>14 years, 8 months remaining</t>
  </si>
  <si>
    <t>Matures on 28-Nov-19</t>
  </si>
  <si>
    <t>TFSA</t>
  </si>
  <si>
    <t>RRSP USD</t>
  </si>
  <si>
    <t>Annualized Return</t>
  </si>
  <si>
    <t>Total Portfolio</t>
  </si>
  <si>
    <t>59970262 RESP</t>
  </si>
  <si>
    <t>60335676 TFSA</t>
  </si>
  <si>
    <t>RRSP CAD</t>
  </si>
  <si>
    <t>February crash</t>
  </si>
  <si>
    <t>Open Date</t>
  </si>
  <si>
    <t>Converted RESP to stocks and REITs</t>
  </si>
  <si>
    <t>RESP CAD</t>
  </si>
  <si>
    <t>Price / Fair Value Red</t>
  </si>
  <si>
    <t>Price / Fair Value Green</t>
  </si>
  <si>
    <t>PSR Red</t>
  </si>
  <si>
    <t>PSR Green</t>
  </si>
  <si>
    <t>Exact Match</t>
  </si>
  <si>
    <t>Subtotal (USD)</t>
  </si>
  <si>
    <t>Cash (USD)</t>
  </si>
  <si>
    <t>Canadian Exchange Rate</t>
  </si>
  <si>
    <t>VOO</t>
  </si>
  <si>
    <t>BND</t>
  </si>
  <si>
    <t>GLD</t>
  </si>
  <si>
    <t>Bonus</t>
  </si>
  <si>
    <t>Tax return and stock award</t>
  </si>
  <si>
    <t>Opening balance</t>
  </si>
  <si>
    <t>Average work contribution</t>
  </si>
  <si>
    <t>Car equity</t>
  </si>
  <si>
    <t>Home Equity</t>
  </si>
  <si>
    <t>Car Equity</t>
  </si>
  <si>
    <t>Valuables Equity</t>
  </si>
  <si>
    <t>GSK Pension</t>
  </si>
  <si>
    <t>Total Net Worth</t>
  </si>
  <si>
    <t>Portfolio Principal</t>
  </si>
  <si>
    <t>VOO Daily %</t>
  </si>
  <si>
    <t>VOO Daily $</t>
  </si>
  <si>
    <t>Home equity</t>
  </si>
  <si>
    <t>Home loan</t>
  </si>
  <si>
    <t>Total net worth</t>
  </si>
  <si>
    <t>Valuables equity</t>
  </si>
  <si>
    <t>Other assets</t>
  </si>
  <si>
    <t>Sunlife balance</t>
  </si>
  <si>
    <t>GSK Pension balance</t>
  </si>
  <si>
    <t>All other assets</t>
  </si>
  <si>
    <t>Equities</t>
  </si>
  <si>
    <t>Equities (USD)</t>
  </si>
  <si>
    <t>Market correction</t>
  </si>
  <si>
    <t>Bi-weekly</t>
  </si>
  <si>
    <t>Mortgage maturity date</t>
  </si>
  <si>
    <t>Start</t>
  </si>
  <si>
    <t>End</t>
  </si>
  <si>
    <t>VOO 200-Day SMA</t>
  </si>
  <si>
    <t>Randal gives me 30k to pay off mortgage</t>
  </si>
  <si>
    <t>VNQ</t>
  </si>
  <si>
    <t>Start date</t>
  </si>
  <si>
    <t>End date</t>
  </si>
  <si>
    <t>Change</t>
  </si>
  <si>
    <t>Change %</t>
  </si>
  <si>
    <t>VTI</t>
  </si>
  <si>
    <t>GDX</t>
  </si>
  <si>
    <t>Date Range</t>
  </si>
  <si>
    <t>Actual Performance</t>
  </si>
  <si>
    <t>My USD RRSP</t>
  </si>
  <si>
    <t>My CAD RESP</t>
  </si>
  <si>
    <t>S&amp;P 500</t>
  </si>
  <si>
    <t>Gold Reserves</t>
  </si>
  <si>
    <t>Real Estate</t>
  </si>
  <si>
    <t>TMI</t>
  </si>
  <si>
    <t>Gold Producers</t>
  </si>
  <si>
    <t>Start Principal</t>
  </si>
  <si>
    <t>End Principal</t>
  </si>
  <si>
    <t>n/a</t>
  </si>
  <si>
    <t>Bonds general</t>
  </si>
  <si>
    <t>UUP</t>
  </si>
  <si>
    <t>Currency - USD Bullish</t>
  </si>
  <si>
    <t>30-day</t>
  </si>
  <si>
    <t>90-day</t>
  </si>
  <si>
    <t>180-day</t>
  </si>
  <si>
    <t>Recent Performance</t>
  </si>
  <si>
    <t>Symbol</t>
  </si>
  <si>
    <t>XSP.TO</t>
  </si>
  <si>
    <t>FXC</t>
  </si>
  <si>
    <t>Currency - CAD</t>
  </si>
  <si>
    <t>VAB.TO</t>
  </si>
  <si>
    <t>HEP.TO</t>
  </si>
  <si>
    <t>VRE.TO</t>
  </si>
  <si>
    <t>VCN.TO</t>
  </si>
  <si>
    <t>CGL.TO</t>
  </si>
  <si>
    <t>Canadian TMI</t>
  </si>
  <si>
    <t>VGRO.TO</t>
  </si>
  <si>
    <t>Global TMI</t>
  </si>
  <si>
    <t>Last trade date:</t>
  </si>
  <si>
    <t>SLV</t>
  </si>
  <si>
    <t>Silver</t>
  </si>
  <si>
    <t>Monday</t>
  </si>
  <si>
    <t>New Year's Day</t>
  </si>
  <si>
    <t>M L King Day</t>
  </si>
  <si>
    <t>Wednesday</t>
  </si>
  <si>
    <t>Valentine's Day</t>
  </si>
  <si>
    <t>Presidents' Day</t>
  </si>
  <si>
    <t>Friday</t>
  </si>
  <si>
    <t>Good Friday</t>
  </si>
  <si>
    <t>Sunday</t>
  </si>
  <si>
    <t>Easter Sunday</t>
  </si>
  <si>
    <t>Mother's Day</t>
  </si>
  <si>
    <t>Memorial Day</t>
  </si>
  <si>
    <t>National Donut Day</t>
  </si>
  <si>
    <t>Father's Day</t>
  </si>
  <si>
    <t>Independence Day</t>
  </si>
  <si>
    <t>Labor Day</t>
  </si>
  <si>
    <t>Columbus Day</t>
  </si>
  <si>
    <t>Halloween</t>
  </si>
  <si>
    <t>Veterans Day</t>
  </si>
  <si>
    <t>Thursday</t>
  </si>
  <si>
    <t>Thanksgiving Day</t>
  </si>
  <si>
    <t>Tuesday</t>
  </si>
  <si>
    <t>Christmas</t>
  </si>
  <si>
    <t>XLK</t>
  </si>
  <si>
    <t>US Tech</t>
  </si>
  <si>
    <t>VGLT</t>
  </si>
  <si>
    <t>US Treasury bonds long-term</t>
  </si>
  <si>
    <t>QQQ</t>
  </si>
  <si>
    <t>NASDAQ-100</t>
  </si>
  <si>
    <t>Downturn begins</t>
  </si>
  <si>
    <t>IJR</t>
  </si>
  <si>
    <t>S&amp;P Small-cap 600</t>
  </si>
  <si>
    <t>Gold reserves</t>
  </si>
  <si>
    <t>Gold producers</t>
  </si>
  <si>
    <t>RRSP Total</t>
  </si>
  <si>
    <t>RRSP Principal</t>
  </si>
  <si>
    <t>RRSP</t>
  </si>
  <si>
    <t>All RRSPs</t>
  </si>
  <si>
    <t>QT RRSP Principal</t>
  </si>
  <si>
    <t>QT RRSP Principal Delta</t>
  </si>
  <si>
    <t>Amount</t>
  </si>
  <si>
    <t>Running Sum</t>
  </si>
  <si>
    <t>QT RRSP</t>
  </si>
  <si>
    <t>CIBC RRSP</t>
  </si>
  <si>
    <t>CIBC RRSP Principal</t>
  </si>
  <si>
    <t>CIBC RRSP Principal Delta</t>
  </si>
  <si>
    <t>CIBC RESP Principal Delta</t>
  </si>
  <si>
    <t>CIBC RRSP Daily $</t>
  </si>
  <si>
    <t>CIBC RESP Daily $</t>
  </si>
  <si>
    <t>QT RRSP Daily $</t>
  </si>
  <si>
    <t>CIBC RESP</t>
  </si>
  <si>
    <t>RRSP Daily $</t>
  </si>
  <si>
    <t>CIBC RESP Daily %</t>
  </si>
  <si>
    <t>RRSP Daily %</t>
  </si>
  <si>
    <t>SunLife RRSP</t>
  </si>
  <si>
    <t>SunLife RRSP Principal</t>
  </si>
  <si>
    <t>SunLife RRSP Principal Delta</t>
  </si>
  <si>
    <t>CIBC RESP Principal</t>
  </si>
  <si>
    <t>Portfolio Daily $</t>
  </si>
  <si>
    <t>SunLife RRSP Daily $</t>
  </si>
  <si>
    <t>RRSP vs VOO Daily %</t>
  </si>
  <si>
    <t>Portfolio Total</t>
  </si>
  <si>
    <t>Best Days (Top 10)</t>
  </si>
  <si>
    <t>Worst Days (Top 10)</t>
  </si>
  <si>
    <t>Daily Results (30 Days)</t>
  </si>
  <si>
    <t>7-day</t>
  </si>
  <si>
    <t>14-day</t>
  </si>
  <si>
    <t>RRSP Peak Days (Top 5)</t>
  </si>
  <si>
    <t>Maximum employer RRSP match amount</t>
  </si>
  <si>
    <t>Actual contribution</t>
  </si>
  <si>
    <t>Biweekly self contribution</t>
  </si>
  <si>
    <t>Thanksgiving</t>
  </si>
  <si>
    <t>* The reason this section doesn't use Close_Historical is because the data would always be a day behind because they don't update daily closing prices until very late in the day.</t>
  </si>
  <si>
    <t>One-time contributions</t>
  </si>
  <si>
    <t>QT TFSA</t>
  </si>
  <si>
    <t>QT TFSA Principal Delta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</si>
</sst>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9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[$-409]d/mmm/yy;@"/>
    <numFmt numFmtId="167" formatCode="&quot;$&quot;#,##0.00;[Red]&quot;$&quot;#,##0.00"/>
    <numFmt numFmtId="168" formatCode="0.0%"/>
    <numFmt numFmtId="169" formatCode="0.0000"/>
    <numFmt numFmtId="170" formatCode="&quot;$&quot;#,##0.0000"/>
    <numFmt numFmtId="171" formatCode="#0.00%;[Red]\(#0.00%\)"/>
    <numFmt numFmtId="172" formatCode="[$-409]dddd\,\ d/mmm/yy;@"/>
    <numFmt numFmtId="173" formatCode="#0.0%;[Red]\(#0.0%\)"/>
    <numFmt numFmtId="174" formatCode="0.00%;[Red]\(0.00%\)"/>
    <numFmt numFmtId="175" formatCode="[$-409]ddd\,\ d/mmm/yy;@"/>
    <numFmt numFmtId="176" formatCode="[$-409]ddd\,\ dd/mmm/yy;@"/>
    <numFmt numFmtId="177" formatCode="[$-409]ddd/dd/mmm/yy;@"/>
    <numFmt numFmtId="178" formatCode="ddd\,\ dd/mmm/yy"/>
  </numFmts>
  <fonts count="69" x14ac:knownFonts="1">
    <font>
      <sz val="10"/>
      <color theme="1"/>
      <name val="Segoe UI Light"/>
      <family val="2"/>
    </font>
    <font>
      <sz val="10"/>
      <color theme="1"/>
      <name val="Segoe UI Light"/>
      <family val="2"/>
    </font>
    <font>
      <b/>
      <sz val="10"/>
      <color theme="1"/>
      <name val="Segoe UI Light"/>
      <family val="2"/>
    </font>
    <font>
      <sz val="11"/>
      <color theme="1"/>
      <name val="Calibri"/>
      <family val="2"/>
      <scheme val="minor"/>
    </font>
    <font>
      <sz val="10"/>
      <name val="Segoe UI Light"/>
      <family val="2"/>
    </font>
    <font>
      <sz val="11"/>
      <color theme="1"/>
      <name val="Segoe UI Light"/>
      <family val="2"/>
    </font>
    <font>
      <sz val="16"/>
      <color theme="1"/>
      <name val="Segoe UI Light"/>
      <family val="2"/>
    </font>
    <font>
      <sz val="11"/>
      <color theme="1"/>
      <name val="Segoe UI Semilight"/>
      <family val="2"/>
    </font>
    <font>
      <sz val="10"/>
      <color theme="1"/>
      <name val="Courier New"/>
      <family val="3"/>
    </font>
    <font>
      <sz val="11"/>
      <color theme="1"/>
      <name val="Calibri"/>
      <family val="2"/>
      <scheme val="minor"/>
    </font>
    <font>
      <sz val="11"/>
      <color theme="1"/>
      <name val="Courier New"/>
      <family val="3"/>
    </font>
    <font>
      <b/>
      <sz val="18"/>
      <color theme="1"/>
      <name val="Segoe UI Light"/>
      <family val="2"/>
    </font>
    <font>
      <sz val="18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6"/>
      <color theme="1"/>
      <name val="Courier New"/>
      <family val="3"/>
    </font>
    <font>
      <b/>
      <sz val="16"/>
      <color theme="1"/>
      <name val="Segoe UI Light"/>
      <family val="2"/>
    </font>
    <font>
      <b/>
      <i/>
      <sz val="18"/>
      <color theme="1"/>
      <name val="Calibri"/>
      <family val="2"/>
      <scheme val="minor"/>
    </font>
    <font>
      <sz val="16"/>
      <color theme="1"/>
      <name val="Segoe UI Light"/>
      <family val="2"/>
    </font>
    <font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theme="1"/>
      <name val="Courier New"/>
      <family val="3"/>
    </font>
    <font>
      <sz val="10"/>
      <name val="Segoe UI Light"/>
      <family val="2"/>
    </font>
    <font>
      <sz val="10"/>
      <color theme="1"/>
      <name val="Courier New"/>
      <family val="3"/>
    </font>
    <font>
      <sz val="10"/>
      <color theme="1"/>
      <name val="Segoe UI Light"/>
      <family val="2"/>
    </font>
    <font>
      <sz val="11"/>
      <color theme="1"/>
      <name val="Segoe UI Light"/>
      <family val="2"/>
    </font>
    <font>
      <sz val="10"/>
      <color theme="10"/>
      <name val="Segoe UI Light"/>
      <family val="2"/>
    </font>
    <font>
      <b/>
      <sz val="10"/>
      <color theme="1"/>
      <name val="Segoe UI Light"/>
      <family val="2"/>
    </font>
    <font>
      <b/>
      <sz val="10"/>
      <color theme="1"/>
      <name val="Courier New"/>
      <family val="3"/>
    </font>
    <font>
      <sz val="18"/>
      <color theme="1"/>
      <name val="Segoe UI Light"/>
      <family val="2"/>
    </font>
    <font>
      <b/>
      <sz val="10"/>
      <color theme="1"/>
      <name val="Calibri"/>
      <family val="2"/>
      <scheme val="minor"/>
    </font>
    <font>
      <sz val="10"/>
      <color theme="1"/>
      <name val="Segoe UI Light"/>
      <family val="2"/>
    </font>
    <font>
      <sz val="11"/>
      <color theme="1"/>
      <name val="Segoe UI Light"/>
      <family val="2"/>
    </font>
    <font>
      <sz val="16"/>
      <color theme="1"/>
      <name val="Segoe UI Light"/>
      <family val="2"/>
    </font>
    <font>
      <i/>
      <sz val="10"/>
      <color theme="1"/>
      <name val="Segoe UI Light"/>
      <family val="2"/>
    </font>
    <font>
      <b/>
      <i/>
      <sz val="10"/>
      <color theme="1"/>
      <name val="Segoe UI Light"/>
      <family val="2"/>
    </font>
    <font>
      <b/>
      <i/>
      <sz val="18"/>
      <color theme="1"/>
      <name val="Segoe UI Light"/>
      <family val="2"/>
    </font>
    <font>
      <sz val="18"/>
      <color theme="1"/>
      <name val="Segoe UI Light"/>
      <family val="2"/>
    </font>
    <font>
      <b/>
      <sz val="10"/>
      <color theme="1"/>
      <name val="Segoe UI Light"/>
      <family val="2"/>
    </font>
    <font>
      <b/>
      <sz val="18"/>
      <name val="Segoe UI Light"/>
      <family val="2"/>
    </font>
    <font>
      <sz val="18"/>
      <name val="Calibri"/>
      <family val="2"/>
      <scheme val="minor"/>
    </font>
    <font>
      <i/>
      <sz val="11"/>
      <name val="Calibri"/>
      <family val="2"/>
      <scheme val="minor"/>
    </font>
    <font>
      <b/>
      <sz val="16"/>
      <name val="Courier New"/>
      <family val="3"/>
    </font>
    <font>
      <sz val="10"/>
      <color rgb="FF00B050"/>
      <name val="Segoe UI Light"/>
      <family val="2"/>
    </font>
    <font>
      <b/>
      <sz val="14"/>
      <color rgb="FF00B050"/>
      <name val="Segoe UI Light"/>
      <family val="2"/>
    </font>
    <font>
      <b/>
      <sz val="36"/>
      <color rgb="FF00B050"/>
      <name val="Segoe UI Light"/>
      <family val="2"/>
    </font>
    <font>
      <b/>
      <sz val="14"/>
      <color rgb="FFC00000"/>
      <name val="Segoe UI Light"/>
      <family val="2"/>
    </font>
    <font>
      <b/>
      <sz val="36"/>
      <color rgb="FFC00000"/>
      <name val="Segoe UI Light"/>
      <family val="2"/>
    </font>
    <font>
      <sz val="20"/>
      <color theme="1"/>
      <name val="Segoe UI Light"/>
      <family val="2"/>
    </font>
    <font>
      <b/>
      <sz val="14"/>
      <color theme="8"/>
      <name val="Segoe UI Light"/>
      <family val="2"/>
    </font>
    <font>
      <b/>
      <sz val="36"/>
      <color theme="8"/>
      <name val="Segoe UI Light"/>
      <family val="2"/>
    </font>
    <font>
      <b/>
      <sz val="14"/>
      <color theme="5"/>
      <name val="Segoe UI Light"/>
      <family val="2"/>
    </font>
    <font>
      <b/>
      <sz val="36"/>
      <color theme="5"/>
      <name val="Segoe UI Light"/>
      <family val="2"/>
    </font>
    <font>
      <sz val="10"/>
      <color theme="0" tint="-0.499984740745262"/>
      <name val="Segoe UI Light"/>
      <family val="2"/>
    </font>
    <font>
      <b/>
      <sz val="14"/>
      <color theme="0" tint="-0.499984740745262"/>
      <name val="Segoe UI Light"/>
      <family val="2"/>
    </font>
    <font>
      <b/>
      <sz val="36"/>
      <color theme="0" tint="-0.499984740745262"/>
      <name val="Segoe UI Light"/>
      <family val="2"/>
    </font>
    <font>
      <sz val="10"/>
      <color theme="7"/>
      <name val="Segoe UI Light"/>
      <family val="2"/>
    </font>
    <font>
      <b/>
      <sz val="26"/>
      <color theme="5"/>
      <name val="Segoe UI Light"/>
      <family val="2"/>
    </font>
    <font>
      <b/>
      <sz val="26"/>
      <color rgb="FF00B050"/>
      <name val="Segoe UI Light"/>
      <family val="2"/>
    </font>
    <font>
      <b/>
      <sz val="14"/>
      <color rgb="FF660066"/>
      <name val="Segoe UI Light"/>
      <family val="2"/>
    </font>
    <font>
      <b/>
      <sz val="36"/>
      <color rgb="FF660066"/>
      <name val="Segoe UI Light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sz val="16"/>
      <name val="Segoe UI Light"/>
      <family val="2"/>
    </font>
    <font>
      <sz val="10"/>
      <name val="Courier New"/>
      <family val="3"/>
    </font>
    <font>
      <sz val="8"/>
      <name val="Segoe UI Light"/>
      <family val="2"/>
    </font>
    <font>
      <sz val="10"/>
      <color theme="0" tint="-0.34998626667073579"/>
      <name val="Segoe UI Light"/>
      <family val="2"/>
    </font>
    <font>
      <sz val="10"/>
      <color rgb="FF7030A0"/>
      <name val="Segoe UI Light"/>
      <family val="2"/>
    </font>
    <font>
      <sz val="10"/>
      <color rgb="FFFF0000"/>
      <name val="Segoe UI Light"/>
      <family val="2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lightGray">
        <fgColor theme="0" tint="-0.24994659260841701"/>
        <bgColor indexed="65"/>
      </patternFill>
    </fill>
    <fill>
      <patternFill patternType="lightGray">
        <fgColor theme="0" tint="-0.24994659260841701"/>
        <bgColor theme="4" tint="0.79998168889431442"/>
      </patternFill>
    </fill>
    <fill>
      <patternFill patternType="solid">
        <fgColor rgb="FFF0F0F0"/>
        <bgColor indexed="64"/>
      </patternFill>
    </fill>
  </fills>
  <borders count="67">
    <border>
      <left/>
      <right/>
      <top/>
      <bottom/>
      <diagonal/>
    </border>
    <border>
      <left style="thin">
        <color rgb="FF00B050"/>
      </left>
      <right/>
      <top style="thin">
        <color rgb="FF00B050"/>
      </top>
      <bottom/>
      <diagonal/>
    </border>
    <border>
      <left/>
      <right/>
      <top style="thin">
        <color rgb="FF00B050"/>
      </top>
      <bottom/>
      <diagonal/>
    </border>
    <border>
      <left/>
      <right style="thin">
        <color rgb="FF00B050"/>
      </right>
      <top style="thin">
        <color rgb="FF00B050"/>
      </top>
      <bottom/>
      <diagonal/>
    </border>
    <border>
      <left style="thin">
        <color rgb="FF00B050"/>
      </left>
      <right/>
      <top/>
      <bottom/>
      <diagonal/>
    </border>
    <border>
      <left/>
      <right style="thin">
        <color rgb="FF00B050"/>
      </right>
      <top/>
      <bottom/>
      <diagonal/>
    </border>
    <border>
      <left style="thin">
        <color rgb="FF00B050"/>
      </left>
      <right/>
      <top/>
      <bottom style="thin">
        <color rgb="FF00B050"/>
      </bottom>
      <diagonal/>
    </border>
    <border>
      <left/>
      <right/>
      <top/>
      <bottom style="thin">
        <color rgb="FF00B050"/>
      </bottom>
      <diagonal/>
    </border>
    <border>
      <left/>
      <right style="thin">
        <color rgb="FF00B050"/>
      </right>
      <top/>
      <bottom style="thin">
        <color rgb="FF00B050"/>
      </bottom>
      <diagonal/>
    </border>
    <border>
      <left style="thin">
        <color rgb="FFC00000"/>
      </left>
      <right/>
      <top style="thin">
        <color rgb="FFC00000"/>
      </top>
      <bottom/>
      <diagonal/>
    </border>
    <border>
      <left/>
      <right/>
      <top style="thin">
        <color rgb="FFC00000"/>
      </top>
      <bottom/>
      <diagonal/>
    </border>
    <border>
      <left/>
      <right style="thin">
        <color rgb="FFC00000"/>
      </right>
      <top style="thin">
        <color rgb="FFC00000"/>
      </top>
      <bottom/>
      <diagonal/>
    </border>
    <border>
      <left style="thin">
        <color rgb="FFC00000"/>
      </left>
      <right/>
      <top/>
      <bottom/>
      <diagonal/>
    </border>
    <border>
      <left/>
      <right style="thin">
        <color rgb="FFC00000"/>
      </right>
      <top/>
      <bottom/>
      <diagonal/>
    </border>
    <border>
      <left style="thin">
        <color rgb="FFC00000"/>
      </left>
      <right/>
      <top/>
      <bottom style="thin">
        <color rgb="FFC00000"/>
      </bottom>
      <diagonal/>
    </border>
    <border>
      <left/>
      <right/>
      <top/>
      <bottom style="thin">
        <color rgb="FFC00000"/>
      </bottom>
      <diagonal/>
    </border>
    <border>
      <left/>
      <right style="thin">
        <color rgb="FFC00000"/>
      </right>
      <top/>
      <bottom style="thin">
        <color rgb="FFC00000"/>
      </bottom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thin">
        <color theme="8"/>
      </left>
      <right/>
      <top/>
      <bottom/>
      <diagonal/>
    </border>
    <border>
      <left/>
      <right style="thin">
        <color theme="8"/>
      </right>
      <top/>
      <bottom/>
      <diagonal/>
    </border>
    <border>
      <left style="thin">
        <color theme="8"/>
      </left>
      <right/>
      <top/>
      <bottom style="thin">
        <color theme="8"/>
      </bottom>
      <diagonal/>
    </border>
    <border>
      <left/>
      <right/>
      <top/>
      <bottom style="thin">
        <color theme="8"/>
      </bottom>
      <diagonal/>
    </border>
    <border>
      <left/>
      <right style="thin">
        <color theme="8"/>
      </right>
      <top/>
      <bottom style="thin">
        <color theme="8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/>
      <bottom/>
      <diagonal/>
    </border>
    <border>
      <left/>
      <right style="thin">
        <color theme="5"/>
      </right>
      <top/>
      <bottom/>
      <diagonal/>
    </border>
    <border>
      <left style="thin">
        <color theme="5"/>
      </left>
      <right/>
      <top/>
      <bottom style="thin">
        <color theme="5"/>
      </bottom>
      <diagonal/>
    </border>
    <border>
      <left/>
      <right/>
      <top/>
      <bottom style="thin">
        <color theme="5"/>
      </bottom>
      <diagonal/>
    </border>
    <border>
      <left/>
      <right style="thin">
        <color theme="5"/>
      </right>
      <top/>
      <bottom style="thin">
        <color theme="5"/>
      </bottom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/>
      <diagonal/>
    </border>
    <border>
      <left/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rgb="FF660066"/>
      </left>
      <right/>
      <top style="thin">
        <color rgb="FF660066"/>
      </top>
      <bottom/>
      <diagonal/>
    </border>
    <border>
      <left/>
      <right/>
      <top style="thin">
        <color rgb="FF660066"/>
      </top>
      <bottom/>
      <diagonal/>
    </border>
    <border>
      <left/>
      <right style="thin">
        <color rgb="FF660066"/>
      </right>
      <top style="thin">
        <color rgb="FF660066"/>
      </top>
      <bottom/>
      <diagonal/>
    </border>
    <border>
      <left style="thin">
        <color rgb="FF660066"/>
      </left>
      <right/>
      <top/>
      <bottom/>
      <diagonal/>
    </border>
    <border>
      <left/>
      <right style="thin">
        <color rgb="FF660066"/>
      </right>
      <top/>
      <bottom/>
      <diagonal/>
    </border>
    <border>
      <left style="thin">
        <color rgb="FF660066"/>
      </left>
      <right/>
      <top/>
      <bottom style="thin">
        <color rgb="FF660066"/>
      </bottom>
      <diagonal/>
    </border>
    <border>
      <left/>
      <right/>
      <top/>
      <bottom style="thin">
        <color rgb="FF660066"/>
      </bottom>
      <diagonal/>
    </border>
    <border>
      <left/>
      <right style="thin">
        <color rgb="FF660066"/>
      </right>
      <top/>
      <bottom style="thin">
        <color rgb="FF660066"/>
      </bottom>
      <diagonal/>
    </border>
    <border>
      <left style="thin">
        <color rgb="FF000066"/>
      </left>
      <right/>
      <top style="thin">
        <color rgb="FF000066"/>
      </top>
      <bottom/>
      <diagonal/>
    </border>
    <border>
      <left/>
      <right/>
      <top style="thin">
        <color rgb="FF000066"/>
      </top>
      <bottom/>
      <diagonal/>
    </border>
    <border>
      <left/>
      <right style="thin">
        <color rgb="FF000066"/>
      </right>
      <top style="thin">
        <color rgb="FF000066"/>
      </top>
      <bottom/>
      <diagonal/>
    </border>
    <border>
      <left style="thin">
        <color rgb="FF000066"/>
      </left>
      <right/>
      <top/>
      <bottom/>
      <diagonal/>
    </border>
    <border>
      <left/>
      <right style="thin">
        <color rgb="FF000066"/>
      </right>
      <top/>
      <bottom/>
      <diagonal/>
    </border>
    <border>
      <left style="thin">
        <color rgb="FF000066"/>
      </left>
      <right/>
      <top/>
      <bottom style="thin">
        <color rgb="FF000066"/>
      </bottom>
      <diagonal/>
    </border>
    <border>
      <left/>
      <right/>
      <top/>
      <bottom style="thin">
        <color rgb="FF000066"/>
      </bottom>
      <diagonal/>
    </border>
    <border>
      <left/>
      <right style="thin">
        <color rgb="FF000066"/>
      </right>
      <top/>
      <bottom style="thin">
        <color rgb="FF000066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theme="0" tint="-4.9989318521683403E-2"/>
      </bottom>
      <diagonal/>
    </border>
    <border>
      <left/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 style="thin">
        <color theme="0" tint="-4.9989318521683403E-2"/>
      </top>
      <bottom/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/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/>
      <top/>
      <bottom style="thin">
        <color theme="0" tint="-0.14996795556505021"/>
      </bottom>
      <diagonal/>
    </border>
  </borders>
  <cellStyleXfs count="7">
    <xf numFmtId="0" fontId="0" fillId="0" borderId="0"/>
    <xf numFmtId="0" fontId="3" fillId="0" borderId="0"/>
    <xf numFmtId="0" fontId="25" fillId="0" borderId="0" applyNumberFormat="0" applyFill="0" applyBorder="0" applyAlignment="0" applyProtection="0">
      <alignment vertical="top"/>
      <protection locked="0"/>
    </xf>
    <xf numFmtId="44" fontId="3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2" fillId="0" borderId="0"/>
  </cellStyleXfs>
  <cellXfs count="461">
    <xf numFmtId="0" fontId="0" fillId="0" borderId="0" xfId="0"/>
    <xf numFmtId="0" fontId="1" fillId="0" borderId="0" xfId="1" applyFont="1" applyAlignment="1">
      <alignment vertical="center"/>
    </xf>
    <xf numFmtId="0" fontId="2" fillId="0" borderId="0" xfId="1" applyFont="1" applyAlignment="1">
      <alignment vertical="center"/>
    </xf>
    <xf numFmtId="0" fontId="5" fillId="0" borderId="0" xfId="1" applyFont="1"/>
    <xf numFmtId="0" fontId="6" fillId="0" borderId="0" xfId="1" applyFont="1" applyAlignment="1">
      <alignment vertical="center"/>
    </xf>
    <xf numFmtId="0" fontId="3" fillId="0" borderId="0" xfId="1"/>
    <xf numFmtId="0" fontId="6" fillId="0" borderId="0" xfId="1" applyFont="1" applyAlignment="1">
      <alignment horizontal="left"/>
    </xf>
    <xf numFmtId="0" fontId="7" fillId="0" borderId="0" xfId="1" applyFont="1" applyAlignment="1">
      <alignment horizontal="left"/>
    </xf>
    <xf numFmtId="169" fontId="7" fillId="0" borderId="0" xfId="1" applyNumberFormat="1" applyFont="1" applyAlignment="1">
      <alignment horizontal="right"/>
    </xf>
    <xf numFmtId="170" fontId="7" fillId="0" borderId="0" xfId="1" applyNumberFormat="1" applyFont="1" applyAlignment="1">
      <alignment horizontal="right"/>
    </xf>
    <xf numFmtId="165" fontId="7" fillId="0" borderId="0" xfId="1" applyNumberFormat="1" applyFont="1" applyAlignment="1">
      <alignment horizontal="center"/>
    </xf>
    <xf numFmtId="165" fontId="7" fillId="0" borderId="0" xfId="1" applyNumberFormat="1" applyFont="1" applyAlignment="1">
      <alignment horizontal="left"/>
    </xf>
    <xf numFmtId="0" fontId="9" fillId="0" borderId="0" xfId="1" applyFont="1"/>
    <xf numFmtId="0" fontId="9" fillId="0" borderId="0" xfId="1" applyFont="1" applyAlignment="1">
      <alignment horizontal="center"/>
    </xf>
    <xf numFmtId="164" fontId="9" fillId="0" borderId="0" xfId="1" applyNumberFormat="1" applyFont="1" applyAlignment="1">
      <alignment horizontal="center"/>
    </xf>
    <xf numFmtId="8" fontId="10" fillId="0" borderId="0" xfId="1" applyNumberFormat="1" applyFont="1"/>
    <xf numFmtId="0" fontId="11" fillId="0" borderId="0" xfId="1" applyFont="1" applyAlignment="1">
      <alignment vertical="center"/>
    </xf>
    <xf numFmtId="0" fontId="12" fillId="0" borderId="0" xfId="1" applyFont="1" applyAlignment="1">
      <alignment vertical="center"/>
    </xf>
    <xf numFmtId="0" fontId="13" fillId="0" borderId="0" xfId="1" applyFont="1" applyAlignment="1">
      <alignment horizontal="center" vertical="center"/>
    </xf>
    <xf numFmtId="164" fontId="12" fillId="0" borderId="0" xfId="1" applyNumberFormat="1" applyFont="1" applyAlignment="1">
      <alignment horizontal="center" vertical="center"/>
    </xf>
    <xf numFmtId="165" fontId="14" fillId="0" borderId="0" xfId="1" applyNumberFormat="1" applyFont="1" applyAlignment="1">
      <alignment horizontal="right" vertical="center"/>
    </xf>
    <xf numFmtId="165" fontId="15" fillId="0" borderId="0" xfId="1" applyNumberFormat="1" applyFont="1" applyAlignment="1">
      <alignment horizontal="right" vertical="center"/>
    </xf>
    <xf numFmtId="165" fontId="16" fillId="0" borderId="0" xfId="1" applyNumberFormat="1" applyFont="1" applyAlignment="1">
      <alignment horizontal="center" vertical="center"/>
    </xf>
    <xf numFmtId="0" fontId="18" fillId="0" borderId="0" xfId="1" applyFont="1" applyAlignment="1">
      <alignment vertical="center"/>
    </xf>
    <xf numFmtId="0" fontId="19" fillId="0" borderId="0" xfId="1" applyFont="1" applyAlignment="1">
      <alignment horizontal="center" vertical="center"/>
    </xf>
    <xf numFmtId="164" fontId="18" fillId="0" borderId="0" xfId="1" applyNumberFormat="1" applyFont="1" applyAlignment="1">
      <alignment horizontal="center" vertical="center"/>
    </xf>
    <xf numFmtId="0" fontId="9" fillId="0" borderId="0" xfId="1" applyFont="1" applyAlignment="1">
      <alignment vertical="center"/>
    </xf>
    <xf numFmtId="0" fontId="21" fillId="0" borderId="0" xfId="2" applyFont="1" applyAlignment="1" applyProtection="1">
      <alignment vertical="center"/>
    </xf>
    <xf numFmtId="0" fontId="25" fillId="0" borderId="0" xfId="2" applyAlignment="1" applyProtection="1">
      <alignment vertical="center"/>
    </xf>
    <xf numFmtId="164" fontId="23" fillId="0" borderId="0" xfId="1" applyNumberFormat="1" applyFont="1" applyAlignment="1">
      <alignment vertical="center"/>
    </xf>
    <xf numFmtId="0" fontId="9" fillId="0" borderId="0" xfId="1" applyFont="1" applyAlignment="1">
      <alignment horizontal="center" vertical="center"/>
    </xf>
    <xf numFmtId="164" fontId="9" fillId="0" borderId="0" xfId="1" applyNumberFormat="1" applyFont="1" applyAlignment="1">
      <alignment horizontal="center" vertical="center"/>
    </xf>
    <xf numFmtId="8" fontId="10" fillId="0" borderId="0" xfId="1" applyNumberFormat="1" applyFont="1" applyAlignment="1">
      <alignment vertical="center"/>
    </xf>
    <xf numFmtId="0" fontId="23" fillId="0" borderId="0" xfId="1" applyFont="1"/>
    <xf numFmtId="0" fontId="24" fillId="0" borderId="0" xfId="1" applyFont="1"/>
    <xf numFmtId="8" fontId="22" fillId="0" borderId="0" xfId="1" applyNumberFormat="1" applyFont="1"/>
    <xf numFmtId="0" fontId="18" fillId="0" borderId="0" xfId="1" applyFont="1"/>
    <xf numFmtId="0" fontId="18" fillId="0" borderId="0" xfId="1" applyFont="1" applyAlignment="1">
      <alignment horizontal="center"/>
    </xf>
    <xf numFmtId="164" fontId="18" fillId="0" borderId="0" xfId="1" applyNumberFormat="1" applyFont="1" applyAlignment="1">
      <alignment horizontal="center"/>
    </xf>
    <xf numFmtId="0" fontId="26" fillId="0" borderId="0" xfId="1" applyFont="1" applyAlignment="1">
      <alignment vertical="center"/>
    </xf>
    <xf numFmtId="0" fontId="26" fillId="0" borderId="0" xfId="1" applyFont="1" applyAlignment="1">
      <alignment horizontal="center" vertical="center"/>
    </xf>
    <xf numFmtId="164" fontId="26" fillId="0" borderId="0" xfId="1" applyNumberFormat="1" applyFont="1" applyAlignment="1">
      <alignment horizontal="center" vertical="center"/>
    </xf>
    <xf numFmtId="8" fontId="22" fillId="0" borderId="0" xfId="1" applyNumberFormat="1" applyFont="1" applyAlignment="1">
      <alignment vertical="center"/>
    </xf>
    <xf numFmtId="0" fontId="28" fillId="0" borderId="0" xfId="1" applyFont="1" applyAlignment="1">
      <alignment vertical="center"/>
    </xf>
    <xf numFmtId="0" fontId="29" fillId="0" borderId="0" xfId="1" applyFont="1" applyAlignment="1">
      <alignment vertical="center"/>
    </xf>
    <xf numFmtId="8" fontId="26" fillId="0" borderId="0" xfId="1" applyNumberFormat="1" applyFont="1" applyAlignment="1">
      <alignment horizontal="center" vertical="center"/>
    </xf>
    <xf numFmtId="165" fontId="22" fillId="0" borderId="0" xfId="1" applyNumberFormat="1" applyFont="1"/>
    <xf numFmtId="0" fontId="22" fillId="0" borderId="0" xfId="1" applyFont="1" applyAlignment="1">
      <alignment horizontal="center"/>
    </xf>
    <xf numFmtId="164" fontId="22" fillId="0" borderId="0" xfId="1" applyNumberFormat="1" applyFont="1" applyAlignment="1">
      <alignment horizontal="left"/>
    </xf>
    <xf numFmtId="0" fontId="22" fillId="0" borderId="0" xfId="1" applyFont="1"/>
    <xf numFmtId="164" fontId="22" fillId="0" borderId="0" xfId="1" applyNumberFormat="1" applyFont="1" applyAlignment="1">
      <alignment horizontal="center"/>
    </xf>
    <xf numFmtId="0" fontId="22" fillId="0" borderId="0" xfId="1" applyFont="1" applyAlignment="1">
      <alignment vertical="center"/>
    </xf>
    <xf numFmtId="0" fontId="22" fillId="0" borderId="0" xfId="1" applyFont="1" applyAlignment="1">
      <alignment horizontal="center" vertical="center"/>
    </xf>
    <xf numFmtId="164" fontId="22" fillId="0" borderId="0" xfId="1" applyNumberFormat="1" applyFont="1" applyAlignment="1">
      <alignment horizontal="center" vertical="center"/>
    </xf>
    <xf numFmtId="0" fontId="23" fillId="0" borderId="0" xfId="1" applyFont="1" applyAlignment="1">
      <alignment horizontal="center"/>
    </xf>
    <xf numFmtId="0" fontId="30" fillId="0" borderId="0" xfId="1" applyFont="1"/>
    <xf numFmtId="0" fontId="31" fillId="0" borderId="0" xfId="1" applyFont="1"/>
    <xf numFmtId="0" fontId="32" fillId="0" borderId="0" xfId="1" applyFont="1" applyAlignment="1">
      <alignment vertical="center"/>
    </xf>
    <xf numFmtId="0" fontId="30" fillId="0" borderId="0" xfId="1" applyFont="1" applyAlignment="1">
      <alignment vertical="center"/>
    </xf>
    <xf numFmtId="0" fontId="30" fillId="0" borderId="0" xfId="1" applyFont="1" applyAlignment="1">
      <alignment horizontal="center" vertical="center"/>
    </xf>
    <xf numFmtId="164" fontId="30" fillId="0" borderId="0" xfId="1" applyNumberFormat="1" applyFont="1" applyAlignment="1">
      <alignment horizontal="center" vertical="center"/>
    </xf>
    <xf numFmtId="8" fontId="30" fillId="0" borderId="0" xfId="1" applyNumberFormat="1" applyFont="1" applyAlignment="1">
      <alignment vertical="center"/>
    </xf>
    <xf numFmtId="0" fontId="31" fillId="0" borderId="0" xfId="1" applyFont="1" applyAlignment="1">
      <alignment vertical="center"/>
    </xf>
    <xf numFmtId="0" fontId="33" fillId="0" borderId="0" xfId="1" applyFont="1" applyAlignment="1">
      <alignment horizontal="center" vertical="center"/>
    </xf>
    <xf numFmtId="165" fontId="34" fillId="0" borderId="0" xfId="1" applyNumberFormat="1" applyFont="1" applyAlignment="1">
      <alignment horizontal="right" vertical="center"/>
    </xf>
    <xf numFmtId="165" fontId="35" fillId="0" borderId="0" xfId="1" applyNumberFormat="1" applyFont="1" applyAlignment="1">
      <alignment horizontal="center" vertical="center"/>
    </xf>
    <xf numFmtId="0" fontId="36" fillId="0" borderId="0" xfId="1" applyFont="1" applyAlignment="1">
      <alignment vertical="center"/>
    </xf>
    <xf numFmtId="6" fontId="30" fillId="0" borderId="0" xfId="1" applyNumberFormat="1" applyFont="1"/>
    <xf numFmtId="0" fontId="30" fillId="0" borderId="0" xfId="1" applyFont="1" applyAlignment="1">
      <alignment horizontal="center"/>
    </xf>
    <xf numFmtId="8" fontId="30" fillId="0" borderId="0" xfId="1" applyNumberFormat="1" applyFont="1"/>
    <xf numFmtId="0" fontId="32" fillId="0" borderId="0" xfId="1" applyFont="1"/>
    <xf numFmtId="0" fontId="37" fillId="0" borderId="0" xfId="1" applyFont="1" applyAlignment="1">
      <alignment vertical="center"/>
    </xf>
    <xf numFmtId="164" fontId="30" fillId="0" borderId="0" xfId="1" applyNumberFormat="1" applyFont="1" applyAlignment="1">
      <alignment horizontal="center"/>
    </xf>
    <xf numFmtId="166" fontId="30" fillId="0" borderId="0" xfId="1" applyNumberFormat="1" applyFont="1" applyAlignment="1">
      <alignment horizontal="center" vertical="center"/>
    </xf>
    <xf numFmtId="167" fontId="30" fillId="0" borderId="0" xfId="1" applyNumberFormat="1" applyFont="1" applyAlignment="1">
      <alignment horizontal="center" vertical="center"/>
    </xf>
    <xf numFmtId="166" fontId="30" fillId="0" borderId="0" xfId="0" applyNumberFormat="1" applyFont="1" applyAlignment="1">
      <alignment vertical="center"/>
    </xf>
    <xf numFmtId="166" fontId="2" fillId="0" borderId="0" xfId="1" applyNumberFormat="1" applyFont="1" applyAlignment="1">
      <alignment horizontal="center" vertical="center"/>
    </xf>
    <xf numFmtId="167" fontId="2" fillId="0" borderId="0" xfId="1" applyNumberFormat="1" applyFont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38" fillId="0" borderId="0" xfId="1" applyFont="1" applyAlignment="1">
      <alignment vertical="center"/>
    </xf>
    <xf numFmtId="0" fontId="39" fillId="0" borderId="0" xfId="1" applyFont="1" applyAlignment="1">
      <alignment vertical="center"/>
    </xf>
    <xf numFmtId="0" fontId="40" fillId="0" borderId="0" xfId="1" applyFont="1" applyAlignment="1">
      <alignment horizontal="center" vertical="center"/>
    </xf>
    <xf numFmtId="164" fontId="39" fillId="0" borderId="0" xfId="1" applyNumberFormat="1" applyFont="1" applyAlignment="1">
      <alignment horizontal="center" vertical="center"/>
    </xf>
    <xf numFmtId="165" fontId="41" fillId="0" borderId="0" xfId="1" applyNumberFormat="1" applyFont="1" applyAlignment="1">
      <alignment horizontal="right" vertical="center"/>
    </xf>
    <xf numFmtId="0" fontId="0" fillId="0" borderId="0" xfId="0" applyAlignment="1">
      <alignment vertical="center"/>
    </xf>
    <xf numFmtId="166" fontId="1" fillId="0" borderId="0" xfId="1" applyNumberFormat="1" applyFont="1" applyAlignment="1">
      <alignment vertical="center"/>
    </xf>
    <xf numFmtId="0" fontId="0" fillId="0" borderId="0" xfId="1" applyFont="1" applyAlignment="1">
      <alignment vertical="center"/>
    </xf>
    <xf numFmtId="164" fontId="0" fillId="0" borderId="0" xfId="0" applyNumberFormat="1" applyAlignment="1">
      <alignment vertic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4" fillId="0" borderId="23" xfId="0" applyFont="1" applyBorder="1" applyAlignment="1">
      <alignment vertical="center"/>
    </xf>
    <xf numFmtId="0" fontId="0" fillId="0" borderId="24" xfId="0" applyBorder="1"/>
    <xf numFmtId="0" fontId="52" fillId="0" borderId="33" xfId="0" applyFont="1" applyBorder="1"/>
    <xf numFmtId="0" fontId="52" fillId="0" borderId="34" xfId="0" applyFont="1" applyBorder="1"/>
    <xf numFmtId="0" fontId="52" fillId="0" borderId="35" xfId="0" applyFont="1" applyBorder="1"/>
    <xf numFmtId="0" fontId="52" fillId="0" borderId="36" xfId="0" applyFont="1" applyBorder="1"/>
    <xf numFmtId="0" fontId="52" fillId="0" borderId="37" xfId="0" applyFont="1" applyBorder="1"/>
    <xf numFmtId="0" fontId="52" fillId="0" borderId="0" xfId="0" applyFont="1"/>
    <xf numFmtId="0" fontId="52" fillId="0" borderId="38" xfId="0" applyFont="1" applyBorder="1"/>
    <xf numFmtId="0" fontId="52" fillId="0" borderId="39" xfId="0" applyFont="1" applyBorder="1"/>
    <xf numFmtId="0" fontId="52" fillId="0" borderId="40" xfId="0" applyFont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47" fillId="0" borderId="31" xfId="0" applyFont="1" applyBorder="1" applyAlignment="1">
      <alignment horizontal="center" vertical="center"/>
    </xf>
    <xf numFmtId="0" fontId="0" fillId="0" borderId="32" xfId="0" applyBorder="1"/>
    <xf numFmtId="0" fontId="42" fillId="0" borderId="1" xfId="0" applyFont="1" applyBorder="1"/>
    <xf numFmtId="0" fontId="42" fillId="0" borderId="2" xfId="0" applyFont="1" applyBorder="1"/>
    <xf numFmtId="0" fontId="42" fillId="0" borderId="3" xfId="0" applyFont="1" applyBorder="1"/>
    <xf numFmtId="0" fontId="42" fillId="0" borderId="4" xfId="0" applyFont="1" applyBorder="1"/>
    <xf numFmtId="0" fontId="42" fillId="0" borderId="5" xfId="0" applyFont="1" applyBorder="1"/>
    <xf numFmtId="0" fontId="42" fillId="0" borderId="6" xfId="0" applyFont="1" applyBorder="1"/>
    <xf numFmtId="0" fontId="42" fillId="0" borderId="8" xfId="0" applyFont="1" applyBorder="1"/>
    <xf numFmtId="0" fontId="4" fillId="0" borderId="0" xfId="0" applyFont="1"/>
    <xf numFmtId="0" fontId="52" fillId="0" borderId="41" xfId="0" applyFont="1" applyBorder="1"/>
    <xf numFmtId="0" fontId="52" fillId="0" borderId="42" xfId="0" applyFont="1" applyBorder="1"/>
    <xf numFmtId="0" fontId="52" fillId="0" borderId="43" xfId="0" applyFont="1" applyBorder="1"/>
    <xf numFmtId="0" fontId="52" fillId="0" borderId="44" xfId="0" applyFont="1" applyBorder="1"/>
    <xf numFmtId="0" fontId="52" fillId="0" borderId="45" xfId="0" applyFont="1" applyBorder="1"/>
    <xf numFmtId="0" fontId="52" fillId="0" borderId="46" xfId="0" applyFont="1" applyBorder="1"/>
    <xf numFmtId="0" fontId="52" fillId="0" borderId="47" xfId="0" applyFont="1" applyBorder="1"/>
    <xf numFmtId="0" fontId="52" fillId="0" borderId="48" xfId="0" applyFont="1" applyBorder="1"/>
    <xf numFmtId="0" fontId="0" fillId="2" borderId="0" xfId="0" applyFill="1"/>
    <xf numFmtId="0" fontId="55" fillId="0" borderId="25" xfId="0" applyFont="1" applyBorder="1"/>
    <xf numFmtId="0" fontId="55" fillId="0" borderId="26" xfId="0" applyFont="1" applyBorder="1"/>
    <xf numFmtId="0" fontId="55" fillId="0" borderId="27" xfId="0" applyFont="1" applyBorder="1"/>
    <xf numFmtId="0" fontId="55" fillId="0" borderId="28" xfId="0" applyFont="1" applyBorder="1"/>
    <xf numFmtId="0" fontId="55" fillId="0" borderId="30" xfId="0" applyFont="1" applyBorder="1"/>
    <xf numFmtId="0" fontId="55" fillId="0" borderId="29" xfId="0" applyFont="1" applyBorder="1"/>
    <xf numFmtId="0" fontId="55" fillId="0" borderId="32" xfId="0" applyFont="1" applyBorder="1"/>
    <xf numFmtId="3" fontId="56" fillId="0" borderId="31" xfId="0" applyNumberFormat="1" applyFont="1" applyBorder="1" applyAlignment="1">
      <alignment horizontal="center" vertical="center"/>
    </xf>
    <xf numFmtId="0" fontId="43" fillId="0" borderId="0" xfId="0" applyFont="1" applyAlignment="1">
      <alignment horizontal="center" vertical="center"/>
    </xf>
    <xf numFmtId="3" fontId="57" fillId="0" borderId="7" xfId="0" applyNumberFormat="1" applyFont="1" applyBorder="1" applyAlignment="1">
      <alignment horizontal="center" vertical="center"/>
    </xf>
    <xf numFmtId="0" fontId="0" fillId="3" borderId="0" xfId="0" applyFill="1"/>
    <xf numFmtId="0" fontId="52" fillId="2" borderId="0" xfId="0" applyFont="1" applyFill="1"/>
    <xf numFmtId="0" fontId="55" fillId="2" borderId="0" xfId="0" applyFont="1" applyFill="1"/>
    <xf numFmtId="0" fontId="42" fillId="2" borderId="0" xfId="0" applyFont="1" applyFill="1"/>
    <xf numFmtId="3" fontId="57" fillId="2" borderId="0" xfId="0" applyNumberFormat="1" applyFont="1" applyFill="1" applyAlignment="1">
      <alignment horizontal="center" vertical="center"/>
    </xf>
    <xf numFmtId="0" fontId="0" fillId="3" borderId="12" xfId="0" applyFill="1" applyBorder="1"/>
    <xf numFmtId="0" fontId="0" fillId="3" borderId="13" xfId="0" applyFill="1" applyBorder="1"/>
    <xf numFmtId="0" fontId="0" fillId="2" borderId="36" xfId="0" applyFill="1" applyBorder="1"/>
    <xf numFmtId="3" fontId="56" fillId="3" borderId="0" xfId="0" applyNumberFormat="1" applyFont="1" applyFill="1" applyAlignment="1">
      <alignment horizontal="center" vertical="center"/>
    </xf>
    <xf numFmtId="0" fontId="42" fillId="3" borderId="0" xfId="0" applyFont="1" applyFill="1"/>
    <xf numFmtId="0" fontId="43" fillId="3" borderId="0" xfId="0" applyFont="1" applyFill="1" applyAlignment="1">
      <alignment horizontal="center" vertical="center"/>
    </xf>
    <xf numFmtId="0" fontId="55" fillId="3" borderId="49" xfId="0" applyFont="1" applyFill="1" applyBorder="1"/>
    <xf numFmtId="0" fontId="55" fillId="3" borderId="50" xfId="0" applyFont="1" applyFill="1" applyBorder="1"/>
    <xf numFmtId="0" fontId="55" fillId="3" borderId="51" xfId="0" applyFont="1" applyFill="1" applyBorder="1"/>
    <xf numFmtId="0" fontId="55" fillId="3" borderId="52" xfId="0" applyFont="1" applyFill="1" applyBorder="1"/>
    <xf numFmtId="0" fontId="55" fillId="3" borderId="53" xfId="0" applyFont="1" applyFill="1" applyBorder="1"/>
    <xf numFmtId="0" fontId="0" fillId="3" borderId="52" xfId="0" applyFill="1" applyBorder="1"/>
    <xf numFmtId="0" fontId="0" fillId="3" borderId="53" xfId="0" applyFill="1" applyBorder="1"/>
    <xf numFmtId="0" fontId="42" fillId="3" borderId="52" xfId="0" applyFont="1" applyFill="1" applyBorder="1"/>
    <xf numFmtId="0" fontId="42" fillId="3" borderId="53" xfId="0" applyFont="1" applyFill="1" applyBorder="1"/>
    <xf numFmtId="0" fontId="42" fillId="3" borderId="54" xfId="0" applyFont="1" applyFill="1" applyBorder="1"/>
    <xf numFmtId="3" fontId="57" fillId="3" borderId="55" xfId="0" applyNumberFormat="1" applyFont="1" applyFill="1" applyBorder="1" applyAlignment="1">
      <alignment horizontal="center" vertical="center"/>
    </xf>
    <xf numFmtId="0" fontId="42" fillId="3" borderId="56" xfId="0" applyFont="1" applyFill="1" applyBorder="1"/>
    <xf numFmtId="0" fontId="30" fillId="0" borderId="0" xfId="1" quotePrefix="1" applyFont="1" applyAlignment="1">
      <alignment vertical="center"/>
    </xf>
    <xf numFmtId="8" fontId="0" fillId="0" borderId="0" xfId="0" applyNumberFormat="1" applyAlignment="1">
      <alignment vertical="center"/>
    </xf>
    <xf numFmtId="166" fontId="30" fillId="0" borderId="0" xfId="1" applyNumberFormat="1" applyFont="1" applyAlignment="1">
      <alignment vertical="center"/>
    </xf>
    <xf numFmtId="165" fontId="1" fillId="0" borderId="0" xfId="1" applyNumberFormat="1" applyFont="1" applyAlignment="1">
      <alignment vertical="center"/>
    </xf>
    <xf numFmtId="0" fontId="3" fillId="0" borderId="0" xfId="1" applyAlignment="1">
      <alignment vertical="center"/>
    </xf>
    <xf numFmtId="165" fontId="8" fillId="0" borderId="0" xfId="1" applyNumberFormat="1" applyFont="1" applyAlignment="1">
      <alignment vertical="center"/>
    </xf>
    <xf numFmtId="0" fontId="3" fillId="0" borderId="0" xfId="1" quotePrefix="1" applyAlignment="1">
      <alignment vertical="center"/>
    </xf>
    <xf numFmtId="165" fontId="8" fillId="0" borderId="0" xfId="0" applyNumberFormat="1" applyFont="1" applyAlignment="1">
      <alignment vertical="center"/>
    </xf>
    <xf numFmtId="165" fontId="3" fillId="0" borderId="0" xfId="1" applyNumberFormat="1" applyAlignment="1">
      <alignment vertical="center"/>
    </xf>
    <xf numFmtId="6" fontId="30" fillId="0" borderId="0" xfId="1" applyNumberFormat="1" applyFont="1" applyAlignment="1">
      <alignment vertical="center"/>
    </xf>
    <xf numFmtId="9" fontId="30" fillId="0" borderId="0" xfId="1" applyNumberFormat="1" applyFont="1" applyAlignment="1">
      <alignment vertical="center"/>
    </xf>
    <xf numFmtId="10" fontId="30" fillId="0" borderId="0" xfId="1" applyNumberFormat="1" applyFont="1" applyAlignment="1">
      <alignment vertical="center"/>
    </xf>
    <xf numFmtId="167" fontId="30" fillId="0" borderId="0" xfId="1" applyNumberFormat="1" applyFont="1" applyAlignment="1">
      <alignment vertical="center"/>
    </xf>
    <xf numFmtId="165" fontId="30" fillId="0" borderId="0" xfId="1" applyNumberFormat="1" applyFont="1" applyAlignment="1">
      <alignment vertical="center"/>
    </xf>
    <xf numFmtId="5" fontId="30" fillId="0" borderId="0" xfId="1" applyNumberFormat="1" applyFont="1" applyAlignment="1">
      <alignment vertical="center"/>
    </xf>
    <xf numFmtId="168" fontId="30" fillId="0" borderId="0" xfId="1" applyNumberFormat="1" applyFont="1" applyAlignment="1">
      <alignment vertical="center"/>
    </xf>
    <xf numFmtId="166" fontId="0" fillId="0" borderId="0" xfId="1" applyNumberFormat="1" applyFont="1" applyAlignment="1">
      <alignment vertical="center"/>
    </xf>
    <xf numFmtId="1" fontId="30" fillId="0" borderId="0" xfId="1" applyNumberFormat="1" applyFont="1" applyAlignment="1">
      <alignment vertical="center"/>
    </xf>
    <xf numFmtId="15" fontId="0" fillId="0" borderId="0" xfId="1" applyNumberFormat="1" applyFont="1" applyAlignment="1">
      <alignment vertical="center"/>
    </xf>
    <xf numFmtId="0" fontId="0" fillId="0" borderId="0" xfId="1" quotePrefix="1" applyFont="1" applyAlignment="1">
      <alignment vertical="center"/>
    </xf>
    <xf numFmtId="2" fontId="30" fillId="0" borderId="0" xfId="1" applyNumberFormat="1" applyFont="1" applyAlignment="1">
      <alignment vertical="center"/>
    </xf>
    <xf numFmtId="0" fontId="5" fillId="0" borderId="0" xfId="1" applyFont="1" applyAlignment="1">
      <alignment vertical="center"/>
    </xf>
    <xf numFmtId="0" fontId="17" fillId="0" borderId="57" xfId="1" applyFont="1" applyBorder="1"/>
    <xf numFmtId="0" fontId="23" fillId="0" borderId="57" xfId="1" applyFont="1" applyBorder="1"/>
    <xf numFmtId="0" fontId="24" fillId="0" borderId="57" xfId="1" applyFont="1" applyBorder="1"/>
    <xf numFmtId="0" fontId="18" fillId="0" borderId="58" xfId="1" applyFont="1" applyBorder="1" applyAlignment="1">
      <alignment vertical="center"/>
    </xf>
    <xf numFmtId="10" fontId="9" fillId="0" borderId="58" xfId="1" applyNumberFormat="1" applyFont="1" applyBorder="1" applyAlignment="1">
      <alignment vertical="center"/>
    </xf>
    <xf numFmtId="164" fontId="26" fillId="0" borderId="58" xfId="1" applyNumberFormat="1" applyFont="1" applyBorder="1" applyAlignment="1">
      <alignment vertical="center"/>
    </xf>
    <xf numFmtId="0" fontId="18" fillId="0" borderId="59" xfId="1" applyFont="1" applyBorder="1" applyAlignment="1">
      <alignment vertical="center"/>
    </xf>
    <xf numFmtId="10" fontId="9" fillId="0" borderId="59" xfId="1" applyNumberFormat="1" applyFont="1" applyBorder="1" applyAlignment="1">
      <alignment vertical="center"/>
    </xf>
    <xf numFmtId="8" fontId="27" fillId="0" borderId="59" xfId="1" applyNumberFormat="1" applyFont="1" applyBorder="1" applyAlignment="1">
      <alignment vertical="center"/>
    </xf>
    <xf numFmtId="0" fontId="18" fillId="0" borderId="60" xfId="1" applyFont="1" applyBorder="1" applyAlignment="1">
      <alignment vertical="center"/>
    </xf>
    <xf numFmtId="10" fontId="9" fillId="0" borderId="60" xfId="1" applyNumberFormat="1" applyFont="1" applyBorder="1" applyAlignment="1">
      <alignment vertical="center"/>
    </xf>
    <xf numFmtId="8" fontId="27" fillId="0" borderId="60" xfId="1" applyNumberFormat="1" applyFont="1" applyBorder="1" applyAlignment="1">
      <alignment vertical="center"/>
    </xf>
    <xf numFmtId="8" fontId="22" fillId="0" borderId="59" xfId="1" applyNumberFormat="1" applyFont="1" applyBorder="1" applyAlignment="1">
      <alignment vertical="center"/>
    </xf>
    <xf numFmtId="0" fontId="9" fillId="0" borderId="59" xfId="1" applyFont="1" applyBorder="1" applyAlignment="1">
      <alignment vertical="center"/>
    </xf>
    <xf numFmtId="0" fontId="9" fillId="0" borderId="58" xfId="1" applyFont="1" applyBorder="1" applyAlignment="1">
      <alignment vertical="center"/>
    </xf>
    <xf numFmtId="0" fontId="25" fillId="0" borderId="60" xfId="2" applyBorder="1" applyAlignment="1" applyProtection="1">
      <alignment vertical="center"/>
    </xf>
    <xf numFmtId="0" fontId="9" fillId="0" borderId="60" xfId="1" applyFont="1" applyBorder="1" applyAlignment="1">
      <alignment vertical="center"/>
    </xf>
    <xf numFmtId="8" fontId="22" fillId="0" borderId="60" xfId="1" applyNumberFormat="1" applyFont="1" applyBorder="1" applyAlignment="1">
      <alignment vertical="center"/>
    </xf>
    <xf numFmtId="0" fontId="0" fillId="0" borderId="58" xfId="0" applyBorder="1" applyAlignment="1">
      <alignment vertical="center"/>
    </xf>
    <xf numFmtId="0" fontId="0" fillId="0" borderId="59" xfId="0" applyBorder="1" applyAlignment="1">
      <alignment vertical="center"/>
    </xf>
    <xf numFmtId="0" fontId="0" fillId="0" borderId="60" xfId="0" applyBorder="1" applyAlignment="1">
      <alignment vertical="center"/>
    </xf>
    <xf numFmtId="0" fontId="26" fillId="0" borderId="58" xfId="1" applyFont="1" applyBorder="1" applyAlignment="1">
      <alignment vertical="center"/>
    </xf>
    <xf numFmtId="164" fontId="26" fillId="0" borderId="58" xfId="1" quotePrefix="1" applyNumberFormat="1" applyFont="1" applyBorder="1" applyAlignment="1">
      <alignment vertical="center"/>
    </xf>
    <xf numFmtId="0" fontId="0" fillId="0" borderId="59" xfId="1" applyFont="1" applyBorder="1" applyAlignment="1">
      <alignment vertical="center"/>
    </xf>
    <xf numFmtId="0" fontId="26" fillId="0" borderId="59" xfId="1" applyFont="1" applyBorder="1" applyAlignment="1">
      <alignment vertical="center"/>
    </xf>
    <xf numFmtId="164" fontId="26" fillId="0" borderId="59" xfId="1" quotePrefix="1" applyNumberFormat="1" applyFont="1" applyBorder="1" applyAlignment="1">
      <alignment vertical="center"/>
    </xf>
    <xf numFmtId="0" fontId="23" fillId="0" borderId="59" xfId="1" applyFont="1" applyBorder="1" applyAlignment="1">
      <alignment vertical="center"/>
    </xf>
    <xf numFmtId="167" fontId="22" fillId="0" borderId="59" xfId="1" applyNumberFormat="1" applyFont="1" applyBorder="1" applyAlignment="1">
      <alignment vertical="center"/>
    </xf>
    <xf numFmtId="0" fontId="0" fillId="0" borderId="60" xfId="1" applyFont="1" applyBorder="1" applyAlignment="1">
      <alignment vertical="center"/>
    </xf>
    <xf numFmtId="0" fontId="26" fillId="0" borderId="60" xfId="1" applyFont="1" applyBorder="1" applyAlignment="1">
      <alignment vertical="center"/>
    </xf>
    <xf numFmtId="164" fontId="26" fillId="0" borderId="60" xfId="1" quotePrefix="1" applyNumberFormat="1" applyFont="1" applyBorder="1" applyAlignment="1">
      <alignment vertical="center"/>
    </xf>
    <xf numFmtId="0" fontId="22" fillId="0" borderId="59" xfId="1" applyFont="1" applyBorder="1" applyAlignment="1">
      <alignment vertical="center"/>
    </xf>
    <xf numFmtId="10" fontId="22" fillId="0" borderId="59" xfId="1" applyNumberFormat="1" applyFont="1" applyBorder="1" applyAlignment="1">
      <alignment vertical="center"/>
    </xf>
    <xf numFmtId="164" fontId="22" fillId="0" borderId="59" xfId="1" applyNumberFormat="1" applyFont="1" applyBorder="1" applyAlignment="1">
      <alignment vertical="center"/>
    </xf>
    <xf numFmtId="168" fontId="22" fillId="0" borderId="59" xfId="1" applyNumberFormat="1" applyFont="1" applyBorder="1" applyAlignment="1">
      <alignment vertical="center"/>
    </xf>
    <xf numFmtId="167" fontId="9" fillId="0" borderId="0" xfId="1" applyNumberFormat="1" applyFont="1" applyAlignment="1">
      <alignment vertical="center"/>
    </xf>
    <xf numFmtId="9" fontId="22" fillId="0" borderId="59" xfId="5" applyFont="1" applyBorder="1" applyAlignment="1">
      <alignment vertical="center"/>
    </xf>
    <xf numFmtId="164" fontId="26" fillId="0" borderId="59" xfId="1" applyNumberFormat="1" applyFont="1" applyBorder="1" applyAlignment="1">
      <alignment vertical="center"/>
    </xf>
    <xf numFmtId="167" fontId="26" fillId="0" borderId="59" xfId="1" applyNumberFormat="1" applyFont="1" applyBorder="1" applyAlignment="1">
      <alignment vertical="center"/>
    </xf>
    <xf numFmtId="0" fontId="22" fillId="0" borderId="60" xfId="1" applyFont="1" applyBorder="1" applyAlignment="1">
      <alignment vertical="center"/>
    </xf>
    <xf numFmtId="164" fontId="22" fillId="0" borderId="60" xfId="1" applyNumberFormat="1" applyFont="1" applyBorder="1" applyAlignment="1">
      <alignment vertical="center"/>
    </xf>
    <xf numFmtId="0" fontId="6" fillId="0" borderId="0" xfId="1" applyFont="1"/>
    <xf numFmtId="0" fontId="0" fillId="0" borderId="62" xfId="1" applyFont="1" applyBorder="1" applyAlignment="1">
      <alignment vertical="center"/>
    </xf>
    <xf numFmtId="0" fontId="30" fillId="0" borderId="62" xfId="1" applyFont="1" applyBorder="1" applyAlignment="1">
      <alignment vertical="center"/>
    </xf>
    <xf numFmtId="44" fontId="30" fillId="0" borderId="62" xfId="1" applyNumberFormat="1" applyFont="1" applyBorder="1" applyAlignment="1">
      <alignment vertical="center"/>
    </xf>
    <xf numFmtId="0" fontId="0" fillId="0" borderId="63" xfId="1" applyFont="1" applyBorder="1" applyAlignment="1">
      <alignment vertical="center"/>
    </xf>
    <xf numFmtId="44" fontId="0" fillId="0" borderId="63" xfId="4" applyFont="1" applyBorder="1" applyAlignment="1">
      <alignment vertical="center"/>
    </xf>
    <xf numFmtId="0" fontId="0" fillId="0" borderId="61" xfId="1" applyFont="1" applyBorder="1" applyAlignment="1">
      <alignment vertical="center"/>
    </xf>
    <xf numFmtId="44" fontId="0" fillId="0" borderId="61" xfId="4" applyFont="1" applyBorder="1" applyAlignment="1">
      <alignment vertical="center"/>
    </xf>
    <xf numFmtId="0" fontId="2" fillId="0" borderId="57" xfId="1" applyFont="1" applyBorder="1" applyAlignment="1">
      <alignment vertical="center"/>
    </xf>
    <xf numFmtId="0" fontId="2" fillId="0" borderId="57" xfId="1" applyFont="1" applyBorder="1" applyAlignment="1">
      <alignment horizontal="center" vertical="center"/>
    </xf>
    <xf numFmtId="172" fontId="0" fillId="0" borderId="0" xfId="0" applyNumberFormat="1" applyAlignment="1">
      <alignment vertical="center"/>
    </xf>
    <xf numFmtId="8" fontId="22" fillId="3" borderId="58" xfId="1" applyNumberFormat="1" applyFont="1" applyFill="1" applyBorder="1" applyAlignment="1">
      <alignment vertical="center"/>
    </xf>
    <xf numFmtId="8" fontId="22" fillId="3" borderId="59" xfId="1" applyNumberFormat="1" applyFont="1" applyFill="1" applyBorder="1" applyAlignment="1">
      <alignment vertical="center"/>
    </xf>
    <xf numFmtId="0" fontId="63" fillId="0" borderId="0" xfId="1" applyFont="1" applyAlignment="1">
      <alignment vertical="center"/>
    </xf>
    <xf numFmtId="0" fontId="6" fillId="0" borderId="57" xfId="1" applyFont="1" applyBorder="1" applyAlignment="1">
      <alignment vertical="center"/>
    </xf>
    <xf numFmtId="0" fontId="18" fillId="0" borderId="57" xfId="1" applyFont="1" applyBorder="1" applyAlignment="1">
      <alignment vertical="center"/>
    </xf>
    <xf numFmtId="0" fontId="19" fillId="0" borderId="57" xfId="1" applyFont="1" applyBorder="1" applyAlignment="1">
      <alignment horizontal="center" vertical="center"/>
    </xf>
    <xf numFmtId="164" fontId="18" fillId="0" borderId="57" xfId="1" applyNumberFormat="1" applyFont="1" applyBorder="1" applyAlignment="1">
      <alignment horizontal="center" vertical="center"/>
    </xf>
    <xf numFmtId="165" fontId="20" fillId="0" borderId="57" xfId="1" applyNumberFormat="1" applyFont="1" applyBorder="1" applyAlignment="1">
      <alignment horizontal="right" vertical="center"/>
    </xf>
    <xf numFmtId="164" fontId="17" fillId="0" borderId="57" xfId="1" applyNumberFormat="1" applyFont="1" applyBorder="1"/>
    <xf numFmtId="8" fontId="6" fillId="3" borderId="0" xfId="1" applyNumberFormat="1" applyFont="1" applyFill="1" applyAlignment="1">
      <alignment horizontal="right" vertical="center"/>
    </xf>
    <xf numFmtId="169" fontId="8" fillId="3" borderId="0" xfId="1" applyNumberFormat="1" applyFont="1" applyFill="1" applyAlignment="1">
      <alignment vertical="center"/>
    </xf>
    <xf numFmtId="10" fontId="22" fillId="3" borderId="59" xfId="5" applyNumberFormat="1" applyFont="1" applyFill="1" applyBorder="1" applyAlignment="1">
      <alignment vertical="center"/>
    </xf>
    <xf numFmtId="164" fontId="23" fillId="0" borderId="0" xfId="1" applyNumberFormat="1" applyFont="1"/>
    <xf numFmtId="10" fontId="64" fillId="0" borderId="60" xfId="1" applyNumberFormat="1" applyFont="1" applyBorder="1" applyAlignment="1">
      <alignment vertical="center"/>
    </xf>
    <xf numFmtId="165" fontId="30" fillId="0" borderId="0" xfId="4" applyNumberFormat="1" applyFont="1" applyAlignment="1">
      <alignment vertical="center"/>
    </xf>
    <xf numFmtId="0" fontId="0" fillId="0" borderId="0" xfId="1" applyFont="1" applyAlignment="1">
      <alignment horizontal="center" vertical="center"/>
    </xf>
    <xf numFmtId="0" fontId="0" fillId="0" borderId="62" xfId="0" applyBorder="1" applyAlignment="1">
      <alignment vertical="center"/>
    </xf>
    <xf numFmtId="15" fontId="30" fillId="0" borderId="0" xfId="1" applyNumberFormat="1" applyFont="1" applyAlignment="1">
      <alignment vertical="center"/>
    </xf>
    <xf numFmtId="164" fontId="0" fillId="0" borderId="0" xfId="0" applyNumberFormat="1" applyAlignment="1">
      <alignment horizontal="center" vertical="center"/>
    </xf>
    <xf numFmtId="165" fontId="34" fillId="0" borderId="0" xfId="1" applyNumberFormat="1" applyFont="1" applyAlignment="1">
      <alignment horizontal="right" vertical="center"/>
    </xf>
    <xf numFmtId="0" fontId="0" fillId="0" borderId="0" xfId="0" applyAlignment="1">
      <alignment horizontal="center" vertical="center"/>
    </xf>
    <xf numFmtId="0" fontId="6" fillId="0" borderId="0" xfId="0" applyFont="1"/>
    <xf numFmtId="166" fontId="0" fillId="2" borderId="65" xfId="0" applyNumberFormat="1" applyFill="1" applyBorder="1" applyAlignment="1">
      <alignment horizontal="center" vertical="center"/>
    </xf>
    <xf numFmtId="0" fontId="6" fillId="0" borderId="0" xfId="0" applyFont="1" applyAlignment="1"/>
    <xf numFmtId="173" fontId="0" fillId="0" borderId="0" xfId="5" applyNumberFormat="1" applyFont="1" applyAlignment="1">
      <alignment horizontal="center" vertical="center"/>
    </xf>
    <xf numFmtId="0" fontId="0" fillId="0" borderId="57" xfId="0" applyBorder="1" applyAlignment="1">
      <alignment vertical="center"/>
    </xf>
    <xf numFmtId="0" fontId="0" fillId="0" borderId="57" xfId="0" applyBorder="1" applyAlignment="1">
      <alignment horizontal="center" vertical="center"/>
    </xf>
    <xf numFmtId="0" fontId="0" fillId="0" borderId="0" xfId="0" applyAlignment="1">
      <alignment horizontal="center"/>
    </xf>
    <xf numFmtId="173" fontId="0" fillId="0" borderId="0" xfId="5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173" fontId="0" fillId="0" borderId="0" xfId="5" applyNumberFormat="1" applyFont="1" applyFill="1" applyAlignment="1">
      <alignment horizontal="left" vertical="center"/>
    </xf>
    <xf numFmtId="164" fontId="0" fillId="0" borderId="0" xfId="5" applyNumberFormat="1" applyFont="1" applyFill="1" applyAlignment="1">
      <alignment horizontal="center" vertical="center"/>
    </xf>
    <xf numFmtId="0" fontId="0" fillId="0" borderId="57" xfId="0" applyFill="1" applyBorder="1" applyAlignment="1">
      <alignment vertical="center"/>
    </xf>
    <xf numFmtId="173" fontId="0" fillId="0" borderId="57" xfId="5" applyNumberFormat="1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173" fontId="0" fillId="0" borderId="0" xfId="5" applyNumberFormat="1" applyFont="1" applyFill="1" applyBorder="1" applyAlignment="1">
      <alignment horizontal="center" vertical="center"/>
    </xf>
    <xf numFmtId="166" fontId="0" fillId="0" borderId="0" xfId="5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Fill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173" fontId="0" fillId="0" borderId="62" xfId="5" applyNumberFormat="1" applyFont="1" applyFill="1" applyBorder="1" applyAlignment="1">
      <alignment horizontal="left" vertical="center"/>
    </xf>
    <xf numFmtId="173" fontId="0" fillId="0" borderId="62" xfId="5" applyNumberFormat="1" applyFont="1" applyFill="1" applyBorder="1" applyAlignment="1">
      <alignment horizontal="center" vertical="center"/>
    </xf>
    <xf numFmtId="166" fontId="0" fillId="0" borderId="0" xfId="5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8" fontId="4" fillId="0" borderId="0" xfId="0" applyNumberFormat="1" applyFont="1" applyAlignment="1">
      <alignment vertical="center"/>
    </xf>
    <xf numFmtId="173" fontId="4" fillId="0" borderId="0" xfId="5" applyNumberFormat="1" applyFont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173" fontId="4" fillId="0" borderId="0" xfId="5" applyNumberFormat="1" applyFont="1" applyFill="1" applyAlignment="1">
      <alignment horizontal="left" vertical="center"/>
    </xf>
    <xf numFmtId="173" fontId="4" fillId="0" borderId="0" xfId="5" applyNumberFormat="1" applyFont="1" applyFill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166" fontId="0" fillId="0" borderId="0" xfId="0" applyNumberForma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6" fontId="0" fillId="4" borderId="0" xfId="0" applyNumberFormat="1" applyFill="1" applyAlignment="1"/>
    <xf numFmtId="171" fontId="0" fillId="4" borderId="0" xfId="1" applyNumberFormat="1" applyFont="1" applyFill="1" applyAlignment="1"/>
    <xf numFmtId="8" fontId="0" fillId="4" borderId="0" xfId="0" applyNumberFormat="1" applyFill="1" applyBorder="1" applyAlignment="1"/>
    <xf numFmtId="0" fontId="0" fillId="4" borderId="0" xfId="0" applyFill="1" applyAlignment="1">
      <alignment vertical="center"/>
    </xf>
    <xf numFmtId="164" fontId="30" fillId="0" borderId="0" xfId="1" applyNumberFormat="1" applyFont="1" applyAlignment="1">
      <alignment vertical="center"/>
    </xf>
    <xf numFmtId="166" fontId="0" fillId="0" borderId="0" xfId="1" applyNumberFormat="1" applyFont="1" applyFill="1" applyAlignment="1">
      <alignment vertical="center"/>
    </xf>
    <xf numFmtId="0" fontId="0" fillId="0" borderId="0" xfId="0" applyNumberFormat="1" applyFont="1" applyFill="1" applyBorder="1" applyAlignment="1" applyProtection="1"/>
    <xf numFmtId="164" fontId="0" fillId="0" borderId="0" xfId="0" applyNumberFormat="1" applyFont="1" applyFill="1" applyBorder="1" applyAlignment="1" applyProtection="1"/>
    <xf numFmtId="164" fontId="0" fillId="0" borderId="0" xfId="1" applyNumberFormat="1" applyFont="1" applyFill="1" applyAlignment="1">
      <alignment vertical="center"/>
    </xf>
    <xf numFmtId="1" fontId="0" fillId="0" borderId="0" xfId="0" applyNumberFormat="1" applyFill="1"/>
    <xf numFmtId="172" fontId="0" fillId="0" borderId="0" xfId="0" applyNumberFormat="1" applyFill="1" applyAlignment="1">
      <alignment vertical="center" wrapText="1"/>
    </xf>
    <xf numFmtId="164" fontId="0" fillId="0" borderId="0" xfId="0" applyNumberFormat="1" applyFill="1" applyAlignment="1">
      <alignment vertical="center" wrapText="1"/>
    </xf>
    <xf numFmtId="8" fontId="0" fillId="0" borderId="0" xfId="0" applyNumberFormat="1" applyFill="1" applyAlignment="1">
      <alignment vertical="center" wrapText="1"/>
    </xf>
    <xf numFmtId="6" fontId="0" fillId="0" borderId="0" xfId="0" applyNumberFormat="1" applyFill="1" applyAlignment="1">
      <alignment vertical="center" wrapText="1"/>
    </xf>
    <xf numFmtId="0" fontId="0" fillId="0" borderId="0" xfId="0" applyFill="1" applyAlignment="1">
      <alignment horizontal="center" vertical="center" wrapText="1"/>
    </xf>
    <xf numFmtId="8" fontId="0" fillId="0" borderId="0" xfId="0" applyNumberFormat="1" applyFill="1" applyAlignment="1"/>
    <xf numFmtId="8" fontId="0" fillId="0" borderId="0" xfId="0" applyNumberFormat="1" applyFill="1" applyBorder="1" applyAlignment="1"/>
    <xf numFmtId="0" fontId="0" fillId="0" borderId="0" xfId="0" applyFill="1" applyAlignment="1">
      <alignment vertical="center"/>
    </xf>
    <xf numFmtId="172" fontId="0" fillId="0" borderId="0" xfId="0" applyNumberFormat="1" applyFill="1" applyAlignment="1">
      <alignment vertical="center"/>
    </xf>
    <xf numFmtId="164" fontId="0" fillId="0" borderId="0" xfId="0" applyNumberFormat="1" applyFill="1" applyAlignment="1">
      <alignment vertical="center"/>
    </xf>
    <xf numFmtId="8" fontId="0" fillId="0" borderId="0" xfId="0" applyNumberFormat="1" applyFill="1" applyAlignment="1">
      <alignment vertical="center"/>
    </xf>
    <xf numFmtId="0" fontId="0" fillId="0" borderId="0" xfId="0" applyFill="1"/>
    <xf numFmtId="172" fontId="0" fillId="0" borderId="0" xfId="0" applyNumberFormat="1" applyFill="1"/>
    <xf numFmtId="164" fontId="0" fillId="0" borderId="0" xfId="0" applyNumberFormat="1" applyFill="1"/>
    <xf numFmtId="8" fontId="0" fillId="0" borderId="0" xfId="0" applyNumberFormat="1" applyFill="1"/>
    <xf numFmtId="172" fontId="2" fillId="0" borderId="0" xfId="0" applyNumberFormat="1" applyFont="1" applyFill="1" applyBorder="1" applyAlignment="1">
      <alignment vertical="center"/>
    </xf>
    <xf numFmtId="164" fontId="2" fillId="0" borderId="0" xfId="0" applyNumberFormat="1" applyFont="1" applyFill="1" applyBorder="1" applyAlignment="1">
      <alignment vertical="center"/>
    </xf>
    <xf numFmtId="8" fontId="0" fillId="0" borderId="0" xfId="0" applyNumberFormat="1" applyFill="1" applyBorder="1" applyAlignment="1">
      <alignment vertical="center"/>
    </xf>
    <xf numFmtId="1" fontId="0" fillId="4" borderId="0" xfId="0" applyNumberFormat="1" applyFill="1"/>
    <xf numFmtId="8" fontId="0" fillId="4" borderId="0" xfId="0" applyNumberFormat="1" applyFill="1" applyAlignment="1">
      <alignment vertical="center" wrapText="1"/>
    </xf>
    <xf numFmtId="6" fontId="0" fillId="4" borderId="0" xfId="0" applyNumberFormat="1" applyFill="1" applyAlignment="1">
      <alignment vertical="center" wrapText="1"/>
    </xf>
    <xf numFmtId="0" fontId="0" fillId="4" borderId="0" xfId="0" applyFill="1"/>
    <xf numFmtId="164" fontId="0" fillId="4" borderId="0" xfId="0" applyNumberFormat="1" applyFill="1"/>
    <xf numFmtId="0" fontId="0" fillId="0" borderId="0" xfId="0" applyAlignment="1">
      <alignment vertical="center" wrapText="1"/>
    </xf>
    <xf numFmtId="176" fontId="0" fillId="0" borderId="0" xfId="0" applyNumberFormat="1"/>
    <xf numFmtId="176" fontId="0" fillId="0" borderId="0" xfId="0" applyNumberFormat="1" applyAlignment="1">
      <alignment vertical="center" wrapText="1"/>
    </xf>
    <xf numFmtId="164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174" fontId="0" fillId="0" borderId="0" xfId="0" applyNumberFormat="1" applyAlignment="1">
      <alignment horizontal="center" vertical="center" wrapText="1"/>
    </xf>
    <xf numFmtId="8" fontId="0" fillId="0" borderId="0" xfId="0" applyNumberFormat="1" applyAlignment="1">
      <alignment horizontal="center" vertical="center" wrapText="1"/>
    </xf>
    <xf numFmtId="176" fontId="6" fillId="0" borderId="0" xfId="0" applyNumberFormat="1" applyFont="1"/>
    <xf numFmtId="6" fontId="0" fillId="0" borderId="0" xfId="0" applyNumberFormat="1" applyAlignment="1">
      <alignment vertical="center"/>
    </xf>
    <xf numFmtId="176" fontId="0" fillId="0" borderId="0" xfId="0" applyNumberFormat="1" applyAlignment="1">
      <alignment vertical="center"/>
    </xf>
    <xf numFmtId="165" fontId="0" fillId="0" borderId="0" xfId="0" applyNumberFormat="1" applyAlignment="1">
      <alignment vertical="center"/>
    </xf>
    <xf numFmtId="175" fontId="4" fillId="0" borderId="0" xfId="0" applyNumberFormat="1" applyFont="1" applyFill="1" applyBorder="1" applyAlignment="1"/>
    <xf numFmtId="164" fontId="0" fillId="0" borderId="0" xfId="0" applyNumberFormat="1" applyFill="1" applyBorder="1" applyAlignment="1"/>
    <xf numFmtId="6" fontId="0" fillId="4" borderId="0" xfId="0" applyNumberFormat="1" applyFill="1" applyBorder="1" applyAlignment="1"/>
    <xf numFmtId="174" fontId="0" fillId="4" borderId="0" xfId="5" applyNumberFormat="1" applyFont="1" applyFill="1" applyBorder="1" applyAlignment="1"/>
    <xf numFmtId="174" fontId="0" fillId="4" borderId="0" xfId="0" applyNumberFormat="1" applyFill="1" applyBorder="1" applyAlignment="1"/>
    <xf numFmtId="177" fontId="0" fillId="0" borderId="0" xfId="0" applyNumberFormat="1"/>
    <xf numFmtId="164" fontId="0" fillId="0" borderId="0" xfId="0" applyNumberFormat="1"/>
    <xf numFmtId="177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175" fontId="4" fillId="6" borderId="0" xfId="0" applyNumberFormat="1" applyFont="1" applyFill="1" applyAlignment="1"/>
    <xf numFmtId="164" fontId="0" fillId="6" borderId="0" xfId="0" applyNumberFormat="1" applyFill="1" applyAlignment="1"/>
    <xf numFmtId="8" fontId="0" fillId="6" borderId="0" xfId="0" applyNumberFormat="1" applyFill="1" applyAlignment="1"/>
    <xf numFmtId="8" fontId="0" fillId="7" borderId="0" xfId="0" applyNumberFormat="1" applyFill="1" applyAlignment="1"/>
    <xf numFmtId="6" fontId="0" fillId="7" borderId="0" xfId="0" applyNumberFormat="1" applyFill="1" applyAlignment="1"/>
    <xf numFmtId="174" fontId="0" fillId="7" borderId="0" xfId="5" applyNumberFormat="1" applyFont="1" applyFill="1" applyAlignment="1"/>
    <xf numFmtId="174" fontId="0" fillId="7" borderId="0" xfId="0" applyNumberFormat="1" applyFill="1" applyAlignment="1"/>
    <xf numFmtId="171" fontId="0" fillId="7" borderId="0" xfId="1" applyNumberFormat="1" applyFont="1" applyFill="1" applyAlignment="1"/>
    <xf numFmtId="0" fontId="0" fillId="6" borderId="0" xfId="0" applyFill="1" applyAlignment="1">
      <alignment horizontal="center" wrapText="1"/>
    </xf>
    <xf numFmtId="175" fontId="66" fillId="6" borderId="0" xfId="0" applyNumberFormat="1" applyFont="1" applyFill="1" applyAlignment="1"/>
    <xf numFmtId="8" fontId="0" fillId="6" borderId="0" xfId="0" applyNumberFormat="1" applyFill="1" applyBorder="1" applyAlignment="1"/>
    <xf numFmtId="0" fontId="0" fillId="6" borderId="0" xfId="0" applyFill="1" applyAlignment="1"/>
    <xf numFmtId="8" fontId="0" fillId="6" borderId="64" xfId="0" applyNumberFormat="1" applyFill="1" applyBorder="1" applyAlignment="1"/>
    <xf numFmtId="0" fontId="0" fillId="6" borderId="0" xfId="0" applyFill="1" applyAlignment="1">
      <alignment vertical="center"/>
    </xf>
    <xf numFmtId="178" fontId="0" fillId="0" borderId="0" xfId="0" applyNumberFormat="1"/>
    <xf numFmtId="165" fontId="0" fillId="0" borderId="0" xfId="0" applyNumberFormat="1"/>
    <xf numFmtId="177" fontId="0" fillId="0" borderId="0" xfId="0" applyNumberFormat="1" applyFill="1"/>
    <xf numFmtId="177" fontId="0" fillId="8" borderId="0" xfId="0" applyNumberFormat="1" applyFill="1"/>
    <xf numFmtId="0" fontId="0" fillId="8" borderId="0" xfId="0" applyFill="1"/>
    <xf numFmtId="0" fontId="0" fillId="0" borderId="66" xfId="1" applyFont="1" applyBorder="1" applyAlignment="1">
      <alignment vertical="center"/>
    </xf>
    <xf numFmtId="6" fontId="30" fillId="0" borderId="63" xfId="1" applyNumberFormat="1" applyFont="1" applyBorder="1" applyAlignment="1">
      <alignment vertical="center"/>
    </xf>
    <xf numFmtId="6" fontId="30" fillId="0" borderId="61" xfId="1" applyNumberFormat="1" applyFont="1" applyBorder="1" applyAlignment="1">
      <alignment vertical="center"/>
    </xf>
    <xf numFmtId="0" fontId="31" fillId="4" borderId="0" xfId="1" applyFont="1" applyFill="1"/>
    <xf numFmtId="0" fontId="31" fillId="0" borderId="0" xfId="1" applyFont="1" applyFill="1"/>
    <xf numFmtId="0" fontId="31" fillId="0" borderId="0" xfId="1" applyFont="1" applyFill="1" applyAlignment="1">
      <alignment vertical="center"/>
    </xf>
    <xf numFmtId="0" fontId="36" fillId="0" borderId="0" xfId="1" applyFont="1" applyFill="1" applyAlignment="1">
      <alignment vertical="center"/>
    </xf>
    <xf numFmtId="0" fontId="30" fillId="0" borderId="0" xfId="1" applyFont="1" applyFill="1" applyAlignment="1">
      <alignment vertical="center"/>
    </xf>
    <xf numFmtId="0" fontId="3" fillId="0" borderId="0" xfId="1" applyFill="1"/>
    <xf numFmtId="0" fontId="3" fillId="0" borderId="0" xfId="1" applyFill="1" applyAlignment="1">
      <alignment vertical="center"/>
    </xf>
    <xf numFmtId="1" fontId="67" fillId="4" borderId="0" xfId="0" applyNumberFormat="1" applyFont="1" applyFill="1"/>
    <xf numFmtId="8" fontId="67" fillId="4" borderId="0" xfId="0" applyNumberFormat="1" applyFont="1" applyFill="1" applyAlignment="1">
      <alignment vertical="center" wrapText="1"/>
    </xf>
    <xf numFmtId="8" fontId="67" fillId="7" borderId="0" xfId="0" applyNumberFormat="1" applyFont="1" applyFill="1" applyAlignment="1"/>
    <xf numFmtId="8" fontId="67" fillId="4" borderId="0" xfId="0" applyNumberFormat="1" applyFont="1" applyFill="1" applyAlignment="1"/>
    <xf numFmtId="8" fontId="67" fillId="4" borderId="0" xfId="0" applyNumberFormat="1" applyFont="1" applyFill="1" applyBorder="1" applyAlignment="1"/>
    <xf numFmtId="0" fontId="67" fillId="0" borderId="0" xfId="0" applyFont="1" applyFill="1" applyAlignment="1">
      <alignment vertical="center"/>
    </xf>
    <xf numFmtId="0" fontId="67" fillId="4" borderId="0" xfId="0" applyFont="1" applyFill="1" applyAlignment="1">
      <alignment vertical="center"/>
    </xf>
    <xf numFmtId="0" fontId="67" fillId="4" borderId="0" xfId="0" applyFont="1" applyFill="1"/>
    <xf numFmtId="8" fontId="67" fillId="7" borderId="0" xfId="0" applyNumberFormat="1" applyFont="1" applyFill="1" applyBorder="1" applyAlignment="1"/>
    <xf numFmtId="8" fontId="67" fillId="7" borderId="64" xfId="0" applyNumberFormat="1" applyFont="1" applyFill="1" applyBorder="1" applyAlignment="1"/>
    <xf numFmtId="0" fontId="67" fillId="0" borderId="0" xfId="0" applyFont="1" applyFill="1" applyBorder="1" applyAlignment="1">
      <alignment vertical="center"/>
    </xf>
    <xf numFmtId="6" fontId="67" fillId="4" borderId="0" xfId="0" applyNumberFormat="1" applyFont="1" applyFill="1" applyAlignment="1">
      <alignment vertical="center" wrapText="1"/>
    </xf>
    <xf numFmtId="164" fontId="67" fillId="4" borderId="0" xfId="0" applyNumberFormat="1" applyFont="1" applyFill="1"/>
    <xf numFmtId="164" fontId="67" fillId="4" borderId="0" xfId="0" applyNumberFormat="1" applyFont="1" applyFill="1" applyAlignment="1">
      <alignment vertical="center" wrapText="1"/>
    </xf>
    <xf numFmtId="164" fontId="67" fillId="7" borderId="0" xfId="1" applyNumberFormat="1" applyFont="1" applyFill="1" applyAlignment="1"/>
    <xf numFmtId="164" fontId="67" fillId="4" borderId="0" xfId="1" applyNumberFormat="1" applyFont="1" applyFill="1" applyAlignment="1"/>
    <xf numFmtId="164" fontId="67" fillId="0" borderId="0" xfId="0" applyNumberFormat="1" applyFont="1" applyFill="1" applyBorder="1" applyAlignment="1">
      <alignment vertical="center"/>
    </xf>
    <xf numFmtId="164" fontId="67" fillId="0" borderId="0" xfId="0" applyNumberFormat="1" applyFont="1" applyFill="1" applyAlignment="1">
      <alignment vertical="center"/>
    </xf>
    <xf numFmtId="164" fontId="67" fillId="4" borderId="0" xfId="0" applyNumberFormat="1" applyFont="1" applyFill="1" applyAlignment="1">
      <alignment vertical="center"/>
    </xf>
    <xf numFmtId="15" fontId="0" fillId="0" borderId="0" xfId="0" applyNumberFormat="1"/>
    <xf numFmtId="166" fontId="0" fillId="0" borderId="0" xfId="0" applyNumberFormat="1"/>
    <xf numFmtId="4" fontId="0" fillId="0" borderId="0" xfId="0" applyNumberFormat="1"/>
    <xf numFmtId="164" fontId="68" fillId="0" borderId="0" xfId="0" applyNumberFormat="1" applyFont="1"/>
    <xf numFmtId="0" fontId="0" fillId="0" borderId="0" xfId="1" applyFont="1" applyBorder="1" applyAlignment="1">
      <alignment vertical="center"/>
    </xf>
    <xf numFmtId="44" fontId="0" fillId="0" borderId="0" xfId="4" applyFont="1" applyBorder="1" applyAlignment="1">
      <alignment vertical="center"/>
    </xf>
    <xf numFmtId="6" fontId="30" fillId="0" borderId="62" xfId="1" applyNumberFormat="1" applyFont="1" applyBorder="1" applyAlignment="1">
      <alignment vertical="center"/>
    </xf>
    <xf numFmtId="44" fontId="30" fillId="0" borderId="0" xfId="1" applyNumberFormat="1" applyFont="1" applyAlignment="1">
      <alignment horizontal="center" vertical="center"/>
    </xf>
    <xf numFmtId="0" fontId="0" fillId="6" borderId="0" xfId="0" applyFill="1" applyBorder="1" applyAlignment="1">
      <alignment vertical="center"/>
    </xf>
    <xf numFmtId="8" fontId="0" fillId="6" borderId="0" xfId="0" applyNumberFormat="1" applyFill="1" applyBorder="1" applyAlignment="1">
      <alignment vertical="center"/>
    </xf>
    <xf numFmtId="8" fontId="0" fillId="6" borderId="0" xfId="0" applyNumberFormat="1" applyFill="1" applyAlignment="1">
      <alignment vertical="center"/>
    </xf>
    <xf numFmtId="175" fontId="4" fillId="6" borderId="0" xfId="0" applyNumberFormat="1" applyFont="1" applyFill="1" applyBorder="1" applyAlignment="1"/>
    <xf numFmtId="164" fontId="0" fillId="6" borderId="0" xfId="0" applyNumberFormat="1" applyFill="1" applyBorder="1" applyAlignment="1"/>
    <xf numFmtId="8" fontId="0" fillId="7" borderId="0" xfId="0" applyNumberFormat="1" applyFill="1" applyBorder="1" applyAlignment="1"/>
    <xf numFmtId="6" fontId="0" fillId="7" borderId="0" xfId="0" applyNumberFormat="1" applyFill="1" applyBorder="1" applyAlignment="1"/>
    <xf numFmtId="174" fontId="0" fillId="7" borderId="0" xfId="5" applyNumberFormat="1" applyFont="1" applyFill="1" applyBorder="1" applyAlignment="1"/>
    <xf numFmtId="174" fontId="0" fillId="7" borderId="0" xfId="0" applyNumberFormat="1" applyFill="1" applyBorder="1" applyAlignment="1"/>
    <xf numFmtId="171" fontId="0" fillId="7" borderId="0" xfId="1" applyNumberFormat="1" applyFont="1" applyFill="1" applyBorder="1" applyAlignment="1"/>
    <xf numFmtId="175" fontId="66" fillId="6" borderId="0" xfId="0" applyNumberFormat="1" applyFont="1" applyFill="1" applyBorder="1" applyAlignment="1"/>
    <xf numFmtId="0" fontId="4" fillId="0" borderId="0" xfId="0" applyFont="1" applyAlignment="1">
      <alignment horizontal="center"/>
    </xf>
    <xf numFmtId="165" fontId="59" fillId="0" borderId="0" xfId="0" applyNumberFormat="1" applyFont="1" applyAlignment="1">
      <alignment horizontal="center" vertical="center"/>
    </xf>
    <xf numFmtId="0" fontId="50" fillId="0" borderId="0" xfId="0" applyFont="1" applyAlignment="1">
      <alignment horizontal="center" vertical="center"/>
    </xf>
    <xf numFmtId="3" fontId="56" fillId="0" borderId="0" xfId="0" applyNumberFormat="1" applyFont="1" applyAlignment="1">
      <alignment horizontal="center" vertical="center"/>
    </xf>
    <xf numFmtId="0" fontId="50" fillId="2" borderId="0" xfId="0" applyFont="1" applyFill="1" applyAlignment="1">
      <alignment horizontal="center" vertical="center"/>
    </xf>
    <xf numFmtId="3" fontId="56" fillId="2" borderId="0" xfId="0" applyNumberFormat="1" applyFont="1" applyFill="1" applyAlignment="1">
      <alignment horizontal="center" vertical="center"/>
    </xf>
    <xf numFmtId="0" fontId="43" fillId="2" borderId="0" xfId="0" applyFont="1" applyFill="1" applyAlignment="1">
      <alignment horizontal="center" vertical="center"/>
    </xf>
    <xf numFmtId="3" fontId="57" fillId="2" borderId="0" xfId="0" applyNumberFormat="1" applyFont="1" applyFill="1" applyAlignment="1">
      <alignment horizontal="center" vertical="center"/>
    </xf>
    <xf numFmtId="0" fontId="58" fillId="0" borderId="0" xfId="0" applyFont="1" applyAlignment="1">
      <alignment horizontal="center" vertical="center"/>
    </xf>
    <xf numFmtId="0" fontId="53" fillId="0" borderId="0" xfId="0" applyFont="1" applyAlignment="1">
      <alignment horizontal="center" vertical="center"/>
    </xf>
    <xf numFmtId="165" fontId="54" fillId="0" borderId="0" xfId="0" applyNumberFormat="1" applyFont="1" applyAlignment="1">
      <alignment horizontal="center" vertical="center"/>
    </xf>
    <xf numFmtId="0" fontId="50" fillId="3" borderId="0" xfId="0" applyFont="1" applyFill="1" applyAlignment="1">
      <alignment horizontal="center" vertical="center"/>
    </xf>
    <xf numFmtId="0" fontId="43" fillId="0" borderId="0" xfId="0" applyFont="1" applyAlignment="1">
      <alignment horizontal="center" vertical="center"/>
    </xf>
    <xf numFmtId="165" fontId="44" fillId="0" borderId="0" xfId="0" applyNumberFormat="1" applyFont="1" applyAlignment="1">
      <alignment horizontal="center" vertical="center"/>
    </xf>
    <xf numFmtId="0" fontId="48" fillId="0" borderId="0" xfId="0" applyFont="1" applyAlignment="1">
      <alignment horizontal="center" vertical="center"/>
    </xf>
    <xf numFmtId="165" fontId="49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3" fontId="57" fillId="0" borderId="0" xfId="0" applyNumberFormat="1" applyFont="1" applyAlignment="1">
      <alignment horizontal="center" vertical="center"/>
    </xf>
    <xf numFmtId="0" fontId="45" fillId="0" borderId="0" xfId="0" applyFont="1" applyAlignment="1">
      <alignment horizontal="center" vertical="center"/>
    </xf>
    <xf numFmtId="1" fontId="46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3" fontId="51" fillId="0" borderId="0" xfId="0" applyNumberFormat="1" applyFont="1" applyAlignment="1">
      <alignment horizontal="center" vertical="center"/>
    </xf>
    <xf numFmtId="165" fontId="20" fillId="0" borderId="0" xfId="1" applyNumberFormat="1" applyFont="1" applyAlignment="1">
      <alignment horizontal="right" vertical="center"/>
    </xf>
    <xf numFmtId="166" fontId="22" fillId="0" borderId="0" xfId="1" applyNumberFormat="1" applyFont="1"/>
    <xf numFmtId="165" fontId="34" fillId="0" borderId="0" xfId="1" applyNumberFormat="1" applyFont="1" applyAlignment="1">
      <alignment horizontal="right" vertical="center"/>
    </xf>
  </cellXfs>
  <cellStyles count="7">
    <cellStyle name="Currency" xfId="4" builtinId="4"/>
    <cellStyle name="Currency 2" xfId="3" xr:uid="{00000000-0005-0000-0000-000001000000}"/>
    <cellStyle name="Hyperlink" xfId="2" builtinId="8" customBuiltin="1"/>
    <cellStyle name="Normal" xfId="0" builtinId="0"/>
    <cellStyle name="Normal 2" xfId="1" xr:uid="{00000000-0005-0000-0000-000004000000}"/>
    <cellStyle name="Normal 3" xfId="6" xr:uid="{00000000-0005-0000-0000-000005000000}"/>
    <cellStyle name="Percent" xfId="5" builtinId="5"/>
  </cellStyles>
  <dxfs count="17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77" formatCode="[$-409]ddd/dd/mmm/yy;@"/>
    </dxf>
    <dxf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164" formatCode="&quot;$&quot;#,##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164" formatCode="&quot;$&quot;#,##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164" formatCode="&quot;$&quot;#,##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166" formatCode="[$-409]d/mmm/yy;@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166" formatCode="[$-409]d/mmm/yy;@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urier New"/>
        <family val="3"/>
        <scheme val="none"/>
      </font>
      <numFmt numFmtId="165" formatCode="&quot;$&quot;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ourier New"/>
        <family val="3"/>
        <scheme val="none"/>
      </font>
      <numFmt numFmtId="165" formatCode="&quot;$&quot;#,##0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urier New"/>
        <family val="3"/>
        <scheme val="none"/>
      </font>
      <numFmt numFmtId="165" formatCode="&quot;$&quot;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ourier New"/>
        <family val="3"/>
        <scheme val="none"/>
      </font>
      <numFmt numFmtId="165" formatCode="&quot;$&quot;#,##0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166" formatCode="[$-409]d/mmm/yy;@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ourier New"/>
        <family val="3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165" formatCode="&quot;$&quot;#,##0"/>
    </dxf>
    <dxf>
      <numFmt numFmtId="178" formatCode="ddd\,\ dd/mmm/yy"/>
    </dxf>
    <dxf>
      <numFmt numFmtId="174" formatCode="0.00%;[Red]\(0.00%\)"/>
      <alignment horizontal="center" vertical="center" textRotation="0" wrapText="1" indent="0" justifyLastLine="0" shrinkToFit="0" readingOrder="0"/>
    </dxf>
    <dxf>
      <numFmt numFmtId="10" formatCode="&quot;$&quot;#,##0_);[Red]\(&quot;$&quot;#,##0\)"/>
      <alignment horizontal="general" vertical="center" textRotation="0" wrapText="0" indent="0" justifyLastLine="0" shrinkToFit="0" readingOrder="0"/>
    </dxf>
    <dxf>
      <numFmt numFmtId="176" formatCode="[$-409]ddd\,\ dd/mmm/yy;@"/>
      <alignment horizontal="general" vertical="center" textRotation="0" wrapText="0" indent="0" justifyLastLine="0" shrinkToFit="0" readingOrder="0"/>
    </dxf>
    <dxf>
      <alignment vertical="center" textRotation="0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174" formatCode="0.00%;[Red]\(0.00%\)"/>
      <alignment horizontal="center" vertical="center" textRotation="0" wrapText="1" indent="0" justifyLastLine="0" shrinkToFit="0" readingOrder="0"/>
    </dxf>
    <dxf>
      <numFmt numFmtId="165" formatCode="&quot;$&quot;#,##0"/>
      <alignment horizontal="general" vertical="center" textRotation="0" wrapText="0" indent="0" justifyLastLine="0" shrinkToFit="0" readingOrder="0"/>
    </dxf>
    <dxf>
      <numFmt numFmtId="176" formatCode="[$-409]ddd\,\ dd/mmm/yy;@"/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174" formatCode="0.00%;[Red]\(0.00%\)"/>
      <alignment horizontal="center" vertical="center" textRotation="0" wrapText="1" indent="0" justifyLastLine="0" shrinkToFit="0" readingOrder="0"/>
    </dxf>
    <dxf>
      <numFmt numFmtId="174" formatCode="0.00%;[Red]\(0.00%\)"/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174" formatCode="0.00%;[Red]\(0.00%\)"/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174" formatCode="0.00%;[Red]\(0.00%\)"/>
      <alignment horizontal="center" vertical="center" textRotation="0" wrapText="1" indent="0" justifyLastLine="0" shrinkToFit="0" readingOrder="0"/>
    </dxf>
    <dxf>
      <numFmt numFmtId="12" formatCode="&quot;$&quot;#,##0.00_);[Red]\(&quot;$&quot;#,##0.00\)"/>
      <alignment horizontal="center" vertical="center" textRotation="0" wrapText="1" indent="0" justifyLastLine="0" shrinkToFit="0" readingOrder="0"/>
    </dxf>
    <dxf>
      <numFmt numFmtId="12" formatCode="&quot;$&quot;#,##0.00_);[Red]\(&quot;$&quot;#,##0.00\)"/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176" formatCode="[$-409]ddd\,\ dd/mmm/yy;@"/>
      <alignment horizontal="general" vertical="center" textRotation="0" wrapText="1" indent="0" justifyLastLine="0" shrinkToFit="0" readingOrder="0"/>
    </dxf>
    <dxf>
      <numFmt numFmtId="164" formatCode="&quot;$&quot;#,##0.00"/>
      <alignment horizontal="general" vertical="center" textRotation="0" wrapText="1" indent="0" justifyLastLine="0" shrinkToFit="0" readingOrder="0"/>
    </dxf>
    <dxf>
      <numFmt numFmtId="164" formatCode="&quot;$&quot;#,##0.00"/>
      <alignment horizontal="general" vertical="center" textRotation="0" wrapText="1" indent="0" justifyLastLine="0" shrinkToFit="0" readingOrder="0"/>
    </dxf>
    <dxf>
      <fill>
        <patternFill patternType="solid">
          <fgColor indexed="64"/>
          <bgColor theme="0" tint="-4.9989318521683403E-2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7030A0"/>
        <name val="Segoe UI Light"/>
        <family val="2"/>
        <scheme val="none"/>
      </font>
      <numFmt numFmtId="164" formatCode="&quot;$&quot;#,##0.00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 tint="-4.9989318521683403E-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171" formatCode="#0.00%;[Red]\(#0.00%\)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 tint="-4.9989318521683403E-2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171" formatCode="#0.00%;[Red]\(#0.00%\)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 tint="-4.9989318521683403E-2"/>
        </patternFill>
      </fill>
      <alignment horizontal="general" vertical="center" textRotation="0" wrapText="0" indent="0" justifyLastLine="0" shrinkToFit="0" readingOrder="0"/>
    </dxf>
    <dxf>
      <numFmt numFmtId="12" formatCode="&quot;$&quot;#,##0.00_);[Red]\(&quot;$&quot;#,##0.00\)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 tint="-4.9989318521683403E-2"/>
        </patternFill>
      </fill>
      <alignment horizontal="general" vertical="center" textRotation="0" wrapText="0" indent="0" justifyLastLine="0" shrinkToFit="0" readingOrder="0"/>
    </dxf>
    <dxf>
      <numFmt numFmtId="174" formatCode="0.00%;[Red]\(0.00%\)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 tint="-4.9989318521683403E-2"/>
        </patternFill>
      </fill>
      <alignment horizontal="general" vertical="center" textRotation="0" wrapText="0" indent="0" justifyLastLine="0" shrinkToFit="0" readingOrder="0"/>
    </dxf>
    <dxf>
      <numFmt numFmtId="174" formatCode="0.00%;[Red]\(0.00%\)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 tint="-4.9989318521683403E-2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7030A0"/>
        <name val="Segoe UI Light"/>
        <family val="2"/>
        <scheme val="none"/>
      </font>
      <numFmt numFmtId="12" formatCode="&quot;$&quot;#,##0.00_);[Red]\(&quot;$&quot;#,##0.00\)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</dxf>
    <dxf>
      <numFmt numFmtId="12" formatCode="&quot;$&quot;#,##0.00_);[Red]\(&quot;$&quot;#,##0.00\)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</dxf>
    <dxf>
      <numFmt numFmtId="12" formatCode="&quot;$&quot;#,##0.00_);[Red]\(&quot;$&quot;#,##0.00\)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 tint="-4.9989318521683403E-2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7030A0"/>
        <name val="Segoe UI Light"/>
        <family val="2"/>
        <scheme val="none"/>
      </font>
      <numFmt numFmtId="12" formatCode="&quot;$&quot;#,##0.00_);[Red]\(&quot;$&quot;#,##0.00\)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 tint="-4.9989318521683403E-2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7030A0"/>
        <name val="Segoe UI Light"/>
        <family val="2"/>
        <scheme val="none"/>
      </font>
      <numFmt numFmtId="12" formatCode="&quot;$&quot;#,##0.00_);[Red]\(&quot;$&quot;#,##0.00\)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 tint="-4.9989318521683403E-2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7030A0"/>
        <name val="Segoe UI Light"/>
        <family val="2"/>
        <scheme val="none"/>
      </font>
      <numFmt numFmtId="12" formatCode="&quot;$&quot;#,##0.00_);[Red]\(&quot;$&quot;#,##0.00\)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 tint="-4.9989318521683403E-2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7030A0"/>
        <name val="Segoe UI Light"/>
        <family val="2"/>
        <scheme val="none"/>
      </font>
      <numFmt numFmtId="12" formatCode="&quot;$&quot;#,##0.00_);[Red]\(&quot;$&quot;#,##0.00\)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 tint="-4.9989318521683403E-2"/>
        </patternFill>
      </fill>
      <alignment horizontal="general" vertical="center" textRotation="0" wrapText="0" indent="0" justifyLastLine="0" shrinkToFit="0" readingOrder="0"/>
    </dxf>
    <dxf>
      <numFmt numFmtId="10" formatCode="&quot;$&quot;#,##0_);[Red]\(&quot;$&quot;#,##0\)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</dxf>
    <dxf>
      <numFmt numFmtId="12" formatCode="&quot;$&quot;#,##0.00_);[Red]\(&quot;$&quot;#,##0.00\)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 tint="-4.9989318521683403E-2"/>
        </patternFill>
      </fill>
      <alignment horizontal="general" vertical="center" textRotation="0" wrapText="0" indent="0" justifyLastLine="0" shrinkToFit="0" readingOrder="0"/>
    </dxf>
    <dxf>
      <numFmt numFmtId="10" formatCode="&quot;$&quot;#,##0_);[Red]\(&quot;$&quot;#,##0\)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2" formatCode="&quot;$&quot;#,##0.00_);[Red]\(&quot;$&quot;#,##0.00\)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7030A0"/>
        <name val="Segoe UI Light"/>
        <family val="2"/>
        <scheme val="none"/>
      </font>
      <numFmt numFmtId="12" formatCode="&quot;$&quot;#,##0.00_);[Red]\(&quot;$&quot;#,##0.00\)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7030A0"/>
        <name val="Segoe UI Light"/>
        <family val="2"/>
        <scheme val="none"/>
      </font>
      <numFmt numFmtId="12" formatCode="&quot;$&quot;#,##0.00_);[Red]\(&quot;$&quot;#,##0.00\)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7030A0"/>
        <name val="Segoe UI Light"/>
        <family val="2"/>
        <scheme val="none"/>
      </font>
      <numFmt numFmtId="12" formatCode="&quot;$&quot;#,##0.00_);[Red]\(&quot;$&quot;#,##0.00\)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7030A0"/>
        <name val="Segoe UI Light"/>
        <family val="2"/>
        <scheme val="none"/>
      </font>
      <numFmt numFmtId="12" formatCode="&quot;$&quot;#,##0.00_);[Red]\(&quot;$&quot;#,##0.00\)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</dxf>
    <dxf>
      <numFmt numFmtId="12" formatCode="&quot;$&quot;#,##0.00_);[Red]\(&quot;$&quot;#,##0.00\)"/>
      <fill>
        <patternFill patternType="solid">
          <fgColor indexed="64"/>
          <bgColor theme="4" tint="0.79998168889431442"/>
        </patternFill>
      </fill>
      <alignment horizontal="general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2" formatCode="&quot;$&quot;#,##0.00_);[Red]\(&quot;$&quot;#,##0.00\)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2" formatCode="&quot;$&quot;#,##0.00_);[Red]\(&quot;$&quot;#,##0.00\)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2" formatCode="&quot;$&quot;#,##0.00_);[Red]\(&quot;$&quot;#,##0.00\)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2" formatCode="&quot;$&quot;#,##0.00_);[Red]\(&quot;$&quot;#,##0.00\)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2" formatCode="&quot;$&quot;#,##0.00_);[Red]\(&quot;$&quot;#,##0.00\)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2" formatCode="&quot;$&quot;#,##0.00_);[Red]\(&quot;$&quot;#,##0.00\)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2" formatCode="&quot;$&quot;#,##0.00_);[Red]\(&quot;$&quot;#,##0.00\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2" formatCode="&quot;$&quot;#,##0.00_);[Red]\(&quot;$&quot;#,##0.00\)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2" formatCode="&quot;$&quot;#,##0.00_);[Red]\(&quot;$&quot;#,##0.00\)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2" formatCode="&quot;$&quot;#,##0.00_);[Red]\(&quot;$&quot;#,##0.00\)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2" formatCode="&quot;$&quot;#,##0.00_);[Red]\(&quot;$&quot;#,##0.00\)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2" formatCode="&quot;$&quot;#,##0.00_);[Red]\(&quot;$&quot;#,##0.00\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2" formatCode="&quot;$&quot;#,##0.00_);[Red]\(&quot;$&quot;#,##0.00\)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64" formatCode="&quot;$&quot;#,##0.00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64" formatCode="&quot;$&quot;#,##0.00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Segoe UI Light"/>
        <family val="2"/>
        <scheme val="none"/>
      </font>
      <numFmt numFmtId="175" formatCode="[$-409]ddd\,\ d/mmm/yy;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0" formatCode="&quot;$&quot;#,##0_);[Red]\(&quot;$&quot;#,##0\)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numFmt numFmtId="10" formatCode="&quot;$&quot;#,##0_);[Red]\(&quot;$&quot;#,##0\)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/>
        <i val="0"/>
      </font>
      <border>
        <top style="thin">
          <color auto="1"/>
        </top>
      </border>
    </dxf>
    <dxf>
      <font>
        <b val="0"/>
        <i val="0"/>
      </font>
      <border>
        <bottom style="thin">
          <color auto="1"/>
        </bottom>
      </border>
    </dxf>
    <dxf>
      <border>
        <bottom style="thin">
          <color auto="1"/>
        </bottom>
        <horizontal style="thin">
          <color theme="0" tint="-0.14996795556505021"/>
        </horizontal>
      </border>
    </dxf>
  </dxfs>
  <tableStyles count="1" defaultTableStyle="TableStyleMedium2" defaultPivotStyle="PivotStyleLight16">
    <tableStyle name="Simple" pivot="0" count="3" xr9:uid="{00000000-0011-0000-FFFF-FFFF00000000}">
      <tableStyleElement type="wholeTable" dxfId="169"/>
      <tableStyleElement type="headerRow" dxfId="168"/>
      <tableStyleElement type="totalRow" dxfId="167"/>
    </tableStyle>
  </tableStyles>
  <colors>
    <mruColors>
      <color rgb="FFF0F0F0"/>
      <color rgb="FFFFCCCC"/>
      <color rgb="FF000066"/>
      <color rgb="FF660066"/>
      <color rgb="FFFF9900"/>
      <color rgb="FFCC99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52430792107864"/>
          <c:y val="0.21000324621789848"/>
          <c:w val="0.77771594792345267"/>
          <c:h val="0.64537645822169087"/>
        </c:manualLayout>
      </c:layout>
      <c:lineChart>
        <c:grouping val="standard"/>
        <c:varyColors val="0"/>
        <c:ser>
          <c:idx val="0"/>
          <c:order val="0"/>
          <c:tx>
            <c:strRef>
              <c:f>'Scratch pad'!$C$81</c:f>
              <c:strCache>
                <c:ptCount val="1"/>
                <c:pt idx="0">
                  <c:v>Worth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Lbl>
              <c:idx val="75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3CA-4DDB-B862-06C4F248AD36}"/>
                </c:ext>
              </c:extLst>
            </c:dLbl>
            <c:dLbl>
              <c:idx val="11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3CA-4DDB-B862-06C4F248AD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>
                    <a:latin typeface="Segoe UI Light" panose="020B0502040204020203" pitchFamily="34" charset="0"/>
                    <a:cs typeface="Segoe UI Light" panose="020B0502040204020203" pitchFamily="34" charset="0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'Scratch pad'!$B$82:$B$219</c:f>
              <c:numCache>
                <c:formatCode>[$-409]d/mmm/yy;@</c:formatCode>
                <c:ptCount val="138"/>
                <c:pt idx="0">
                  <c:v>43831</c:v>
                </c:pt>
                <c:pt idx="1">
                  <c:v>43800</c:v>
                </c:pt>
                <c:pt idx="2">
                  <c:v>43770</c:v>
                </c:pt>
                <c:pt idx="3">
                  <c:v>43739</c:v>
                </c:pt>
                <c:pt idx="4">
                  <c:v>43709</c:v>
                </c:pt>
                <c:pt idx="5">
                  <c:v>43678</c:v>
                </c:pt>
                <c:pt idx="6">
                  <c:v>43647</c:v>
                </c:pt>
                <c:pt idx="7">
                  <c:v>43617</c:v>
                </c:pt>
                <c:pt idx="8">
                  <c:v>43586</c:v>
                </c:pt>
                <c:pt idx="9">
                  <c:v>43556</c:v>
                </c:pt>
                <c:pt idx="10">
                  <c:v>43525</c:v>
                </c:pt>
                <c:pt idx="11">
                  <c:v>43497</c:v>
                </c:pt>
                <c:pt idx="12">
                  <c:v>43466</c:v>
                </c:pt>
                <c:pt idx="13">
                  <c:v>43435</c:v>
                </c:pt>
                <c:pt idx="14">
                  <c:v>43405</c:v>
                </c:pt>
                <c:pt idx="15">
                  <c:v>43374</c:v>
                </c:pt>
                <c:pt idx="16">
                  <c:v>43344</c:v>
                </c:pt>
                <c:pt idx="17">
                  <c:v>43313</c:v>
                </c:pt>
                <c:pt idx="18">
                  <c:v>43282</c:v>
                </c:pt>
                <c:pt idx="19">
                  <c:v>43252</c:v>
                </c:pt>
                <c:pt idx="20">
                  <c:v>43221</c:v>
                </c:pt>
                <c:pt idx="21">
                  <c:v>43191</c:v>
                </c:pt>
                <c:pt idx="22">
                  <c:v>43160</c:v>
                </c:pt>
                <c:pt idx="23">
                  <c:v>43132</c:v>
                </c:pt>
                <c:pt idx="24">
                  <c:v>43101</c:v>
                </c:pt>
                <c:pt idx="25">
                  <c:v>43070</c:v>
                </c:pt>
                <c:pt idx="26">
                  <c:v>43040</c:v>
                </c:pt>
                <c:pt idx="27">
                  <c:v>43009</c:v>
                </c:pt>
                <c:pt idx="28">
                  <c:v>42979</c:v>
                </c:pt>
                <c:pt idx="29">
                  <c:v>42948</c:v>
                </c:pt>
                <c:pt idx="30">
                  <c:v>42917</c:v>
                </c:pt>
                <c:pt idx="31">
                  <c:v>42887</c:v>
                </c:pt>
                <c:pt idx="32">
                  <c:v>42856</c:v>
                </c:pt>
                <c:pt idx="33">
                  <c:v>42826</c:v>
                </c:pt>
                <c:pt idx="34">
                  <c:v>42795</c:v>
                </c:pt>
                <c:pt idx="35">
                  <c:v>42767</c:v>
                </c:pt>
                <c:pt idx="36">
                  <c:v>42736</c:v>
                </c:pt>
                <c:pt idx="37">
                  <c:v>42705</c:v>
                </c:pt>
                <c:pt idx="38">
                  <c:v>42675</c:v>
                </c:pt>
                <c:pt idx="39">
                  <c:v>42644</c:v>
                </c:pt>
                <c:pt idx="40">
                  <c:v>42614</c:v>
                </c:pt>
                <c:pt idx="41">
                  <c:v>42583</c:v>
                </c:pt>
                <c:pt idx="42">
                  <c:v>42552</c:v>
                </c:pt>
                <c:pt idx="43">
                  <c:v>42522</c:v>
                </c:pt>
                <c:pt idx="44">
                  <c:v>42491</c:v>
                </c:pt>
                <c:pt idx="45">
                  <c:v>42461</c:v>
                </c:pt>
                <c:pt idx="46">
                  <c:v>42430</c:v>
                </c:pt>
                <c:pt idx="47">
                  <c:v>42401</c:v>
                </c:pt>
                <c:pt idx="48">
                  <c:v>42370</c:v>
                </c:pt>
                <c:pt idx="49">
                  <c:v>42339</c:v>
                </c:pt>
                <c:pt idx="50">
                  <c:v>42278</c:v>
                </c:pt>
                <c:pt idx="51">
                  <c:v>42248</c:v>
                </c:pt>
                <c:pt idx="52">
                  <c:v>42217</c:v>
                </c:pt>
                <c:pt idx="53">
                  <c:v>42186</c:v>
                </c:pt>
                <c:pt idx="54">
                  <c:v>42156</c:v>
                </c:pt>
                <c:pt idx="55">
                  <c:v>42125</c:v>
                </c:pt>
                <c:pt idx="56">
                  <c:v>42095</c:v>
                </c:pt>
                <c:pt idx="57">
                  <c:v>42064</c:v>
                </c:pt>
                <c:pt idx="58">
                  <c:v>42036</c:v>
                </c:pt>
                <c:pt idx="59">
                  <c:v>42005</c:v>
                </c:pt>
                <c:pt idx="60">
                  <c:v>41974</c:v>
                </c:pt>
                <c:pt idx="61">
                  <c:v>41944</c:v>
                </c:pt>
                <c:pt idx="62">
                  <c:v>41913</c:v>
                </c:pt>
                <c:pt idx="63">
                  <c:v>41883</c:v>
                </c:pt>
                <c:pt idx="64">
                  <c:v>41852</c:v>
                </c:pt>
                <c:pt idx="65">
                  <c:v>41821</c:v>
                </c:pt>
                <c:pt idx="66">
                  <c:v>41791</c:v>
                </c:pt>
                <c:pt idx="67">
                  <c:v>41760</c:v>
                </c:pt>
                <c:pt idx="68">
                  <c:v>41730</c:v>
                </c:pt>
                <c:pt idx="69">
                  <c:v>41699</c:v>
                </c:pt>
                <c:pt idx="70">
                  <c:v>41671</c:v>
                </c:pt>
                <c:pt idx="71">
                  <c:v>41640</c:v>
                </c:pt>
                <c:pt idx="72">
                  <c:v>41609</c:v>
                </c:pt>
                <c:pt idx="73">
                  <c:v>41579</c:v>
                </c:pt>
                <c:pt idx="74">
                  <c:v>41548</c:v>
                </c:pt>
                <c:pt idx="75">
                  <c:v>41518</c:v>
                </c:pt>
                <c:pt idx="76">
                  <c:v>41487</c:v>
                </c:pt>
                <c:pt idx="77">
                  <c:v>41456</c:v>
                </c:pt>
                <c:pt idx="78">
                  <c:v>41426</c:v>
                </c:pt>
                <c:pt idx="79">
                  <c:v>41395</c:v>
                </c:pt>
                <c:pt idx="80">
                  <c:v>41365</c:v>
                </c:pt>
                <c:pt idx="81">
                  <c:v>41334</c:v>
                </c:pt>
                <c:pt idx="82">
                  <c:v>41306</c:v>
                </c:pt>
                <c:pt idx="83">
                  <c:v>41275</c:v>
                </c:pt>
                <c:pt idx="84">
                  <c:v>41244</c:v>
                </c:pt>
                <c:pt idx="85">
                  <c:v>41214</c:v>
                </c:pt>
                <c:pt idx="86">
                  <c:v>41183</c:v>
                </c:pt>
                <c:pt idx="87">
                  <c:v>41153</c:v>
                </c:pt>
                <c:pt idx="88">
                  <c:v>41122</c:v>
                </c:pt>
                <c:pt idx="89">
                  <c:v>41091</c:v>
                </c:pt>
                <c:pt idx="90">
                  <c:v>41061</c:v>
                </c:pt>
                <c:pt idx="91">
                  <c:v>41030</c:v>
                </c:pt>
                <c:pt idx="92">
                  <c:v>41000</c:v>
                </c:pt>
                <c:pt idx="93">
                  <c:v>40969</c:v>
                </c:pt>
                <c:pt idx="94">
                  <c:v>40940</c:v>
                </c:pt>
                <c:pt idx="95">
                  <c:v>40909</c:v>
                </c:pt>
                <c:pt idx="96">
                  <c:v>40878</c:v>
                </c:pt>
                <c:pt idx="97">
                  <c:v>40848</c:v>
                </c:pt>
                <c:pt idx="98">
                  <c:v>40817</c:v>
                </c:pt>
                <c:pt idx="99">
                  <c:v>40787</c:v>
                </c:pt>
                <c:pt idx="100">
                  <c:v>40756</c:v>
                </c:pt>
                <c:pt idx="101">
                  <c:v>40725</c:v>
                </c:pt>
                <c:pt idx="102">
                  <c:v>40695</c:v>
                </c:pt>
                <c:pt idx="103">
                  <c:v>40664</c:v>
                </c:pt>
                <c:pt idx="104">
                  <c:v>40634</c:v>
                </c:pt>
                <c:pt idx="105">
                  <c:v>40603</c:v>
                </c:pt>
                <c:pt idx="106">
                  <c:v>40575</c:v>
                </c:pt>
                <c:pt idx="107">
                  <c:v>40544</c:v>
                </c:pt>
                <c:pt idx="108">
                  <c:v>40513</c:v>
                </c:pt>
                <c:pt idx="109">
                  <c:v>40483</c:v>
                </c:pt>
                <c:pt idx="110">
                  <c:v>40452</c:v>
                </c:pt>
                <c:pt idx="111">
                  <c:v>40422</c:v>
                </c:pt>
                <c:pt idx="112">
                  <c:v>40391</c:v>
                </c:pt>
                <c:pt idx="113">
                  <c:v>40360</c:v>
                </c:pt>
                <c:pt idx="114">
                  <c:v>40330</c:v>
                </c:pt>
                <c:pt idx="115">
                  <c:v>40299</c:v>
                </c:pt>
                <c:pt idx="116">
                  <c:v>40269</c:v>
                </c:pt>
                <c:pt idx="117">
                  <c:v>40238</c:v>
                </c:pt>
                <c:pt idx="118">
                  <c:v>40210</c:v>
                </c:pt>
                <c:pt idx="119">
                  <c:v>40179</c:v>
                </c:pt>
                <c:pt idx="120">
                  <c:v>40148</c:v>
                </c:pt>
                <c:pt idx="121">
                  <c:v>40126</c:v>
                </c:pt>
                <c:pt idx="122">
                  <c:v>40087</c:v>
                </c:pt>
                <c:pt idx="123">
                  <c:v>40065</c:v>
                </c:pt>
                <c:pt idx="124">
                  <c:v>40026</c:v>
                </c:pt>
                <c:pt idx="125">
                  <c:v>39995</c:v>
                </c:pt>
                <c:pt idx="126">
                  <c:v>39965</c:v>
                </c:pt>
                <c:pt idx="127">
                  <c:v>39934</c:v>
                </c:pt>
                <c:pt idx="128">
                  <c:v>39904</c:v>
                </c:pt>
                <c:pt idx="129">
                  <c:v>39873</c:v>
                </c:pt>
                <c:pt idx="130">
                  <c:v>39845</c:v>
                </c:pt>
                <c:pt idx="131">
                  <c:v>39814</c:v>
                </c:pt>
                <c:pt idx="132">
                  <c:v>39783</c:v>
                </c:pt>
                <c:pt idx="133">
                  <c:v>39753</c:v>
                </c:pt>
                <c:pt idx="134">
                  <c:v>39722</c:v>
                </c:pt>
                <c:pt idx="135">
                  <c:v>39692</c:v>
                </c:pt>
                <c:pt idx="136">
                  <c:v>39661</c:v>
                </c:pt>
                <c:pt idx="137">
                  <c:v>39630</c:v>
                </c:pt>
              </c:numCache>
            </c:numRef>
          </c:cat>
          <c:val>
            <c:numRef>
              <c:f>'Scratch pad'!$C$82:$C$219</c:f>
              <c:numCache>
                <c:formatCode>"$"#,##0</c:formatCode>
                <c:ptCount val="138"/>
                <c:pt idx="0">
                  <c:v>1177276.58</c:v>
                </c:pt>
                <c:pt idx="1">
                  <c:v>1164806.6299999999</c:v>
                </c:pt>
                <c:pt idx="2">
                  <c:v>1158147.3900000001</c:v>
                </c:pt>
                <c:pt idx="3">
                  <c:v>1143235.44</c:v>
                </c:pt>
                <c:pt idx="4">
                  <c:v>1167579.5249359999</c:v>
                </c:pt>
                <c:pt idx="5">
                  <c:v>1155138.7745690001</c:v>
                </c:pt>
                <c:pt idx="6">
                  <c:v>1093687.7370259999</c:v>
                </c:pt>
                <c:pt idx="7">
                  <c:v>1095667.7196499999</c:v>
                </c:pt>
                <c:pt idx="8">
                  <c:v>1095720.72108</c:v>
                </c:pt>
                <c:pt idx="9">
                  <c:v>1084665.9920770002</c:v>
                </c:pt>
                <c:pt idx="10">
                  <c:v>1057595.7291999999</c:v>
                </c:pt>
                <c:pt idx="11">
                  <c:v>1040102.6868</c:v>
                </c:pt>
                <c:pt idx="12">
                  <c:v>1041408.4902999999</c:v>
                </c:pt>
                <c:pt idx="13">
                  <c:v>1070821.4482</c:v>
                </c:pt>
                <c:pt idx="14">
                  <c:v>1060837.9308</c:v>
                </c:pt>
                <c:pt idx="15">
                  <c:v>1071040.8357696</c:v>
                </c:pt>
                <c:pt idx="16">
                  <c:v>1057188</c:v>
                </c:pt>
                <c:pt idx="17">
                  <c:v>1031000</c:v>
                </c:pt>
                <c:pt idx="18">
                  <c:v>1028000</c:v>
                </c:pt>
                <c:pt idx="19">
                  <c:v>1020530.0432924</c:v>
                </c:pt>
                <c:pt idx="20">
                  <c:v>1011791.68884</c:v>
                </c:pt>
                <c:pt idx="21">
                  <c:v>999350.08558999992</c:v>
                </c:pt>
                <c:pt idx="22">
                  <c:v>998294.75656000013</c:v>
                </c:pt>
                <c:pt idx="23">
                  <c:v>1010469</c:v>
                </c:pt>
                <c:pt idx="24">
                  <c:v>1003224</c:v>
                </c:pt>
                <c:pt idx="25">
                  <c:v>989996.47401999997</c:v>
                </c:pt>
                <c:pt idx="26">
                  <c:v>988350</c:v>
                </c:pt>
                <c:pt idx="27">
                  <c:v>993863</c:v>
                </c:pt>
                <c:pt idx="28">
                  <c:v>831854.65523999999</c:v>
                </c:pt>
                <c:pt idx="29">
                  <c:v>818327</c:v>
                </c:pt>
                <c:pt idx="30">
                  <c:v>804129</c:v>
                </c:pt>
                <c:pt idx="31">
                  <c:v>810853</c:v>
                </c:pt>
                <c:pt idx="32">
                  <c:v>820677</c:v>
                </c:pt>
                <c:pt idx="33">
                  <c:v>819014</c:v>
                </c:pt>
                <c:pt idx="34">
                  <c:v>730921</c:v>
                </c:pt>
                <c:pt idx="35">
                  <c:v>730458</c:v>
                </c:pt>
                <c:pt idx="36">
                  <c:v>722712</c:v>
                </c:pt>
                <c:pt idx="37">
                  <c:v>720653</c:v>
                </c:pt>
                <c:pt idx="38">
                  <c:v>713610</c:v>
                </c:pt>
                <c:pt idx="39">
                  <c:v>707580</c:v>
                </c:pt>
                <c:pt idx="40">
                  <c:v>701565</c:v>
                </c:pt>
                <c:pt idx="41">
                  <c:v>701823.17459120008</c:v>
                </c:pt>
                <c:pt idx="42">
                  <c:v>698472.19922120008</c:v>
                </c:pt>
                <c:pt idx="43">
                  <c:v>666476.43983000005</c:v>
                </c:pt>
                <c:pt idx="44">
                  <c:v>670202.84891000006</c:v>
                </c:pt>
                <c:pt idx="45">
                  <c:v>663683</c:v>
                </c:pt>
                <c:pt idx="46">
                  <c:v>663683.13463099999</c:v>
                </c:pt>
                <c:pt idx="47">
                  <c:v>659168.4569772</c:v>
                </c:pt>
                <c:pt idx="48">
                  <c:v>654634.99512999994</c:v>
                </c:pt>
                <c:pt idx="49">
                  <c:v>597517.83319000003</c:v>
                </c:pt>
                <c:pt idx="50">
                  <c:v>601175.54954000004</c:v>
                </c:pt>
                <c:pt idx="51">
                  <c:v>587063.57927959994</c:v>
                </c:pt>
                <c:pt idx="52">
                  <c:v>595386.13570960006</c:v>
                </c:pt>
                <c:pt idx="53">
                  <c:v>581133.21760959993</c:v>
                </c:pt>
                <c:pt idx="54">
                  <c:v>576894.48470959999</c:v>
                </c:pt>
                <c:pt idx="55">
                  <c:v>584757.06540960004</c:v>
                </c:pt>
                <c:pt idx="56">
                  <c:v>577636.31689959997</c:v>
                </c:pt>
                <c:pt idx="57">
                  <c:v>555962.2830696</c:v>
                </c:pt>
                <c:pt idx="58">
                  <c:v>549798.34884999995</c:v>
                </c:pt>
                <c:pt idx="59">
                  <c:v>547333.30053000001</c:v>
                </c:pt>
                <c:pt idx="60">
                  <c:v>543334.15757000004</c:v>
                </c:pt>
                <c:pt idx="61">
                  <c:v>529015</c:v>
                </c:pt>
                <c:pt idx="62">
                  <c:v>859412.01419600006</c:v>
                </c:pt>
                <c:pt idx="63">
                  <c:v>843261.18723600009</c:v>
                </c:pt>
                <c:pt idx="64">
                  <c:v>816742.43996800005</c:v>
                </c:pt>
                <c:pt idx="65">
                  <c:v>809916.56424599991</c:v>
                </c:pt>
                <c:pt idx="66">
                  <c:v>808602.78380199999</c:v>
                </c:pt>
                <c:pt idx="67">
                  <c:v>789612.03757799999</c:v>
                </c:pt>
                <c:pt idx="68">
                  <c:v>623219.71307599987</c:v>
                </c:pt>
                <c:pt idx="69">
                  <c:v>610624.91011200007</c:v>
                </c:pt>
                <c:pt idx="70">
                  <c:v>597548.75827200001</c:v>
                </c:pt>
                <c:pt idx="71">
                  <c:v>603610.60444999998</c:v>
                </c:pt>
                <c:pt idx="72">
                  <c:v>594833.22008999996</c:v>
                </c:pt>
                <c:pt idx="73">
                  <c:v>592453.39803000004</c:v>
                </c:pt>
                <c:pt idx="74">
                  <c:v>592543.77501554997</c:v>
                </c:pt>
                <c:pt idx="75">
                  <c:v>582493.26856654999</c:v>
                </c:pt>
                <c:pt idx="76">
                  <c:v>570130.88506254996</c:v>
                </c:pt>
                <c:pt idx="77">
                  <c:v>564830.14762654994</c:v>
                </c:pt>
                <c:pt idx="78">
                  <c:v>555002.57025999995</c:v>
                </c:pt>
                <c:pt idx="79">
                  <c:v>555814.47958000004</c:v>
                </c:pt>
                <c:pt idx="80">
                  <c:v>550461.31755000004</c:v>
                </c:pt>
                <c:pt idx="81">
                  <c:v>546040.07345000003</c:v>
                </c:pt>
                <c:pt idx="82">
                  <c:v>541093.82565000001</c:v>
                </c:pt>
                <c:pt idx="83">
                  <c:v>538935.16142999998</c:v>
                </c:pt>
                <c:pt idx="84">
                  <c:v>528238.98642999993</c:v>
                </c:pt>
                <c:pt idx="85">
                  <c:v>522235.02678000001</c:v>
                </c:pt>
                <c:pt idx="86">
                  <c:v>523337.13594999997</c:v>
                </c:pt>
                <c:pt idx="87">
                  <c:v>516473.3701</c:v>
                </c:pt>
                <c:pt idx="88">
                  <c:v>501228.28032999998</c:v>
                </c:pt>
                <c:pt idx="89">
                  <c:v>493432.12773000001</c:v>
                </c:pt>
                <c:pt idx="90">
                  <c:v>480516.74550999998</c:v>
                </c:pt>
                <c:pt idx="91">
                  <c:v>476447.76150999998</c:v>
                </c:pt>
                <c:pt idx="92">
                  <c:v>476376.31495999999</c:v>
                </c:pt>
                <c:pt idx="93">
                  <c:v>423997.78265999997</c:v>
                </c:pt>
                <c:pt idx="94">
                  <c:v>422347.71189999999</c:v>
                </c:pt>
                <c:pt idx="95">
                  <c:v>414490.82698000001</c:v>
                </c:pt>
                <c:pt idx="96">
                  <c:v>404785.51919999998</c:v>
                </c:pt>
                <c:pt idx="97">
                  <c:v>405821.99374299997</c:v>
                </c:pt>
                <c:pt idx="98">
                  <c:v>406521.81062</c:v>
                </c:pt>
                <c:pt idx="99">
                  <c:v>389783.23855499999</c:v>
                </c:pt>
                <c:pt idx="100">
                  <c:v>385581.238595</c:v>
                </c:pt>
                <c:pt idx="101">
                  <c:v>397123.10286500002</c:v>
                </c:pt>
                <c:pt idx="102">
                  <c:v>392245.54785999999</c:v>
                </c:pt>
                <c:pt idx="103">
                  <c:v>390084.23931999999</c:v>
                </c:pt>
                <c:pt idx="104">
                  <c:v>391054.29168000002</c:v>
                </c:pt>
                <c:pt idx="105">
                  <c:v>393064.413115</c:v>
                </c:pt>
                <c:pt idx="106">
                  <c:v>391000</c:v>
                </c:pt>
                <c:pt idx="107">
                  <c:v>380900.12384000001</c:v>
                </c:pt>
                <c:pt idx="108">
                  <c:v>382731.71464199998</c:v>
                </c:pt>
                <c:pt idx="109">
                  <c:v>376596.68722699996</c:v>
                </c:pt>
                <c:pt idx="110">
                  <c:v>367602.05886400002</c:v>
                </c:pt>
                <c:pt idx="111">
                  <c:v>363571.72059199994</c:v>
                </c:pt>
                <c:pt idx="112">
                  <c:v>344655</c:v>
                </c:pt>
                <c:pt idx="113">
                  <c:v>359399</c:v>
                </c:pt>
                <c:pt idx="114">
                  <c:v>353979</c:v>
                </c:pt>
                <c:pt idx="115">
                  <c:v>357723</c:v>
                </c:pt>
                <c:pt idx="116">
                  <c:v>356284</c:v>
                </c:pt>
                <c:pt idx="117">
                  <c:v>352887</c:v>
                </c:pt>
                <c:pt idx="118">
                  <c:v>351349</c:v>
                </c:pt>
                <c:pt idx="119">
                  <c:v>356420</c:v>
                </c:pt>
                <c:pt idx="120">
                  <c:v>349446</c:v>
                </c:pt>
                <c:pt idx="121">
                  <c:v>357128</c:v>
                </c:pt>
                <c:pt idx="122">
                  <c:v>361624.88720613997</c:v>
                </c:pt>
                <c:pt idx="123">
                  <c:v>330879.67869183049</c:v>
                </c:pt>
                <c:pt idx="124">
                  <c:v>330879.67869183049</c:v>
                </c:pt>
                <c:pt idx="125">
                  <c:v>331591.63052583049</c:v>
                </c:pt>
                <c:pt idx="126">
                  <c:v>331591.63052583049</c:v>
                </c:pt>
                <c:pt idx="127">
                  <c:v>355947.75154450629</c:v>
                </c:pt>
                <c:pt idx="128">
                  <c:v>327387.50639064005</c:v>
                </c:pt>
                <c:pt idx="129">
                  <c:v>327387.50639064005</c:v>
                </c:pt>
                <c:pt idx="130">
                  <c:v>327387.50639064005</c:v>
                </c:pt>
                <c:pt idx="131">
                  <c:v>327387.50639064005</c:v>
                </c:pt>
                <c:pt idx="132">
                  <c:v>327387.50639064005</c:v>
                </c:pt>
                <c:pt idx="133">
                  <c:v>327387.50639064005</c:v>
                </c:pt>
                <c:pt idx="134">
                  <c:v>327387.50639064005</c:v>
                </c:pt>
                <c:pt idx="135">
                  <c:v>274745.79629899998</c:v>
                </c:pt>
                <c:pt idx="136">
                  <c:v>274745.79629899998</c:v>
                </c:pt>
                <c:pt idx="137">
                  <c:v>274745.79629899998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DDB-B862-06C4F248A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6352944"/>
        <c:axId val="396354584"/>
      </c:lineChart>
      <c:dateAx>
        <c:axId val="396352944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defRPr>
            </a:pPr>
            <a:endParaRPr lang="en-US"/>
          </a:p>
        </c:txPr>
        <c:crossAx val="396354584"/>
        <c:crosses val="autoZero"/>
        <c:auto val="1"/>
        <c:lblOffset val="100"/>
        <c:baseTimeUnit val="months"/>
        <c:majorUnit val="2"/>
        <c:majorTimeUnit val="years"/>
      </c:dateAx>
      <c:valAx>
        <c:axId val="39635458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defRPr>
            </a:pPr>
            <a:endParaRPr lang="en-US"/>
          </a:p>
        </c:txPr>
        <c:crossAx val="396352944"/>
        <c:crosses val="autoZero"/>
        <c:crossBetween val="between"/>
        <c:majorUnit val="200000"/>
        <c:dispUnits>
          <c:builtInUnit val="thousands"/>
        </c:dispUnits>
      </c:valAx>
      <c:spPr>
        <a:noFill/>
      </c:spPr>
    </c:plotArea>
    <c:plotVisOnly val="1"/>
    <c:dispBlanksAs val="gap"/>
    <c:showDLblsOverMax val="0"/>
  </c:chart>
  <c:spPr>
    <a:solidFill>
      <a:sysClr val="window" lastClr="FFFFFF"/>
    </a:solidFill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defRPr>
            </a:pPr>
            <a:r>
              <a:rPr lang="en-US" sz="1050">
                <a:latin typeface="Segoe UI Light" panose="020B0502040204020203" pitchFamily="34" charset="0"/>
                <a:cs typeface="Segoe UI Light" panose="020B0502040204020203" pitchFamily="34" charset="0"/>
              </a:rPr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egoe UI Light" panose="020B0502040204020203" pitchFamily="34" charset="0"/>
              <a:ea typeface="+mn-ea"/>
              <a:cs typeface="Segoe UI Light" panose="020B0502040204020203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'Scratch pad'!#REF!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'Scratch pad'!#REF!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'Scratch pad'!#REF!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DA89-4B55-AED0-05AD0D59C7A8}"/>
            </c:ext>
          </c:extLst>
        </c:ser>
        <c:ser>
          <c:idx val="2"/>
          <c:order val="1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'Scratch pad'!#REF!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'Scratch pad'!#REF!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'Scratch pad'!#REF!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DA89-4B55-AED0-05AD0D59C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3820288"/>
        <c:axId val="701134288"/>
        <c:extLst/>
      </c:lineChart>
      <c:catAx>
        <c:axId val="1383820288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defRPr>
            </a:pPr>
            <a:endParaRPr lang="en-US"/>
          </a:p>
        </c:txPr>
        <c:crossAx val="701134288"/>
        <c:crosses val="autoZero"/>
        <c:auto val="1"/>
        <c:lblAlgn val="ctr"/>
        <c:lblOffset val="100"/>
        <c:tickLblSkip val="1"/>
        <c:noMultiLvlLbl val="1"/>
      </c:catAx>
      <c:valAx>
        <c:axId val="7011342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$&quot;#,##0\k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defRPr>
            </a:pPr>
            <a:endParaRPr lang="en-US"/>
          </a:p>
        </c:txPr>
        <c:crossAx val="138382028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'Scratch pad'!#REF!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'Scratch pad'!#REF!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'Scratch pad'!#REF!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D6FB-4A5A-8134-B4FA5C2920E9}"/>
            </c:ext>
          </c:extLst>
        </c:ser>
        <c:ser>
          <c:idx val="1"/>
          <c:order val="1"/>
          <c:tx>
            <c:strRef>
              <c:f>'Scratch pad'!#REF!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'Scratch pad'!#REF!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'Scratch pad'!#REF!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D6FB-4A5A-8134-B4FA5C2920E9}"/>
            </c:ext>
          </c:extLst>
        </c:ser>
        <c:ser>
          <c:idx val="2"/>
          <c:order val="2"/>
          <c:tx>
            <c:v>SPX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'Scratch pad'!#REF!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'Scratch pad'!#REF!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D6FB-4A5A-8134-B4FA5C2920E9}"/>
            </c:ext>
          </c:extLst>
        </c:ser>
        <c:ser>
          <c:idx val="3"/>
          <c:order val="3"/>
          <c:tx>
            <c:strRef>
              <c:f>'Scratch pad'!#REF!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'Scratch pad'!#REF!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'Scratch pad'!#REF!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D6FB-4A5A-8134-B4FA5C2920E9}"/>
            </c:ext>
          </c:extLst>
        </c:ser>
        <c:ser>
          <c:idx val="4"/>
          <c:order val="4"/>
          <c:tx>
            <c:strRef>
              <c:f>'Scratch pad'!#REF!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'Scratch pad'!#REF!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'Scratch pad'!#REF!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D6FB-4A5A-8134-B4FA5C2920E9}"/>
            </c:ext>
          </c:extLst>
        </c:ser>
        <c:ser>
          <c:idx val="5"/>
          <c:order val="5"/>
          <c:tx>
            <c:strRef>
              <c:f>'Scratch pad'!#REF!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'Scratch pad'!#REF!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'Scratch pad'!#REF!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D6FB-4A5A-8134-B4FA5C2920E9}"/>
            </c:ext>
          </c:extLst>
        </c:ser>
        <c:ser>
          <c:idx val="6"/>
          <c:order val="6"/>
          <c:tx>
            <c:strRef>
              <c:f>'Scratch pad'!#REF!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'Scratch pad'!#REF!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'Scratch pad'!#REF!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D6FB-4A5A-8134-B4FA5C2920E9}"/>
            </c:ext>
          </c:extLst>
        </c:ser>
        <c:ser>
          <c:idx val="7"/>
          <c:order val="7"/>
          <c:tx>
            <c:v>RRSP USD</c:v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'Scratch pad'!#REF!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'Scratch pad'!#REF!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D6FB-4A5A-8134-B4FA5C292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9547088"/>
        <c:axId val="221885456"/>
        <c:extLst/>
      </c:lineChart>
      <c:catAx>
        <c:axId val="1309547088"/>
        <c:scaling>
          <c:orientation val="minMax"/>
        </c:scaling>
        <c:delete val="0"/>
        <c:axPos val="b"/>
        <c:numFmt formatCode="[$-409]d\-mmm\-yy;@" sourceLinked="0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885456"/>
        <c:crosses val="autoZero"/>
        <c:auto val="1"/>
        <c:lblAlgn val="ctr"/>
        <c:lblOffset val="100"/>
        <c:noMultiLvlLbl val="1"/>
      </c:catAx>
      <c:valAx>
        <c:axId val="22188545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547088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egoe UI Light" panose="020B0502040204020203" pitchFamily="34" charset="0"/>
              <a:ea typeface="+mn-ea"/>
              <a:cs typeface="Segoe UI Light" panose="020B0502040204020203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Dailies!$Z$2</c:f>
              <c:strCache>
                <c:ptCount val="1"/>
                <c:pt idx="0">
                  <c:v>Total Net Worth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Dailies!$B$273:$B$978</c:f>
              <c:numCache>
                <c:formatCode>[$-409]ddd\,\ d/mmm/yy;@</c:formatCode>
                <c:ptCount val="706"/>
                <c:pt idx="0">
                  <c:v>43279</c:v>
                </c:pt>
                <c:pt idx="1">
                  <c:v>43280</c:v>
                </c:pt>
                <c:pt idx="2">
                  <c:v>43281</c:v>
                </c:pt>
                <c:pt idx="3">
                  <c:v>43282</c:v>
                </c:pt>
                <c:pt idx="4">
                  <c:v>43283</c:v>
                </c:pt>
                <c:pt idx="5">
                  <c:v>43284</c:v>
                </c:pt>
                <c:pt idx="6">
                  <c:v>43285</c:v>
                </c:pt>
                <c:pt idx="7">
                  <c:v>43286</c:v>
                </c:pt>
                <c:pt idx="8">
                  <c:v>43287</c:v>
                </c:pt>
                <c:pt idx="9">
                  <c:v>43288</c:v>
                </c:pt>
                <c:pt idx="10">
                  <c:v>43289</c:v>
                </c:pt>
                <c:pt idx="11">
                  <c:v>43290</c:v>
                </c:pt>
                <c:pt idx="12">
                  <c:v>43291</c:v>
                </c:pt>
                <c:pt idx="13">
                  <c:v>43292</c:v>
                </c:pt>
                <c:pt idx="14">
                  <c:v>43293</c:v>
                </c:pt>
                <c:pt idx="15">
                  <c:v>43294</c:v>
                </c:pt>
                <c:pt idx="16">
                  <c:v>43295</c:v>
                </c:pt>
                <c:pt idx="17">
                  <c:v>43296</c:v>
                </c:pt>
                <c:pt idx="18">
                  <c:v>43297</c:v>
                </c:pt>
                <c:pt idx="19">
                  <c:v>43298</c:v>
                </c:pt>
                <c:pt idx="20">
                  <c:v>43299</c:v>
                </c:pt>
                <c:pt idx="21">
                  <c:v>43300</c:v>
                </c:pt>
                <c:pt idx="22">
                  <c:v>43301</c:v>
                </c:pt>
                <c:pt idx="23">
                  <c:v>43302</c:v>
                </c:pt>
                <c:pt idx="24">
                  <c:v>43303</c:v>
                </c:pt>
                <c:pt idx="25">
                  <c:v>43304</c:v>
                </c:pt>
                <c:pt idx="26">
                  <c:v>43305</c:v>
                </c:pt>
                <c:pt idx="27">
                  <c:v>43306</c:v>
                </c:pt>
                <c:pt idx="28">
                  <c:v>43307</c:v>
                </c:pt>
                <c:pt idx="29">
                  <c:v>43308</c:v>
                </c:pt>
                <c:pt idx="30">
                  <c:v>43309</c:v>
                </c:pt>
                <c:pt idx="31">
                  <c:v>43310</c:v>
                </c:pt>
                <c:pt idx="32">
                  <c:v>43311</c:v>
                </c:pt>
                <c:pt idx="33">
                  <c:v>43312</c:v>
                </c:pt>
                <c:pt idx="34">
                  <c:v>43313</c:v>
                </c:pt>
                <c:pt idx="35">
                  <c:v>43314</c:v>
                </c:pt>
                <c:pt idx="36">
                  <c:v>43315</c:v>
                </c:pt>
                <c:pt idx="37">
                  <c:v>43316</c:v>
                </c:pt>
                <c:pt idx="38">
                  <c:v>43317</c:v>
                </c:pt>
                <c:pt idx="39">
                  <c:v>43318</c:v>
                </c:pt>
                <c:pt idx="40">
                  <c:v>43319</c:v>
                </c:pt>
                <c:pt idx="41">
                  <c:v>43320</c:v>
                </c:pt>
                <c:pt idx="42">
                  <c:v>43321</c:v>
                </c:pt>
                <c:pt idx="43">
                  <c:v>43322</c:v>
                </c:pt>
                <c:pt idx="44">
                  <c:v>43323</c:v>
                </c:pt>
                <c:pt idx="45">
                  <c:v>43324</c:v>
                </c:pt>
                <c:pt idx="46">
                  <c:v>43325</c:v>
                </c:pt>
                <c:pt idx="47">
                  <c:v>43326</c:v>
                </c:pt>
                <c:pt idx="48">
                  <c:v>43327</c:v>
                </c:pt>
                <c:pt idx="49">
                  <c:v>43328</c:v>
                </c:pt>
                <c:pt idx="50">
                  <c:v>43329</c:v>
                </c:pt>
                <c:pt idx="51">
                  <c:v>43330</c:v>
                </c:pt>
                <c:pt idx="52">
                  <c:v>43331</c:v>
                </c:pt>
                <c:pt idx="53">
                  <c:v>43332</c:v>
                </c:pt>
                <c:pt idx="54">
                  <c:v>43333</c:v>
                </c:pt>
                <c:pt idx="55">
                  <c:v>43334</c:v>
                </c:pt>
                <c:pt idx="56">
                  <c:v>43335</c:v>
                </c:pt>
                <c:pt idx="57">
                  <c:v>43336</c:v>
                </c:pt>
                <c:pt idx="58">
                  <c:v>43337</c:v>
                </c:pt>
                <c:pt idx="59">
                  <c:v>43338</c:v>
                </c:pt>
                <c:pt idx="60">
                  <c:v>43339</c:v>
                </c:pt>
                <c:pt idx="61">
                  <c:v>43340</c:v>
                </c:pt>
                <c:pt idx="62">
                  <c:v>43341</c:v>
                </c:pt>
                <c:pt idx="63">
                  <c:v>43342</c:v>
                </c:pt>
                <c:pt idx="64">
                  <c:v>43343</c:v>
                </c:pt>
                <c:pt idx="65">
                  <c:v>43344</c:v>
                </c:pt>
                <c:pt idx="66">
                  <c:v>43345</c:v>
                </c:pt>
                <c:pt idx="67">
                  <c:v>43346</c:v>
                </c:pt>
                <c:pt idx="68">
                  <c:v>43347</c:v>
                </c:pt>
                <c:pt idx="69">
                  <c:v>43348</c:v>
                </c:pt>
                <c:pt idx="70">
                  <c:v>43349</c:v>
                </c:pt>
                <c:pt idx="71">
                  <c:v>43350</c:v>
                </c:pt>
                <c:pt idx="72">
                  <c:v>43351</c:v>
                </c:pt>
                <c:pt idx="73">
                  <c:v>43352</c:v>
                </c:pt>
                <c:pt idx="74">
                  <c:v>43353</c:v>
                </c:pt>
                <c:pt idx="75">
                  <c:v>43354</c:v>
                </c:pt>
                <c:pt idx="76">
                  <c:v>43355</c:v>
                </c:pt>
                <c:pt idx="77">
                  <c:v>43356</c:v>
                </c:pt>
                <c:pt idx="78">
                  <c:v>43357</c:v>
                </c:pt>
                <c:pt idx="79">
                  <c:v>43358</c:v>
                </c:pt>
                <c:pt idx="80">
                  <c:v>43359</c:v>
                </c:pt>
                <c:pt idx="81">
                  <c:v>43360</c:v>
                </c:pt>
                <c:pt idx="82">
                  <c:v>43361</c:v>
                </c:pt>
                <c:pt idx="83">
                  <c:v>43362</c:v>
                </c:pt>
                <c:pt idx="84">
                  <c:v>43363</c:v>
                </c:pt>
                <c:pt idx="85">
                  <c:v>43364</c:v>
                </c:pt>
                <c:pt idx="86">
                  <c:v>43365</c:v>
                </c:pt>
                <c:pt idx="87">
                  <c:v>43366</c:v>
                </c:pt>
                <c:pt idx="88">
                  <c:v>43367</c:v>
                </c:pt>
                <c:pt idx="89">
                  <c:v>43368</c:v>
                </c:pt>
                <c:pt idx="90">
                  <c:v>43369</c:v>
                </c:pt>
                <c:pt idx="91">
                  <c:v>43370</c:v>
                </c:pt>
                <c:pt idx="92">
                  <c:v>43371</c:v>
                </c:pt>
                <c:pt idx="93">
                  <c:v>43372</c:v>
                </c:pt>
                <c:pt idx="94">
                  <c:v>43373</c:v>
                </c:pt>
                <c:pt idx="95">
                  <c:v>43374</c:v>
                </c:pt>
                <c:pt idx="96">
                  <c:v>43375</c:v>
                </c:pt>
                <c:pt idx="97">
                  <c:v>43376</c:v>
                </c:pt>
                <c:pt idx="98">
                  <c:v>43377</c:v>
                </c:pt>
                <c:pt idx="99">
                  <c:v>43378</c:v>
                </c:pt>
                <c:pt idx="100">
                  <c:v>43379</c:v>
                </c:pt>
                <c:pt idx="101">
                  <c:v>43380</c:v>
                </c:pt>
                <c:pt idx="102">
                  <c:v>43381</c:v>
                </c:pt>
                <c:pt idx="103">
                  <c:v>43382</c:v>
                </c:pt>
                <c:pt idx="104">
                  <c:v>43383</c:v>
                </c:pt>
                <c:pt idx="105">
                  <c:v>43384</c:v>
                </c:pt>
                <c:pt idx="106">
                  <c:v>43385</c:v>
                </c:pt>
                <c:pt idx="107">
                  <c:v>43386</c:v>
                </c:pt>
                <c:pt idx="108">
                  <c:v>43387</c:v>
                </c:pt>
                <c:pt idx="109">
                  <c:v>43388</c:v>
                </c:pt>
                <c:pt idx="110">
                  <c:v>43389</c:v>
                </c:pt>
                <c:pt idx="111">
                  <c:v>43390</c:v>
                </c:pt>
                <c:pt idx="112">
                  <c:v>43391</c:v>
                </c:pt>
                <c:pt idx="113">
                  <c:v>43392</c:v>
                </c:pt>
                <c:pt idx="114">
                  <c:v>43393</c:v>
                </c:pt>
                <c:pt idx="115">
                  <c:v>43394</c:v>
                </c:pt>
                <c:pt idx="116">
                  <c:v>43395</c:v>
                </c:pt>
                <c:pt idx="117">
                  <c:v>43396</c:v>
                </c:pt>
                <c:pt idx="118">
                  <c:v>43397</c:v>
                </c:pt>
                <c:pt idx="119">
                  <c:v>43398</c:v>
                </c:pt>
                <c:pt idx="120">
                  <c:v>43399</c:v>
                </c:pt>
                <c:pt idx="121">
                  <c:v>43400</c:v>
                </c:pt>
                <c:pt idx="122">
                  <c:v>43401</c:v>
                </c:pt>
                <c:pt idx="123">
                  <c:v>43402</c:v>
                </c:pt>
                <c:pt idx="124">
                  <c:v>43403</c:v>
                </c:pt>
                <c:pt idx="125">
                  <c:v>43404</c:v>
                </c:pt>
                <c:pt idx="126">
                  <c:v>43405</c:v>
                </c:pt>
                <c:pt idx="127">
                  <c:v>43406</c:v>
                </c:pt>
                <c:pt idx="128">
                  <c:v>43407</c:v>
                </c:pt>
                <c:pt idx="129">
                  <c:v>43408</c:v>
                </c:pt>
                <c:pt idx="130">
                  <c:v>43409</c:v>
                </c:pt>
                <c:pt idx="131">
                  <c:v>43410</c:v>
                </c:pt>
                <c:pt idx="132">
                  <c:v>43411</c:v>
                </c:pt>
                <c:pt idx="133">
                  <c:v>43412</c:v>
                </c:pt>
                <c:pt idx="134">
                  <c:v>43413</c:v>
                </c:pt>
                <c:pt idx="135">
                  <c:v>43414</c:v>
                </c:pt>
                <c:pt idx="136">
                  <c:v>43415</c:v>
                </c:pt>
                <c:pt idx="137">
                  <c:v>43416</c:v>
                </c:pt>
                <c:pt idx="138">
                  <c:v>43417</c:v>
                </c:pt>
                <c:pt idx="139">
                  <c:v>43418</c:v>
                </c:pt>
                <c:pt idx="140">
                  <c:v>43419</c:v>
                </c:pt>
                <c:pt idx="141">
                  <c:v>43420</c:v>
                </c:pt>
                <c:pt idx="142">
                  <c:v>43421</c:v>
                </c:pt>
                <c:pt idx="143">
                  <c:v>43422</c:v>
                </c:pt>
                <c:pt idx="144">
                  <c:v>43423</c:v>
                </c:pt>
                <c:pt idx="145">
                  <c:v>43424</c:v>
                </c:pt>
                <c:pt idx="146">
                  <c:v>43425</c:v>
                </c:pt>
                <c:pt idx="147">
                  <c:v>43426</c:v>
                </c:pt>
                <c:pt idx="148">
                  <c:v>43427</c:v>
                </c:pt>
                <c:pt idx="149">
                  <c:v>43428</c:v>
                </c:pt>
                <c:pt idx="150">
                  <c:v>43429</c:v>
                </c:pt>
                <c:pt idx="151">
                  <c:v>43430</c:v>
                </c:pt>
                <c:pt idx="152">
                  <c:v>43431</c:v>
                </c:pt>
                <c:pt idx="153">
                  <c:v>43432</c:v>
                </c:pt>
                <c:pt idx="154">
                  <c:v>43433</c:v>
                </c:pt>
                <c:pt idx="155">
                  <c:v>43434</c:v>
                </c:pt>
                <c:pt idx="156">
                  <c:v>43435</c:v>
                </c:pt>
                <c:pt idx="157">
                  <c:v>43436</c:v>
                </c:pt>
                <c:pt idx="158">
                  <c:v>43437</c:v>
                </c:pt>
                <c:pt idx="159">
                  <c:v>43438</c:v>
                </c:pt>
                <c:pt idx="160">
                  <c:v>43439</c:v>
                </c:pt>
                <c:pt idx="161">
                  <c:v>43440</c:v>
                </c:pt>
                <c:pt idx="162">
                  <c:v>43441</c:v>
                </c:pt>
                <c:pt idx="163">
                  <c:v>43442</c:v>
                </c:pt>
                <c:pt idx="164">
                  <c:v>43443</c:v>
                </c:pt>
                <c:pt idx="165">
                  <c:v>43444</c:v>
                </c:pt>
                <c:pt idx="166">
                  <c:v>43445</c:v>
                </c:pt>
                <c:pt idx="167">
                  <c:v>43446</c:v>
                </c:pt>
                <c:pt idx="168">
                  <c:v>43447</c:v>
                </c:pt>
                <c:pt idx="169">
                  <c:v>43448</c:v>
                </c:pt>
                <c:pt idx="170">
                  <c:v>43449</c:v>
                </c:pt>
                <c:pt idx="171">
                  <c:v>43450</c:v>
                </c:pt>
                <c:pt idx="172">
                  <c:v>43451</c:v>
                </c:pt>
                <c:pt idx="173">
                  <c:v>43452</c:v>
                </c:pt>
                <c:pt idx="174">
                  <c:v>43453</c:v>
                </c:pt>
                <c:pt idx="175">
                  <c:v>43454</c:v>
                </c:pt>
                <c:pt idx="176">
                  <c:v>43455</c:v>
                </c:pt>
                <c:pt idx="177">
                  <c:v>43456</c:v>
                </c:pt>
                <c:pt idx="178">
                  <c:v>43457</c:v>
                </c:pt>
                <c:pt idx="179">
                  <c:v>43458</c:v>
                </c:pt>
                <c:pt idx="180">
                  <c:v>43459</c:v>
                </c:pt>
                <c:pt idx="181">
                  <c:v>43460</c:v>
                </c:pt>
                <c:pt idx="182">
                  <c:v>43461</c:v>
                </c:pt>
                <c:pt idx="183">
                  <c:v>43462</c:v>
                </c:pt>
                <c:pt idx="184">
                  <c:v>43463</c:v>
                </c:pt>
                <c:pt idx="185">
                  <c:v>43464</c:v>
                </c:pt>
                <c:pt idx="186">
                  <c:v>43465</c:v>
                </c:pt>
                <c:pt idx="187">
                  <c:v>43466</c:v>
                </c:pt>
                <c:pt idx="188">
                  <c:v>43467</c:v>
                </c:pt>
                <c:pt idx="189">
                  <c:v>43468</c:v>
                </c:pt>
                <c:pt idx="190">
                  <c:v>43469</c:v>
                </c:pt>
                <c:pt idx="191">
                  <c:v>43470</c:v>
                </c:pt>
                <c:pt idx="192">
                  <c:v>43471</c:v>
                </c:pt>
                <c:pt idx="193">
                  <c:v>43472</c:v>
                </c:pt>
                <c:pt idx="194">
                  <c:v>43473</c:v>
                </c:pt>
                <c:pt idx="195">
                  <c:v>43474</c:v>
                </c:pt>
                <c:pt idx="196">
                  <c:v>43475</c:v>
                </c:pt>
                <c:pt idx="197">
                  <c:v>43476</c:v>
                </c:pt>
                <c:pt idx="198">
                  <c:v>43477</c:v>
                </c:pt>
                <c:pt idx="199">
                  <c:v>43478</c:v>
                </c:pt>
                <c:pt idx="200">
                  <c:v>43479</c:v>
                </c:pt>
                <c:pt idx="201">
                  <c:v>43480</c:v>
                </c:pt>
                <c:pt idx="202">
                  <c:v>43481</c:v>
                </c:pt>
                <c:pt idx="203">
                  <c:v>43482</c:v>
                </c:pt>
                <c:pt idx="204">
                  <c:v>43483</c:v>
                </c:pt>
                <c:pt idx="205">
                  <c:v>43484</c:v>
                </c:pt>
                <c:pt idx="206">
                  <c:v>43485</c:v>
                </c:pt>
                <c:pt idx="207">
                  <c:v>43486</c:v>
                </c:pt>
                <c:pt idx="208">
                  <c:v>43487</c:v>
                </c:pt>
                <c:pt idx="209">
                  <c:v>43488</c:v>
                </c:pt>
                <c:pt idx="210">
                  <c:v>43489</c:v>
                </c:pt>
                <c:pt idx="211">
                  <c:v>43490</c:v>
                </c:pt>
                <c:pt idx="212">
                  <c:v>43491</c:v>
                </c:pt>
                <c:pt idx="213">
                  <c:v>43492</c:v>
                </c:pt>
                <c:pt idx="214">
                  <c:v>43493</c:v>
                </c:pt>
                <c:pt idx="215">
                  <c:v>43494</c:v>
                </c:pt>
                <c:pt idx="216">
                  <c:v>43495</c:v>
                </c:pt>
                <c:pt idx="217">
                  <c:v>43496</c:v>
                </c:pt>
                <c:pt idx="218">
                  <c:v>43497</c:v>
                </c:pt>
                <c:pt idx="219">
                  <c:v>43498</c:v>
                </c:pt>
                <c:pt idx="220">
                  <c:v>43499</c:v>
                </c:pt>
                <c:pt idx="221">
                  <c:v>43500</c:v>
                </c:pt>
                <c:pt idx="222">
                  <c:v>43501</c:v>
                </c:pt>
                <c:pt idx="223">
                  <c:v>43502</c:v>
                </c:pt>
                <c:pt idx="224">
                  <c:v>43503</c:v>
                </c:pt>
                <c:pt idx="225">
                  <c:v>43504</c:v>
                </c:pt>
                <c:pt idx="226">
                  <c:v>43505</c:v>
                </c:pt>
                <c:pt idx="227">
                  <c:v>43506</c:v>
                </c:pt>
                <c:pt idx="228">
                  <c:v>43507</c:v>
                </c:pt>
                <c:pt idx="229">
                  <c:v>43508</c:v>
                </c:pt>
                <c:pt idx="230">
                  <c:v>43509</c:v>
                </c:pt>
                <c:pt idx="231">
                  <c:v>43510</c:v>
                </c:pt>
                <c:pt idx="232">
                  <c:v>43511</c:v>
                </c:pt>
                <c:pt idx="233">
                  <c:v>43512</c:v>
                </c:pt>
                <c:pt idx="234">
                  <c:v>43513</c:v>
                </c:pt>
                <c:pt idx="235">
                  <c:v>43514</c:v>
                </c:pt>
                <c:pt idx="236">
                  <c:v>43515</c:v>
                </c:pt>
                <c:pt idx="237">
                  <c:v>43516</c:v>
                </c:pt>
                <c:pt idx="238">
                  <c:v>43517</c:v>
                </c:pt>
                <c:pt idx="239">
                  <c:v>43518</c:v>
                </c:pt>
                <c:pt idx="240">
                  <c:v>43519</c:v>
                </c:pt>
                <c:pt idx="241">
                  <c:v>43520</c:v>
                </c:pt>
                <c:pt idx="242">
                  <c:v>43521</c:v>
                </c:pt>
                <c:pt idx="243">
                  <c:v>43522</c:v>
                </c:pt>
                <c:pt idx="244">
                  <c:v>43523</c:v>
                </c:pt>
                <c:pt idx="245">
                  <c:v>43524</c:v>
                </c:pt>
                <c:pt idx="246">
                  <c:v>43525</c:v>
                </c:pt>
                <c:pt idx="247">
                  <c:v>43526</c:v>
                </c:pt>
                <c:pt idx="248">
                  <c:v>43527</c:v>
                </c:pt>
                <c:pt idx="249">
                  <c:v>43528</c:v>
                </c:pt>
                <c:pt idx="250">
                  <c:v>43529</c:v>
                </c:pt>
                <c:pt idx="251">
                  <c:v>43530</c:v>
                </c:pt>
                <c:pt idx="252">
                  <c:v>43531</c:v>
                </c:pt>
                <c:pt idx="253">
                  <c:v>43532</c:v>
                </c:pt>
                <c:pt idx="254">
                  <c:v>43533</c:v>
                </c:pt>
                <c:pt idx="255">
                  <c:v>43534</c:v>
                </c:pt>
                <c:pt idx="256">
                  <c:v>43535</c:v>
                </c:pt>
                <c:pt idx="257">
                  <c:v>43536</c:v>
                </c:pt>
                <c:pt idx="258">
                  <c:v>43537</c:v>
                </c:pt>
                <c:pt idx="259">
                  <c:v>43538</c:v>
                </c:pt>
                <c:pt idx="260">
                  <c:v>43539</c:v>
                </c:pt>
                <c:pt idx="261">
                  <c:v>43540</c:v>
                </c:pt>
                <c:pt idx="262">
                  <c:v>43541</c:v>
                </c:pt>
                <c:pt idx="263">
                  <c:v>43542</c:v>
                </c:pt>
                <c:pt idx="264">
                  <c:v>43543</c:v>
                </c:pt>
                <c:pt idx="265">
                  <c:v>43544</c:v>
                </c:pt>
                <c:pt idx="266">
                  <c:v>43545</c:v>
                </c:pt>
                <c:pt idx="267">
                  <c:v>43546</c:v>
                </c:pt>
                <c:pt idx="268">
                  <c:v>43547</c:v>
                </c:pt>
                <c:pt idx="269">
                  <c:v>43548</c:v>
                </c:pt>
                <c:pt idx="270">
                  <c:v>43549</c:v>
                </c:pt>
                <c:pt idx="271">
                  <c:v>43550</c:v>
                </c:pt>
                <c:pt idx="272">
                  <c:v>43551</c:v>
                </c:pt>
                <c:pt idx="273">
                  <c:v>43552</c:v>
                </c:pt>
                <c:pt idx="274">
                  <c:v>43553</c:v>
                </c:pt>
                <c:pt idx="275">
                  <c:v>43554</c:v>
                </c:pt>
                <c:pt idx="276">
                  <c:v>43555</c:v>
                </c:pt>
                <c:pt idx="277">
                  <c:v>43556</c:v>
                </c:pt>
                <c:pt idx="278">
                  <c:v>43557</c:v>
                </c:pt>
                <c:pt idx="279">
                  <c:v>43558</c:v>
                </c:pt>
                <c:pt idx="280">
                  <c:v>43559</c:v>
                </c:pt>
                <c:pt idx="281">
                  <c:v>43560</c:v>
                </c:pt>
                <c:pt idx="282">
                  <c:v>43561</c:v>
                </c:pt>
                <c:pt idx="283">
                  <c:v>43562</c:v>
                </c:pt>
                <c:pt idx="284">
                  <c:v>43563</c:v>
                </c:pt>
                <c:pt idx="285">
                  <c:v>43564</c:v>
                </c:pt>
                <c:pt idx="286">
                  <c:v>43565</c:v>
                </c:pt>
                <c:pt idx="287">
                  <c:v>43566</c:v>
                </c:pt>
                <c:pt idx="288">
                  <c:v>43567</c:v>
                </c:pt>
                <c:pt idx="289">
                  <c:v>43568</c:v>
                </c:pt>
                <c:pt idx="290">
                  <c:v>43569</c:v>
                </c:pt>
                <c:pt idx="291">
                  <c:v>43570</c:v>
                </c:pt>
                <c:pt idx="292">
                  <c:v>43571</c:v>
                </c:pt>
                <c:pt idx="293">
                  <c:v>43572</c:v>
                </c:pt>
                <c:pt idx="294">
                  <c:v>43573</c:v>
                </c:pt>
                <c:pt idx="295">
                  <c:v>43574</c:v>
                </c:pt>
                <c:pt idx="296">
                  <c:v>43575</c:v>
                </c:pt>
                <c:pt idx="297">
                  <c:v>43576</c:v>
                </c:pt>
                <c:pt idx="298">
                  <c:v>43577</c:v>
                </c:pt>
                <c:pt idx="299">
                  <c:v>43578</c:v>
                </c:pt>
                <c:pt idx="300">
                  <c:v>43579</c:v>
                </c:pt>
                <c:pt idx="301">
                  <c:v>43580</c:v>
                </c:pt>
                <c:pt idx="302">
                  <c:v>43581</c:v>
                </c:pt>
                <c:pt idx="303">
                  <c:v>43582</c:v>
                </c:pt>
                <c:pt idx="304">
                  <c:v>43583</c:v>
                </c:pt>
                <c:pt idx="305">
                  <c:v>43584</c:v>
                </c:pt>
                <c:pt idx="306">
                  <c:v>43585</c:v>
                </c:pt>
                <c:pt idx="307">
                  <c:v>43586</c:v>
                </c:pt>
                <c:pt idx="308">
                  <c:v>43587</c:v>
                </c:pt>
                <c:pt idx="309">
                  <c:v>43588</c:v>
                </c:pt>
                <c:pt idx="310">
                  <c:v>43589</c:v>
                </c:pt>
                <c:pt idx="311">
                  <c:v>43590</c:v>
                </c:pt>
                <c:pt idx="312">
                  <c:v>43591</c:v>
                </c:pt>
                <c:pt idx="313">
                  <c:v>43592</c:v>
                </c:pt>
                <c:pt idx="314">
                  <c:v>43593</c:v>
                </c:pt>
                <c:pt idx="315">
                  <c:v>43594</c:v>
                </c:pt>
                <c:pt idx="316">
                  <c:v>43595</c:v>
                </c:pt>
                <c:pt idx="317">
                  <c:v>43596</c:v>
                </c:pt>
                <c:pt idx="318">
                  <c:v>43597</c:v>
                </c:pt>
                <c:pt idx="319">
                  <c:v>43598</c:v>
                </c:pt>
                <c:pt idx="320">
                  <c:v>43599</c:v>
                </c:pt>
                <c:pt idx="321">
                  <c:v>43600</c:v>
                </c:pt>
                <c:pt idx="322">
                  <c:v>43601</c:v>
                </c:pt>
                <c:pt idx="323">
                  <c:v>43602</c:v>
                </c:pt>
                <c:pt idx="324">
                  <c:v>43603</c:v>
                </c:pt>
                <c:pt idx="325">
                  <c:v>43604</c:v>
                </c:pt>
                <c:pt idx="326">
                  <c:v>43605</c:v>
                </c:pt>
                <c:pt idx="327">
                  <c:v>43606</c:v>
                </c:pt>
                <c:pt idx="328">
                  <c:v>43607</c:v>
                </c:pt>
                <c:pt idx="329">
                  <c:v>43608</c:v>
                </c:pt>
                <c:pt idx="330">
                  <c:v>43609</c:v>
                </c:pt>
                <c:pt idx="331">
                  <c:v>43610</c:v>
                </c:pt>
                <c:pt idx="332">
                  <c:v>43611</c:v>
                </c:pt>
                <c:pt idx="333">
                  <c:v>43612</c:v>
                </c:pt>
                <c:pt idx="334">
                  <c:v>43613</c:v>
                </c:pt>
                <c:pt idx="335">
                  <c:v>43614</c:v>
                </c:pt>
                <c:pt idx="336">
                  <c:v>43615</c:v>
                </c:pt>
                <c:pt idx="337">
                  <c:v>43616</c:v>
                </c:pt>
                <c:pt idx="338">
                  <c:v>43617</c:v>
                </c:pt>
                <c:pt idx="339">
                  <c:v>43618</c:v>
                </c:pt>
                <c:pt idx="340">
                  <c:v>43619</c:v>
                </c:pt>
                <c:pt idx="341">
                  <c:v>43620</c:v>
                </c:pt>
                <c:pt idx="342">
                  <c:v>43621</c:v>
                </c:pt>
                <c:pt idx="343">
                  <c:v>43622</c:v>
                </c:pt>
                <c:pt idx="344">
                  <c:v>43623</c:v>
                </c:pt>
                <c:pt idx="345">
                  <c:v>43624</c:v>
                </c:pt>
                <c:pt idx="346">
                  <c:v>43625</c:v>
                </c:pt>
                <c:pt idx="347">
                  <c:v>43626</c:v>
                </c:pt>
                <c:pt idx="348">
                  <c:v>43627</c:v>
                </c:pt>
                <c:pt idx="349">
                  <c:v>43628</c:v>
                </c:pt>
                <c:pt idx="350">
                  <c:v>43629</c:v>
                </c:pt>
                <c:pt idx="351">
                  <c:v>43630</c:v>
                </c:pt>
                <c:pt idx="352">
                  <c:v>43631</c:v>
                </c:pt>
                <c:pt idx="353">
                  <c:v>43632</c:v>
                </c:pt>
                <c:pt idx="354">
                  <c:v>43633</c:v>
                </c:pt>
                <c:pt idx="355">
                  <c:v>43634</c:v>
                </c:pt>
                <c:pt idx="356">
                  <c:v>43635</c:v>
                </c:pt>
                <c:pt idx="357">
                  <c:v>43636</c:v>
                </c:pt>
                <c:pt idx="358">
                  <c:v>43637</c:v>
                </c:pt>
                <c:pt idx="359">
                  <c:v>43638</c:v>
                </c:pt>
                <c:pt idx="360">
                  <c:v>43639</c:v>
                </c:pt>
                <c:pt idx="361">
                  <c:v>43640</c:v>
                </c:pt>
                <c:pt idx="362">
                  <c:v>43641</c:v>
                </c:pt>
                <c:pt idx="363">
                  <c:v>43642</c:v>
                </c:pt>
                <c:pt idx="364">
                  <c:v>43643</c:v>
                </c:pt>
                <c:pt idx="365">
                  <c:v>43644</c:v>
                </c:pt>
                <c:pt idx="366">
                  <c:v>43645</c:v>
                </c:pt>
                <c:pt idx="367">
                  <c:v>43646</c:v>
                </c:pt>
                <c:pt idx="368">
                  <c:v>43647</c:v>
                </c:pt>
                <c:pt idx="369">
                  <c:v>43648</c:v>
                </c:pt>
                <c:pt idx="370">
                  <c:v>43649</c:v>
                </c:pt>
                <c:pt idx="371">
                  <c:v>43650</c:v>
                </c:pt>
                <c:pt idx="372">
                  <c:v>43651</c:v>
                </c:pt>
                <c:pt idx="373">
                  <c:v>43652</c:v>
                </c:pt>
                <c:pt idx="374">
                  <c:v>43653</c:v>
                </c:pt>
                <c:pt idx="375">
                  <c:v>43654</c:v>
                </c:pt>
                <c:pt idx="376">
                  <c:v>43655</c:v>
                </c:pt>
                <c:pt idx="377">
                  <c:v>43656</c:v>
                </c:pt>
                <c:pt idx="378">
                  <c:v>43657</c:v>
                </c:pt>
                <c:pt idx="379">
                  <c:v>43658</c:v>
                </c:pt>
                <c:pt idx="380">
                  <c:v>43659</c:v>
                </c:pt>
                <c:pt idx="381">
                  <c:v>43660</c:v>
                </c:pt>
                <c:pt idx="382">
                  <c:v>43661</c:v>
                </c:pt>
                <c:pt idx="383">
                  <c:v>43662</c:v>
                </c:pt>
                <c:pt idx="384">
                  <c:v>43663</c:v>
                </c:pt>
                <c:pt idx="385">
                  <c:v>43664</c:v>
                </c:pt>
                <c:pt idx="386">
                  <c:v>43665</c:v>
                </c:pt>
                <c:pt idx="387">
                  <c:v>43666</c:v>
                </c:pt>
                <c:pt idx="388">
                  <c:v>43667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43673</c:v>
                </c:pt>
                <c:pt idx="395">
                  <c:v>43674</c:v>
                </c:pt>
                <c:pt idx="396">
                  <c:v>43675</c:v>
                </c:pt>
                <c:pt idx="397">
                  <c:v>43676</c:v>
                </c:pt>
                <c:pt idx="398">
                  <c:v>43677</c:v>
                </c:pt>
                <c:pt idx="399">
                  <c:v>43678</c:v>
                </c:pt>
                <c:pt idx="400">
                  <c:v>43679</c:v>
                </c:pt>
                <c:pt idx="401">
                  <c:v>43680</c:v>
                </c:pt>
                <c:pt idx="402">
                  <c:v>43681</c:v>
                </c:pt>
                <c:pt idx="403">
                  <c:v>43682</c:v>
                </c:pt>
                <c:pt idx="404">
                  <c:v>43683</c:v>
                </c:pt>
                <c:pt idx="405">
                  <c:v>43684</c:v>
                </c:pt>
                <c:pt idx="406">
                  <c:v>43685</c:v>
                </c:pt>
                <c:pt idx="407">
                  <c:v>43686</c:v>
                </c:pt>
                <c:pt idx="408">
                  <c:v>43687</c:v>
                </c:pt>
                <c:pt idx="409">
                  <c:v>43688</c:v>
                </c:pt>
                <c:pt idx="410">
                  <c:v>43689</c:v>
                </c:pt>
                <c:pt idx="411">
                  <c:v>43690</c:v>
                </c:pt>
                <c:pt idx="412">
                  <c:v>43691</c:v>
                </c:pt>
                <c:pt idx="413">
                  <c:v>43692</c:v>
                </c:pt>
                <c:pt idx="414">
                  <c:v>43693</c:v>
                </c:pt>
                <c:pt idx="415">
                  <c:v>43694</c:v>
                </c:pt>
                <c:pt idx="416">
                  <c:v>43695</c:v>
                </c:pt>
                <c:pt idx="417">
                  <c:v>43696</c:v>
                </c:pt>
                <c:pt idx="418">
                  <c:v>43697</c:v>
                </c:pt>
                <c:pt idx="419">
                  <c:v>43698</c:v>
                </c:pt>
                <c:pt idx="420">
                  <c:v>43699</c:v>
                </c:pt>
                <c:pt idx="421">
                  <c:v>43700</c:v>
                </c:pt>
                <c:pt idx="422">
                  <c:v>43701</c:v>
                </c:pt>
                <c:pt idx="423">
                  <c:v>43702</c:v>
                </c:pt>
                <c:pt idx="424">
                  <c:v>43703</c:v>
                </c:pt>
                <c:pt idx="425">
                  <c:v>43704</c:v>
                </c:pt>
                <c:pt idx="426">
                  <c:v>43705</c:v>
                </c:pt>
                <c:pt idx="427">
                  <c:v>43706</c:v>
                </c:pt>
                <c:pt idx="428">
                  <c:v>43707</c:v>
                </c:pt>
                <c:pt idx="429">
                  <c:v>43708</c:v>
                </c:pt>
                <c:pt idx="430">
                  <c:v>43709</c:v>
                </c:pt>
                <c:pt idx="431">
                  <c:v>43710</c:v>
                </c:pt>
                <c:pt idx="432">
                  <c:v>43711</c:v>
                </c:pt>
                <c:pt idx="433">
                  <c:v>43712</c:v>
                </c:pt>
                <c:pt idx="434">
                  <c:v>43713</c:v>
                </c:pt>
                <c:pt idx="435">
                  <c:v>43714</c:v>
                </c:pt>
                <c:pt idx="436">
                  <c:v>43715</c:v>
                </c:pt>
                <c:pt idx="437">
                  <c:v>43716</c:v>
                </c:pt>
                <c:pt idx="438">
                  <c:v>43717</c:v>
                </c:pt>
                <c:pt idx="439">
                  <c:v>43718</c:v>
                </c:pt>
                <c:pt idx="440">
                  <c:v>43719</c:v>
                </c:pt>
                <c:pt idx="441">
                  <c:v>43720</c:v>
                </c:pt>
                <c:pt idx="442">
                  <c:v>43721</c:v>
                </c:pt>
                <c:pt idx="443">
                  <c:v>43722</c:v>
                </c:pt>
                <c:pt idx="444">
                  <c:v>43723</c:v>
                </c:pt>
                <c:pt idx="445">
                  <c:v>43724</c:v>
                </c:pt>
                <c:pt idx="446">
                  <c:v>43725</c:v>
                </c:pt>
                <c:pt idx="447">
                  <c:v>43726</c:v>
                </c:pt>
                <c:pt idx="448">
                  <c:v>43727</c:v>
                </c:pt>
                <c:pt idx="449">
                  <c:v>43728</c:v>
                </c:pt>
                <c:pt idx="450">
                  <c:v>43729</c:v>
                </c:pt>
                <c:pt idx="451">
                  <c:v>43730</c:v>
                </c:pt>
                <c:pt idx="452">
                  <c:v>43731</c:v>
                </c:pt>
                <c:pt idx="453">
                  <c:v>43732</c:v>
                </c:pt>
                <c:pt idx="454">
                  <c:v>43733</c:v>
                </c:pt>
                <c:pt idx="455">
                  <c:v>43734</c:v>
                </c:pt>
                <c:pt idx="456">
                  <c:v>43735</c:v>
                </c:pt>
                <c:pt idx="457">
                  <c:v>43736</c:v>
                </c:pt>
                <c:pt idx="458">
                  <c:v>43737</c:v>
                </c:pt>
                <c:pt idx="459">
                  <c:v>43738</c:v>
                </c:pt>
                <c:pt idx="460">
                  <c:v>43739</c:v>
                </c:pt>
                <c:pt idx="461">
                  <c:v>43740</c:v>
                </c:pt>
                <c:pt idx="462">
                  <c:v>43741</c:v>
                </c:pt>
                <c:pt idx="463">
                  <c:v>43742</c:v>
                </c:pt>
                <c:pt idx="464">
                  <c:v>43743</c:v>
                </c:pt>
                <c:pt idx="465">
                  <c:v>43744</c:v>
                </c:pt>
                <c:pt idx="466">
                  <c:v>43745</c:v>
                </c:pt>
                <c:pt idx="467">
                  <c:v>43746</c:v>
                </c:pt>
                <c:pt idx="468">
                  <c:v>43747</c:v>
                </c:pt>
                <c:pt idx="469">
                  <c:v>43748</c:v>
                </c:pt>
                <c:pt idx="470">
                  <c:v>43749</c:v>
                </c:pt>
                <c:pt idx="471">
                  <c:v>43750</c:v>
                </c:pt>
                <c:pt idx="472">
                  <c:v>43751</c:v>
                </c:pt>
                <c:pt idx="473">
                  <c:v>43752</c:v>
                </c:pt>
                <c:pt idx="474">
                  <c:v>43753</c:v>
                </c:pt>
                <c:pt idx="475">
                  <c:v>43754</c:v>
                </c:pt>
                <c:pt idx="476">
                  <c:v>43755</c:v>
                </c:pt>
                <c:pt idx="477">
                  <c:v>43756</c:v>
                </c:pt>
                <c:pt idx="478">
                  <c:v>43757</c:v>
                </c:pt>
                <c:pt idx="479">
                  <c:v>43758</c:v>
                </c:pt>
                <c:pt idx="480">
                  <c:v>43759</c:v>
                </c:pt>
                <c:pt idx="481">
                  <c:v>43760</c:v>
                </c:pt>
                <c:pt idx="482">
                  <c:v>43761</c:v>
                </c:pt>
                <c:pt idx="483">
                  <c:v>43762</c:v>
                </c:pt>
                <c:pt idx="484">
                  <c:v>43763</c:v>
                </c:pt>
                <c:pt idx="485">
                  <c:v>43764</c:v>
                </c:pt>
                <c:pt idx="486">
                  <c:v>43765</c:v>
                </c:pt>
                <c:pt idx="487">
                  <c:v>43766</c:v>
                </c:pt>
                <c:pt idx="488">
                  <c:v>43767</c:v>
                </c:pt>
                <c:pt idx="489">
                  <c:v>43768</c:v>
                </c:pt>
                <c:pt idx="490">
                  <c:v>43769</c:v>
                </c:pt>
                <c:pt idx="491">
                  <c:v>43770</c:v>
                </c:pt>
                <c:pt idx="492">
                  <c:v>43771</c:v>
                </c:pt>
                <c:pt idx="493">
                  <c:v>43772</c:v>
                </c:pt>
                <c:pt idx="494">
                  <c:v>43773</c:v>
                </c:pt>
                <c:pt idx="495">
                  <c:v>43774</c:v>
                </c:pt>
                <c:pt idx="496">
                  <c:v>43775</c:v>
                </c:pt>
                <c:pt idx="497">
                  <c:v>43776</c:v>
                </c:pt>
                <c:pt idx="498">
                  <c:v>43777</c:v>
                </c:pt>
                <c:pt idx="499">
                  <c:v>43778</c:v>
                </c:pt>
                <c:pt idx="500">
                  <c:v>43779</c:v>
                </c:pt>
                <c:pt idx="501">
                  <c:v>43780</c:v>
                </c:pt>
                <c:pt idx="502">
                  <c:v>43781</c:v>
                </c:pt>
                <c:pt idx="503">
                  <c:v>43782</c:v>
                </c:pt>
                <c:pt idx="504">
                  <c:v>43783</c:v>
                </c:pt>
                <c:pt idx="505">
                  <c:v>43784</c:v>
                </c:pt>
                <c:pt idx="506">
                  <c:v>43785</c:v>
                </c:pt>
                <c:pt idx="507">
                  <c:v>43786</c:v>
                </c:pt>
                <c:pt idx="508">
                  <c:v>43787</c:v>
                </c:pt>
                <c:pt idx="509">
                  <c:v>43788</c:v>
                </c:pt>
                <c:pt idx="510">
                  <c:v>43789</c:v>
                </c:pt>
                <c:pt idx="511">
                  <c:v>43790</c:v>
                </c:pt>
                <c:pt idx="512">
                  <c:v>43791</c:v>
                </c:pt>
                <c:pt idx="513">
                  <c:v>43792</c:v>
                </c:pt>
                <c:pt idx="514">
                  <c:v>43793</c:v>
                </c:pt>
                <c:pt idx="515">
                  <c:v>43794</c:v>
                </c:pt>
                <c:pt idx="516">
                  <c:v>43795</c:v>
                </c:pt>
                <c:pt idx="517">
                  <c:v>43796</c:v>
                </c:pt>
                <c:pt idx="518">
                  <c:v>43797</c:v>
                </c:pt>
                <c:pt idx="519">
                  <c:v>43798</c:v>
                </c:pt>
                <c:pt idx="520">
                  <c:v>43799</c:v>
                </c:pt>
                <c:pt idx="521">
                  <c:v>43800</c:v>
                </c:pt>
                <c:pt idx="522">
                  <c:v>43801</c:v>
                </c:pt>
                <c:pt idx="523">
                  <c:v>43802</c:v>
                </c:pt>
                <c:pt idx="524">
                  <c:v>43803</c:v>
                </c:pt>
                <c:pt idx="525">
                  <c:v>43804</c:v>
                </c:pt>
                <c:pt idx="526">
                  <c:v>43805</c:v>
                </c:pt>
                <c:pt idx="527">
                  <c:v>43806</c:v>
                </c:pt>
                <c:pt idx="528">
                  <c:v>43807</c:v>
                </c:pt>
                <c:pt idx="529">
                  <c:v>43808</c:v>
                </c:pt>
                <c:pt idx="530">
                  <c:v>43809</c:v>
                </c:pt>
                <c:pt idx="531">
                  <c:v>43810</c:v>
                </c:pt>
                <c:pt idx="532">
                  <c:v>43811</c:v>
                </c:pt>
                <c:pt idx="533">
                  <c:v>43812</c:v>
                </c:pt>
                <c:pt idx="534">
                  <c:v>43813</c:v>
                </c:pt>
                <c:pt idx="535">
                  <c:v>43814</c:v>
                </c:pt>
                <c:pt idx="536">
                  <c:v>43815</c:v>
                </c:pt>
                <c:pt idx="537">
                  <c:v>43816</c:v>
                </c:pt>
                <c:pt idx="538">
                  <c:v>43817</c:v>
                </c:pt>
                <c:pt idx="539">
                  <c:v>43818</c:v>
                </c:pt>
                <c:pt idx="540">
                  <c:v>43819</c:v>
                </c:pt>
                <c:pt idx="541">
                  <c:v>43820</c:v>
                </c:pt>
                <c:pt idx="542">
                  <c:v>43821</c:v>
                </c:pt>
                <c:pt idx="543">
                  <c:v>43822</c:v>
                </c:pt>
                <c:pt idx="544">
                  <c:v>43823</c:v>
                </c:pt>
                <c:pt idx="545">
                  <c:v>43824</c:v>
                </c:pt>
                <c:pt idx="546">
                  <c:v>43825</c:v>
                </c:pt>
                <c:pt idx="547">
                  <c:v>43826</c:v>
                </c:pt>
                <c:pt idx="548">
                  <c:v>43827</c:v>
                </c:pt>
                <c:pt idx="549">
                  <c:v>43828</c:v>
                </c:pt>
                <c:pt idx="550">
                  <c:v>43829</c:v>
                </c:pt>
                <c:pt idx="551">
                  <c:v>43830</c:v>
                </c:pt>
                <c:pt idx="552">
                  <c:v>43831</c:v>
                </c:pt>
                <c:pt idx="553">
                  <c:v>43832</c:v>
                </c:pt>
                <c:pt idx="554">
                  <c:v>43833</c:v>
                </c:pt>
                <c:pt idx="555">
                  <c:v>43834</c:v>
                </c:pt>
                <c:pt idx="556">
                  <c:v>43835</c:v>
                </c:pt>
                <c:pt idx="557">
                  <c:v>43836</c:v>
                </c:pt>
                <c:pt idx="558">
                  <c:v>43837</c:v>
                </c:pt>
                <c:pt idx="559">
                  <c:v>43838</c:v>
                </c:pt>
                <c:pt idx="560">
                  <c:v>43839</c:v>
                </c:pt>
                <c:pt idx="561">
                  <c:v>43840</c:v>
                </c:pt>
                <c:pt idx="562">
                  <c:v>43841</c:v>
                </c:pt>
                <c:pt idx="563">
                  <c:v>43842</c:v>
                </c:pt>
                <c:pt idx="564">
                  <c:v>43843</c:v>
                </c:pt>
                <c:pt idx="565">
                  <c:v>43844</c:v>
                </c:pt>
                <c:pt idx="566">
                  <c:v>43845</c:v>
                </c:pt>
                <c:pt idx="567">
                  <c:v>43846</c:v>
                </c:pt>
                <c:pt idx="568">
                  <c:v>43847</c:v>
                </c:pt>
                <c:pt idx="569">
                  <c:v>43848</c:v>
                </c:pt>
                <c:pt idx="570">
                  <c:v>43849</c:v>
                </c:pt>
                <c:pt idx="571">
                  <c:v>43850</c:v>
                </c:pt>
                <c:pt idx="572">
                  <c:v>43851</c:v>
                </c:pt>
                <c:pt idx="573">
                  <c:v>43852</c:v>
                </c:pt>
                <c:pt idx="574">
                  <c:v>43853</c:v>
                </c:pt>
                <c:pt idx="575">
                  <c:v>43854</c:v>
                </c:pt>
                <c:pt idx="576">
                  <c:v>43855</c:v>
                </c:pt>
                <c:pt idx="577">
                  <c:v>43856</c:v>
                </c:pt>
                <c:pt idx="578">
                  <c:v>43857</c:v>
                </c:pt>
                <c:pt idx="579">
                  <c:v>43858</c:v>
                </c:pt>
                <c:pt idx="580">
                  <c:v>43859</c:v>
                </c:pt>
                <c:pt idx="581">
                  <c:v>43860</c:v>
                </c:pt>
                <c:pt idx="582">
                  <c:v>43861</c:v>
                </c:pt>
                <c:pt idx="583">
                  <c:v>43862</c:v>
                </c:pt>
                <c:pt idx="584">
                  <c:v>43863</c:v>
                </c:pt>
                <c:pt idx="585">
                  <c:v>43864</c:v>
                </c:pt>
                <c:pt idx="586">
                  <c:v>43865</c:v>
                </c:pt>
                <c:pt idx="587">
                  <c:v>43866</c:v>
                </c:pt>
                <c:pt idx="588">
                  <c:v>43867</c:v>
                </c:pt>
                <c:pt idx="589">
                  <c:v>43868</c:v>
                </c:pt>
                <c:pt idx="590">
                  <c:v>43869</c:v>
                </c:pt>
                <c:pt idx="591">
                  <c:v>43870</c:v>
                </c:pt>
                <c:pt idx="592">
                  <c:v>43871</c:v>
                </c:pt>
                <c:pt idx="593">
                  <c:v>43872</c:v>
                </c:pt>
                <c:pt idx="594">
                  <c:v>43873</c:v>
                </c:pt>
                <c:pt idx="595">
                  <c:v>43874</c:v>
                </c:pt>
                <c:pt idx="596">
                  <c:v>43875</c:v>
                </c:pt>
                <c:pt idx="597">
                  <c:v>43876</c:v>
                </c:pt>
                <c:pt idx="598">
                  <c:v>43877</c:v>
                </c:pt>
                <c:pt idx="599">
                  <c:v>43878</c:v>
                </c:pt>
                <c:pt idx="600">
                  <c:v>43879</c:v>
                </c:pt>
                <c:pt idx="601">
                  <c:v>43880</c:v>
                </c:pt>
                <c:pt idx="602">
                  <c:v>43881</c:v>
                </c:pt>
                <c:pt idx="603">
                  <c:v>43882</c:v>
                </c:pt>
                <c:pt idx="604">
                  <c:v>43883</c:v>
                </c:pt>
                <c:pt idx="605">
                  <c:v>43884</c:v>
                </c:pt>
                <c:pt idx="606">
                  <c:v>43885</c:v>
                </c:pt>
                <c:pt idx="607">
                  <c:v>43886</c:v>
                </c:pt>
                <c:pt idx="608">
                  <c:v>43887</c:v>
                </c:pt>
                <c:pt idx="609">
                  <c:v>43888</c:v>
                </c:pt>
                <c:pt idx="610">
                  <c:v>43889</c:v>
                </c:pt>
                <c:pt idx="611">
                  <c:v>43890</c:v>
                </c:pt>
                <c:pt idx="612">
                  <c:v>43891</c:v>
                </c:pt>
                <c:pt idx="613">
                  <c:v>43892</c:v>
                </c:pt>
                <c:pt idx="614">
                  <c:v>43893</c:v>
                </c:pt>
                <c:pt idx="615">
                  <c:v>43894</c:v>
                </c:pt>
                <c:pt idx="616">
                  <c:v>43895</c:v>
                </c:pt>
                <c:pt idx="617">
                  <c:v>43896</c:v>
                </c:pt>
                <c:pt idx="618">
                  <c:v>43897</c:v>
                </c:pt>
                <c:pt idx="619">
                  <c:v>43898</c:v>
                </c:pt>
                <c:pt idx="620">
                  <c:v>43899</c:v>
                </c:pt>
                <c:pt idx="621">
                  <c:v>43900</c:v>
                </c:pt>
                <c:pt idx="622">
                  <c:v>43901</c:v>
                </c:pt>
                <c:pt idx="623">
                  <c:v>43902</c:v>
                </c:pt>
                <c:pt idx="624">
                  <c:v>43903</c:v>
                </c:pt>
                <c:pt idx="625">
                  <c:v>43904</c:v>
                </c:pt>
                <c:pt idx="626">
                  <c:v>43905</c:v>
                </c:pt>
                <c:pt idx="627">
                  <c:v>43906</c:v>
                </c:pt>
                <c:pt idx="628">
                  <c:v>43907</c:v>
                </c:pt>
                <c:pt idx="629">
                  <c:v>43908</c:v>
                </c:pt>
                <c:pt idx="630">
                  <c:v>43909</c:v>
                </c:pt>
                <c:pt idx="631">
                  <c:v>43910</c:v>
                </c:pt>
                <c:pt idx="632">
                  <c:v>43911</c:v>
                </c:pt>
                <c:pt idx="633">
                  <c:v>43912</c:v>
                </c:pt>
                <c:pt idx="634">
                  <c:v>43913</c:v>
                </c:pt>
                <c:pt idx="635">
                  <c:v>43914</c:v>
                </c:pt>
                <c:pt idx="636">
                  <c:v>43915</c:v>
                </c:pt>
                <c:pt idx="637">
                  <c:v>43916</c:v>
                </c:pt>
                <c:pt idx="638">
                  <c:v>43917</c:v>
                </c:pt>
                <c:pt idx="639">
                  <c:v>43918</c:v>
                </c:pt>
                <c:pt idx="640">
                  <c:v>43919</c:v>
                </c:pt>
                <c:pt idx="641">
                  <c:v>43920</c:v>
                </c:pt>
                <c:pt idx="642">
                  <c:v>43921</c:v>
                </c:pt>
                <c:pt idx="643">
                  <c:v>43922</c:v>
                </c:pt>
                <c:pt idx="644">
                  <c:v>43923</c:v>
                </c:pt>
                <c:pt idx="645">
                  <c:v>43924</c:v>
                </c:pt>
                <c:pt idx="646">
                  <c:v>43925</c:v>
                </c:pt>
                <c:pt idx="647">
                  <c:v>43926</c:v>
                </c:pt>
                <c:pt idx="648">
                  <c:v>43927</c:v>
                </c:pt>
                <c:pt idx="649">
                  <c:v>43928</c:v>
                </c:pt>
                <c:pt idx="650">
                  <c:v>43929</c:v>
                </c:pt>
                <c:pt idx="651">
                  <c:v>43930</c:v>
                </c:pt>
                <c:pt idx="652">
                  <c:v>43931</c:v>
                </c:pt>
                <c:pt idx="653">
                  <c:v>43932</c:v>
                </c:pt>
                <c:pt idx="654">
                  <c:v>43933</c:v>
                </c:pt>
                <c:pt idx="655">
                  <c:v>43934</c:v>
                </c:pt>
                <c:pt idx="656">
                  <c:v>43935</c:v>
                </c:pt>
                <c:pt idx="657">
                  <c:v>43936</c:v>
                </c:pt>
                <c:pt idx="658">
                  <c:v>43937</c:v>
                </c:pt>
                <c:pt idx="659">
                  <c:v>43938</c:v>
                </c:pt>
                <c:pt idx="660">
                  <c:v>43939</c:v>
                </c:pt>
                <c:pt idx="661">
                  <c:v>43940</c:v>
                </c:pt>
                <c:pt idx="662">
                  <c:v>43941</c:v>
                </c:pt>
                <c:pt idx="663">
                  <c:v>43942</c:v>
                </c:pt>
                <c:pt idx="664">
                  <c:v>43943</c:v>
                </c:pt>
                <c:pt idx="665">
                  <c:v>43944</c:v>
                </c:pt>
                <c:pt idx="666">
                  <c:v>43945</c:v>
                </c:pt>
                <c:pt idx="667">
                  <c:v>43946</c:v>
                </c:pt>
                <c:pt idx="668">
                  <c:v>43947</c:v>
                </c:pt>
                <c:pt idx="669">
                  <c:v>43948</c:v>
                </c:pt>
                <c:pt idx="670">
                  <c:v>43949</c:v>
                </c:pt>
                <c:pt idx="671">
                  <c:v>43950</c:v>
                </c:pt>
                <c:pt idx="672">
                  <c:v>43951</c:v>
                </c:pt>
                <c:pt idx="673">
                  <c:v>43952</c:v>
                </c:pt>
                <c:pt idx="674">
                  <c:v>43953</c:v>
                </c:pt>
                <c:pt idx="675">
                  <c:v>43954</c:v>
                </c:pt>
                <c:pt idx="676">
                  <c:v>43955</c:v>
                </c:pt>
                <c:pt idx="677">
                  <c:v>43956</c:v>
                </c:pt>
                <c:pt idx="678">
                  <c:v>43957</c:v>
                </c:pt>
                <c:pt idx="679">
                  <c:v>43958</c:v>
                </c:pt>
                <c:pt idx="680">
                  <c:v>43959</c:v>
                </c:pt>
                <c:pt idx="681">
                  <c:v>43960</c:v>
                </c:pt>
                <c:pt idx="682">
                  <c:v>43961</c:v>
                </c:pt>
                <c:pt idx="683">
                  <c:v>43962</c:v>
                </c:pt>
                <c:pt idx="684">
                  <c:v>43963</c:v>
                </c:pt>
                <c:pt idx="685">
                  <c:v>43964</c:v>
                </c:pt>
                <c:pt idx="686">
                  <c:v>43965</c:v>
                </c:pt>
                <c:pt idx="687">
                  <c:v>43966</c:v>
                </c:pt>
                <c:pt idx="688">
                  <c:v>43967</c:v>
                </c:pt>
                <c:pt idx="689">
                  <c:v>43968</c:v>
                </c:pt>
                <c:pt idx="690">
                  <c:v>43969</c:v>
                </c:pt>
                <c:pt idx="691">
                  <c:v>43970</c:v>
                </c:pt>
                <c:pt idx="692">
                  <c:v>43971</c:v>
                </c:pt>
                <c:pt idx="693">
                  <c:v>43972</c:v>
                </c:pt>
                <c:pt idx="694">
                  <c:v>43973</c:v>
                </c:pt>
                <c:pt idx="695">
                  <c:v>43974</c:v>
                </c:pt>
                <c:pt idx="696">
                  <c:v>43975</c:v>
                </c:pt>
                <c:pt idx="697">
                  <c:v>43976</c:v>
                </c:pt>
                <c:pt idx="698">
                  <c:v>43977</c:v>
                </c:pt>
                <c:pt idx="699">
                  <c:v>43978</c:v>
                </c:pt>
                <c:pt idx="700">
                  <c:v>43979</c:v>
                </c:pt>
                <c:pt idx="701">
                  <c:v>43980</c:v>
                </c:pt>
                <c:pt idx="702">
                  <c:v>43981</c:v>
                </c:pt>
                <c:pt idx="703">
                  <c:v>43982</c:v>
                </c:pt>
              </c:numCache>
            </c:numRef>
          </c:cat>
          <c:val>
            <c:numRef>
              <c:f>Dailies!$Z$273:$Z$978</c:f>
              <c:numCache>
                <c:formatCode>"$"#,##0_);[Red]\("$"#,##0\)</c:formatCode>
                <c:ptCount val="706"/>
                <c:pt idx="0">
                  <c:v>1015996.2466</c:v>
                </c:pt>
                <c:pt idx="1">
                  <c:v>1013870.956</c:v>
                </c:pt>
                <c:pt idx="2">
                  <c:v>1026935.956</c:v>
                </c:pt>
                <c:pt idx="3">
                  <c:v>1026935.956</c:v>
                </c:pt>
                <c:pt idx="4">
                  <c:v>1028259.6019000001</c:v>
                </c:pt>
                <c:pt idx="5">
                  <c:v>1027196.9565999999</c:v>
                </c:pt>
                <c:pt idx="6">
                  <c:v>1039010.9494430001</c:v>
                </c:pt>
                <c:pt idx="7">
                  <c:v>1058778.5802219999</c:v>
                </c:pt>
                <c:pt idx="8">
                  <c:v>1057978.695536</c:v>
                </c:pt>
                <c:pt idx="9">
                  <c:v>1057978.695536</c:v>
                </c:pt>
                <c:pt idx="10">
                  <c:v>1057978.695536</c:v>
                </c:pt>
                <c:pt idx="11">
                  <c:v>1029086.254</c:v>
                </c:pt>
                <c:pt idx="12">
                  <c:v>1029236.5692</c:v>
                </c:pt>
                <c:pt idx="13">
                  <c:v>1029443.2526</c:v>
                </c:pt>
                <c:pt idx="14">
                  <c:v>1029950.5663999999</c:v>
                </c:pt>
                <c:pt idx="15">
                  <c:v>1030194.8286000001</c:v>
                </c:pt>
                <c:pt idx="16">
                  <c:v>1030194.8286000001</c:v>
                </c:pt>
                <c:pt idx="17">
                  <c:v>1030194.8286000001</c:v>
                </c:pt>
                <c:pt idx="18">
                  <c:v>1029480.8314</c:v>
                </c:pt>
                <c:pt idx="19">
                  <c:v>1030664.5636</c:v>
                </c:pt>
                <c:pt idx="20">
                  <c:v>1030871.247</c:v>
                </c:pt>
                <c:pt idx="21">
                  <c:v>1032148.9262000001</c:v>
                </c:pt>
                <c:pt idx="22">
                  <c:v>1029743.8829999999</c:v>
                </c:pt>
                <c:pt idx="23">
                  <c:v>1029743.8829999999</c:v>
                </c:pt>
                <c:pt idx="24">
                  <c:v>1029743.8829999999</c:v>
                </c:pt>
                <c:pt idx="25">
                  <c:v>1030241.7546279998</c:v>
                </c:pt>
                <c:pt idx="26">
                  <c:v>1031626.7302399999</c:v>
                </c:pt>
                <c:pt idx="27">
                  <c:v>1028698.304</c:v>
                </c:pt>
                <c:pt idx="28">
                  <c:v>1028698.304</c:v>
                </c:pt>
                <c:pt idx="29">
                  <c:v>1027770.9408436001</c:v>
                </c:pt>
                <c:pt idx="30">
                  <c:v>1027770.9408436001</c:v>
                </c:pt>
                <c:pt idx="31">
                  <c:v>1027770.9408436001</c:v>
                </c:pt>
                <c:pt idx="32">
                  <c:v>1027146.1926480001</c:v>
                </c:pt>
                <c:pt idx="33">
                  <c:v>1028818.6025</c:v>
                </c:pt>
                <c:pt idx="34">
                  <c:v>1030127.600631</c:v>
                </c:pt>
                <c:pt idx="35">
                  <c:v>1028758.2458850001</c:v>
                </c:pt>
                <c:pt idx="36">
                  <c:v>1028234.0025289999</c:v>
                </c:pt>
                <c:pt idx="37">
                  <c:v>1028234.0025289999</c:v>
                </c:pt>
                <c:pt idx="38">
                  <c:v>1028234.0025289999</c:v>
                </c:pt>
                <c:pt idx="39">
                  <c:v>1028627.1850459999</c:v>
                </c:pt>
                <c:pt idx="40">
                  <c:v>1028964.198632</c:v>
                </c:pt>
                <c:pt idx="41">
                  <c:v>1029900.347482</c:v>
                </c:pt>
                <c:pt idx="42">
                  <c:v>1036039.2220000001</c:v>
                </c:pt>
                <c:pt idx="43">
                  <c:v>1037479.0419999999</c:v>
                </c:pt>
                <c:pt idx="44">
                  <c:v>1037479.0419999999</c:v>
                </c:pt>
                <c:pt idx="45">
                  <c:v>1037479.0419999999</c:v>
                </c:pt>
                <c:pt idx="46">
                  <c:v>1037805.4012</c:v>
                </c:pt>
                <c:pt idx="47">
                  <c:v>1037191.078</c:v>
                </c:pt>
                <c:pt idx="48">
                  <c:v>1038208.5508000001</c:v>
                </c:pt>
                <c:pt idx="49">
                  <c:v>1039157.7805300001</c:v>
                </c:pt>
                <c:pt idx="50">
                  <c:v>1037874.3292</c:v>
                </c:pt>
                <c:pt idx="51">
                  <c:v>1037874.3292</c:v>
                </c:pt>
                <c:pt idx="52">
                  <c:v>1037874.3292</c:v>
                </c:pt>
                <c:pt idx="53">
                  <c:v>1037625.3013299999</c:v>
                </c:pt>
                <c:pt idx="54">
                  <c:v>1037261.3375200001</c:v>
                </c:pt>
                <c:pt idx="55">
                  <c:v>1044955.608392</c:v>
                </c:pt>
                <c:pt idx="56">
                  <c:v>1045784.1015679999</c:v>
                </c:pt>
                <c:pt idx="57">
                  <c:v>1045662.9044289999</c:v>
                </c:pt>
                <c:pt idx="58">
                  <c:v>1045662.9044289999</c:v>
                </c:pt>
                <c:pt idx="59">
                  <c:v>1045662.9044289999</c:v>
                </c:pt>
                <c:pt idx="60">
                  <c:v>1044555.990341</c:v>
                </c:pt>
                <c:pt idx="61">
                  <c:v>1042780.301372</c:v>
                </c:pt>
                <c:pt idx="62">
                  <c:v>1041530.873465</c:v>
                </c:pt>
                <c:pt idx="63">
                  <c:v>1043509.2005949998</c:v>
                </c:pt>
                <c:pt idx="64">
                  <c:v>1044963.7811350001</c:v>
                </c:pt>
                <c:pt idx="65">
                  <c:v>1044963.7811350001</c:v>
                </c:pt>
                <c:pt idx="66">
                  <c:v>1044963.7811350001</c:v>
                </c:pt>
                <c:pt idx="67">
                  <c:v>1045414.9205</c:v>
                </c:pt>
                <c:pt idx="68">
                  <c:v>1047397.7138179999</c:v>
                </c:pt>
                <c:pt idx="69">
                  <c:v>1030752.0976120001</c:v>
                </c:pt>
                <c:pt idx="70">
                  <c:v>1032154.654903</c:v>
                </c:pt>
                <c:pt idx="71">
                  <c:v>1031460.36726</c:v>
                </c:pt>
                <c:pt idx="72">
                  <c:v>1031460.36726</c:v>
                </c:pt>
                <c:pt idx="73">
                  <c:v>1031460.36726</c:v>
                </c:pt>
                <c:pt idx="74">
                  <c:v>1031067.709145</c:v>
                </c:pt>
                <c:pt idx="75">
                  <c:v>1046555.4498940001</c:v>
                </c:pt>
                <c:pt idx="76">
                  <c:v>1047331.0551500001</c:v>
                </c:pt>
                <c:pt idx="77">
                  <c:v>1047396.3203</c:v>
                </c:pt>
                <c:pt idx="78">
                  <c:v>1049449.993574</c:v>
                </c:pt>
                <c:pt idx="79">
                  <c:v>1049449.993574</c:v>
                </c:pt>
                <c:pt idx="80">
                  <c:v>1049449.993574</c:v>
                </c:pt>
                <c:pt idx="81">
                  <c:v>1049075.8728700001</c:v>
                </c:pt>
                <c:pt idx="82">
                  <c:v>1048407.8663600001</c:v>
                </c:pt>
                <c:pt idx="83">
                  <c:v>1048240.64188</c:v>
                </c:pt>
                <c:pt idx="84">
                  <c:v>1047694.5905259999</c:v>
                </c:pt>
                <c:pt idx="85">
                  <c:v>1058980.7729760001</c:v>
                </c:pt>
                <c:pt idx="86">
                  <c:v>1058980.7729760001</c:v>
                </c:pt>
                <c:pt idx="87">
                  <c:v>1058980.7729760001</c:v>
                </c:pt>
                <c:pt idx="88">
                  <c:v>1060251.6953700001</c:v>
                </c:pt>
                <c:pt idx="89">
                  <c:v>1059064.0670689999</c:v>
                </c:pt>
                <c:pt idx="90">
                  <c:v>1059294.6496288001</c:v>
                </c:pt>
                <c:pt idx="91">
                  <c:v>1059298.26397</c:v>
                </c:pt>
                <c:pt idx="92">
                  <c:v>1058040.8357696</c:v>
                </c:pt>
                <c:pt idx="93">
                  <c:v>1058040.8357696</c:v>
                </c:pt>
                <c:pt idx="94">
                  <c:v>1058040.8357696</c:v>
                </c:pt>
                <c:pt idx="95">
                  <c:v>1059144.3108903999</c:v>
                </c:pt>
                <c:pt idx="96">
                  <c:v>1059521.239264</c:v>
                </c:pt>
                <c:pt idx="97">
                  <c:v>1060836.4190799999</c:v>
                </c:pt>
                <c:pt idx="98">
                  <c:v>1060272.0481167999</c:v>
                </c:pt>
                <c:pt idx="99">
                  <c:v>1058410.1448694</c:v>
                </c:pt>
                <c:pt idx="100">
                  <c:v>1058410.1448694</c:v>
                </c:pt>
                <c:pt idx="101">
                  <c:v>1058410.1448694</c:v>
                </c:pt>
                <c:pt idx="102">
                  <c:v>1058447.0466588</c:v>
                </c:pt>
                <c:pt idx="103">
                  <c:v>1068274.7286844999</c:v>
                </c:pt>
                <c:pt idx="104">
                  <c:v>1065279.3414</c:v>
                </c:pt>
                <c:pt idx="105">
                  <c:v>1060376.1709628</c:v>
                </c:pt>
                <c:pt idx="106">
                  <c:v>1058156.0605384</c:v>
                </c:pt>
                <c:pt idx="107">
                  <c:v>1058156.0605384</c:v>
                </c:pt>
                <c:pt idx="108">
                  <c:v>1058156.0605384</c:v>
                </c:pt>
                <c:pt idx="109">
                  <c:v>1059726.970952</c:v>
                </c:pt>
                <c:pt idx="110">
                  <c:v>1063172.5972414999</c:v>
                </c:pt>
                <c:pt idx="111">
                  <c:v>1063310.298742</c:v>
                </c:pt>
                <c:pt idx="112">
                  <c:v>1072541.7893561998</c:v>
                </c:pt>
                <c:pt idx="113">
                  <c:v>1077141.5574154998</c:v>
                </c:pt>
                <c:pt idx="114">
                  <c:v>1077141.5574154998</c:v>
                </c:pt>
                <c:pt idx="115">
                  <c:v>1077141.5574154998</c:v>
                </c:pt>
                <c:pt idx="116">
                  <c:v>1072989.0823516001</c:v>
                </c:pt>
                <c:pt idx="117">
                  <c:v>1070923.1209071998</c:v>
                </c:pt>
                <c:pt idx="118">
                  <c:v>1065291.2085185999</c:v>
                </c:pt>
                <c:pt idx="119">
                  <c:v>1063243.9673988</c:v>
                </c:pt>
                <c:pt idx="120">
                  <c:v>1061369.9118954998</c:v>
                </c:pt>
                <c:pt idx="121">
                  <c:v>1061369.9118954998</c:v>
                </c:pt>
                <c:pt idx="122">
                  <c:v>1061369.9118954998</c:v>
                </c:pt>
                <c:pt idx="123">
                  <c:v>1061646.6830849999</c:v>
                </c:pt>
                <c:pt idx="124">
                  <c:v>1059786.1830239999</c:v>
                </c:pt>
                <c:pt idx="125">
                  <c:v>1059468.5156427</c:v>
                </c:pt>
                <c:pt idx="126">
                  <c:v>1060837.9307560001</c:v>
                </c:pt>
                <c:pt idx="127">
                  <c:v>1058363.4655402</c:v>
                </c:pt>
                <c:pt idx="128">
                  <c:v>1058363.4655402</c:v>
                </c:pt>
                <c:pt idx="129">
                  <c:v>1058363.4655402</c:v>
                </c:pt>
                <c:pt idx="130">
                  <c:v>1060180.4628643999</c:v>
                </c:pt>
                <c:pt idx="131">
                  <c:v>1062887.308159</c:v>
                </c:pt>
                <c:pt idx="132">
                  <c:v>1068525.7809875</c:v>
                </c:pt>
                <c:pt idx="133">
                  <c:v>1068861.537034</c:v>
                </c:pt>
                <c:pt idx="134">
                  <c:v>1067463.5032995001</c:v>
                </c:pt>
                <c:pt idx="135">
                  <c:v>1067463.5032995001</c:v>
                </c:pt>
                <c:pt idx="136">
                  <c:v>1067463.5032995001</c:v>
                </c:pt>
                <c:pt idx="137">
                  <c:v>1062618.2308483999</c:v>
                </c:pt>
                <c:pt idx="138">
                  <c:v>1061824.3502863999</c:v>
                </c:pt>
                <c:pt idx="139">
                  <c:v>1060206.4024115999</c:v>
                </c:pt>
                <c:pt idx="140">
                  <c:v>1061187.5963941999</c:v>
                </c:pt>
                <c:pt idx="141">
                  <c:v>1062900.076448</c:v>
                </c:pt>
                <c:pt idx="142">
                  <c:v>1061187.5963941999</c:v>
                </c:pt>
                <c:pt idx="143">
                  <c:v>1062900.076448</c:v>
                </c:pt>
                <c:pt idx="144">
                  <c:v>1058837.0986696</c:v>
                </c:pt>
                <c:pt idx="145">
                  <c:v>1053615.9551136</c:v>
                </c:pt>
                <c:pt idx="146">
                  <c:v>1055957.0334844</c:v>
                </c:pt>
                <c:pt idx="147">
                  <c:v>1055300.7266605</c:v>
                </c:pt>
                <c:pt idx="148">
                  <c:v>1054148.0890112</c:v>
                </c:pt>
                <c:pt idx="149">
                  <c:v>1054148.0890112</c:v>
                </c:pt>
                <c:pt idx="150">
                  <c:v>1054148.0890112</c:v>
                </c:pt>
                <c:pt idx="151">
                  <c:v>1058739.5081813</c:v>
                </c:pt>
                <c:pt idx="152">
                  <c:v>1060711.0538044001</c:v>
                </c:pt>
                <c:pt idx="153">
                  <c:v>1067440.4460187999</c:v>
                </c:pt>
                <c:pt idx="154">
                  <c:v>1067191.8942048</c:v>
                </c:pt>
                <c:pt idx="155">
                  <c:v>1069008.1525603</c:v>
                </c:pt>
                <c:pt idx="156">
                  <c:v>1069008.1525603</c:v>
                </c:pt>
                <c:pt idx="157">
                  <c:v>1069008.1525603</c:v>
                </c:pt>
                <c:pt idx="158">
                  <c:v>1070821.4482336</c:v>
                </c:pt>
                <c:pt idx="159">
                  <c:v>1063166.2087186</c:v>
                </c:pt>
                <c:pt idx="160">
                  <c:v>1065187.683772</c:v>
                </c:pt>
                <c:pt idx="161">
                  <c:v>1062870.6938958</c:v>
                </c:pt>
                <c:pt idx="162">
                  <c:v>1057194.3293489001</c:v>
                </c:pt>
                <c:pt idx="163">
                  <c:v>1057194.3293489001</c:v>
                </c:pt>
                <c:pt idx="164">
                  <c:v>1057194.3293489001</c:v>
                </c:pt>
                <c:pt idx="165">
                  <c:v>1058088.6642322</c:v>
                </c:pt>
                <c:pt idx="166">
                  <c:v>1057469.1366832</c:v>
                </c:pt>
                <c:pt idx="167">
                  <c:v>1057003.388969</c:v>
                </c:pt>
                <c:pt idx="168">
                  <c:v>1058067.8005568001</c:v>
                </c:pt>
                <c:pt idx="169">
                  <c:v>1055540.7418062</c:v>
                </c:pt>
                <c:pt idx="170">
                  <c:v>1055540.7418062</c:v>
                </c:pt>
                <c:pt idx="171">
                  <c:v>1055540.7418062</c:v>
                </c:pt>
                <c:pt idx="172">
                  <c:v>1047763.7011762999</c:v>
                </c:pt>
                <c:pt idx="173">
                  <c:v>1047405.1609584</c:v>
                </c:pt>
                <c:pt idx="174">
                  <c:v>1043169.9361072001</c:v>
                </c:pt>
                <c:pt idx="175">
                  <c:v>1039592.4479956001</c:v>
                </c:pt>
                <c:pt idx="176">
                  <c:v>1038900.1545157002</c:v>
                </c:pt>
                <c:pt idx="177">
                  <c:v>1038900.1545157002</c:v>
                </c:pt>
                <c:pt idx="178">
                  <c:v>1038900.1545157002</c:v>
                </c:pt>
                <c:pt idx="179">
                  <c:v>1034983.4592189</c:v>
                </c:pt>
                <c:pt idx="180">
                  <c:v>1034983.4592189</c:v>
                </c:pt>
                <c:pt idx="181">
                  <c:v>1047360.397541</c:v>
                </c:pt>
                <c:pt idx="182">
                  <c:v>1047360.397541</c:v>
                </c:pt>
                <c:pt idx="183">
                  <c:v>1038300.4127535999</c:v>
                </c:pt>
                <c:pt idx="184">
                  <c:v>1038300.4127535999</c:v>
                </c:pt>
                <c:pt idx="185">
                  <c:v>1038300.4127535999</c:v>
                </c:pt>
                <c:pt idx="186">
                  <c:v>1038300.4127535999</c:v>
                </c:pt>
                <c:pt idx="187">
                  <c:v>1038300.4127535999</c:v>
                </c:pt>
                <c:pt idx="188">
                  <c:v>1041408.4902576001</c:v>
                </c:pt>
                <c:pt idx="189">
                  <c:v>1036783.4073448001</c:v>
                </c:pt>
                <c:pt idx="190">
                  <c:v>1040725.1547124999</c:v>
                </c:pt>
                <c:pt idx="191">
                  <c:v>1040725.1547124999</c:v>
                </c:pt>
                <c:pt idx="192">
                  <c:v>1040725.1547124999</c:v>
                </c:pt>
                <c:pt idx="193">
                  <c:v>1039589.5038283999</c:v>
                </c:pt>
                <c:pt idx="194">
                  <c:v>1039882.1401232</c:v>
                </c:pt>
                <c:pt idx="195">
                  <c:v>1037346.6768736</c:v>
                </c:pt>
                <c:pt idx="196">
                  <c:v>1037995.6144271999</c:v>
                </c:pt>
                <c:pt idx="197">
                  <c:v>1038553.6365058</c:v>
                </c:pt>
                <c:pt idx="198">
                  <c:v>1038553.6365058</c:v>
                </c:pt>
                <c:pt idx="199">
                  <c:v>1038553.6365058</c:v>
                </c:pt>
                <c:pt idx="200">
                  <c:v>1038397.8755529999</c:v>
                </c:pt>
                <c:pt idx="201">
                  <c:v>1041118.311936</c:v>
                </c:pt>
                <c:pt idx="202">
                  <c:v>1041304.3509999999</c:v>
                </c:pt>
                <c:pt idx="203">
                  <c:v>1045348.935624</c:v>
                </c:pt>
                <c:pt idx="204">
                  <c:v>1048428.4612200001</c:v>
                </c:pt>
                <c:pt idx="205">
                  <c:v>1048428.4612200001</c:v>
                </c:pt>
                <c:pt idx="206">
                  <c:v>1048428.4612200001</c:v>
                </c:pt>
                <c:pt idx="207">
                  <c:v>1039371.5850589998</c:v>
                </c:pt>
                <c:pt idx="208">
                  <c:v>1036557.1513200001</c:v>
                </c:pt>
                <c:pt idx="209">
                  <c:v>1036760.72504</c:v>
                </c:pt>
                <c:pt idx="210">
                  <c:v>1036318.867921</c:v>
                </c:pt>
                <c:pt idx="211">
                  <c:v>1037142.2059919998</c:v>
                </c:pt>
                <c:pt idx="212">
                  <c:v>1037142.2059919998</c:v>
                </c:pt>
                <c:pt idx="213">
                  <c:v>1037142.2059919998</c:v>
                </c:pt>
                <c:pt idx="214">
                  <c:v>1036013.7670199999</c:v>
                </c:pt>
                <c:pt idx="215">
                  <c:v>1036497.833754</c:v>
                </c:pt>
                <c:pt idx="216">
                  <c:v>1038648.7491359999</c:v>
                </c:pt>
                <c:pt idx="217">
                  <c:v>1040949.837664</c:v>
                </c:pt>
                <c:pt idx="218">
                  <c:v>1040102.6868149999</c:v>
                </c:pt>
                <c:pt idx="219">
                  <c:v>1040102.6868149999</c:v>
                </c:pt>
                <c:pt idx="220">
                  <c:v>1040102.6868149999</c:v>
                </c:pt>
                <c:pt idx="221">
                  <c:v>1042643.993452</c:v>
                </c:pt>
                <c:pt idx="222">
                  <c:v>1044231.6128119999</c:v>
                </c:pt>
                <c:pt idx="223">
                  <c:v>1044793.0381</c:v>
                </c:pt>
                <c:pt idx="224">
                  <c:v>1044416.6235749999</c:v>
                </c:pt>
                <c:pt idx="225">
                  <c:v>1044472.18845</c:v>
                </c:pt>
                <c:pt idx="226">
                  <c:v>1044472.18845</c:v>
                </c:pt>
                <c:pt idx="227">
                  <c:v>1044472.18845</c:v>
                </c:pt>
                <c:pt idx="228">
                  <c:v>1045102.24847</c:v>
                </c:pt>
                <c:pt idx="229">
                  <c:v>1047774.6055999999</c:v>
                </c:pt>
                <c:pt idx="230">
                  <c:v>1048437.4382</c:v>
                </c:pt>
                <c:pt idx="231">
                  <c:v>1049097.7806899999</c:v>
                </c:pt>
                <c:pt idx="232">
                  <c:v>1051915.8615659999</c:v>
                </c:pt>
                <c:pt idx="233">
                  <c:v>1051915.8615659999</c:v>
                </c:pt>
                <c:pt idx="234">
                  <c:v>1051915.8615659999</c:v>
                </c:pt>
                <c:pt idx="235">
                  <c:v>1051915.8615659999</c:v>
                </c:pt>
                <c:pt idx="236">
                  <c:v>1052069.7917219999</c:v>
                </c:pt>
                <c:pt idx="237">
                  <c:v>1051188.1044359999</c:v>
                </c:pt>
                <c:pt idx="238">
                  <c:v>1052393.036852</c:v>
                </c:pt>
                <c:pt idx="239">
                  <c:v>1053582.4936399998</c:v>
                </c:pt>
                <c:pt idx="240">
                  <c:v>1053582.4936399998</c:v>
                </c:pt>
                <c:pt idx="241">
                  <c:v>1053582.4936399998</c:v>
                </c:pt>
                <c:pt idx="242">
                  <c:v>1054149.5604899998</c:v>
                </c:pt>
                <c:pt idx="243">
                  <c:v>1054440.207095</c:v>
                </c:pt>
                <c:pt idx="244">
                  <c:v>1053977.17771</c:v>
                </c:pt>
                <c:pt idx="245">
                  <c:v>1054122.031557</c:v>
                </c:pt>
                <c:pt idx="246">
                  <c:v>1057595.72924</c:v>
                </c:pt>
                <c:pt idx="247">
                  <c:v>1057595.72924</c:v>
                </c:pt>
                <c:pt idx="248">
                  <c:v>1057595.72924</c:v>
                </c:pt>
                <c:pt idx="249">
                  <c:v>1057900.3779219999</c:v>
                </c:pt>
                <c:pt idx="250">
                  <c:v>1058224.5256700001</c:v>
                </c:pt>
                <c:pt idx="251">
                  <c:v>1057134.60812</c:v>
                </c:pt>
                <c:pt idx="252">
                  <c:v>1057252.5922620001</c:v>
                </c:pt>
                <c:pt idx="253">
                  <c:v>1056750.5148219999</c:v>
                </c:pt>
                <c:pt idx="254">
                  <c:v>1056750.5148219999</c:v>
                </c:pt>
                <c:pt idx="255">
                  <c:v>1056750.5148219999</c:v>
                </c:pt>
                <c:pt idx="256">
                  <c:v>1058073.8584699999</c:v>
                </c:pt>
                <c:pt idx="257">
                  <c:v>1057851.4959239999</c:v>
                </c:pt>
                <c:pt idx="258">
                  <c:v>1057422.3928479999</c:v>
                </c:pt>
                <c:pt idx="259">
                  <c:v>1057375.6768970001</c:v>
                </c:pt>
                <c:pt idx="260">
                  <c:v>1058226.6455600001</c:v>
                </c:pt>
                <c:pt idx="261">
                  <c:v>1058226.6455600001</c:v>
                </c:pt>
                <c:pt idx="262">
                  <c:v>1058226.6455600001</c:v>
                </c:pt>
                <c:pt idx="263">
                  <c:v>1059358.31544</c:v>
                </c:pt>
                <c:pt idx="264">
                  <c:v>1059112.3084159999</c:v>
                </c:pt>
                <c:pt idx="265">
                  <c:v>1058868.7977489999</c:v>
                </c:pt>
                <c:pt idx="266">
                  <c:v>1061541.013482</c:v>
                </c:pt>
                <c:pt idx="267">
                  <c:v>1072258.4896159999</c:v>
                </c:pt>
                <c:pt idx="268">
                  <c:v>1072258.4896159999</c:v>
                </c:pt>
                <c:pt idx="269">
                  <c:v>1072258.4896159999</c:v>
                </c:pt>
                <c:pt idx="270">
                  <c:v>1072299.459726</c:v>
                </c:pt>
                <c:pt idx="271">
                  <c:v>1072894.1450479999</c:v>
                </c:pt>
                <c:pt idx="272">
                  <c:v>1075027.364024</c:v>
                </c:pt>
                <c:pt idx="273">
                  <c:v>1075338.666091</c:v>
                </c:pt>
                <c:pt idx="274">
                  <c:v>1073545.545099</c:v>
                </c:pt>
                <c:pt idx="275">
                  <c:v>1073545.545099</c:v>
                </c:pt>
                <c:pt idx="276">
                  <c:v>1073545.545099</c:v>
                </c:pt>
                <c:pt idx="277">
                  <c:v>1071665.992077</c:v>
                </c:pt>
                <c:pt idx="278">
                  <c:v>1072172.9992</c:v>
                </c:pt>
                <c:pt idx="279">
                  <c:v>1071388.3917360001</c:v>
                </c:pt>
                <c:pt idx="280">
                  <c:v>1072315.837054</c:v>
                </c:pt>
                <c:pt idx="281">
                  <c:v>1073855.350018</c:v>
                </c:pt>
                <c:pt idx="282">
                  <c:v>1073855.350018</c:v>
                </c:pt>
                <c:pt idx="283">
                  <c:v>1073855.350018</c:v>
                </c:pt>
                <c:pt idx="284">
                  <c:v>1072800.9715</c:v>
                </c:pt>
                <c:pt idx="285">
                  <c:v>1072238.9008919999</c:v>
                </c:pt>
                <c:pt idx="286">
                  <c:v>1073362.5911980001</c:v>
                </c:pt>
                <c:pt idx="287">
                  <c:v>1075676.2461099999</c:v>
                </c:pt>
                <c:pt idx="288">
                  <c:v>1075110.543906</c:v>
                </c:pt>
                <c:pt idx="289">
                  <c:v>1075110.543906</c:v>
                </c:pt>
                <c:pt idx="290">
                  <c:v>1075110.543906</c:v>
                </c:pt>
                <c:pt idx="291">
                  <c:v>1075486.150964</c:v>
                </c:pt>
                <c:pt idx="292">
                  <c:v>1077568.147967</c:v>
                </c:pt>
                <c:pt idx="293">
                  <c:v>1076358.5409039999</c:v>
                </c:pt>
                <c:pt idx="294">
                  <c:v>1077940.3134260001</c:v>
                </c:pt>
                <c:pt idx="295">
                  <c:v>1077940.3134260001</c:v>
                </c:pt>
                <c:pt idx="296">
                  <c:v>1077940.3134260001</c:v>
                </c:pt>
                <c:pt idx="297">
                  <c:v>1077940.3134260001</c:v>
                </c:pt>
                <c:pt idx="298">
                  <c:v>1078408.6560849999</c:v>
                </c:pt>
                <c:pt idx="299">
                  <c:v>1082284.2420290001</c:v>
                </c:pt>
                <c:pt idx="300">
                  <c:v>1083174.8178749999</c:v>
                </c:pt>
                <c:pt idx="301">
                  <c:v>1083407.3156089999</c:v>
                </c:pt>
                <c:pt idx="302">
                  <c:v>1084106.0527599999</c:v>
                </c:pt>
                <c:pt idx="303">
                  <c:v>1084106.0527599999</c:v>
                </c:pt>
                <c:pt idx="304">
                  <c:v>1084106.0527599999</c:v>
                </c:pt>
                <c:pt idx="305">
                  <c:v>1084536.7846239998</c:v>
                </c:pt>
                <c:pt idx="306">
                  <c:v>1084913.979242</c:v>
                </c:pt>
                <c:pt idx="307">
                  <c:v>1082720.7210799998</c:v>
                </c:pt>
                <c:pt idx="308">
                  <c:v>1083231.8891119999</c:v>
                </c:pt>
                <c:pt idx="309">
                  <c:v>1084002.5921659998</c:v>
                </c:pt>
                <c:pt idx="310">
                  <c:v>1084002.5921659998</c:v>
                </c:pt>
                <c:pt idx="311">
                  <c:v>1084002.5921659998</c:v>
                </c:pt>
                <c:pt idx="312">
                  <c:v>1083621.1993119998</c:v>
                </c:pt>
                <c:pt idx="313">
                  <c:v>1087774.2106119997</c:v>
                </c:pt>
                <c:pt idx="314">
                  <c:v>1088159.8628859997</c:v>
                </c:pt>
                <c:pt idx="315">
                  <c:v>1088396.5895969998</c:v>
                </c:pt>
                <c:pt idx="316">
                  <c:v>1087090.2363639998</c:v>
                </c:pt>
                <c:pt idx="317">
                  <c:v>1087090.2363639998</c:v>
                </c:pt>
                <c:pt idx="318">
                  <c:v>1087090.2363639998</c:v>
                </c:pt>
                <c:pt idx="319">
                  <c:v>1087074.2292469998</c:v>
                </c:pt>
                <c:pt idx="320">
                  <c:v>1090042.9981119998</c:v>
                </c:pt>
                <c:pt idx="321">
                  <c:v>1091713.5717799999</c:v>
                </c:pt>
                <c:pt idx="322">
                  <c:v>1093401.1400009999</c:v>
                </c:pt>
                <c:pt idx="323">
                  <c:v>1093088.209576</c:v>
                </c:pt>
                <c:pt idx="324">
                  <c:v>1093088.209576</c:v>
                </c:pt>
                <c:pt idx="325">
                  <c:v>1093088.209576</c:v>
                </c:pt>
                <c:pt idx="326">
                  <c:v>1092835.8871199999</c:v>
                </c:pt>
                <c:pt idx="327">
                  <c:v>1093082.33607</c:v>
                </c:pt>
                <c:pt idx="328">
                  <c:v>1093713.4034599999</c:v>
                </c:pt>
                <c:pt idx="329">
                  <c:v>1096115.2573779998</c:v>
                </c:pt>
                <c:pt idx="330">
                  <c:v>1095672.466458</c:v>
                </c:pt>
                <c:pt idx="331">
                  <c:v>1095672.466458</c:v>
                </c:pt>
                <c:pt idx="332">
                  <c:v>1095672.466458</c:v>
                </c:pt>
                <c:pt idx="333">
                  <c:v>1095642.603388</c:v>
                </c:pt>
                <c:pt idx="334">
                  <c:v>1096386.844878</c:v>
                </c:pt>
                <c:pt idx="335">
                  <c:v>1096771.437596</c:v>
                </c:pt>
                <c:pt idx="336">
                  <c:v>1097028.4595949999</c:v>
                </c:pt>
                <c:pt idx="337">
                  <c:v>1097086.254065</c:v>
                </c:pt>
                <c:pt idx="338">
                  <c:v>1097086.254065</c:v>
                </c:pt>
                <c:pt idx="339">
                  <c:v>1097086.254065</c:v>
                </c:pt>
                <c:pt idx="340">
                  <c:v>1095667.7196500001</c:v>
                </c:pt>
                <c:pt idx="341">
                  <c:v>1098965.2287599999</c:v>
                </c:pt>
                <c:pt idx="342">
                  <c:v>1099856.3060660001</c:v>
                </c:pt>
                <c:pt idx="343">
                  <c:v>1087215.3936739999</c:v>
                </c:pt>
                <c:pt idx="344">
                  <c:v>1087314.4572290001</c:v>
                </c:pt>
                <c:pt idx="345">
                  <c:v>1087314.4572290001</c:v>
                </c:pt>
                <c:pt idx="346">
                  <c:v>1087314.4572290001</c:v>
                </c:pt>
                <c:pt idx="347">
                  <c:v>1088406.542901</c:v>
                </c:pt>
                <c:pt idx="348">
                  <c:v>1090143.8683440001</c:v>
                </c:pt>
                <c:pt idx="349">
                  <c:v>1090472.326233</c:v>
                </c:pt>
                <c:pt idx="350">
                  <c:v>1093553.4777520001</c:v>
                </c:pt>
                <c:pt idx="351">
                  <c:v>1097844.9692299999</c:v>
                </c:pt>
                <c:pt idx="352">
                  <c:v>1097844.9692299999</c:v>
                </c:pt>
                <c:pt idx="353">
                  <c:v>1097844.9692299999</c:v>
                </c:pt>
                <c:pt idx="354">
                  <c:v>1098347.692386</c:v>
                </c:pt>
                <c:pt idx="355">
                  <c:v>1100986.221684</c:v>
                </c:pt>
                <c:pt idx="356">
                  <c:v>1099769.7405979999</c:v>
                </c:pt>
                <c:pt idx="357">
                  <c:v>1096577.1467499998</c:v>
                </c:pt>
                <c:pt idx="358">
                  <c:v>1096895.8941600001</c:v>
                </c:pt>
                <c:pt idx="359">
                  <c:v>1096895.8941600001</c:v>
                </c:pt>
                <c:pt idx="360">
                  <c:v>1096895.8941600001</c:v>
                </c:pt>
                <c:pt idx="361">
                  <c:v>1096523.5554180001</c:v>
                </c:pt>
                <c:pt idx="362">
                  <c:v>1096209.4648599999</c:v>
                </c:pt>
                <c:pt idx="363">
                  <c:v>1094662.2284500001</c:v>
                </c:pt>
                <c:pt idx="364">
                  <c:v>1094701.32596</c:v>
                </c:pt>
                <c:pt idx="365">
                  <c:v>1094134.644142</c:v>
                </c:pt>
                <c:pt idx="366">
                  <c:v>1094134.644142</c:v>
                </c:pt>
                <c:pt idx="367">
                  <c:v>1094134.644142</c:v>
                </c:pt>
                <c:pt idx="368">
                  <c:v>1094115.567026</c:v>
                </c:pt>
                <c:pt idx="369">
                  <c:v>1094356.393624</c:v>
                </c:pt>
                <c:pt idx="370">
                  <c:v>1093744.949668</c:v>
                </c:pt>
                <c:pt idx="371">
                  <c:v>1093648.0796440002</c:v>
                </c:pt>
                <c:pt idx="372">
                  <c:v>1090798.8038840001</c:v>
                </c:pt>
                <c:pt idx="373">
                  <c:v>1090798.8038840001</c:v>
                </c:pt>
                <c:pt idx="374">
                  <c:v>1090798.8038840001</c:v>
                </c:pt>
                <c:pt idx="375">
                  <c:v>1088628.8638050002</c:v>
                </c:pt>
                <c:pt idx="376">
                  <c:v>1091883.0406820001</c:v>
                </c:pt>
                <c:pt idx="377">
                  <c:v>1091266.4914560001</c:v>
                </c:pt>
                <c:pt idx="378">
                  <c:v>1088349.385605</c:v>
                </c:pt>
                <c:pt idx="379">
                  <c:v>1097508.3347380001</c:v>
                </c:pt>
                <c:pt idx="380">
                  <c:v>1097508.3347380001</c:v>
                </c:pt>
                <c:pt idx="381">
                  <c:v>1097508.3347380001</c:v>
                </c:pt>
                <c:pt idx="382">
                  <c:v>1097671.1142930002</c:v>
                </c:pt>
                <c:pt idx="383">
                  <c:v>1096563.680624</c:v>
                </c:pt>
                <c:pt idx="384">
                  <c:v>1100152.0006580001</c:v>
                </c:pt>
                <c:pt idx="385">
                  <c:v>1106761.955914</c:v>
                </c:pt>
                <c:pt idx="386">
                  <c:v>1101430.1034010001</c:v>
                </c:pt>
                <c:pt idx="387">
                  <c:v>1101430.1034010001</c:v>
                </c:pt>
                <c:pt idx="388">
                  <c:v>1101430.1034010001</c:v>
                </c:pt>
                <c:pt idx="389">
                  <c:v>1102237.152494</c:v>
                </c:pt>
                <c:pt idx="390">
                  <c:v>1101874.2242840002</c:v>
                </c:pt>
                <c:pt idx="391">
                  <c:v>1103429.92821</c:v>
                </c:pt>
                <c:pt idx="392">
                  <c:v>1101327.7786600001</c:v>
                </c:pt>
                <c:pt idx="393">
                  <c:v>1102915.0010040002</c:v>
                </c:pt>
                <c:pt idx="394">
                  <c:v>1102915.0010040002</c:v>
                </c:pt>
                <c:pt idx="395">
                  <c:v>1103342.831004</c:v>
                </c:pt>
                <c:pt idx="396">
                  <c:v>1104761.3660939999</c:v>
                </c:pt>
                <c:pt idx="397">
                  <c:v>1105650.8634559999</c:v>
                </c:pt>
                <c:pt idx="398">
                  <c:v>1101585.238716</c:v>
                </c:pt>
                <c:pt idx="399">
                  <c:v>1110144.434569</c:v>
                </c:pt>
                <c:pt idx="400">
                  <c:v>1109003.0926249998</c:v>
                </c:pt>
                <c:pt idx="401">
                  <c:v>1109003.0926249998</c:v>
                </c:pt>
                <c:pt idx="402">
                  <c:v>1109003.0926249998</c:v>
                </c:pt>
                <c:pt idx="403">
                  <c:v>1111423.909525</c:v>
                </c:pt>
                <c:pt idx="404">
                  <c:v>1112763.123563</c:v>
                </c:pt>
                <c:pt idx="405">
                  <c:v>1118422.6871179999</c:v>
                </c:pt>
                <c:pt idx="406">
                  <c:v>1118658.1020779999</c:v>
                </c:pt>
                <c:pt idx="407">
                  <c:v>1118440.395917</c:v>
                </c:pt>
                <c:pt idx="408">
                  <c:v>1118440.395917</c:v>
                </c:pt>
                <c:pt idx="409">
                  <c:v>1118440.395917</c:v>
                </c:pt>
                <c:pt idx="410">
                  <c:v>1122100.6750439999</c:v>
                </c:pt>
                <c:pt idx="411">
                  <c:v>1120748.3331559999</c:v>
                </c:pt>
                <c:pt idx="412">
                  <c:v>1122830.2237729998</c:v>
                </c:pt>
                <c:pt idx="413">
                  <c:v>1123782.5961249999</c:v>
                </c:pt>
                <c:pt idx="414">
                  <c:v>1121856.1390459999</c:v>
                </c:pt>
                <c:pt idx="415">
                  <c:v>1121856.1390459999</c:v>
                </c:pt>
                <c:pt idx="416">
                  <c:v>1121856.1390459999</c:v>
                </c:pt>
                <c:pt idx="417">
                  <c:v>1124501.9640480001</c:v>
                </c:pt>
                <c:pt idx="418">
                  <c:v>1126435.004497</c:v>
                </c:pt>
                <c:pt idx="419">
                  <c:v>1124350.4961359999</c:v>
                </c:pt>
                <c:pt idx="420">
                  <c:v>1124058.466758</c:v>
                </c:pt>
                <c:pt idx="421">
                  <c:v>1129712.9565899998</c:v>
                </c:pt>
                <c:pt idx="422">
                  <c:v>1129712.9565899998</c:v>
                </c:pt>
                <c:pt idx="423">
                  <c:v>1129712.9565899998</c:v>
                </c:pt>
                <c:pt idx="424">
                  <c:v>1130413.889801</c:v>
                </c:pt>
                <c:pt idx="425">
                  <c:v>1139967.9511709998</c:v>
                </c:pt>
                <c:pt idx="426">
                  <c:v>1139480.331149</c:v>
                </c:pt>
                <c:pt idx="427">
                  <c:v>1129500.8891040001</c:v>
                </c:pt>
                <c:pt idx="428">
                  <c:v>1130314.96814</c:v>
                </c:pt>
                <c:pt idx="429">
                  <c:v>1130314.96814</c:v>
                </c:pt>
                <c:pt idx="430">
                  <c:v>1130314.96814</c:v>
                </c:pt>
                <c:pt idx="431">
                  <c:v>1130314.96814</c:v>
                </c:pt>
                <c:pt idx="432">
                  <c:v>1147063.0149359999</c:v>
                </c:pt>
                <c:pt idx="433">
                  <c:v>1153974.764926</c:v>
                </c:pt>
                <c:pt idx="434">
                  <c:v>1142834.470988</c:v>
                </c:pt>
                <c:pt idx="435">
                  <c:v>1140064.9887099999</c:v>
                </c:pt>
                <c:pt idx="436">
                  <c:v>1140064.9887099999</c:v>
                </c:pt>
                <c:pt idx="437">
                  <c:v>1140064.9887099999</c:v>
                </c:pt>
                <c:pt idx="438">
                  <c:v>1139596.4672600001</c:v>
                </c:pt>
                <c:pt idx="439">
                  <c:v>1139990.2580190001</c:v>
                </c:pt>
                <c:pt idx="440">
                  <c:v>1142850.077793</c:v>
                </c:pt>
                <c:pt idx="441">
                  <c:v>1142777.49547</c:v>
                </c:pt>
                <c:pt idx="442">
                  <c:v>1133242.8251170001</c:v>
                </c:pt>
                <c:pt idx="443">
                  <c:v>1133242.8251170001</c:v>
                </c:pt>
                <c:pt idx="444">
                  <c:v>1133242.8251170001</c:v>
                </c:pt>
                <c:pt idx="445">
                  <c:v>1141973.7893600001</c:v>
                </c:pt>
                <c:pt idx="446">
                  <c:v>1144754.268472</c:v>
                </c:pt>
                <c:pt idx="447">
                  <c:v>1138475.79</c:v>
                </c:pt>
                <c:pt idx="448">
                  <c:v>1139867.98</c:v>
                </c:pt>
                <c:pt idx="449">
                  <c:v>1141896.67</c:v>
                </c:pt>
                <c:pt idx="450">
                  <c:v>1141896.67</c:v>
                </c:pt>
                <c:pt idx="451">
                  <c:v>1141896.67</c:v>
                </c:pt>
                <c:pt idx="452">
                  <c:v>1154095.6000000001</c:v>
                </c:pt>
                <c:pt idx="453">
                  <c:v>1149574.01</c:v>
                </c:pt>
                <c:pt idx="454">
                  <c:v>1143309.75</c:v>
                </c:pt>
                <c:pt idx="455">
                  <c:v>1142950.67</c:v>
                </c:pt>
                <c:pt idx="456">
                  <c:v>1144009.3999999999</c:v>
                </c:pt>
                <c:pt idx="457">
                  <c:v>1144437.23</c:v>
                </c:pt>
                <c:pt idx="458">
                  <c:v>1144437.23</c:v>
                </c:pt>
                <c:pt idx="459">
                  <c:v>1138086.8</c:v>
                </c:pt>
                <c:pt idx="460">
                  <c:v>1143235.44</c:v>
                </c:pt>
                <c:pt idx="461">
                  <c:v>1148941.44</c:v>
                </c:pt>
                <c:pt idx="462">
                  <c:v>1151704.7</c:v>
                </c:pt>
                <c:pt idx="463">
                  <c:v>1148876.53</c:v>
                </c:pt>
                <c:pt idx="464">
                  <c:v>1148876.53</c:v>
                </c:pt>
                <c:pt idx="465">
                  <c:v>1148876.53</c:v>
                </c:pt>
                <c:pt idx="466">
                  <c:v>1149019.8400000001</c:v>
                </c:pt>
                <c:pt idx="467">
                  <c:v>1149358.2100000002</c:v>
                </c:pt>
                <c:pt idx="468">
                  <c:v>1149358.2100000002</c:v>
                </c:pt>
                <c:pt idx="469">
                  <c:v>1149595.4000000001</c:v>
                </c:pt>
                <c:pt idx="470">
                  <c:v>1142175.74</c:v>
                </c:pt>
                <c:pt idx="471">
                  <c:v>1139435.3800000001</c:v>
                </c:pt>
                <c:pt idx="472">
                  <c:v>1139435.3800000001</c:v>
                </c:pt>
                <c:pt idx="473">
                  <c:v>1139435.3800000001</c:v>
                </c:pt>
                <c:pt idx="474">
                  <c:v>1137274.9000000001</c:v>
                </c:pt>
                <c:pt idx="475">
                  <c:v>1139479.1700000002</c:v>
                </c:pt>
                <c:pt idx="476">
                  <c:v>1142561.6500000001</c:v>
                </c:pt>
                <c:pt idx="477">
                  <c:v>1141093.6500000001</c:v>
                </c:pt>
                <c:pt idx="478">
                  <c:v>1141093.6500000001</c:v>
                </c:pt>
                <c:pt idx="479">
                  <c:v>1141093.6500000001</c:v>
                </c:pt>
                <c:pt idx="480">
                  <c:v>1140853.97</c:v>
                </c:pt>
                <c:pt idx="481">
                  <c:v>1139836.4200000002</c:v>
                </c:pt>
                <c:pt idx="482">
                  <c:v>1140341.6500000001</c:v>
                </c:pt>
                <c:pt idx="483">
                  <c:v>1145305.6400000001</c:v>
                </c:pt>
                <c:pt idx="484">
                  <c:v>1155931.6500000001</c:v>
                </c:pt>
                <c:pt idx="485">
                  <c:v>1155931.6500000001</c:v>
                </c:pt>
                <c:pt idx="486">
                  <c:v>1155931.6500000001</c:v>
                </c:pt>
                <c:pt idx="487">
                  <c:v>1151066.9200000002</c:v>
                </c:pt>
                <c:pt idx="488">
                  <c:v>1150336.6500000001</c:v>
                </c:pt>
                <c:pt idx="489">
                  <c:v>1152947.31</c:v>
                </c:pt>
                <c:pt idx="490">
                  <c:v>1159785.82</c:v>
                </c:pt>
                <c:pt idx="491">
                  <c:v>1158147.3900000001</c:v>
                </c:pt>
                <c:pt idx="492">
                  <c:v>1158147.3900000001</c:v>
                </c:pt>
                <c:pt idx="493">
                  <c:v>1158147.3900000001</c:v>
                </c:pt>
                <c:pt idx="494">
                  <c:v>1156675.4600000002</c:v>
                </c:pt>
                <c:pt idx="495">
                  <c:v>1148296.6600000001</c:v>
                </c:pt>
                <c:pt idx="496">
                  <c:v>1149485.1400000001</c:v>
                </c:pt>
                <c:pt idx="497">
                  <c:v>1137623.5000000002</c:v>
                </c:pt>
                <c:pt idx="498">
                  <c:v>1133750.6600000001</c:v>
                </c:pt>
                <c:pt idx="499">
                  <c:v>1133750.6600000001</c:v>
                </c:pt>
                <c:pt idx="500">
                  <c:v>1133750.6600000001</c:v>
                </c:pt>
                <c:pt idx="501">
                  <c:v>1134052.6600000001</c:v>
                </c:pt>
                <c:pt idx="502">
                  <c:v>1134256.6600000001</c:v>
                </c:pt>
                <c:pt idx="503">
                  <c:v>1134256.6600000001</c:v>
                </c:pt>
                <c:pt idx="504">
                  <c:v>1135103.8600000001</c:v>
                </c:pt>
                <c:pt idx="505">
                  <c:v>1135866.06</c:v>
                </c:pt>
                <c:pt idx="506">
                  <c:v>1135866.06</c:v>
                </c:pt>
                <c:pt idx="507">
                  <c:v>1135866.06</c:v>
                </c:pt>
                <c:pt idx="508">
                  <c:v>1142940.32</c:v>
                </c:pt>
                <c:pt idx="509">
                  <c:v>1142940.32</c:v>
                </c:pt>
                <c:pt idx="510">
                  <c:v>1143232.32</c:v>
                </c:pt>
                <c:pt idx="511">
                  <c:v>1142552.32</c:v>
                </c:pt>
                <c:pt idx="512">
                  <c:v>1140056.32</c:v>
                </c:pt>
                <c:pt idx="513">
                  <c:v>1140056.32</c:v>
                </c:pt>
                <c:pt idx="514">
                  <c:v>1140056.32</c:v>
                </c:pt>
                <c:pt idx="515">
                  <c:v>1139413.32</c:v>
                </c:pt>
                <c:pt idx="516">
                  <c:v>1145523.1200000001</c:v>
                </c:pt>
                <c:pt idx="517">
                  <c:v>1164120.43</c:v>
                </c:pt>
                <c:pt idx="518">
                  <c:v>1164120.43</c:v>
                </c:pt>
                <c:pt idx="519">
                  <c:v>1164806.6299999999</c:v>
                </c:pt>
                <c:pt idx="520">
                  <c:v>1164806.6299999999</c:v>
                </c:pt>
                <c:pt idx="521">
                  <c:v>1164806.6299999999</c:v>
                </c:pt>
                <c:pt idx="522">
                  <c:v>1164908.07</c:v>
                </c:pt>
                <c:pt idx="523">
                  <c:v>1172718</c:v>
                </c:pt>
                <c:pt idx="524">
                  <c:v>1169651.79</c:v>
                </c:pt>
                <c:pt idx="525">
                  <c:v>1169472.2</c:v>
                </c:pt>
                <c:pt idx="526">
                  <c:v>1162307.2</c:v>
                </c:pt>
                <c:pt idx="527">
                  <c:v>1162307.2</c:v>
                </c:pt>
                <c:pt idx="528">
                  <c:v>1162307.2</c:v>
                </c:pt>
                <c:pt idx="529">
                  <c:v>1162307.2</c:v>
                </c:pt>
                <c:pt idx="530">
                  <c:v>1162307.2</c:v>
                </c:pt>
                <c:pt idx="531">
                  <c:v>1162307.2</c:v>
                </c:pt>
                <c:pt idx="532">
                  <c:v>1162307.2</c:v>
                </c:pt>
                <c:pt idx="533">
                  <c:v>1162307.2</c:v>
                </c:pt>
                <c:pt idx="534">
                  <c:v>1162307.2</c:v>
                </c:pt>
                <c:pt idx="535">
                  <c:v>1162307.2</c:v>
                </c:pt>
                <c:pt idx="536">
                  <c:v>1162962.2</c:v>
                </c:pt>
                <c:pt idx="537">
                  <c:v>1170826.58</c:v>
                </c:pt>
                <c:pt idx="538">
                  <c:v>1171164.71</c:v>
                </c:pt>
                <c:pt idx="539">
                  <c:v>1172524.06</c:v>
                </c:pt>
                <c:pt idx="540">
                  <c:v>1173929.79</c:v>
                </c:pt>
                <c:pt idx="541">
                  <c:v>1173929.79</c:v>
                </c:pt>
                <c:pt idx="542">
                  <c:v>1173929.79</c:v>
                </c:pt>
                <c:pt idx="543">
                  <c:v>1175563.6800000002</c:v>
                </c:pt>
                <c:pt idx="544">
                  <c:v>1178537.6099999999</c:v>
                </c:pt>
                <c:pt idx="545">
                  <c:v>1178537.6099999999</c:v>
                </c:pt>
                <c:pt idx="546">
                  <c:v>1178537.6099999999</c:v>
                </c:pt>
                <c:pt idx="547">
                  <c:v>1178610.78</c:v>
                </c:pt>
                <c:pt idx="548">
                  <c:v>1178610.78</c:v>
                </c:pt>
                <c:pt idx="549">
                  <c:v>1178610.78</c:v>
                </c:pt>
                <c:pt idx="550">
                  <c:v>1175171.9100000001</c:v>
                </c:pt>
                <c:pt idx="551">
                  <c:v>1177276.58</c:v>
                </c:pt>
                <c:pt idx="552">
                  <c:v>1177276.58</c:v>
                </c:pt>
                <c:pt idx="553">
                  <c:v>1174467.83</c:v>
                </c:pt>
                <c:pt idx="554">
                  <c:v>1174467.83</c:v>
                </c:pt>
                <c:pt idx="555">
                  <c:v>1174467.83</c:v>
                </c:pt>
                <c:pt idx="556">
                  <c:v>1174467.83</c:v>
                </c:pt>
                <c:pt idx="557">
                  <c:v>1174711.4300000002</c:v>
                </c:pt>
                <c:pt idx="558">
                  <c:v>1170872.6299999999</c:v>
                </c:pt>
                <c:pt idx="559">
                  <c:v>1173788.3</c:v>
                </c:pt>
                <c:pt idx="560">
                  <c:v>1174192.8999999999</c:v>
                </c:pt>
                <c:pt idx="561">
                  <c:v>1174192.8999999999</c:v>
                </c:pt>
                <c:pt idx="562">
                  <c:v>1174192.8999999999</c:v>
                </c:pt>
                <c:pt idx="563">
                  <c:v>1174192.8999999999</c:v>
                </c:pt>
                <c:pt idx="564">
                  <c:v>1176291.21</c:v>
                </c:pt>
                <c:pt idx="565">
                  <c:v>1179743.3</c:v>
                </c:pt>
                <c:pt idx="566">
                  <c:v>1179630.8999999999</c:v>
                </c:pt>
                <c:pt idx="567">
                  <c:v>1181010.06</c:v>
                </c:pt>
                <c:pt idx="568">
                  <c:v>1181851.51</c:v>
                </c:pt>
                <c:pt idx="569">
                  <c:v>1181851.51</c:v>
                </c:pt>
                <c:pt idx="570">
                  <c:v>1181851.51</c:v>
                </c:pt>
                <c:pt idx="571">
                  <c:v>1181932.71</c:v>
                </c:pt>
                <c:pt idx="572">
                  <c:v>1183059.33</c:v>
                </c:pt>
                <c:pt idx="573">
                  <c:v>1180719.77</c:v>
                </c:pt>
                <c:pt idx="574">
                  <c:v>1185591.07</c:v>
                </c:pt>
                <c:pt idx="575">
                  <c:v>1183034.98</c:v>
                </c:pt>
                <c:pt idx="576">
                  <c:v>1183034.98</c:v>
                </c:pt>
                <c:pt idx="577">
                  <c:v>1183034.98</c:v>
                </c:pt>
                <c:pt idx="578">
                  <c:v>1181911.1299999999</c:v>
                </c:pt>
                <c:pt idx="579">
                  <c:v>1181806.93</c:v>
                </c:pt>
                <c:pt idx="580">
                  <c:v>1178618.69</c:v>
                </c:pt>
                <c:pt idx="581">
                  <c:v>1180494.17</c:v>
                </c:pt>
                <c:pt idx="582">
                  <c:v>1175861.68</c:v>
                </c:pt>
                <c:pt idx="583">
                  <c:v>1175861.68</c:v>
                </c:pt>
                <c:pt idx="584">
                  <c:v>1175861.68</c:v>
                </c:pt>
                <c:pt idx="585">
                  <c:v>1178862.81</c:v>
                </c:pt>
                <c:pt idx="586">
                  <c:v>1181906.6399999999</c:v>
                </c:pt>
                <c:pt idx="587">
                  <c:v>1185855.98</c:v>
                </c:pt>
                <c:pt idx="588">
                  <c:v>1189333.49</c:v>
                </c:pt>
                <c:pt idx="589">
                  <c:v>1190458.29</c:v>
                </c:pt>
                <c:pt idx="590">
                  <c:v>1190458.29</c:v>
                </c:pt>
                <c:pt idx="591">
                  <c:v>1190458.29</c:v>
                </c:pt>
                <c:pt idx="592">
                  <c:v>1193696.6099999999</c:v>
                </c:pt>
                <c:pt idx="593">
                  <c:v>1199389.68</c:v>
                </c:pt>
                <c:pt idx="594">
                  <c:v>1198272.56</c:v>
                </c:pt>
                <c:pt idx="595">
                  <c:v>1186393</c:v>
                </c:pt>
                <c:pt idx="596">
                  <c:v>1185036.3599999999</c:v>
                </c:pt>
                <c:pt idx="597">
                  <c:v>1185036.3599999999</c:v>
                </c:pt>
                <c:pt idx="598">
                  <c:v>1185036.3599999999</c:v>
                </c:pt>
                <c:pt idx="599">
                  <c:v>1185036.3599999999</c:v>
                </c:pt>
                <c:pt idx="600">
                  <c:v>1181235.28</c:v>
                </c:pt>
                <c:pt idx="601">
                  <c:v>1183820.48</c:v>
                </c:pt>
                <c:pt idx="602">
                  <c:v>1181050.79</c:v>
                </c:pt>
                <c:pt idx="603">
                  <c:v>1183619.72</c:v>
                </c:pt>
                <c:pt idx="604">
                  <c:v>1183619.72</c:v>
                </c:pt>
                <c:pt idx="605">
                  <c:v>1183619.72</c:v>
                </c:pt>
                <c:pt idx="606">
                  <c:v>1172077.6400000001</c:v>
                </c:pt>
                <c:pt idx="607">
                  <c:v>1167008.48</c:v>
                </c:pt>
                <c:pt idx="608">
                  <c:v>1164556.3900000001</c:v>
                </c:pt>
                <c:pt idx="609">
                  <c:v>1153352.08</c:v>
                </c:pt>
                <c:pt idx="610">
                  <c:v>1150702.52</c:v>
                </c:pt>
                <c:pt idx="611">
                  <c:v>1150702.52</c:v>
                </c:pt>
                <c:pt idx="612">
                  <c:v>1150702.52</c:v>
                </c:pt>
                <c:pt idx="613">
                  <c:v>1162264.07</c:v>
                </c:pt>
                <c:pt idx="614">
                  <c:v>1158525.3999999999</c:v>
                </c:pt>
                <c:pt idx="615">
                  <c:v>1175055.24</c:v>
                </c:pt>
                <c:pt idx="616">
                  <c:v>1171430.3599999999</c:v>
                </c:pt>
                <c:pt idx="617">
                  <c:v>1167007.8400000001</c:v>
                </c:pt>
                <c:pt idx="618">
                  <c:v>1167007.8400000001</c:v>
                </c:pt>
                <c:pt idx="619">
                  <c:v>1167007.8400000001</c:v>
                </c:pt>
                <c:pt idx="620">
                  <c:v>1128617.06</c:v>
                </c:pt>
                <c:pt idx="621">
                  <c:v>1140412.1000000001</c:v>
                </c:pt>
                <c:pt idx="622">
                  <c:v>1125117.67</c:v>
                </c:pt>
                <c:pt idx="623">
                  <c:v>1081525.03</c:v>
                </c:pt>
                <c:pt idx="624">
                  <c:v>1102574.75</c:v>
                </c:pt>
                <c:pt idx="625">
                  <c:v>1102574.75</c:v>
                </c:pt>
                <c:pt idx="626">
                  <c:v>1102574.75</c:v>
                </c:pt>
                <c:pt idx="627">
                  <c:v>1113429.8999999999</c:v>
                </c:pt>
                <c:pt idx="628">
                  <c:v>1117254.28</c:v>
                </c:pt>
                <c:pt idx="629">
                  <c:v>1131929.1599999999</c:v>
                </c:pt>
                <c:pt idx="630">
                  <c:v>1124240.07</c:v>
                </c:pt>
                <c:pt idx="631">
                  <c:v>1125834.2</c:v>
                </c:pt>
                <c:pt idx="632">
                  <c:v>1125834.2</c:v>
                </c:pt>
                <c:pt idx="633">
                  <c:v>1125834.2</c:v>
                </c:pt>
                <c:pt idx="634">
                  <c:v>1134890.52</c:v>
                </c:pt>
                <c:pt idx="635">
                  <c:v>1130547.8799999999</c:v>
                </c:pt>
                <c:pt idx="636">
                  <c:v>1111948.1299999999</c:v>
                </c:pt>
                <c:pt idx="637">
                  <c:v>1113068.77</c:v>
                </c:pt>
                <c:pt idx="638">
                  <c:v>1118551.5900000001</c:v>
                </c:pt>
                <c:pt idx="639">
                  <c:v>1118551.5900000001</c:v>
                </c:pt>
                <c:pt idx="640">
                  <c:v>1118551.5900000001</c:v>
                </c:pt>
                <c:pt idx="641">
                  <c:v>1085756.54</c:v>
                </c:pt>
                <c:pt idx="642">
                  <c:v>1082583.8900000001</c:v>
                </c:pt>
                <c:pt idx="643">
                  <c:v>1082583.8900000001</c:v>
                </c:pt>
                <c:pt idx="644">
                  <c:v>1082583.8900000001</c:v>
                </c:pt>
                <c:pt idx="645">
                  <c:v>1082583.8900000001</c:v>
                </c:pt>
                <c:pt idx="646">
                  <c:v>1082583.8900000001</c:v>
                </c:pt>
                <c:pt idx="647">
                  <c:v>1082583.8900000001</c:v>
                </c:pt>
                <c:pt idx="648">
                  <c:v>1083658.8900000001</c:v>
                </c:pt>
                <c:pt idx="649">
                  <c:v>1083658.8900000001</c:v>
                </c:pt>
                <c:pt idx="650">
                  <c:v>1083658.8900000001</c:v>
                </c:pt>
                <c:pt idx="651">
                  <c:v>1091658.8900000001</c:v>
                </c:pt>
                <c:pt idx="652">
                  <c:v>1091658.8900000001</c:v>
                </c:pt>
                <c:pt idx="653">
                  <c:v>1091658.8900000001</c:v>
                </c:pt>
                <c:pt idx="654">
                  <c:v>1091658.8900000001</c:v>
                </c:pt>
                <c:pt idx="655">
                  <c:v>1102342.8900000001</c:v>
                </c:pt>
                <c:pt idx="656">
                  <c:v>1106169.8900000001</c:v>
                </c:pt>
                <c:pt idx="657">
                  <c:v>1119772.8900000001</c:v>
                </c:pt>
                <c:pt idx="658">
                  <c:v>1115034.05</c:v>
                </c:pt>
                <c:pt idx="659">
                  <c:v>1115804.8900000001</c:v>
                </c:pt>
                <c:pt idx="660">
                  <c:v>1113997.17</c:v>
                </c:pt>
                <c:pt idx="661">
                  <c:v>1113997.17</c:v>
                </c:pt>
                <c:pt idx="662">
                  <c:v>1117103.3900000001</c:v>
                </c:pt>
                <c:pt idx="663">
                  <c:v>1118377.81</c:v>
                </c:pt>
                <c:pt idx="664">
                  <c:v>1117352.05</c:v>
                </c:pt>
                <c:pt idx="665">
                  <c:v>1115569.93</c:v>
                </c:pt>
                <c:pt idx="666">
                  <c:v>1116046.54</c:v>
                </c:pt>
                <c:pt idx="667">
                  <c:v>1116046.54</c:v>
                </c:pt>
                <c:pt idx="668">
                  <c:v>1116046.54</c:v>
                </c:pt>
                <c:pt idx="669">
                  <c:v>1114782.48</c:v>
                </c:pt>
                <c:pt idx="670">
                  <c:v>1114015.75</c:v>
                </c:pt>
                <c:pt idx="671">
                  <c:v>1112615.45</c:v>
                </c:pt>
                <c:pt idx="672">
                  <c:v>1127017.94</c:v>
                </c:pt>
                <c:pt idx="673">
                  <c:v>1131984.3799999999</c:v>
                </c:pt>
                <c:pt idx="674">
                  <c:v>1131984.3799999999</c:v>
                </c:pt>
                <c:pt idx="675">
                  <c:v>1131984.3799999999</c:v>
                </c:pt>
                <c:pt idx="676">
                  <c:v>1123546.76</c:v>
                </c:pt>
                <c:pt idx="677">
                  <c:v>1123058.23</c:v>
                </c:pt>
                <c:pt idx="678">
                  <c:v>1123231.48</c:v>
                </c:pt>
                <c:pt idx="679">
                  <c:v>1118290.49</c:v>
                </c:pt>
                <c:pt idx="680">
                  <c:v>1097303.5</c:v>
                </c:pt>
                <c:pt idx="681">
                  <c:v>1097303.5</c:v>
                </c:pt>
                <c:pt idx="682">
                  <c:v>1097303.5</c:v>
                </c:pt>
                <c:pt idx="683">
                  <c:v>1107352.94</c:v>
                </c:pt>
                <c:pt idx="684">
                  <c:v>1104035.69</c:v>
                </c:pt>
                <c:pt idx="685">
                  <c:v>1098472.69</c:v>
                </c:pt>
                <c:pt idx="686">
                  <c:v>1099888.27</c:v>
                </c:pt>
                <c:pt idx="687">
                  <c:v>1104245</c:v>
                </c:pt>
                <c:pt idx="688">
                  <c:v>1104245</c:v>
                </c:pt>
                <c:pt idx="689">
                  <c:v>1104245</c:v>
                </c:pt>
                <c:pt idx="690">
                  <c:v>1104971</c:v>
                </c:pt>
                <c:pt idx="691">
                  <c:v>1116659.5</c:v>
                </c:pt>
                <c:pt idx="692">
                  <c:v>1119156.5</c:v>
                </c:pt>
                <c:pt idx="693">
                  <c:v>1122807</c:v>
                </c:pt>
                <c:pt idx="694">
                  <c:v>1082946.3500000001</c:v>
                </c:pt>
                <c:pt idx="695">
                  <c:v>1153946.3500000001</c:v>
                </c:pt>
                <c:pt idx="696">
                  <c:v>1153946.3500000001</c:v>
                </c:pt>
                <c:pt idx="697">
                  <c:v>1153737.18</c:v>
                </c:pt>
                <c:pt idx="698">
                  <c:v>1132316.99</c:v>
                </c:pt>
                <c:pt idx="699">
                  <c:v>1115057.25</c:v>
                </c:pt>
                <c:pt idx="700">
                  <c:v>1118457.75</c:v>
                </c:pt>
                <c:pt idx="701">
                  <c:v>1119440.94</c:v>
                </c:pt>
                <c:pt idx="702">
                  <c:v>1119440.94</c:v>
                </c:pt>
                <c:pt idx="703">
                  <c:v>1119440.94</c:v>
                </c:pt>
                <c:pt idx="704">
                  <c:v>778613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E7-44F4-A482-91213DE64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8601176"/>
        <c:axId val="1318599864"/>
      </c:lineChart>
      <c:dateAx>
        <c:axId val="1318601176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defRPr>
            </a:pPr>
            <a:endParaRPr lang="en-US"/>
          </a:p>
        </c:txPr>
        <c:crossAx val="1318599864"/>
        <c:crosses val="autoZero"/>
        <c:auto val="0"/>
        <c:lblOffset val="100"/>
        <c:baseTimeUnit val="days"/>
        <c:majorUnit val="30"/>
        <c:minorUnit val="30"/>
      </c:dateAx>
      <c:valAx>
        <c:axId val="1318599864"/>
        <c:scaling>
          <c:orientation val="minMax"/>
          <c:min val="1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defRPr>
            </a:pPr>
            <a:endParaRPr lang="en-US"/>
          </a:p>
        </c:txPr>
        <c:crossAx val="1318601176"/>
        <c:crosses val="autoZero"/>
        <c:crossBetween val="between"/>
        <c:majorUnit val="5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defRPr>
            </a:pPr>
            <a:r>
              <a:rPr lang="en-US" sz="1600">
                <a:latin typeface="Segoe UI Light" panose="020B0502040204020203" pitchFamily="34" charset="0"/>
                <a:cs typeface="Segoe UI Light" panose="020B0502040204020203" pitchFamily="34" charset="0"/>
              </a:rPr>
              <a:t>S&amp;P 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egoe UI Light" panose="020B0502040204020203" pitchFamily="34" charset="0"/>
              <a:ea typeface="+mn-ea"/>
              <a:cs typeface="Segoe UI Light" panose="020B0502040204020203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Dailies!$B$3:$B$978</c:f>
              <c:numCache>
                <c:formatCode>[$-409]ddd\,\ d/mmm/yy;@</c:formatCode>
                <c:ptCount val="976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</c:numCache>
            </c:numRef>
          </c:cat>
          <c:val>
            <c:numRef>
              <c:f>Dailies!$AJ$3:$AJ$978</c:f>
              <c:numCache>
                <c:formatCode>"$"#,##0.00_);[Red]\("$"#,##0.00\)</c:formatCode>
                <c:ptCount val="976"/>
                <c:pt idx="0">
                  <c:v>230.76</c:v>
                </c:pt>
                <c:pt idx="1">
                  <c:v>231.73</c:v>
                </c:pt>
                <c:pt idx="2">
                  <c:v>232.2</c:v>
                </c:pt>
                <c:pt idx="3">
                  <c:v>232.52</c:v>
                </c:pt>
                <c:pt idx="4">
                  <c:v>233.9</c:v>
                </c:pt>
                <c:pt idx="5">
                  <c:v>233.68</c:v>
                </c:pt>
                <c:pt idx="6">
                  <c:v>233.68</c:v>
                </c:pt>
                <c:pt idx="7">
                  <c:v>233.68</c:v>
                </c:pt>
                <c:pt idx="8">
                  <c:v>233.27</c:v>
                </c:pt>
                <c:pt idx="9">
                  <c:v>233.86</c:v>
                </c:pt>
                <c:pt idx="10">
                  <c:v>234.24</c:v>
                </c:pt>
                <c:pt idx="11">
                  <c:v>233.88</c:v>
                </c:pt>
                <c:pt idx="12">
                  <c:v>234.14</c:v>
                </c:pt>
                <c:pt idx="13">
                  <c:v>234.14</c:v>
                </c:pt>
                <c:pt idx="14">
                  <c:v>234.14</c:v>
                </c:pt>
                <c:pt idx="15">
                  <c:v>234.51</c:v>
                </c:pt>
                <c:pt idx="16">
                  <c:v>234.66</c:v>
                </c:pt>
                <c:pt idx="17">
                  <c:v>234.87</c:v>
                </c:pt>
                <c:pt idx="18">
                  <c:v>234.99</c:v>
                </c:pt>
                <c:pt idx="19">
                  <c:v>236.16</c:v>
                </c:pt>
                <c:pt idx="20">
                  <c:v>236.16</c:v>
                </c:pt>
                <c:pt idx="21">
                  <c:v>236.16</c:v>
                </c:pt>
                <c:pt idx="22">
                  <c:v>235.3</c:v>
                </c:pt>
                <c:pt idx="23">
                  <c:v>235.63</c:v>
                </c:pt>
                <c:pt idx="24">
                  <c:v>234.5</c:v>
                </c:pt>
                <c:pt idx="25">
                  <c:v>234.72</c:v>
                </c:pt>
                <c:pt idx="26">
                  <c:v>236.72</c:v>
                </c:pt>
                <c:pt idx="27">
                  <c:v>236.72</c:v>
                </c:pt>
                <c:pt idx="28">
                  <c:v>236.72</c:v>
                </c:pt>
                <c:pt idx="29">
                  <c:v>235.86</c:v>
                </c:pt>
                <c:pt idx="30">
                  <c:v>236.13</c:v>
                </c:pt>
                <c:pt idx="31">
                  <c:v>236.54</c:v>
                </c:pt>
                <c:pt idx="32">
                  <c:v>236.64</c:v>
                </c:pt>
                <c:pt idx="33">
                  <c:v>237.43</c:v>
                </c:pt>
                <c:pt idx="34">
                  <c:v>237.43</c:v>
                </c:pt>
                <c:pt idx="35">
                  <c:v>237.43</c:v>
                </c:pt>
                <c:pt idx="36">
                  <c:v>237.79</c:v>
                </c:pt>
                <c:pt idx="37">
                  <c:v>237.69</c:v>
                </c:pt>
                <c:pt idx="38">
                  <c:v>238.04</c:v>
                </c:pt>
                <c:pt idx="39">
                  <c:v>237.18</c:v>
                </c:pt>
                <c:pt idx="40">
                  <c:v>237.04</c:v>
                </c:pt>
                <c:pt idx="41">
                  <c:v>237.04</c:v>
                </c:pt>
                <c:pt idx="42">
                  <c:v>237.04</c:v>
                </c:pt>
                <c:pt idx="43">
                  <c:v>237.32</c:v>
                </c:pt>
                <c:pt idx="44">
                  <c:v>236.74</c:v>
                </c:pt>
                <c:pt idx="45">
                  <c:v>235.53</c:v>
                </c:pt>
                <c:pt idx="46">
                  <c:v>237.54</c:v>
                </c:pt>
                <c:pt idx="47">
                  <c:v>236.9</c:v>
                </c:pt>
                <c:pt idx="48">
                  <c:v>236.9</c:v>
                </c:pt>
                <c:pt idx="49">
                  <c:v>236.9</c:v>
                </c:pt>
                <c:pt idx="50">
                  <c:v>237.21</c:v>
                </c:pt>
                <c:pt idx="51">
                  <c:v>238.79</c:v>
                </c:pt>
                <c:pt idx="52">
                  <c:v>238.62</c:v>
                </c:pt>
                <c:pt idx="53">
                  <c:v>238.62</c:v>
                </c:pt>
                <c:pt idx="54">
                  <c:v>239.12</c:v>
                </c:pt>
                <c:pt idx="55">
                  <c:v>239.12</c:v>
                </c:pt>
                <c:pt idx="56">
                  <c:v>239.12</c:v>
                </c:pt>
                <c:pt idx="57">
                  <c:v>239.05</c:v>
                </c:pt>
                <c:pt idx="58">
                  <c:v>241.42</c:v>
                </c:pt>
                <c:pt idx="59">
                  <c:v>241.33</c:v>
                </c:pt>
                <c:pt idx="60">
                  <c:v>243.35</c:v>
                </c:pt>
                <c:pt idx="61">
                  <c:v>242.9</c:v>
                </c:pt>
                <c:pt idx="62">
                  <c:v>242.9</c:v>
                </c:pt>
                <c:pt idx="63">
                  <c:v>242.9</c:v>
                </c:pt>
                <c:pt idx="64">
                  <c:v>242.64</c:v>
                </c:pt>
                <c:pt idx="65">
                  <c:v>241.78</c:v>
                </c:pt>
                <c:pt idx="66">
                  <c:v>241.77</c:v>
                </c:pt>
                <c:pt idx="67">
                  <c:v>242.57</c:v>
                </c:pt>
                <c:pt idx="68">
                  <c:v>243.89</c:v>
                </c:pt>
                <c:pt idx="69">
                  <c:v>243.89</c:v>
                </c:pt>
                <c:pt idx="70">
                  <c:v>243.89</c:v>
                </c:pt>
                <c:pt idx="71">
                  <c:v>244.68</c:v>
                </c:pt>
                <c:pt idx="72">
                  <c:v>245.1</c:v>
                </c:pt>
                <c:pt idx="73">
                  <c:v>245.04</c:v>
                </c:pt>
                <c:pt idx="74">
                  <c:v>244.07</c:v>
                </c:pt>
                <c:pt idx="75">
                  <c:v>246.12</c:v>
                </c:pt>
                <c:pt idx="76">
                  <c:v>246.12</c:v>
                </c:pt>
                <c:pt idx="77">
                  <c:v>246.12</c:v>
                </c:pt>
                <c:pt idx="78">
                  <c:v>247.65</c:v>
                </c:pt>
                <c:pt idx="79">
                  <c:v>246.75</c:v>
                </c:pt>
                <c:pt idx="80">
                  <c:v>246.56</c:v>
                </c:pt>
                <c:pt idx="81">
                  <c:v>247.06</c:v>
                </c:pt>
                <c:pt idx="82">
                  <c:v>247.01</c:v>
                </c:pt>
                <c:pt idx="83">
                  <c:v>247.01</c:v>
                </c:pt>
                <c:pt idx="84">
                  <c:v>247.01</c:v>
                </c:pt>
                <c:pt idx="85">
                  <c:v>247.01</c:v>
                </c:pt>
                <c:pt idx="86">
                  <c:v>245.54</c:v>
                </c:pt>
                <c:pt idx="87">
                  <c:v>245.68</c:v>
                </c:pt>
                <c:pt idx="88">
                  <c:v>246.14</c:v>
                </c:pt>
                <c:pt idx="89">
                  <c:v>245.29</c:v>
                </c:pt>
                <c:pt idx="90">
                  <c:v>245.29</c:v>
                </c:pt>
                <c:pt idx="91">
                  <c:v>245.29</c:v>
                </c:pt>
                <c:pt idx="92">
                  <c:v>245.29</c:v>
                </c:pt>
                <c:pt idx="93">
                  <c:v>247.09</c:v>
                </c:pt>
                <c:pt idx="94">
                  <c:v>248.56</c:v>
                </c:pt>
                <c:pt idx="95">
                  <c:v>249.65</c:v>
                </c:pt>
                <c:pt idx="96">
                  <c:v>251.25</c:v>
                </c:pt>
                <c:pt idx="97">
                  <c:v>251.25</c:v>
                </c:pt>
                <c:pt idx="98">
                  <c:v>251.25</c:v>
                </c:pt>
                <c:pt idx="99">
                  <c:v>251.77</c:v>
                </c:pt>
                <c:pt idx="100">
                  <c:v>252.3</c:v>
                </c:pt>
                <c:pt idx="101">
                  <c:v>251.87</c:v>
                </c:pt>
                <c:pt idx="102">
                  <c:v>253.73</c:v>
                </c:pt>
                <c:pt idx="103">
                  <c:v>255.41</c:v>
                </c:pt>
                <c:pt idx="104">
                  <c:v>255.41</c:v>
                </c:pt>
                <c:pt idx="105">
                  <c:v>255.41</c:v>
                </c:pt>
                <c:pt idx="106">
                  <c:v>255.41</c:v>
                </c:pt>
                <c:pt idx="107">
                  <c:v>254.48</c:v>
                </c:pt>
                <c:pt idx="108">
                  <c:v>256.94</c:v>
                </c:pt>
                <c:pt idx="109">
                  <c:v>256.58999999999997</c:v>
                </c:pt>
                <c:pt idx="110">
                  <c:v>257.68</c:v>
                </c:pt>
                <c:pt idx="111">
                  <c:v>257.68</c:v>
                </c:pt>
                <c:pt idx="112">
                  <c:v>257.68</c:v>
                </c:pt>
                <c:pt idx="113">
                  <c:v>259.75</c:v>
                </c:pt>
                <c:pt idx="114">
                  <c:v>260.33999999999997</c:v>
                </c:pt>
                <c:pt idx="115">
                  <c:v>260.20999999999998</c:v>
                </c:pt>
                <c:pt idx="116">
                  <c:v>260.33</c:v>
                </c:pt>
                <c:pt idx="117">
                  <c:v>263.36</c:v>
                </c:pt>
                <c:pt idx="118">
                  <c:v>263.36</c:v>
                </c:pt>
                <c:pt idx="119">
                  <c:v>263.36</c:v>
                </c:pt>
                <c:pt idx="120">
                  <c:v>261.54000000000002</c:v>
                </c:pt>
                <c:pt idx="121">
                  <c:v>258.75</c:v>
                </c:pt>
                <c:pt idx="122">
                  <c:v>258.99</c:v>
                </c:pt>
                <c:pt idx="123">
                  <c:v>258.73</c:v>
                </c:pt>
                <c:pt idx="124">
                  <c:v>253.19</c:v>
                </c:pt>
                <c:pt idx="125">
                  <c:v>253.19</c:v>
                </c:pt>
                <c:pt idx="126">
                  <c:v>253.19</c:v>
                </c:pt>
                <c:pt idx="127">
                  <c:v>242.79</c:v>
                </c:pt>
                <c:pt idx="128">
                  <c:v>247.28</c:v>
                </c:pt>
                <c:pt idx="129">
                  <c:v>245.93</c:v>
                </c:pt>
                <c:pt idx="130">
                  <c:v>236.79</c:v>
                </c:pt>
                <c:pt idx="131">
                  <c:v>240.44</c:v>
                </c:pt>
                <c:pt idx="132">
                  <c:v>240.44</c:v>
                </c:pt>
                <c:pt idx="133">
                  <c:v>240.44</c:v>
                </c:pt>
                <c:pt idx="134">
                  <c:v>243.74</c:v>
                </c:pt>
                <c:pt idx="135">
                  <c:v>244.56</c:v>
                </c:pt>
                <c:pt idx="136">
                  <c:v>247.76</c:v>
                </c:pt>
                <c:pt idx="137">
                  <c:v>250.97</c:v>
                </c:pt>
                <c:pt idx="138">
                  <c:v>250.94</c:v>
                </c:pt>
                <c:pt idx="139">
                  <c:v>250.94</c:v>
                </c:pt>
                <c:pt idx="140">
                  <c:v>250.94</c:v>
                </c:pt>
                <c:pt idx="141">
                  <c:v>250.94</c:v>
                </c:pt>
                <c:pt idx="142">
                  <c:v>249.42</c:v>
                </c:pt>
                <c:pt idx="143">
                  <c:v>248.11</c:v>
                </c:pt>
                <c:pt idx="144">
                  <c:v>248.41</c:v>
                </c:pt>
                <c:pt idx="145">
                  <c:v>252.49</c:v>
                </c:pt>
                <c:pt idx="146">
                  <c:v>252.49</c:v>
                </c:pt>
                <c:pt idx="147">
                  <c:v>252.49</c:v>
                </c:pt>
                <c:pt idx="148">
                  <c:v>255.4</c:v>
                </c:pt>
                <c:pt idx="149">
                  <c:v>252.14</c:v>
                </c:pt>
                <c:pt idx="150">
                  <c:v>249.34</c:v>
                </c:pt>
                <c:pt idx="151">
                  <c:v>246.05</c:v>
                </c:pt>
                <c:pt idx="152">
                  <c:v>247.36</c:v>
                </c:pt>
                <c:pt idx="153">
                  <c:v>247.36</c:v>
                </c:pt>
                <c:pt idx="154">
                  <c:v>247.36</c:v>
                </c:pt>
                <c:pt idx="155">
                  <c:v>250.2</c:v>
                </c:pt>
                <c:pt idx="156">
                  <c:v>250.83</c:v>
                </c:pt>
                <c:pt idx="157">
                  <c:v>250.72</c:v>
                </c:pt>
                <c:pt idx="158">
                  <c:v>251.89</c:v>
                </c:pt>
                <c:pt idx="159">
                  <c:v>256.25</c:v>
                </c:pt>
                <c:pt idx="160">
                  <c:v>256.25</c:v>
                </c:pt>
                <c:pt idx="161">
                  <c:v>256.25</c:v>
                </c:pt>
                <c:pt idx="162">
                  <c:v>256</c:v>
                </c:pt>
                <c:pt idx="163">
                  <c:v>254.31</c:v>
                </c:pt>
                <c:pt idx="164">
                  <c:v>252.97</c:v>
                </c:pt>
                <c:pt idx="165">
                  <c:v>252.73</c:v>
                </c:pt>
                <c:pt idx="166">
                  <c:v>252.99</c:v>
                </c:pt>
                <c:pt idx="167">
                  <c:v>252.99</c:v>
                </c:pt>
                <c:pt idx="168">
                  <c:v>252.99</c:v>
                </c:pt>
                <c:pt idx="169">
                  <c:v>249.61</c:v>
                </c:pt>
                <c:pt idx="170">
                  <c:v>250.05</c:v>
                </c:pt>
                <c:pt idx="171">
                  <c:v>249.47</c:v>
                </c:pt>
                <c:pt idx="172">
                  <c:v>243.27</c:v>
                </c:pt>
                <c:pt idx="173">
                  <c:v>238.09</c:v>
                </c:pt>
                <c:pt idx="174">
                  <c:v>238.09</c:v>
                </c:pt>
                <c:pt idx="175">
                  <c:v>238.09</c:v>
                </c:pt>
                <c:pt idx="176">
                  <c:v>243.53</c:v>
                </c:pt>
                <c:pt idx="177">
                  <c:v>239.31</c:v>
                </c:pt>
                <c:pt idx="178">
                  <c:v>238.64</c:v>
                </c:pt>
                <c:pt idx="179">
                  <c:v>242.08</c:v>
                </c:pt>
                <c:pt idx="180">
                  <c:v>242.08</c:v>
                </c:pt>
                <c:pt idx="181">
                  <c:v>242.08</c:v>
                </c:pt>
                <c:pt idx="182">
                  <c:v>242.08</c:v>
                </c:pt>
                <c:pt idx="183">
                  <c:v>236.48</c:v>
                </c:pt>
                <c:pt idx="184">
                  <c:v>239.48</c:v>
                </c:pt>
                <c:pt idx="185">
                  <c:v>242.24</c:v>
                </c:pt>
                <c:pt idx="186">
                  <c:v>243.99</c:v>
                </c:pt>
                <c:pt idx="187">
                  <c:v>238.62</c:v>
                </c:pt>
                <c:pt idx="188">
                  <c:v>238.62</c:v>
                </c:pt>
                <c:pt idx="189">
                  <c:v>238.62</c:v>
                </c:pt>
                <c:pt idx="190">
                  <c:v>239.59</c:v>
                </c:pt>
                <c:pt idx="191">
                  <c:v>243.54</c:v>
                </c:pt>
                <c:pt idx="192">
                  <c:v>242.25</c:v>
                </c:pt>
                <c:pt idx="193">
                  <c:v>244.28</c:v>
                </c:pt>
                <c:pt idx="194">
                  <c:v>243.6</c:v>
                </c:pt>
                <c:pt idx="195">
                  <c:v>243.6</c:v>
                </c:pt>
                <c:pt idx="196">
                  <c:v>243.6</c:v>
                </c:pt>
                <c:pt idx="197">
                  <c:v>245.58</c:v>
                </c:pt>
                <c:pt idx="198">
                  <c:v>248.22</c:v>
                </c:pt>
                <c:pt idx="199">
                  <c:v>248.36</c:v>
                </c:pt>
                <c:pt idx="200">
                  <c:v>247</c:v>
                </c:pt>
                <c:pt idx="201">
                  <c:v>245</c:v>
                </c:pt>
                <c:pt idx="202">
                  <c:v>245</c:v>
                </c:pt>
                <c:pt idx="203">
                  <c:v>245</c:v>
                </c:pt>
                <c:pt idx="204">
                  <c:v>244.89</c:v>
                </c:pt>
                <c:pt idx="205">
                  <c:v>241.55</c:v>
                </c:pt>
                <c:pt idx="206">
                  <c:v>242.17</c:v>
                </c:pt>
                <c:pt idx="207">
                  <c:v>244.66</c:v>
                </c:pt>
                <c:pt idx="208">
                  <c:v>244.92</c:v>
                </c:pt>
                <c:pt idx="209">
                  <c:v>244.92</c:v>
                </c:pt>
                <c:pt idx="210">
                  <c:v>244.92</c:v>
                </c:pt>
                <c:pt idx="211">
                  <c:v>242.92</c:v>
                </c:pt>
                <c:pt idx="212">
                  <c:v>243.44</c:v>
                </c:pt>
                <c:pt idx="213">
                  <c:v>241.78</c:v>
                </c:pt>
                <c:pt idx="214">
                  <c:v>241.21</c:v>
                </c:pt>
                <c:pt idx="215">
                  <c:v>244.41</c:v>
                </c:pt>
                <c:pt idx="216">
                  <c:v>244.41</c:v>
                </c:pt>
                <c:pt idx="217">
                  <c:v>244.41</c:v>
                </c:pt>
                <c:pt idx="218">
                  <c:v>245.17</c:v>
                </c:pt>
                <c:pt idx="219">
                  <c:v>245.16</c:v>
                </c:pt>
                <c:pt idx="220">
                  <c:v>247.54</c:v>
                </c:pt>
                <c:pt idx="221">
                  <c:v>249.86</c:v>
                </c:pt>
                <c:pt idx="222">
                  <c:v>250.47</c:v>
                </c:pt>
                <c:pt idx="223">
                  <c:v>250.47</c:v>
                </c:pt>
                <c:pt idx="224">
                  <c:v>250.47</c:v>
                </c:pt>
                <c:pt idx="225">
                  <c:v>250.75</c:v>
                </c:pt>
                <c:pt idx="226">
                  <c:v>249.03</c:v>
                </c:pt>
                <c:pt idx="227">
                  <c:v>250.09</c:v>
                </c:pt>
                <c:pt idx="228">
                  <c:v>249.88</c:v>
                </c:pt>
                <c:pt idx="229">
                  <c:v>249.26</c:v>
                </c:pt>
                <c:pt idx="230">
                  <c:v>249.26</c:v>
                </c:pt>
                <c:pt idx="231">
                  <c:v>249.26</c:v>
                </c:pt>
                <c:pt idx="232">
                  <c:v>251.09</c:v>
                </c:pt>
                <c:pt idx="233">
                  <c:v>250.37</c:v>
                </c:pt>
                <c:pt idx="234">
                  <c:v>251.15</c:v>
                </c:pt>
                <c:pt idx="235">
                  <c:v>250.67</c:v>
                </c:pt>
                <c:pt idx="236">
                  <c:v>250.04</c:v>
                </c:pt>
                <c:pt idx="237">
                  <c:v>250.04</c:v>
                </c:pt>
                <c:pt idx="238">
                  <c:v>250.04</c:v>
                </c:pt>
                <c:pt idx="239">
                  <c:v>250.04</c:v>
                </c:pt>
                <c:pt idx="240">
                  <c:v>247.15</c:v>
                </c:pt>
                <c:pt idx="241">
                  <c:v>250.41</c:v>
                </c:pt>
                <c:pt idx="242">
                  <c:v>248.79</c:v>
                </c:pt>
                <c:pt idx="243">
                  <c:v>251.41</c:v>
                </c:pt>
                <c:pt idx="244">
                  <c:v>251.41</c:v>
                </c:pt>
                <c:pt idx="245">
                  <c:v>251.41</c:v>
                </c:pt>
                <c:pt idx="246">
                  <c:v>252.52</c:v>
                </c:pt>
                <c:pt idx="247">
                  <c:v>252.87</c:v>
                </c:pt>
                <c:pt idx="248">
                  <c:v>254.89</c:v>
                </c:pt>
                <c:pt idx="249">
                  <c:v>254.77</c:v>
                </c:pt>
                <c:pt idx="250">
                  <c:v>255.57</c:v>
                </c:pt>
                <c:pt idx="251">
                  <c:v>255.57</c:v>
                </c:pt>
                <c:pt idx="252">
                  <c:v>255.57</c:v>
                </c:pt>
                <c:pt idx="253">
                  <c:v>255.9</c:v>
                </c:pt>
                <c:pt idx="254">
                  <c:v>256.33</c:v>
                </c:pt>
                <c:pt idx="255">
                  <c:v>255.31</c:v>
                </c:pt>
                <c:pt idx="256">
                  <c:v>256.05</c:v>
                </c:pt>
                <c:pt idx="257">
                  <c:v>255.83</c:v>
                </c:pt>
                <c:pt idx="258">
                  <c:v>255.83</c:v>
                </c:pt>
                <c:pt idx="259">
                  <c:v>255.83</c:v>
                </c:pt>
                <c:pt idx="260">
                  <c:v>255.22</c:v>
                </c:pt>
                <c:pt idx="261">
                  <c:v>254.25</c:v>
                </c:pt>
                <c:pt idx="262">
                  <c:v>254.71</c:v>
                </c:pt>
                <c:pt idx="263">
                  <c:v>253.12</c:v>
                </c:pt>
                <c:pt idx="264">
                  <c:v>253.57</c:v>
                </c:pt>
                <c:pt idx="265">
                  <c:v>253.57</c:v>
                </c:pt>
                <c:pt idx="266">
                  <c:v>253.57</c:v>
                </c:pt>
                <c:pt idx="267">
                  <c:v>250.06</c:v>
                </c:pt>
                <c:pt idx="268">
                  <c:v>250.61</c:v>
                </c:pt>
                <c:pt idx="269">
                  <c:v>248.53</c:v>
                </c:pt>
                <c:pt idx="270">
                  <c:v>248.88</c:v>
                </c:pt>
                <c:pt idx="271">
                  <c:v>249.51</c:v>
                </c:pt>
                <c:pt idx="272">
                  <c:v>249.51</c:v>
                </c:pt>
                <c:pt idx="273">
                  <c:v>249.51</c:v>
                </c:pt>
                <c:pt idx="274">
                  <c:v>249.8</c:v>
                </c:pt>
                <c:pt idx="275">
                  <c:v>248.79</c:v>
                </c:pt>
                <c:pt idx="276">
                  <c:v>248.79</c:v>
                </c:pt>
                <c:pt idx="277">
                  <c:v>250.92</c:v>
                </c:pt>
                <c:pt idx="278">
                  <c:v>253.01</c:v>
                </c:pt>
                <c:pt idx="279">
                  <c:v>253.01</c:v>
                </c:pt>
                <c:pt idx="280">
                  <c:v>253.01</c:v>
                </c:pt>
                <c:pt idx="281">
                  <c:v>255.25</c:v>
                </c:pt>
                <c:pt idx="282">
                  <c:v>256.14</c:v>
                </c:pt>
                <c:pt idx="283">
                  <c:v>254.39</c:v>
                </c:pt>
                <c:pt idx="284">
                  <c:v>256.57</c:v>
                </c:pt>
                <c:pt idx="285">
                  <c:v>256.79000000000002</c:v>
                </c:pt>
                <c:pt idx="286">
                  <c:v>256.79000000000002</c:v>
                </c:pt>
                <c:pt idx="287">
                  <c:v>256.79000000000002</c:v>
                </c:pt>
                <c:pt idx="288">
                  <c:v>256.63</c:v>
                </c:pt>
                <c:pt idx="289">
                  <c:v>257.73</c:v>
                </c:pt>
                <c:pt idx="290">
                  <c:v>258.2</c:v>
                </c:pt>
                <c:pt idx="291">
                  <c:v>257.22000000000003</c:v>
                </c:pt>
                <c:pt idx="292">
                  <c:v>256.98</c:v>
                </c:pt>
                <c:pt idx="293">
                  <c:v>256.98</c:v>
                </c:pt>
                <c:pt idx="294">
                  <c:v>256.98</c:v>
                </c:pt>
                <c:pt idx="295">
                  <c:v>257.47000000000003</c:v>
                </c:pt>
                <c:pt idx="296">
                  <c:v>258.68</c:v>
                </c:pt>
                <c:pt idx="297">
                  <c:v>261.05</c:v>
                </c:pt>
                <c:pt idx="298">
                  <c:v>260.27999999999997</c:v>
                </c:pt>
                <c:pt idx="299">
                  <c:v>258.58999999999997</c:v>
                </c:pt>
                <c:pt idx="300">
                  <c:v>258.58999999999997</c:v>
                </c:pt>
                <c:pt idx="301">
                  <c:v>258.58999999999997</c:v>
                </c:pt>
                <c:pt idx="302">
                  <c:v>257.10000000000002</c:v>
                </c:pt>
                <c:pt idx="303">
                  <c:v>258.39999999999998</c:v>
                </c:pt>
                <c:pt idx="304">
                  <c:v>258.08</c:v>
                </c:pt>
                <c:pt idx="305">
                  <c:v>259.39</c:v>
                </c:pt>
                <c:pt idx="306">
                  <c:v>260.66000000000003</c:v>
                </c:pt>
                <c:pt idx="307">
                  <c:v>260.66000000000003</c:v>
                </c:pt>
                <c:pt idx="308">
                  <c:v>260.66000000000003</c:v>
                </c:pt>
                <c:pt idx="309">
                  <c:v>261.64</c:v>
                </c:pt>
                <c:pt idx="310">
                  <c:v>262.37</c:v>
                </c:pt>
                <c:pt idx="311">
                  <c:v>262.23</c:v>
                </c:pt>
                <c:pt idx="312">
                  <c:v>261.89999999999998</c:v>
                </c:pt>
                <c:pt idx="313">
                  <c:v>260.12</c:v>
                </c:pt>
                <c:pt idx="314">
                  <c:v>260.12</c:v>
                </c:pt>
                <c:pt idx="315">
                  <c:v>260.12</c:v>
                </c:pt>
                <c:pt idx="316">
                  <c:v>259.14</c:v>
                </c:pt>
                <c:pt idx="317">
                  <c:v>260.81</c:v>
                </c:pt>
                <c:pt idx="318">
                  <c:v>258.89</c:v>
                </c:pt>
                <c:pt idx="319">
                  <c:v>260.99</c:v>
                </c:pt>
                <c:pt idx="320">
                  <c:v>261.86</c:v>
                </c:pt>
                <c:pt idx="321">
                  <c:v>261.86</c:v>
                </c:pt>
                <c:pt idx="322">
                  <c:v>261.86</c:v>
                </c:pt>
                <c:pt idx="323">
                  <c:v>262.44</c:v>
                </c:pt>
                <c:pt idx="324">
                  <c:v>263.01</c:v>
                </c:pt>
                <c:pt idx="325">
                  <c:v>262.93</c:v>
                </c:pt>
                <c:pt idx="326">
                  <c:v>262.55</c:v>
                </c:pt>
                <c:pt idx="327">
                  <c:v>264.2</c:v>
                </c:pt>
                <c:pt idx="328">
                  <c:v>264.2</c:v>
                </c:pt>
                <c:pt idx="329">
                  <c:v>264.2</c:v>
                </c:pt>
                <c:pt idx="330">
                  <c:v>266.19</c:v>
                </c:pt>
                <c:pt idx="331">
                  <c:v>266.33999999999997</c:v>
                </c:pt>
                <c:pt idx="332">
                  <c:v>267.8</c:v>
                </c:pt>
                <c:pt idx="333">
                  <c:v>266.70999999999998</c:v>
                </c:pt>
                <c:pt idx="334">
                  <c:v>266.72000000000003</c:v>
                </c:pt>
                <c:pt idx="335">
                  <c:v>266.72000000000003</c:v>
                </c:pt>
                <c:pt idx="336">
                  <c:v>266.72000000000003</c:v>
                </c:pt>
                <c:pt idx="337">
                  <c:v>266.72000000000003</c:v>
                </c:pt>
                <c:pt idx="338">
                  <c:v>266.35000000000002</c:v>
                </c:pt>
                <c:pt idx="339">
                  <c:v>265.60000000000002</c:v>
                </c:pt>
                <c:pt idx="340">
                  <c:v>264.82</c:v>
                </c:pt>
                <c:pt idx="341">
                  <c:v>264.18</c:v>
                </c:pt>
                <c:pt idx="342">
                  <c:v>264.18</c:v>
                </c:pt>
                <c:pt idx="343">
                  <c:v>264.18</c:v>
                </c:pt>
                <c:pt idx="344">
                  <c:v>264.68</c:v>
                </c:pt>
                <c:pt idx="345">
                  <c:v>265.68</c:v>
                </c:pt>
                <c:pt idx="346">
                  <c:v>265.70999999999998</c:v>
                </c:pt>
                <c:pt idx="347">
                  <c:v>267.22000000000003</c:v>
                </c:pt>
                <c:pt idx="348">
                  <c:v>267.36</c:v>
                </c:pt>
                <c:pt idx="349">
                  <c:v>267.36</c:v>
                </c:pt>
                <c:pt idx="350">
                  <c:v>267.36</c:v>
                </c:pt>
                <c:pt idx="351">
                  <c:v>265.85000000000002</c:v>
                </c:pt>
                <c:pt idx="352">
                  <c:v>267.3</c:v>
                </c:pt>
                <c:pt idx="353">
                  <c:v>267.60000000000002</c:v>
                </c:pt>
                <c:pt idx="354">
                  <c:v>269.75</c:v>
                </c:pt>
                <c:pt idx="355">
                  <c:v>269.56</c:v>
                </c:pt>
                <c:pt idx="356">
                  <c:v>269.56</c:v>
                </c:pt>
                <c:pt idx="357">
                  <c:v>269.56</c:v>
                </c:pt>
                <c:pt idx="358">
                  <c:v>268.66000000000003</c:v>
                </c:pt>
                <c:pt idx="359">
                  <c:v>268.33</c:v>
                </c:pt>
                <c:pt idx="360">
                  <c:v>266.33999999999997</c:v>
                </c:pt>
                <c:pt idx="361">
                  <c:v>267.08</c:v>
                </c:pt>
                <c:pt idx="362">
                  <c:v>267.05</c:v>
                </c:pt>
                <c:pt idx="363">
                  <c:v>267.05</c:v>
                </c:pt>
                <c:pt idx="364">
                  <c:v>267.05</c:v>
                </c:pt>
                <c:pt idx="365">
                  <c:v>268.04000000000002</c:v>
                </c:pt>
                <c:pt idx="366">
                  <c:v>268.01</c:v>
                </c:pt>
                <c:pt idx="367">
                  <c:v>268.24</c:v>
                </c:pt>
                <c:pt idx="368">
                  <c:v>266.04000000000002</c:v>
                </c:pt>
                <c:pt idx="369">
                  <c:v>264.54000000000002</c:v>
                </c:pt>
                <c:pt idx="370">
                  <c:v>264.54000000000002</c:v>
                </c:pt>
                <c:pt idx="371">
                  <c:v>264.54000000000002</c:v>
                </c:pt>
                <c:pt idx="372">
                  <c:v>264.47000000000003</c:v>
                </c:pt>
                <c:pt idx="373">
                  <c:v>264.13</c:v>
                </c:pt>
                <c:pt idx="374">
                  <c:v>255.6</c:v>
                </c:pt>
                <c:pt idx="375">
                  <c:v>250.22</c:v>
                </c:pt>
                <c:pt idx="376">
                  <c:v>253.6</c:v>
                </c:pt>
                <c:pt idx="377">
                  <c:v>253.6</c:v>
                </c:pt>
                <c:pt idx="378">
                  <c:v>253.6</c:v>
                </c:pt>
                <c:pt idx="379">
                  <c:v>252.21</c:v>
                </c:pt>
                <c:pt idx="380">
                  <c:v>257.58</c:v>
                </c:pt>
                <c:pt idx="381">
                  <c:v>257.67</c:v>
                </c:pt>
                <c:pt idx="382">
                  <c:v>254.05</c:v>
                </c:pt>
                <c:pt idx="383">
                  <c:v>253.85</c:v>
                </c:pt>
                <c:pt idx="384">
                  <c:v>253.85</c:v>
                </c:pt>
                <c:pt idx="385">
                  <c:v>253.85</c:v>
                </c:pt>
                <c:pt idx="386">
                  <c:v>252.8</c:v>
                </c:pt>
                <c:pt idx="387">
                  <c:v>251.28</c:v>
                </c:pt>
                <c:pt idx="388">
                  <c:v>243.78</c:v>
                </c:pt>
                <c:pt idx="389">
                  <c:v>248.15</c:v>
                </c:pt>
                <c:pt idx="390">
                  <c:v>243.76</c:v>
                </c:pt>
                <c:pt idx="391">
                  <c:v>243.76</c:v>
                </c:pt>
                <c:pt idx="392">
                  <c:v>243.76</c:v>
                </c:pt>
                <c:pt idx="393">
                  <c:v>242.5</c:v>
                </c:pt>
                <c:pt idx="394">
                  <c:v>246.21</c:v>
                </c:pt>
                <c:pt idx="395">
                  <c:v>248.79</c:v>
                </c:pt>
                <c:pt idx="396">
                  <c:v>251.37</c:v>
                </c:pt>
                <c:pt idx="397">
                  <c:v>249.81</c:v>
                </c:pt>
                <c:pt idx="398">
                  <c:v>249.81</c:v>
                </c:pt>
                <c:pt idx="399">
                  <c:v>249.81</c:v>
                </c:pt>
                <c:pt idx="400">
                  <c:v>251.23</c:v>
                </c:pt>
                <c:pt idx="401">
                  <c:v>252.82</c:v>
                </c:pt>
                <c:pt idx="402">
                  <c:v>258.16000000000003</c:v>
                </c:pt>
                <c:pt idx="403">
                  <c:v>257.72000000000003</c:v>
                </c:pt>
                <c:pt idx="404">
                  <c:v>255.34</c:v>
                </c:pt>
                <c:pt idx="405">
                  <c:v>255.34</c:v>
                </c:pt>
                <c:pt idx="406">
                  <c:v>255.34</c:v>
                </c:pt>
                <c:pt idx="407">
                  <c:v>250.41</c:v>
                </c:pt>
                <c:pt idx="408">
                  <c:v>249.99</c:v>
                </c:pt>
                <c:pt idx="409">
                  <c:v>248.28</c:v>
                </c:pt>
                <c:pt idx="410">
                  <c:v>250.85</c:v>
                </c:pt>
                <c:pt idx="411">
                  <c:v>251.49</c:v>
                </c:pt>
                <c:pt idx="412">
                  <c:v>251.49</c:v>
                </c:pt>
                <c:pt idx="413">
                  <c:v>251.49</c:v>
                </c:pt>
                <c:pt idx="414">
                  <c:v>247.32</c:v>
                </c:pt>
                <c:pt idx="415">
                  <c:v>242.77</c:v>
                </c:pt>
                <c:pt idx="416">
                  <c:v>243.58</c:v>
                </c:pt>
                <c:pt idx="417">
                  <c:v>243.58</c:v>
                </c:pt>
                <c:pt idx="418">
                  <c:v>242.01</c:v>
                </c:pt>
                <c:pt idx="419">
                  <c:v>242.01</c:v>
                </c:pt>
                <c:pt idx="420">
                  <c:v>242.01</c:v>
                </c:pt>
                <c:pt idx="421">
                  <c:v>245.8</c:v>
                </c:pt>
                <c:pt idx="422">
                  <c:v>246.57</c:v>
                </c:pt>
                <c:pt idx="423">
                  <c:v>252.33</c:v>
                </c:pt>
                <c:pt idx="424">
                  <c:v>251.81</c:v>
                </c:pt>
                <c:pt idx="425">
                  <c:v>253.48</c:v>
                </c:pt>
                <c:pt idx="426">
                  <c:v>253.48</c:v>
                </c:pt>
                <c:pt idx="427">
                  <c:v>253.48</c:v>
                </c:pt>
                <c:pt idx="428">
                  <c:v>256.61</c:v>
                </c:pt>
                <c:pt idx="429">
                  <c:v>248.65</c:v>
                </c:pt>
                <c:pt idx="430">
                  <c:v>248.65</c:v>
                </c:pt>
                <c:pt idx="431">
                  <c:v>248.02</c:v>
                </c:pt>
                <c:pt idx="432">
                  <c:v>242.26</c:v>
                </c:pt>
                <c:pt idx="433">
                  <c:v>242.26</c:v>
                </c:pt>
                <c:pt idx="434">
                  <c:v>242.26</c:v>
                </c:pt>
                <c:pt idx="435">
                  <c:v>242.55</c:v>
                </c:pt>
                <c:pt idx="436">
                  <c:v>242.62</c:v>
                </c:pt>
                <c:pt idx="437">
                  <c:v>243.96</c:v>
                </c:pt>
                <c:pt idx="438">
                  <c:v>243.88</c:v>
                </c:pt>
                <c:pt idx="439">
                  <c:v>239.38</c:v>
                </c:pt>
                <c:pt idx="440">
                  <c:v>239.38</c:v>
                </c:pt>
                <c:pt idx="441">
                  <c:v>239.38</c:v>
                </c:pt>
                <c:pt idx="442">
                  <c:v>233.23</c:v>
                </c:pt>
                <c:pt idx="443">
                  <c:v>233.14</c:v>
                </c:pt>
                <c:pt idx="444">
                  <c:v>229.42</c:v>
                </c:pt>
                <c:pt idx="445">
                  <c:v>225.65</c:v>
                </c:pt>
                <c:pt idx="446">
                  <c:v>221.16</c:v>
                </c:pt>
                <c:pt idx="447">
                  <c:v>221.16</c:v>
                </c:pt>
                <c:pt idx="448">
                  <c:v>221.16</c:v>
                </c:pt>
                <c:pt idx="449">
                  <c:v>215.07</c:v>
                </c:pt>
                <c:pt idx="450">
                  <c:v>215.07</c:v>
                </c:pt>
                <c:pt idx="451">
                  <c:v>225.95</c:v>
                </c:pt>
                <c:pt idx="452">
                  <c:v>228.05</c:v>
                </c:pt>
                <c:pt idx="453">
                  <c:v>227.76</c:v>
                </c:pt>
                <c:pt idx="454">
                  <c:v>227.76</c:v>
                </c:pt>
                <c:pt idx="455">
                  <c:v>227.76</c:v>
                </c:pt>
                <c:pt idx="456">
                  <c:v>229.81</c:v>
                </c:pt>
                <c:pt idx="457">
                  <c:v>229.81</c:v>
                </c:pt>
                <c:pt idx="458">
                  <c:v>229.99</c:v>
                </c:pt>
                <c:pt idx="459">
                  <c:v>224.5</c:v>
                </c:pt>
                <c:pt idx="460">
                  <c:v>231.91</c:v>
                </c:pt>
                <c:pt idx="461">
                  <c:v>231.91</c:v>
                </c:pt>
                <c:pt idx="462">
                  <c:v>231.91</c:v>
                </c:pt>
                <c:pt idx="463">
                  <c:v>233.65</c:v>
                </c:pt>
                <c:pt idx="464">
                  <c:v>235.92</c:v>
                </c:pt>
                <c:pt idx="465">
                  <c:v>237.01</c:v>
                </c:pt>
                <c:pt idx="466">
                  <c:v>238</c:v>
                </c:pt>
                <c:pt idx="467">
                  <c:v>237.89</c:v>
                </c:pt>
                <c:pt idx="468">
                  <c:v>237.89</c:v>
                </c:pt>
                <c:pt idx="469">
                  <c:v>237.89</c:v>
                </c:pt>
                <c:pt idx="470">
                  <c:v>236.58</c:v>
                </c:pt>
                <c:pt idx="471">
                  <c:v>239.35</c:v>
                </c:pt>
                <c:pt idx="472">
                  <c:v>239.88</c:v>
                </c:pt>
                <c:pt idx="473">
                  <c:v>241.67</c:v>
                </c:pt>
                <c:pt idx="474">
                  <c:v>244.92</c:v>
                </c:pt>
                <c:pt idx="475">
                  <c:v>244.92</c:v>
                </c:pt>
                <c:pt idx="476">
                  <c:v>244.92</c:v>
                </c:pt>
                <c:pt idx="477">
                  <c:v>244.92</c:v>
                </c:pt>
                <c:pt idx="478">
                  <c:v>241.66</c:v>
                </c:pt>
                <c:pt idx="479">
                  <c:v>242.02</c:v>
                </c:pt>
                <c:pt idx="480">
                  <c:v>242.26</c:v>
                </c:pt>
                <c:pt idx="481">
                  <c:v>244.32</c:v>
                </c:pt>
                <c:pt idx="482">
                  <c:v>244.32</c:v>
                </c:pt>
                <c:pt idx="483">
                  <c:v>244.32</c:v>
                </c:pt>
                <c:pt idx="484">
                  <c:v>242.43</c:v>
                </c:pt>
                <c:pt idx="485">
                  <c:v>242.13</c:v>
                </c:pt>
                <c:pt idx="486">
                  <c:v>245.96</c:v>
                </c:pt>
                <c:pt idx="487">
                  <c:v>248.01</c:v>
                </c:pt>
                <c:pt idx="488">
                  <c:v>248.22</c:v>
                </c:pt>
                <c:pt idx="489">
                  <c:v>248.22</c:v>
                </c:pt>
                <c:pt idx="490">
                  <c:v>248.22</c:v>
                </c:pt>
                <c:pt idx="491">
                  <c:v>249.99</c:v>
                </c:pt>
                <c:pt idx="492">
                  <c:v>251.1</c:v>
                </c:pt>
                <c:pt idx="493">
                  <c:v>250.79</c:v>
                </c:pt>
                <c:pt idx="494">
                  <c:v>248.33</c:v>
                </c:pt>
                <c:pt idx="495">
                  <c:v>248.65</c:v>
                </c:pt>
                <c:pt idx="496">
                  <c:v>248.65</c:v>
                </c:pt>
                <c:pt idx="497">
                  <c:v>248.65</c:v>
                </c:pt>
                <c:pt idx="498">
                  <c:v>248.78</c:v>
                </c:pt>
                <c:pt idx="499">
                  <c:v>252</c:v>
                </c:pt>
                <c:pt idx="500">
                  <c:v>252.76</c:v>
                </c:pt>
                <c:pt idx="501">
                  <c:v>252.2</c:v>
                </c:pt>
                <c:pt idx="502">
                  <c:v>254.98</c:v>
                </c:pt>
                <c:pt idx="503">
                  <c:v>254.98</c:v>
                </c:pt>
                <c:pt idx="504">
                  <c:v>254.98</c:v>
                </c:pt>
                <c:pt idx="505">
                  <c:v>254.98</c:v>
                </c:pt>
                <c:pt idx="506">
                  <c:v>255.42</c:v>
                </c:pt>
                <c:pt idx="507">
                  <c:v>256.01</c:v>
                </c:pt>
                <c:pt idx="508">
                  <c:v>255.08</c:v>
                </c:pt>
                <c:pt idx="509">
                  <c:v>256.61</c:v>
                </c:pt>
                <c:pt idx="510">
                  <c:v>256.61</c:v>
                </c:pt>
                <c:pt idx="511">
                  <c:v>256.61</c:v>
                </c:pt>
                <c:pt idx="512">
                  <c:v>256.99</c:v>
                </c:pt>
                <c:pt idx="513">
                  <c:v>256.8</c:v>
                </c:pt>
                <c:pt idx="514">
                  <c:v>256.67</c:v>
                </c:pt>
                <c:pt idx="515">
                  <c:v>256.07</c:v>
                </c:pt>
                <c:pt idx="516">
                  <c:v>257.83</c:v>
                </c:pt>
                <c:pt idx="517">
                  <c:v>257.83</c:v>
                </c:pt>
                <c:pt idx="518">
                  <c:v>257.83</c:v>
                </c:pt>
                <c:pt idx="519">
                  <c:v>256.83999999999997</c:v>
                </c:pt>
                <c:pt idx="520">
                  <c:v>256.54000000000002</c:v>
                </c:pt>
                <c:pt idx="521">
                  <c:v>254.9</c:v>
                </c:pt>
                <c:pt idx="522">
                  <c:v>252.85</c:v>
                </c:pt>
                <c:pt idx="523">
                  <c:v>252.34</c:v>
                </c:pt>
                <c:pt idx="524">
                  <c:v>252.34</c:v>
                </c:pt>
                <c:pt idx="525">
                  <c:v>252.34</c:v>
                </c:pt>
                <c:pt idx="526">
                  <c:v>256.02</c:v>
                </c:pt>
                <c:pt idx="527">
                  <c:v>256.93</c:v>
                </c:pt>
                <c:pt idx="528">
                  <c:v>258.68</c:v>
                </c:pt>
                <c:pt idx="529">
                  <c:v>258.58999999999997</c:v>
                </c:pt>
                <c:pt idx="530">
                  <c:v>259.85000000000002</c:v>
                </c:pt>
                <c:pt idx="531">
                  <c:v>259.85000000000002</c:v>
                </c:pt>
                <c:pt idx="532">
                  <c:v>259.85000000000002</c:v>
                </c:pt>
                <c:pt idx="533">
                  <c:v>260.77999999999997</c:v>
                </c:pt>
                <c:pt idx="534">
                  <c:v>260.86</c:v>
                </c:pt>
                <c:pt idx="535">
                  <c:v>259.93</c:v>
                </c:pt>
                <c:pt idx="536">
                  <c:v>261.43</c:v>
                </c:pt>
                <c:pt idx="537">
                  <c:v>256.45999999999998</c:v>
                </c:pt>
                <c:pt idx="538">
                  <c:v>256.45999999999998</c:v>
                </c:pt>
                <c:pt idx="539">
                  <c:v>256.45999999999998</c:v>
                </c:pt>
                <c:pt idx="540">
                  <c:v>256.23</c:v>
                </c:pt>
                <c:pt idx="541">
                  <c:v>258.08</c:v>
                </c:pt>
                <c:pt idx="542">
                  <c:v>256.88</c:v>
                </c:pt>
                <c:pt idx="543">
                  <c:v>257.88</c:v>
                </c:pt>
                <c:pt idx="544">
                  <c:v>259.54000000000002</c:v>
                </c:pt>
                <c:pt idx="545">
                  <c:v>259.54000000000002</c:v>
                </c:pt>
                <c:pt idx="546">
                  <c:v>259.54000000000002</c:v>
                </c:pt>
                <c:pt idx="547">
                  <c:v>262.52999999999997</c:v>
                </c:pt>
                <c:pt idx="548">
                  <c:v>262.62</c:v>
                </c:pt>
                <c:pt idx="549">
                  <c:v>263.11</c:v>
                </c:pt>
                <c:pt idx="550">
                  <c:v>263.74</c:v>
                </c:pt>
                <c:pt idx="551">
                  <c:v>265.01</c:v>
                </c:pt>
                <c:pt idx="552">
                  <c:v>265.01</c:v>
                </c:pt>
                <c:pt idx="553">
                  <c:v>265.01</c:v>
                </c:pt>
                <c:pt idx="554">
                  <c:v>265.24</c:v>
                </c:pt>
                <c:pt idx="555">
                  <c:v>263.83</c:v>
                </c:pt>
                <c:pt idx="556">
                  <c:v>264.74</c:v>
                </c:pt>
                <c:pt idx="557">
                  <c:v>264.69</c:v>
                </c:pt>
                <c:pt idx="558">
                  <c:v>266.48</c:v>
                </c:pt>
                <c:pt idx="559">
                  <c:v>266.48</c:v>
                </c:pt>
                <c:pt idx="560">
                  <c:v>266.48</c:v>
                </c:pt>
                <c:pt idx="561">
                  <c:v>266.3</c:v>
                </c:pt>
                <c:pt idx="562">
                  <c:v>266.49</c:v>
                </c:pt>
                <c:pt idx="563">
                  <c:v>265.83999999999997</c:v>
                </c:pt>
                <c:pt idx="564">
                  <c:v>266.33999999999997</c:v>
                </c:pt>
                <c:pt idx="565">
                  <c:v>266.33999999999997</c:v>
                </c:pt>
                <c:pt idx="566">
                  <c:v>266.33999999999997</c:v>
                </c:pt>
                <c:pt idx="567">
                  <c:v>266.33999999999997</c:v>
                </c:pt>
                <c:pt idx="568">
                  <c:v>266.60000000000002</c:v>
                </c:pt>
                <c:pt idx="569">
                  <c:v>268.89999999999998</c:v>
                </c:pt>
                <c:pt idx="570">
                  <c:v>268.37</c:v>
                </c:pt>
                <c:pt idx="571">
                  <c:v>268.27</c:v>
                </c:pt>
                <c:pt idx="572">
                  <c:v>269.5</c:v>
                </c:pt>
                <c:pt idx="573">
                  <c:v>269.5</c:v>
                </c:pt>
                <c:pt idx="574">
                  <c:v>269.5</c:v>
                </c:pt>
                <c:pt idx="575">
                  <c:v>269.83999999999997</c:v>
                </c:pt>
                <c:pt idx="576">
                  <c:v>270.01</c:v>
                </c:pt>
                <c:pt idx="577">
                  <c:v>268.04000000000002</c:v>
                </c:pt>
                <c:pt idx="578">
                  <c:v>267.51</c:v>
                </c:pt>
                <c:pt idx="579">
                  <c:v>270.05</c:v>
                </c:pt>
                <c:pt idx="580">
                  <c:v>270.05</c:v>
                </c:pt>
                <c:pt idx="581">
                  <c:v>270.05</c:v>
                </c:pt>
                <c:pt idx="582">
                  <c:v>268.98</c:v>
                </c:pt>
                <c:pt idx="583">
                  <c:v>264.62</c:v>
                </c:pt>
                <c:pt idx="584">
                  <c:v>264.10000000000002</c:v>
                </c:pt>
                <c:pt idx="585">
                  <c:v>263.29000000000002</c:v>
                </c:pt>
                <c:pt idx="586">
                  <c:v>264.52</c:v>
                </c:pt>
                <c:pt idx="587">
                  <c:v>264.52</c:v>
                </c:pt>
                <c:pt idx="588">
                  <c:v>264.52</c:v>
                </c:pt>
                <c:pt idx="589">
                  <c:v>258.02999999999997</c:v>
                </c:pt>
                <c:pt idx="590">
                  <c:v>260.27</c:v>
                </c:pt>
                <c:pt idx="591">
                  <c:v>261.81</c:v>
                </c:pt>
                <c:pt idx="592">
                  <c:v>264.20999999999998</c:v>
                </c:pt>
                <c:pt idx="593">
                  <c:v>262.61</c:v>
                </c:pt>
                <c:pt idx="594">
                  <c:v>262.61</c:v>
                </c:pt>
                <c:pt idx="595">
                  <c:v>262.61</c:v>
                </c:pt>
                <c:pt idx="596">
                  <c:v>260.82</c:v>
                </c:pt>
                <c:pt idx="597">
                  <c:v>263.02999999999997</c:v>
                </c:pt>
                <c:pt idx="598">
                  <c:v>262.31</c:v>
                </c:pt>
                <c:pt idx="599">
                  <c:v>259.24</c:v>
                </c:pt>
                <c:pt idx="600">
                  <c:v>259.69</c:v>
                </c:pt>
                <c:pt idx="601">
                  <c:v>259.69</c:v>
                </c:pt>
                <c:pt idx="602">
                  <c:v>259.69</c:v>
                </c:pt>
                <c:pt idx="603">
                  <c:v>259.69</c:v>
                </c:pt>
                <c:pt idx="604">
                  <c:v>257.36</c:v>
                </c:pt>
                <c:pt idx="605">
                  <c:v>255.59</c:v>
                </c:pt>
                <c:pt idx="606">
                  <c:v>256.3</c:v>
                </c:pt>
                <c:pt idx="607">
                  <c:v>252.87</c:v>
                </c:pt>
                <c:pt idx="608">
                  <c:v>252.87</c:v>
                </c:pt>
                <c:pt idx="609">
                  <c:v>252.87</c:v>
                </c:pt>
                <c:pt idx="610">
                  <c:v>252.12</c:v>
                </c:pt>
                <c:pt idx="611">
                  <c:v>257.67</c:v>
                </c:pt>
                <c:pt idx="612">
                  <c:v>259.85000000000002</c:v>
                </c:pt>
                <c:pt idx="613">
                  <c:v>261.54000000000002</c:v>
                </c:pt>
                <c:pt idx="614">
                  <c:v>264.14999999999998</c:v>
                </c:pt>
                <c:pt idx="615">
                  <c:v>264.14999999999998</c:v>
                </c:pt>
                <c:pt idx="616">
                  <c:v>264.14999999999998</c:v>
                </c:pt>
                <c:pt idx="617">
                  <c:v>265.39</c:v>
                </c:pt>
                <c:pt idx="618">
                  <c:v>265.33999999999997</c:v>
                </c:pt>
                <c:pt idx="619">
                  <c:v>264.83999999999997</c:v>
                </c:pt>
                <c:pt idx="620">
                  <c:v>266.02</c:v>
                </c:pt>
                <c:pt idx="621">
                  <c:v>265.62</c:v>
                </c:pt>
                <c:pt idx="622">
                  <c:v>265.62</c:v>
                </c:pt>
                <c:pt idx="623">
                  <c:v>265.62</c:v>
                </c:pt>
                <c:pt idx="624">
                  <c:v>265.86</c:v>
                </c:pt>
                <c:pt idx="625">
                  <c:v>268.51</c:v>
                </c:pt>
                <c:pt idx="626">
                  <c:v>269.22000000000003</c:v>
                </c:pt>
                <c:pt idx="627">
                  <c:v>271.73</c:v>
                </c:pt>
                <c:pt idx="628">
                  <c:v>271.41000000000003</c:v>
                </c:pt>
                <c:pt idx="629">
                  <c:v>271.41000000000003</c:v>
                </c:pt>
                <c:pt idx="630">
                  <c:v>271.41000000000003</c:v>
                </c:pt>
                <c:pt idx="631">
                  <c:v>271.06</c:v>
                </c:pt>
                <c:pt idx="632">
                  <c:v>268.38</c:v>
                </c:pt>
                <c:pt idx="633">
                  <c:v>268.12</c:v>
                </c:pt>
                <c:pt idx="634">
                  <c:v>267.67</c:v>
                </c:pt>
                <c:pt idx="635">
                  <c:v>269.14999999999998</c:v>
                </c:pt>
                <c:pt idx="636">
                  <c:v>269.14999999999998</c:v>
                </c:pt>
                <c:pt idx="637">
                  <c:v>269.14999999999998</c:v>
                </c:pt>
                <c:pt idx="638">
                  <c:v>271.44</c:v>
                </c:pt>
                <c:pt idx="639">
                  <c:v>272.23</c:v>
                </c:pt>
                <c:pt idx="640">
                  <c:v>274.32</c:v>
                </c:pt>
                <c:pt idx="641">
                  <c:v>274.32</c:v>
                </c:pt>
                <c:pt idx="642">
                  <c:v>273.97000000000003</c:v>
                </c:pt>
                <c:pt idx="643">
                  <c:v>273.97000000000003</c:v>
                </c:pt>
                <c:pt idx="644">
                  <c:v>273.97000000000003</c:v>
                </c:pt>
                <c:pt idx="645">
                  <c:v>272.60000000000002</c:v>
                </c:pt>
                <c:pt idx="646">
                  <c:v>272.94</c:v>
                </c:pt>
                <c:pt idx="647">
                  <c:v>274.20999999999998</c:v>
                </c:pt>
                <c:pt idx="648">
                  <c:v>274.76</c:v>
                </c:pt>
                <c:pt idx="649">
                  <c:v>276.11</c:v>
                </c:pt>
                <c:pt idx="650">
                  <c:v>276.11</c:v>
                </c:pt>
                <c:pt idx="651">
                  <c:v>276.11</c:v>
                </c:pt>
                <c:pt idx="652">
                  <c:v>276.18</c:v>
                </c:pt>
                <c:pt idx="653">
                  <c:v>275.27999999999997</c:v>
                </c:pt>
                <c:pt idx="654">
                  <c:v>273.42</c:v>
                </c:pt>
                <c:pt idx="655">
                  <c:v>274.42</c:v>
                </c:pt>
                <c:pt idx="656">
                  <c:v>272.95</c:v>
                </c:pt>
                <c:pt idx="657">
                  <c:v>272.95</c:v>
                </c:pt>
                <c:pt idx="658">
                  <c:v>272.95</c:v>
                </c:pt>
                <c:pt idx="659">
                  <c:v>273.61</c:v>
                </c:pt>
                <c:pt idx="660">
                  <c:v>275.49</c:v>
                </c:pt>
                <c:pt idx="661">
                  <c:v>276.76</c:v>
                </c:pt>
                <c:pt idx="662">
                  <c:v>275.41000000000003</c:v>
                </c:pt>
                <c:pt idx="663">
                  <c:v>277.38</c:v>
                </c:pt>
                <c:pt idx="664">
                  <c:v>277.38</c:v>
                </c:pt>
                <c:pt idx="665">
                  <c:v>277.38</c:v>
                </c:pt>
                <c:pt idx="666">
                  <c:v>276.88</c:v>
                </c:pt>
                <c:pt idx="667">
                  <c:v>276.20999999999998</c:v>
                </c:pt>
                <c:pt idx="668">
                  <c:v>273.08</c:v>
                </c:pt>
                <c:pt idx="669">
                  <c:v>270.79000000000002</c:v>
                </c:pt>
                <c:pt idx="670">
                  <c:v>268.81</c:v>
                </c:pt>
                <c:pt idx="671">
                  <c:v>268.81</c:v>
                </c:pt>
                <c:pt idx="672">
                  <c:v>268.81</c:v>
                </c:pt>
                <c:pt idx="673">
                  <c:v>260.88</c:v>
                </c:pt>
                <c:pt idx="674">
                  <c:v>264.24</c:v>
                </c:pt>
                <c:pt idx="675">
                  <c:v>264.42</c:v>
                </c:pt>
                <c:pt idx="676">
                  <c:v>269.58</c:v>
                </c:pt>
                <c:pt idx="677">
                  <c:v>267.7</c:v>
                </c:pt>
                <c:pt idx="678">
                  <c:v>267.7</c:v>
                </c:pt>
                <c:pt idx="679">
                  <c:v>267.7</c:v>
                </c:pt>
                <c:pt idx="680">
                  <c:v>264.58</c:v>
                </c:pt>
                <c:pt idx="681">
                  <c:v>268.66000000000003</c:v>
                </c:pt>
                <c:pt idx="682">
                  <c:v>260.57</c:v>
                </c:pt>
                <c:pt idx="683">
                  <c:v>261.39</c:v>
                </c:pt>
                <c:pt idx="684">
                  <c:v>265.22000000000003</c:v>
                </c:pt>
                <c:pt idx="685">
                  <c:v>265.22000000000003</c:v>
                </c:pt>
                <c:pt idx="686">
                  <c:v>265.22000000000003</c:v>
                </c:pt>
                <c:pt idx="687">
                  <c:v>268.48</c:v>
                </c:pt>
                <c:pt idx="688">
                  <c:v>266.39999999999998</c:v>
                </c:pt>
                <c:pt idx="689">
                  <c:v>268.56</c:v>
                </c:pt>
                <c:pt idx="690">
                  <c:v>268.45999999999998</c:v>
                </c:pt>
                <c:pt idx="691">
                  <c:v>261.57</c:v>
                </c:pt>
                <c:pt idx="692">
                  <c:v>261.57</c:v>
                </c:pt>
                <c:pt idx="693">
                  <c:v>261.57</c:v>
                </c:pt>
                <c:pt idx="694">
                  <c:v>264.47000000000003</c:v>
                </c:pt>
                <c:pt idx="695">
                  <c:v>263.43</c:v>
                </c:pt>
                <c:pt idx="696">
                  <c:v>265.26</c:v>
                </c:pt>
                <c:pt idx="697">
                  <c:v>268.70999999999998</c:v>
                </c:pt>
                <c:pt idx="698">
                  <c:v>268.56</c:v>
                </c:pt>
                <c:pt idx="699">
                  <c:v>268.56</c:v>
                </c:pt>
                <c:pt idx="700">
                  <c:v>268.56</c:v>
                </c:pt>
                <c:pt idx="701">
                  <c:v>268.56</c:v>
                </c:pt>
                <c:pt idx="702">
                  <c:v>267.11</c:v>
                </c:pt>
                <c:pt idx="703">
                  <c:v>269.97000000000003</c:v>
                </c:pt>
                <c:pt idx="704">
                  <c:v>273.54000000000002</c:v>
                </c:pt>
                <c:pt idx="705">
                  <c:v>273.74</c:v>
                </c:pt>
                <c:pt idx="706">
                  <c:v>273.74</c:v>
                </c:pt>
                <c:pt idx="707">
                  <c:v>273.74</c:v>
                </c:pt>
                <c:pt idx="708">
                  <c:v>273.81</c:v>
                </c:pt>
                <c:pt idx="709">
                  <c:v>273.87</c:v>
                </c:pt>
                <c:pt idx="710">
                  <c:v>275.83999999999997</c:v>
                </c:pt>
                <c:pt idx="711">
                  <c:v>276.64999999999998</c:v>
                </c:pt>
                <c:pt idx="712">
                  <c:v>276.58</c:v>
                </c:pt>
                <c:pt idx="713">
                  <c:v>276.58</c:v>
                </c:pt>
                <c:pt idx="714">
                  <c:v>276.58</c:v>
                </c:pt>
                <c:pt idx="715">
                  <c:v>275.67</c:v>
                </c:pt>
                <c:pt idx="716">
                  <c:v>276.42</c:v>
                </c:pt>
                <c:pt idx="717">
                  <c:v>276.58999999999997</c:v>
                </c:pt>
                <c:pt idx="718">
                  <c:v>276.52999999999997</c:v>
                </c:pt>
                <c:pt idx="719">
                  <c:v>275.05</c:v>
                </c:pt>
                <c:pt idx="720">
                  <c:v>275.05</c:v>
                </c:pt>
                <c:pt idx="721">
                  <c:v>275.05</c:v>
                </c:pt>
                <c:pt idx="722">
                  <c:v>275.24</c:v>
                </c:pt>
                <c:pt idx="723">
                  <c:v>272.95999999999998</c:v>
                </c:pt>
                <c:pt idx="724">
                  <c:v>274.63</c:v>
                </c:pt>
                <c:pt idx="725">
                  <c:v>272.79000000000002</c:v>
                </c:pt>
                <c:pt idx="726">
                  <c:v>271.26</c:v>
                </c:pt>
                <c:pt idx="727">
                  <c:v>271.26</c:v>
                </c:pt>
                <c:pt idx="728">
                  <c:v>271.26</c:v>
                </c:pt>
                <c:pt idx="729">
                  <c:v>272.60000000000002</c:v>
                </c:pt>
                <c:pt idx="730">
                  <c:v>269.32</c:v>
                </c:pt>
                <c:pt idx="731">
                  <c:v>264.57</c:v>
                </c:pt>
                <c:pt idx="732">
                  <c:v>266.67</c:v>
                </c:pt>
                <c:pt idx="733">
                  <c:v>270.37</c:v>
                </c:pt>
                <c:pt idx="734">
                  <c:v>270.37</c:v>
                </c:pt>
                <c:pt idx="735">
                  <c:v>270.37</c:v>
                </c:pt>
                <c:pt idx="736">
                  <c:v>269.20999999999998</c:v>
                </c:pt>
                <c:pt idx="737">
                  <c:v>265.02999999999997</c:v>
                </c:pt>
                <c:pt idx="738">
                  <c:v>267.5</c:v>
                </c:pt>
                <c:pt idx="739">
                  <c:v>269.32</c:v>
                </c:pt>
                <c:pt idx="740">
                  <c:v>272.13</c:v>
                </c:pt>
                <c:pt idx="741">
                  <c:v>272.13</c:v>
                </c:pt>
                <c:pt idx="742">
                  <c:v>272.13</c:v>
                </c:pt>
                <c:pt idx="743">
                  <c:v>271.88</c:v>
                </c:pt>
                <c:pt idx="744">
                  <c:v>274.51</c:v>
                </c:pt>
                <c:pt idx="745">
                  <c:v>274.08</c:v>
                </c:pt>
                <c:pt idx="746">
                  <c:v>274.82</c:v>
                </c:pt>
                <c:pt idx="747">
                  <c:v>273.69</c:v>
                </c:pt>
                <c:pt idx="748">
                  <c:v>273.69</c:v>
                </c:pt>
                <c:pt idx="749">
                  <c:v>273.69</c:v>
                </c:pt>
                <c:pt idx="750">
                  <c:v>275.60000000000002</c:v>
                </c:pt>
                <c:pt idx="751">
                  <c:v>274.63</c:v>
                </c:pt>
                <c:pt idx="752">
                  <c:v>275.44</c:v>
                </c:pt>
                <c:pt idx="753">
                  <c:v>275.89</c:v>
                </c:pt>
                <c:pt idx="754">
                  <c:v>277.04000000000002</c:v>
                </c:pt>
                <c:pt idx="755">
                  <c:v>277.04000000000002</c:v>
                </c:pt>
                <c:pt idx="756">
                  <c:v>277.04000000000002</c:v>
                </c:pt>
                <c:pt idx="757">
                  <c:v>278.64999999999998</c:v>
                </c:pt>
                <c:pt idx="758">
                  <c:v>278.47000000000003</c:v>
                </c:pt>
                <c:pt idx="759">
                  <c:v>279.45</c:v>
                </c:pt>
                <c:pt idx="760">
                  <c:v>278.55</c:v>
                </c:pt>
                <c:pt idx="761">
                  <c:v>281.2</c:v>
                </c:pt>
                <c:pt idx="762">
                  <c:v>281.2</c:v>
                </c:pt>
                <c:pt idx="763">
                  <c:v>281.2</c:v>
                </c:pt>
                <c:pt idx="764">
                  <c:v>282.32</c:v>
                </c:pt>
                <c:pt idx="765">
                  <c:v>281.95999999999998</c:v>
                </c:pt>
                <c:pt idx="766">
                  <c:v>282.11</c:v>
                </c:pt>
                <c:pt idx="767">
                  <c:v>283.11</c:v>
                </c:pt>
                <c:pt idx="768">
                  <c:v>283.8</c:v>
                </c:pt>
                <c:pt idx="769">
                  <c:v>283.8</c:v>
                </c:pt>
                <c:pt idx="770">
                  <c:v>283.8</c:v>
                </c:pt>
                <c:pt idx="771">
                  <c:v>283.25</c:v>
                </c:pt>
                <c:pt idx="772">
                  <c:v>283.81</c:v>
                </c:pt>
                <c:pt idx="773">
                  <c:v>283.93</c:v>
                </c:pt>
                <c:pt idx="774">
                  <c:v>284.31</c:v>
                </c:pt>
                <c:pt idx="775">
                  <c:v>286.43</c:v>
                </c:pt>
                <c:pt idx="776">
                  <c:v>286.43</c:v>
                </c:pt>
                <c:pt idx="777">
                  <c:v>286.43</c:v>
                </c:pt>
                <c:pt idx="778">
                  <c:v>286.61</c:v>
                </c:pt>
                <c:pt idx="779">
                  <c:v>286.47000000000003</c:v>
                </c:pt>
                <c:pt idx="780">
                  <c:v>285.45999999999998</c:v>
                </c:pt>
                <c:pt idx="781">
                  <c:v>285.02</c:v>
                </c:pt>
                <c:pt idx="782">
                  <c:v>285.64999999999998</c:v>
                </c:pt>
                <c:pt idx="783">
                  <c:v>285.64999999999998</c:v>
                </c:pt>
                <c:pt idx="784">
                  <c:v>285.64999999999998</c:v>
                </c:pt>
                <c:pt idx="785">
                  <c:v>287.82</c:v>
                </c:pt>
                <c:pt idx="786">
                  <c:v>288.39999999999998</c:v>
                </c:pt>
                <c:pt idx="787">
                  <c:v>289.76</c:v>
                </c:pt>
                <c:pt idx="788">
                  <c:v>289.76</c:v>
                </c:pt>
                <c:pt idx="789">
                  <c:v>288.64999999999998</c:v>
                </c:pt>
                <c:pt idx="790">
                  <c:v>288.64999999999998</c:v>
                </c:pt>
                <c:pt idx="791">
                  <c:v>288.64999999999998</c:v>
                </c:pt>
                <c:pt idx="792">
                  <c:v>286.3</c:v>
                </c:pt>
                <c:pt idx="793">
                  <c:v>284.29000000000002</c:v>
                </c:pt>
                <c:pt idx="794">
                  <c:v>286.11</c:v>
                </c:pt>
                <c:pt idx="795">
                  <c:v>286.64</c:v>
                </c:pt>
                <c:pt idx="796">
                  <c:v>289.19</c:v>
                </c:pt>
                <c:pt idx="797">
                  <c:v>289.19</c:v>
                </c:pt>
                <c:pt idx="798">
                  <c:v>289.19</c:v>
                </c:pt>
                <c:pt idx="799">
                  <c:v>288.31</c:v>
                </c:pt>
                <c:pt idx="800">
                  <c:v>288.04000000000002</c:v>
                </c:pt>
                <c:pt idx="801">
                  <c:v>288.79000000000002</c:v>
                </c:pt>
                <c:pt idx="802">
                  <c:v>291.33</c:v>
                </c:pt>
                <c:pt idx="803">
                  <c:v>291.44</c:v>
                </c:pt>
                <c:pt idx="804">
                  <c:v>291.44</c:v>
                </c:pt>
                <c:pt idx="805">
                  <c:v>291.44</c:v>
                </c:pt>
                <c:pt idx="806">
                  <c:v>293.5</c:v>
                </c:pt>
                <c:pt idx="807">
                  <c:v>293.56</c:v>
                </c:pt>
                <c:pt idx="808">
                  <c:v>293.58</c:v>
                </c:pt>
                <c:pt idx="809">
                  <c:v>294.8</c:v>
                </c:pt>
                <c:pt idx="810">
                  <c:v>296.3</c:v>
                </c:pt>
                <c:pt idx="811">
                  <c:v>296.3</c:v>
                </c:pt>
                <c:pt idx="812">
                  <c:v>296.3</c:v>
                </c:pt>
                <c:pt idx="813">
                  <c:v>295.16000000000003</c:v>
                </c:pt>
                <c:pt idx="814">
                  <c:v>295.16000000000003</c:v>
                </c:pt>
                <c:pt idx="815">
                  <c:v>295.16000000000003</c:v>
                </c:pt>
                <c:pt idx="816">
                  <c:v>296.67</c:v>
                </c:pt>
                <c:pt idx="817">
                  <c:v>296.67</c:v>
                </c:pt>
                <c:pt idx="818">
                  <c:v>296.67</c:v>
                </c:pt>
                <c:pt idx="819">
                  <c:v>296.67</c:v>
                </c:pt>
                <c:pt idx="820">
                  <c:v>295.04000000000002</c:v>
                </c:pt>
                <c:pt idx="821">
                  <c:v>295.8</c:v>
                </c:pt>
                <c:pt idx="822">
                  <c:v>295.8</c:v>
                </c:pt>
                <c:pt idx="823">
                  <c:v>298.42</c:v>
                </c:pt>
                <c:pt idx="824">
                  <c:v>296.24</c:v>
                </c:pt>
                <c:pt idx="825">
                  <c:v>296.24</c:v>
                </c:pt>
                <c:pt idx="826">
                  <c:v>296.24</c:v>
                </c:pt>
                <c:pt idx="827">
                  <c:v>297.35000000000002</c:v>
                </c:pt>
                <c:pt idx="828">
                  <c:v>296.52999999999997</c:v>
                </c:pt>
                <c:pt idx="829">
                  <c:v>298.06</c:v>
                </c:pt>
                <c:pt idx="830">
                  <c:v>300.12</c:v>
                </c:pt>
                <c:pt idx="831">
                  <c:v>299.26</c:v>
                </c:pt>
                <c:pt idx="832">
                  <c:v>299.26</c:v>
                </c:pt>
                <c:pt idx="833">
                  <c:v>299.26</c:v>
                </c:pt>
                <c:pt idx="834">
                  <c:v>301.24</c:v>
                </c:pt>
                <c:pt idx="835">
                  <c:v>300.83999999999997</c:v>
                </c:pt>
                <c:pt idx="836">
                  <c:v>301.51</c:v>
                </c:pt>
                <c:pt idx="837">
                  <c:v>304.02999999999997</c:v>
                </c:pt>
                <c:pt idx="838">
                  <c:v>305.06</c:v>
                </c:pt>
                <c:pt idx="839">
                  <c:v>305.06</c:v>
                </c:pt>
                <c:pt idx="840">
                  <c:v>305.06</c:v>
                </c:pt>
                <c:pt idx="841">
                  <c:v>305.06</c:v>
                </c:pt>
                <c:pt idx="842">
                  <c:v>304.43</c:v>
                </c:pt>
                <c:pt idx="843">
                  <c:v>304.51</c:v>
                </c:pt>
                <c:pt idx="844">
                  <c:v>304.81</c:v>
                </c:pt>
                <c:pt idx="845">
                  <c:v>302.02999999999997</c:v>
                </c:pt>
                <c:pt idx="846">
                  <c:v>302.02999999999997</c:v>
                </c:pt>
                <c:pt idx="847">
                  <c:v>302.02999999999997</c:v>
                </c:pt>
                <c:pt idx="848">
                  <c:v>297.23</c:v>
                </c:pt>
                <c:pt idx="849">
                  <c:v>300.45</c:v>
                </c:pt>
                <c:pt idx="850">
                  <c:v>300.14999999999998</c:v>
                </c:pt>
                <c:pt idx="851">
                  <c:v>301.08999999999997</c:v>
                </c:pt>
                <c:pt idx="852">
                  <c:v>295.69</c:v>
                </c:pt>
                <c:pt idx="853">
                  <c:v>295.69</c:v>
                </c:pt>
                <c:pt idx="854">
                  <c:v>295.69</c:v>
                </c:pt>
                <c:pt idx="855">
                  <c:v>297.83999999999997</c:v>
                </c:pt>
                <c:pt idx="856">
                  <c:v>302.43</c:v>
                </c:pt>
                <c:pt idx="857">
                  <c:v>305.85000000000002</c:v>
                </c:pt>
                <c:pt idx="858">
                  <c:v>306.89</c:v>
                </c:pt>
                <c:pt idx="859">
                  <c:v>305.33</c:v>
                </c:pt>
                <c:pt idx="860">
                  <c:v>305.33</c:v>
                </c:pt>
                <c:pt idx="861">
                  <c:v>305.33</c:v>
                </c:pt>
                <c:pt idx="862">
                  <c:v>307.52</c:v>
                </c:pt>
                <c:pt idx="863">
                  <c:v>308.08</c:v>
                </c:pt>
                <c:pt idx="864">
                  <c:v>310.06</c:v>
                </c:pt>
                <c:pt idx="865">
                  <c:v>309.76</c:v>
                </c:pt>
                <c:pt idx="866">
                  <c:v>310.27999999999997</c:v>
                </c:pt>
                <c:pt idx="867">
                  <c:v>310.27999999999997</c:v>
                </c:pt>
                <c:pt idx="868">
                  <c:v>310.27999999999997</c:v>
                </c:pt>
                <c:pt idx="869">
                  <c:v>310.27999999999997</c:v>
                </c:pt>
                <c:pt idx="870">
                  <c:v>309.43</c:v>
                </c:pt>
                <c:pt idx="871">
                  <c:v>310.92</c:v>
                </c:pt>
                <c:pt idx="872">
                  <c:v>309.7</c:v>
                </c:pt>
                <c:pt idx="873">
                  <c:v>306.49</c:v>
                </c:pt>
                <c:pt idx="874">
                  <c:v>306.49</c:v>
                </c:pt>
                <c:pt idx="875">
                  <c:v>306.49</c:v>
                </c:pt>
                <c:pt idx="876">
                  <c:v>296.24</c:v>
                </c:pt>
                <c:pt idx="877">
                  <c:v>287.33999999999997</c:v>
                </c:pt>
                <c:pt idx="878">
                  <c:v>286.07</c:v>
                </c:pt>
                <c:pt idx="879">
                  <c:v>273.39</c:v>
                </c:pt>
                <c:pt idx="880">
                  <c:v>271.74</c:v>
                </c:pt>
                <c:pt idx="881">
                  <c:v>271.74</c:v>
                </c:pt>
                <c:pt idx="882">
                  <c:v>271.74</c:v>
                </c:pt>
                <c:pt idx="883">
                  <c:v>283.87</c:v>
                </c:pt>
                <c:pt idx="884">
                  <c:v>276.04000000000002</c:v>
                </c:pt>
                <c:pt idx="885">
                  <c:v>287.48</c:v>
                </c:pt>
                <c:pt idx="886">
                  <c:v>277.85000000000002</c:v>
                </c:pt>
                <c:pt idx="887">
                  <c:v>273.19</c:v>
                </c:pt>
                <c:pt idx="888">
                  <c:v>273.19</c:v>
                </c:pt>
                <c:pt idx="889">
                  <c:v>273.19</c:v>
                </c:pt>
                <c:pt idx="890">
                  <c:v>252.11</c:v>
                </c:pt>
                <c:pt idx="891">
                  <c:v>263.81</c:v>
                </c:pt>
                <c:pt idx="892">
                  <c:v>250.73</c:v>
                </c:pt>
                <c:pt idx="893">
                  <c:v>226.48</c:v>
                </c:pt>
                <c:pt idx="894">
                  <c:v>247.64</c:v>
                </c:pt>
                <c:pt idx="895">
                  <c:v>247.64</c:v>
                </c:pt>
                <c:pt idx="896">
                  <c:v>247.64</c:v>
                </c:pt>
                <c:pt idx="897">
                  <c:v>218.57</c:v>
                </c:pt>
                <c:pt idx="898">
                  <c:v>232.88</c:v>
                </c:pt>
                <c:pt idx="899">
                  <c:v>220.15</c:v>
                </c:pt>
                <c:pt idx="900">
                  <c:v>220.34</c:v>
                </c:pt>
                <c:pt idx="901">
                  <c:v>210.74</c:v>
                </c:pt>
                <c:pt idx="902">
                  <c:v>210.74</c:v>
                </c:pt>
                <c:pt idx="903">
                  <c:v>210.74</c:v>
                </c:pt>
                <c:pt idx="904">
                  <c:v>204.27</c:v>
                </c:pt>
                <c:pt idx="905">
                  <c:v>223.75</c:v>
                </c:pt>
                <c:pt idx="906">
                  <c:v>226.62</c:v>
                </c:pt>
                <c:pt idx="907">
                  <c:v>240.24</c:v>
                </c:pt>
                <c:pt idx="908">
                  <c:v>232.86</c:v>
                </c:pt>
                <c:pt idx="909">
                  <c:v>232.86</c:v>
                </c:pt>
                <c:pt idx="910">
                  <c:v>232.86</c:v>
                </c:pt>
                <c:pt idx="911">
                  <c:v>240.39</c:v>
                </c:pt>
                <c:pt idx="912">
                  <c:v>236.82</c:v>
                </c:pt>
                <c:pt idx="913">
                  <c:v>226.15</c:v>
                </c:pt>
                <c:pt idx="914">
                  <c:v>231.44</c:v>
                </c:pt>
                <c:pt idx="915">
                  <c:v>228.02</c:v>
                </c:pt>
                <c:pt idx="916">
                  <c:v>228.02</c:v>
                </c:pt>
                <c:pt idx="917">
                  <c:v>228.02</c:v>
                </c:pt>
                <c:pt idx="918">
                  <c:v>243.53</c:v>
                </c:pt>
                <c:pt idx="919">
                  <c:v>243.66</c:v>
                </c:pt>
                <c:pt idx="920">
                  <c:v>251.93</c:v>
                </c:pt>
                <c:pt idx="921">
                  <c:v>255.67</c:v>
                </c:pt>
                <c:pt idx="922">
                  <c:v>255.67</c:v>
                </c:pt>
                <c:pt idx="923">
                  <c:v>255.67</c:v>
                </c:pt>
                <c:pt idx="924">
                  <c:v>255.67</c:v>
                </c:pt>
                <c:pt idx="925">
                  <c:v>253.19</c:v>
                </c:pt>
                <c:pt idx="926">
                  <c:v>260.92</c:v>
                </c:pt>
                <c:pt idx="927">
                  <c:v>255.24</c:v>
                </c:pt>
                <c:pt idx="928">
                  <c:v>256.52999999999997</c:v>
                </c:pt>
                <c:pt idx="929">
                  <c:v>263.61</c:v>
                </c:pt>
                <c:pt idx="930">
                  <c:v>263.61</c:v>
                </c:pt>
                <c:pt idx="931">
                  <c:v>263.61</c:v>
                </c:pt>
                <c:pt idx="932">
                  <c:v>258.86</c:v>
                </c:pt>
                <c:pt idx="933">
                  <c:v>250.95</c:v>
                </c:pt>
                <c:pt idx="934">
                  <c:v>256.47000000000003</c:v>
                </c:pt>
                <c:pt idx="935">
                  <c:v>256.42</c:v>
                </c:pt>
                <c:pt idx="936">
                  <c:v>260.14</c:v>
                </c:pt>
                <c:pt idx="937">
                  <c:v>260.14</c:v>
                </c:pt>
                <c:pt idx="938">
                  <c:v>260.14</c:v>
                </c:pt>
                <c:pt idx="939">
                  <c:v>263.89999999999998</c:v>
                </c:pt>
                <c:pt idx="940">
                  <c:v>262.68</c:v>
                </c:pt>
                <c:pt idx="941">
                  <c:v>269.45</c:v>
                </c:pt>
                <c:pt idx="942">
                  <c:v>267.10000000000002</c:v>
                </c:pt>
                <c:pt idx="943">
                  <c:v>259.82</c:v>
                </c:pt>
                <c:pt idx="944">
                  <c:v>259.82</c:v>
                </c:pt>
                <c:pt idx="945">
                  <c:v>259.82</c:v>
                </c:pt>
                <c:pt idx="946">
                  <c:v>260.64</c:v>
                </c:pt>
                <c:pt idx="947">
                  <c:v>263.04000000000002</c:v>
                </c:pt>
                <c:pt idx="948">
                  <c:v>261.27</c:v>
                </c:pt>
                <c:pt idx="949">
                  <c:v>264.36</c:v>
                </c:pt>
                <c:pt idx="950">
                  <c:v>268.77999999999997</c:v>
                </c:pt>
                <c:pt idx="951">
                  <c:v>268.77999999999997</c:v>
                </c:pt>
                <c:pt idx="952">
                  <c:v>268.77999999999997</c:v>
                </c:pt>
                <c:pt idx="953">
                  <c:v>268.82</c:v>
                </c:pt>
                <c:pt idx="954">
                  <c:v>263.41000000000003</c:v>
                </c:pt>
                <c:pt idx="955">
                  <c:v>258.74</c:v>
                </c:pt>
                <c:pt idx="956">
                  <c:v>261.86</c:v>
                </c:pt>
                <c:pt idx="957">
                  <c:v>263.04000000000002</c:v>
                </c:pt>
                <c:pt idx="958">
                  <c:v>263.04000000000002</c:v>
                </c:pt>
                <c:pt idx="959">
                  <c:v>263.04000000000002</c:v>
                </c:pt>
                <c:pt idx="960">
                  <c:v>271.08</c:v>
                </c:pt>
                <c:pt idx="961">
                  <c:v>268.52</c:v>
                </c:pt>
                <c:pt idx="962">
                  <c:v>272.89999999999998</c:v>
                </c:pt>
                <c:pt idx="963">
                  <c:v>270.94</c:v>
                </c:pt>
                <c:pt idx="964">
                  <c:v>270.94</c:v>
                </c:pt>
                <c:pt idx="965">
                  <c:v>270.94</c:v>
                </c:pt>
                <c:pt idx="966">
                  <c:v>270.94</c:v>
                </c:pt>
                <c:pt idx="967">
                  <c:v>270.94</c:v>
                </c:pt>
                <c:pt idx="968">
                  <c:v>270.94</c:v>
                </c:pt>
                <c:pt idx="969">
                  <c:v>270.94</c:v>
                </c:pt>
                <c:pt idx="970">
                  <c:v>270.94</c:v>
                </c:pt>
                <c:pt idx="971">
                  <c:v>270.94</c:v>
                </c:pt>
                <c:pt idx="972">
                  <c:v>270.94</c:v>
                </c:pt>
                <c:pt idx="973">
                  <c:v>270.94</c:v>
                </c:pt>
                <c:pt idx="97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63-4E69-A427-B0EE40867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2578256"/>
        <c:axId val="1282573992"/>
      </c:lineChart>
      <c:dateAx>
        <c:axId val="1282578256"/>
        <c:scaling>
          <c:orientation val="minMax"/>
        </c:scaling>
        <c:delete val="0"/>
        <c:axPos val="b"/>
        <c:numFmt formatCode="[$-409]ddd\,\ d/mmm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2573992"/>
        <c:crosses val="autoZero"/>
        <c:auto val="1"/>
        <c:lblOffset val="100"/>
        <c:baseTimeUnit val="days"/>
      </c:dateAx>
      <c:valAx>
        <c:axId val="1282573992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2578256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defRPr>
            </a:pPr>
            <a:r>
              <a:rPr lang="en-US" sz="1000">
                <a:latin typeface="Segoe UI Light" panose="020B0502040204020203" pitchFamily="34" charset="0"/>
                <a:cs typeface="Segoe UI Light" panose="020B0502040204020203" pitchFamily="34" charset="0"/>
              </a:rPr>
              <a:t>Net Worth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952430792107864"/>
          <c:y val="0.21000324621789848"/>
          <c:w val="0.77771594792345267"/>
          <c:h val="0.64537645822169087"/>
        </c:manualLayout>
      </c:layout>
      <c:lineChart>
        <c:grouping val="standard"/>
        <c:varyColors val="0"/>
        <c:ser>
          <c:idx val="0"/>
          <c:order val="0"/>
          <c:tx>
            <c:strRef>
              <c:f>'Scratch pad'!$C$81</c:f>
              <c:strCache>
                <c:ptCount val="1"/>
                <c:pt idx="0">
                  <c:v>Worth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Lbl>
              <c:idx val="75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9D-430C-8515-B3C48867DFF3}"/>
                </c:ext>
              </c:extLst>
            </c:dLbl>
            <c:dLbl>
              <c:idx val="1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F9D-430C-8515-B3C48867DFF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>
                    <a:latin typeface="Segoe UI Light" panose="020B0502040204020203" pitchFamily="34" charset="0"/>
                    <a:cs typeface="Segoe UI Light" panose="020B0502040204020203" pitchFamily="34" charset="0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'Scratch pad'!$B$82:$B$219</c:f>
              <c:numCache>
                <c:formatCode>[$-409]d/mmm/yy;@</c:formatCode>
                <c:ptCount val="138"/>
                <c:pt idx="0">
                  <c:v>43831</c:v>
                </c:pt>
                <c:pt idx="1">
                  <c:v>43800</c:v>
                </c:pt>
                <c:pt idx="2">
                  <c:v>43770</c:v>
                </c:pt>
                <c:pt idx="3">
                  <c:v>43739</c:v>
                </c:pt>
                <c:pt idx="4">
                  <c:v>43709</c:v>
                </c:pt>
                <c:pt idx="5">
                  <c:v>43678</c:v>
                </c:pt>
                <c:pt idx="6">
                  <c:v>43647</c:v>
                </c:pt>
                <c:pt idx="7">
                  <c:v>43617</c:v>
                </c:pt>
                <c:pt idx="8">
                  <c:v>43586</c:v>
                </c:pt>
                <c:pt idx="9">
                  <c:v>43556</c:v>
                </c:pt>
                <c:pt idx="10">
                  <c:v>43525</c:v>
                </c:pt>
                <c:pt idx="11">
                  <c:v>43497</c:v>
                </c:pt>
                <c:pt idx="12">
                  <c:v>43466</c:v>
                </c:pt>
                <c:pt idx="13">
                  <c:v>43435</c:v>
                </c:pt>
                <c:pt idx="14">
                  <c:v>43405</c:v>
                </c:pt>
                <c:pt idx="15">
                  <c:v>43374</c:v>
                </c:pt>
                <c:pt idx="16">
                  <c:v>43344</c:v>
                </c:pt>
                <c:pt idx="17">
                  <c:v>43313</c:v>
                </c:pt>
                <c:pt idx="18">
                  <c:v>43282</c:v>
                </c:pt>
                <c:pt idx="19">
                  <c:v>43252</c:v>
                </c:pt>
                <c:pt idx="20">
                  <c:v>43221</c:v>
                </c:pt>
                <c:pt idx="21">
                  <c:v>43191</c:v>
                </c:pt>
                <c:pt idx="22">
                  <c:v>43160</c:v>
                </c:pt>
                <c:pt idx="23">
                  <c:v>43132</c:v>
                </c:pt>
                <c:pt idx="24">
                  <c:v>43101</c:v>
                </c:pt>
                <c:pt idx="25">
                  <c:v>43070</c:v>
                </c:pt>
                <c:pt idx="26">
                  <c:v>43040</c:v>
                </c:pt>
                <c:pt idx="27">
                  <c:v>43009</c:v>
                </c:pt>
                <c:pt idx="28">
                  <c:v>42979</c:v>
                </c:pt>
                <c:pt idx="29">
                  <c:v>42948</c:v>
                </c:pt>
                <c:pt idx="30">
                  <c:v>42917</c:v>
                </c:pt>
                <c:pt idx="31">
                  <c:v>42887</c:v>
                </c:pt>
                <c:pt idx="32">
                  <c:v>42856</c:v>
                </c:pt>
                <c:pt idx="33">
                  <c:v>42826</c:v>
                </c:pt>
                <c:pt idx="34">
                  <c:v>42795</c:v>
                </c:pt>
                <c:pt idx="35">
                  <c:v>42767</c:v>
                </c:pt>
                <c:pt idx="36">
                  <c:v>42736</c:v>
                </c:pt>
                <c:pt idx="37">
                  <c:v>42705</c:v>
                </c:pt>
                <c:pt idx="38">
                  <c:v>42675</c:v>
                </c:pt>
                <c:pt idx="39">
                  <c:v>42644</c:v>
                </c:pt>
                <c:pt idx="40">
                  <c:v>42614</c:v>
                </c:pt>
                <c:pt idx="41">
                  <c:v>42583</c:v>
                </c:pt>
                <c:pt idx="42">
                  <c:v>42552</c:v>
                </c:pt>
                <c:pt idx="43">
                  <c:v>42522</c:v>
                </c:pt>
                <c:pt idx="44">
                  <c:v>42491</c:v>
                </c:pt>
                <c:pt idx="45">
                  <c:v>42461</c:v>
                </c:pt>
                <c:pt idx="46">
                  <c:v>42430</c:v>
                </c:pt>
                <c:pt idx="47">
                  <c:v>42401</c:v>
                </c:pt>
                <c:pt idx="48">
                  <c:v>42370</c:v>
                </c:pt>
                <c:pt idx="49">
                  <c:v>42339</c:v>
                </c:pt>
                <c:pt idx="50">
                  <c:v>42278</c:v>
                </c:pt>
                <c:pt idx="51">
                  <c:v>42248</c:v>
                </c:pt>
                <c:pt idx="52">
                  <c:v>42217</c:v>
                </c:pt>
                <c:pt idx="53">
                  <c:v>42186</c:v>
                </c:pt>
                <c:pt idx="54">
                  <c:v>42156</c:v>
                </c:pt>
                <c:pt idx="55">
                  <c:v>42125</c:v>
                </c:pt>
                <c:pt idx="56">
                  <c:v>42095</c:v>
                </c:pt>
                <c:pt idx="57">
                  <c:v>42064</c:v>
                </c:pt>
                <c:pt idx="58">
                  <c:v>42036</c:v>
                </c:pt>
                <c:pt idx="59">
                  <c:v>42005</c:v>
                </c:pt>
                <c:pt idx="60">
                  <c:v>41974</c:v>
                </c:pt>
                <c:pt idx="61">
                  <c:v>41944</c:v>
                </c:pt>
                <c:pt idx="62">
                  <c:v>41913</c:v>
                </c:pt>
                <c:pt idx="63">
                  <c:v>41883</c:v>
                </c:pt>
                <c:pt idx="64">
                  <c:v>41852</c:v>
                </c:pt>
                <c:pt idx="65">
                  <c:v>41821</c:v>
                </c:pt>
                <c:pt idx="66">
                  <c:v>41791</c:v>
                </c:pt>
                <c:pt idx="67">
                  <c:v>41760</c:v>
                </c:pt>
                <c:pt idx="68">
                  <c:v>41730</c:v>
                </c:pt>
                <c:pt idx="69">
                  <c:v>41699</c:v>
                </c:pt>
                <c:pt idx="70">
                  <c:v>41671</c:v>
                </c:pt>
                <c:pt idx="71">
                  <c:v>41640</c:v>
                </c:pt>
                <c:pt idx="72">
                  <c:v>41609</c:v>
                </c:pt>
                <c:pt idx="73">
                  <c:v>41579</c:v>
                </c:pt>
                <c:pt idx="74">
                  <c:v>41548</c:v>
                </c:pt>
                <c:pt idx="75">
                  <c:v>41518</c:v>
                </c:pt>
                <c:pt idx="76">
                  <c:v>41487</c:v>
                </c:pt>
                <c:pt idx="77">
                  <c:v>41456</c:v>
                </c:pt>
                <c:pt idx="78">
                  <c:v>41426</c:v>
                </c:pt>
                <c:pt idx="79">
                  <c:v>41395</c:v>
                </c:pt>
                <c:pt idx="80">
                  <c:v>41365</c:v>
                </c:pt>
                <c:pt idx="81">
                  <c:v>41334</c:v>
                </c:pt>
                <c:pt idx="82">
                  <c:v>41306</c:v>
                </c:pt>
                <c:pt idx="83">
                  <c:v>41275</c:v>
                </c:pt>
                <c:pt idx="84">
                  <c:v>41244</c:v>
                </c:pt>
                <c:pt idx="85">
                  <c:v>41214</c:v>
                </c:pt>
                <c:pt idx="86">
                  <c:v>41183</c:v>
                </c:pt>
                <c:pt idx="87">
                  <c:v>41153</c:v>
                </c:pt>
                <c:pt idx="88">
                  <c:v>41122</c:v>
                </c:pt>
                <c:pt idx="89">
                  <c:v>41091</c:v>
                </c:pt>
                <c:pt idx="90">
                  <c:v>41061</c:v>
                </c:pt>
                <c:pt idx="91">
                  <c:v>41030</c:v>
                </c:pt>
                <c:pt idx="92">
                  <c:v>41000</c:v>
                </c:pt>
                <c:pt idx="93">
                  <c:v>40969</c:v>
                </c:pt>
                <c:pt idx="94">
                  <c:v>40940</c:v>
                </c:pt>
                <c:pt idx="95">
                  <c:v>40909</c:v>
                </c:pt>
                <c:pt idx="96">
                  <c:v>40878</c:v>
                </c:pt>
                <c:pt idx="97">
                  <c:v>40848</c:v>
                </c:pt>
                <c:pt idx="98">
                  <c:v>40817</c:v>
                </c:pt>
                <c:pt idx="99">
                  <c:v>40787</c:v>
                </c:pt>
                <c:pt idx="100">
                  <c:v>40756</c:v>
                </c:pt>
                <c:pt idx="101">
                  <c:v>40725</c:v>
                </c:pt>
                <c:pt idx="102">
                  <c:v>40695</c:v>
                </c:pt>
                <c:pt idx="103">
                  <c:v>40664</c:v>
                </c:pt>
                <c:pt idx="104">
                  <c:v>40634</c:v>
                </c:pt>
                <c:pt idx="105">
                  <c:v>40603</c:v>
                </c:pt>
                <c:pt idx="106">
                  <c:v>40575</c:v>
                </c:pt>
                <c:pt idx="107">
                  <c:v>40544</c:v>
                </c:pt>
                <c:pt idx="108">
                  <c:v>40513</c:v>
                </c:pt>
                <c:pt idx="109">
                  <c:v>40483</c:v>
                </c:pt>
                <c:pt idx="110">
                  <c:v>40452</c:v>
                </c:pt>
                <c:pt idx="111">
                  <c:v>40422</c:v>
                </c:pt>
                <c:pt idx="112">
                  <c:v>40391</c:v>
                </c:pt>
                <c:pt idx="113">
                  <c:v>40360</c:v>
                </c:pt>
                <c:pt idx="114">
                  <c:v>40330</c:v>
                </c:pt>
                <c:pt idx="115">
                  <c:v>40299</c:v>
                </c:pt>
                <c:pt idx="116">
                  <c:v>40269</c:v>
                </c:pt>
                <c:pt idx="117">
                  <c:v>40238</c:v>
                </c:pt>
                <c:pt idx="118">
                  <c:v>40210</c:v>
                </c:pt>
                <c:pt idx="119">
                  <c:v>40179</c:v>
                </c:pt>
                <c:pt idx="120">
                  <c:v>40148</c:v>
                </c:pt>
                <c:pt idx="121">
                  <c:v>40126</c:v>
                </c:pt>
                <c:pt idx="122">
                  <c:v>40087</c:v>
                </c:pt>
                <c:pt idx="123">
                  <c:v>40065</c:v>
                </c:pt>
                <c:pt idx="124">
                  <c:v>40026</c:v>
                </c:pt>
                <c:pt idx="125">
                  <c:v>39995</c:v>
                </c:pt>
                <c:pt idx="126">
                  <c:v>39965</c:v>
                </c:pt>
                <c:pt idx="127">
                  <c:v>39934</c:v>
                </c:pt>
                <c:pt idx="128">
                  <c:v>39904</c:v>
                </c:pt>
                <c:pt idx="129">
                  <c:v>39873</c:v>
                </c:pt>
                <c:pt idx="130">
                  <c:v>39845</c:v>
                </c:pt>
                <c:pt idx="131">
                  <c:v>39814</c:v>
                </c:pt>
                <c:pt idx="132">
                  <c:v>39783</c:v>
                </c:pt>
                <c:pt idx="133">
                  <c:v>39753</c:v>
                </c:pt>
                <c:pt idx="134">
                  <c:v>39722</c:v>
                </c:pt>
                <c:pt idx="135">
                  <c:v>39692</c:v>
                </c:pt>
                <c:pt idx="136">
                  <c:v>39661</c:v>
                </c:pt>
                <c:pt idx="137">
                  <c:v>39630</c:v>
                </c:pt>
              </c:numCache>
            </c:numRef>
          </c:cat>
          <c:val>
            <c:numRef>
              <c:f>'Scratch pad'!$C$82:$C$219</c:f>
              <c:numCache>
                <c:formatCode>"$"#,##0</c:formatCode>
                <c:ptCount val="138"/>
                <c:pt idx="0">
                  <c:v>1177276.58</c:v>
                </c:pt>
                <c:pt idx="1">
                  <c:v>1164806.6299999999</c:v>
                </c:pt>
                <c:pt idx="2">
                  <c:v>1158147.3900000001</c:v>
                </c:pt>
                <c:pt idx="3">
                  <c:v>1143235.44</c:v>
                </c:pt>
                <c:pt idx="4">
                  <c:v>1167579.5249359999</c:v>
                </c:pt>
                <c:pt idx="5">
                  <c:v>1155138.7745690001</c:v>
                </c:pt>
                <c:pt idx="6">
                  <c:v>1093687.7370259999</c:v>
                </c:pt>
                <c:pt idx="7">
                  <c:v>1095667.7196499999</c:v>
                </c:pt>
                <c:pt idx="8">
                  <c:v>1095720.72108</c:v>
                </c:pt>
                <c:pt idx="9">
                  <c:v>1084665.9920770002</c:v>
                </c:pt>
                <c:pt idx="10">
                  <c:v>1057595.7291999999</c:v>
                </c:pt>
                <c:pt idx="11">
                  <c:v>1040102.6868</c:v>
                </c:pt>
                <c:pt idx="12">
                  <c:v>1041408.4902999999</c:v>
                </c:pt>
                <c:pt idx="13">
                  <c:v>1070821.4482</c:v>
                </c:pt>
                <c:pt idx="14">
                  <c:v>1060837.9308</c:v>
                </c:pt>
                <c:pt idx="15">
                  <c:v>1071040.8357696</c:v>
                </c:pt>
                <c:pt idx="16">
                  <c:v>1057188</c:v>
                </c:pt>
                <c:pt idx="17">
                  <c:v>1031000</c:v>
                </c:pt>
                <c:pt idx="18">
                  <c:v>1028000</c:v>
                </c:pt>
                <c:pt idx="19">
                  <c:v>1020530.0432924</c:v>
                </c:pt>
                <c:pt idx="20">
                  <c:v>1011791.68884</c:v>
                </c:pt>
                <c:pt idx="21">
                  <c:v>999350.08558999992</c:v>
                </c:pt>
                <c:pt idx="22">
                  <c:v>998294.75656000013</c:v>
                </c:pt>
                <c:pt idx="23">
                  <c:v>1010469</c:v>
                </c:pt>
                <c:pt idx="24">
                  <c:v>1003224</c:v>
                </c:pt>
                <c:pt idx="25">
                  <c:v>989996.47401999997</c:v>
                </c:pt>
                <c:pt idx="26">
                  <c:v>988350</c:v>
                </c:pt>
                <c:pt idx="27">
                  <c:v>993863</c:v>
                </c:pt>
                <c:pt idx="28">
                  <c:v>831854.65523999999</c:v>
                </c:pt>
                <c:pt idx="29">
                  <c:v>818327</c:v>
                </c:pt>
                <c:pt idx="30">
                  <c:v>804129</c:v>
                </c:pt>
                <c:pt idx="31">
                  <c:v>810853</c:v>
                </c:pt>
                <c:pt idx="32">
                  <c:v>820677</c:v>
                </c:pt>
                <c:pt idx="33">
                  <c:v>819014</c:v>
                </c:pt>
                <c:pt idx="34">
                  <c:v>730921</c:v>
                </c:pt>
                <c:pt idx="35">
                  <c:v>730458</c:v>
                </c:pt>
                <c:pt idx="36">
                  <c:v>722712</c:v>
                </c:pt>
                <c:pt idx="37">
                  <c:v>720653</c:v>
                </c:pt>
                <c:pt idx="38">
                  <c:v>713610</c:v>
                </c:pt>
                <c:pt idx="39">
                  <c:v>707580</c:v>
                </c:pt>
                <c:pt idx="40">
                  <c:v>701565</c:v>
                </c:pt>
                <c:pt idx="41">
                  <c:v>701823.17459120008</c:v>
                </c:pt>
                <c:pt idx="42">
                  <c:v>698472.19922120008</c:v>
                </c:pt>
                <c:pt idx="43">
                  <c:v>666476.43983000005</c:v>
                </c:pt>
                <c:pt idx="44">
                  <c:v>670202.84891000006</c:v>
                </c:pt>
                <c:pt idx="45">
                  <c:v>663683</c:v>
                </c:pt>
                <c:pt idx="46">
                  <c:v>663683.13463099999</c:v>
                </c:pt>
                <c:pt idx="47">
                  <c:v>659168.4569772</c:v>
                </c:pt>
                <c:pt idx="48">
                  <c:v>654634.99512999994</c:v>
                </c:pt>
                <c:pt idx="49">
                  <c:v>597517.83319000003</c:v>
                </c:pt>
                <c:pt idx="50">
                  <c:v>601175.54954000004</c:v>
                </c:pt>
                <c:pt idx="51">
                  <c:v>587063.57927959994</c:v>
                </c:pt>
                <c:pt idx="52">
                  <c:v>595386.13570960006</c:v>
                </c:pt>
                <c:pt idx="53">
                  <c:v>581133.21760959993</c:v>
                </c:pt>
                <c:pt idx="54">
                  <c:v>576894.48470959999</c:v>
                </c:pt>
                <c:pt idx="55">
                  <c:v>584757.06540960004</c:v>
                </c:pt>
                <c:pt idx="56">
                  <c:v>577636.31689959997</c:v>
                </c:pt>
                <c:pt idx="57">
                  <c:v>555962.2830696</c:v>
                </c:pt>
                <c:pt idx="58">
                  <c:v>549798.34884999995</c:v>
                </c:pt>
                <c:pt idx="59">
                  <c:v>547333.30053000001</c:v>
                </c:pt>
                <c:pt idx="60">
                  <c:v>543334.15757000004</c:v>
                </c:pt>
                <c:pt idx="61">
                  <c:v>529015</c:v>
                </c:pt>
                <c:pt idx="62">
                  <c:v>859412.01419600006</c:v>
                </c:pt>
                <c:pt idx="63">
                  <c:v>843261.18723600009</c:v>
                </c:pt>
                <c:pt idx="64">
                  <c:v>816742.43996800005</c:v>
                </c:pt>
                <c:pt idx="65">
                  <c:v>809916.56424599991</c:v>
                </c:pt>
                <c:pt idx="66">
                  <c:v>808602.78380199999</c:v>
                </c:pt>
                <c:pt idx="67">
                  <c:v>789612.03757799999</c:v>
                </c:pt>
                <c:pt idx="68">
                  <c:v>623219.71307599987</c:v>
                </c:pt>
                <c:pt idx="69">
                  <c:v>610624.91011200007</c:v>
                </c:pt>
                <c:pt idx="70">
                  <c:v>597548.75827200001</c:v>
                </c:pt>
                <c:pt idx="71">
                  <c:v>603610.60444999998</c:v>
                </c:pt>
                <c:pt idx="72">
                  <c:v>594833.22008999996</c:v>
                </c:pt>
                <c:pt idx="73">
                  <c:v>592453.39803000004</c:v>
                </c:pt>
                <c:pt idx="74">
                  <c:v>592543.77501554997</c:v>
                </c:pt>
                <c:pt idx="75">
                  <c:v>582493.26856654999</c:v>
                </c:pt>
                <c:pt idx="76">
                  <c:v>570130.88506254996</c:v>
                </c:pt>
                <c:pt idx="77">
                  <c:v>564830.14762654994</c:v>
                </c:pt>
                <c:pt idx="78">
                  <c:v>555002.57025999995</c:v>
                </c:pt>
                <c:pt idx="79">
                  <c:v>555814.47958000004</c:v>
                </c:pt>
                <c:pt idx="80">
                  <c:v>550461.31755000004</c:v>
                </c:pt>
                <c:pt idx="81">
                  <c:v>546040.07345000003</c:v>
                </c:pt>
                <c:pt idx="82">
                  <c:v>541093.82565000001</c:v>
                </c:pt>
                <c:pt idx="83">
                  <c:v>538935.16142999998</c:v>
                </c:pt>
                <c:pt idx="84">
                  <c:v>528238.98642999993</c:v>
                </c:pt>
                <c:pt idx="85">
                  <c:v>522235.02678000001</c:v>
                </c:pt>
                <c:pt idx="86">
                  <c:v>523337.13594999997</c:v>
                </c:pt>
                <c:pt idx="87">
                  <c:v>516473.3701</c:v>
                </c:pt>
                <c:pt idx="88">
                  <c:v>501228.28032999998</c:v>
                </c:pt>
                <c:pt idx="89">
                  <c:v>493432.12773000001</c:v>
                </c:pt>
                <c:pt idx="90">
                  <c:v>480516.74550999998</c:v>
                </c:pt>
                <c:pt idx="91">
                  <c:v>476447.76150999998</c:v>
                </c:pt>
                <c:pt idx="92">
                  <c:v>476376.31495999999</c:v>
                </c:pt>
                <c:pt idx="93">
                  <c:v>423997.78265999997</c:v>
                </c:pt>
                <c:pt idx="94">
                  <c:v>422347.71189999999</c:v>
                </c:pt>
                <c:pt idx="95">
                  <c:v>414490.82698000001</c:v>
                </c:pt>
                <c:pt idx="96">
                  <c:v>404785.51919999998</c:v>
                </c:pt>
                <c:pt idx="97">
                  <c:v>405821.99374299997</c:v>
                </c:pt>
                <c:pt idx="98">
                  <c:v>406521.81062</c:v>
                </c:pt>
                <c:pt idx="99">
                  <c:v>389783.23855499999</c:v>
                </c:pt>
                <c:pt idx="100">
                  <c:v>385581.238595</c:v>
                </c:pt>
                <c:pt idx="101">
                  <c:v>397123.10286500002</c:v>
                </c:pt>
                <c:pt idx="102">
                  <c:v>392245.54785999999</c:v>
                </c:pt>
                <c:pt idx="103">
                  <c:v>390084.23931999999</c:v>
                </c:pt>
                <c:pt idx="104">
                  <c:v>391054.29168000002</c:v>
                </c:pt>
                <c:pt idx="105">
                  <c:v>393064.413115</c:v>
                </c:pt>
                <c:pt idx="106">
                  <c:v>391000</c:v>
                </c:pt>
                <c:pt idx="107">
                  <c:v>380900.12384000001</c:v>
                </c:pt>
                <c:pt idx="108">
                  <c:v>382731.71464199998</c:v>
                </c:pt>
                <c:pt idx="109">
                  <c:v>376596.68722699996</c:v>
                </c:pt>
                <c:pt idx="110">
                  <c:v>367602.05886400002</c:v>
                </c:pt>
                <c:pt idx="111">
                  <c:v>363571.72059199994</c:v>
                </c:pt>
                <c:pt idx="112">
                  <c:v>344655</c:v>
                </c:pt>
                <c:pt idx="113">
                  <c:v>359399</c:v>
                </c:pt>
                <c:pt idx="114">
                  <c:v>353979</c:v>
                </c:pt>
                <c:pt idx="115">
                  <c:v>357723</c:v>
                </c:pt>
                <c:pt idx="116">
                  <c:v>356284</c:v>
                </c:pt>
                <c:pt idx="117">
                  <c:v>352887</c:v>
                </c:pt>
                <c:pt idx="118">
                  <c:v>351349</c:v>
                </c:pt>
                <c:pt idx="119">
                  <c:v>356420</c:v>
                </c:pt>
                <c:pt idx="120">
                  <c:v>349446</c:v>
                </c:pt>
                <c:pt idx="121">
                  <c:v>357128</c:v>
                </c:pt>
                <c:pt idx="122">
                  <c:v>361624.88720613997</c:v>
                </c:pt>
                <c:pt idx="123">
                  <c:v>330879.67869183049</c:v>
                </c:pt>
                <c:pt idx="124">
                  <c:v>330879.67869183049</c:v>
                </c:pt>
                <c:pt idx="125">
                  <c:v>331591.63052583049</c:v>
                </c:pt>
                <c:pt idx="126">
                  <c:v>331591.63052583049</c:v>
                </c:pt>
                <c:pt idx="127">
                  <c:v>355947.75154450629</c:v>
                </c:pt>
                <c:pt idx="128">
                  <c:v>327387.50639064005</c:v>
                </c:pt>
                <c:pt idx="129">
                  <c:v>327387.50639064005</c:v>
                </c:pt>
                <c:pt idx="130">
                  <c:v>327387.50639064005</c:v>
                </c:pt>
                <c:pt idx="131">
                  <c:v>327387.50639064005</c:v>
                </c:pt>
                <c:pt idx="132">
                  <c:v>327387.50639064005</c:v>
                </c:pt>
                <c:pt idx="133">
                  <c:v>327387.50639064005</c:v>
                </c:pt>
                <c:pt idx="134">
                  <c:v>327387.50639064005</c:v>
                </c:pt>
                <c:pt idx="135">
                  <c:v>274745.79629899998</c:v>
                </c:pt>
                <c:pt idx="136">
                  <c:v>274745.79629899998</c:v>
                </c:pt>
                <c:pt idx="137">
                  <c:v>274745.79629899998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9D-430C-8515-B3C48867D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6352944"/>
        <c:axId val="396354584"/>
      </c:lineChart>
      <c:dateAx>
        <c:axId val="396352944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defRPr>
            </a:pPr>
            <a:endParaRPr lang="en-US"/>
          </a:p>
        </c:txPr>
        <c:crossAx val="396354584"/>
        <c:crosses val="autoZero"/>
        <c:auto val="1"/>
        <c:lblOffset val="100"/>
        <c:baseTimeUnit val="months"/>
        <c:majorUnit val="2"/>
        <c:majorTimeUnit val="years"/>
      </c:dateAx>
      <c:valAx>
        <c:axId val="39635458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defRPr>
            </a:pPr>
            <a:endParaRPr lang="en-US"/>
          </a:p>
        </c:txPr>
        <c:crossAx val="396352944"/>
        <c:crosses val="autoZero"/>
        <c:crossBetween val="between"/>
        <c:majorUnit val="200000"/>
        <c:dispUnits>
          <c:builtInUnit val="thousands"/>
        </c:dispUnits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defRPr>
            </a:pPr>
            <a:r>
              <a:rPr lang="en-US" sz="1000">
                <a:latin typeface="Segoe UI Light" panose="020B0502040204020203" pitchFamily="34" charset="0"/>
                <a:cs typeface="Segoe UI Light" panose="020B0502040204020203" pitchFamily="34" charset="0"/>
              </a:rPr>
              <a:t>Net Worth (Jan)</a:t>
            </a:r>
          </a:p>
        </c:rich>
      </c:tx>
      <c:layout>
        <c:manualLayout>
          <c:xMode val="edge"/>
          <c:yMode val="edge"/>
          <c:x val="0.36799999999999999"/>
          <c:y val="4.99052201808107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egoe UI Light" panose="020B0502040204020203" pitchFamily="34" charset="0"/>
              <a:ea typeface="+mn-ea"/>
              <a:cs typeface="Segoe UI Light" panose="020B0502040204020203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rgbClr val="92D050"/>
          </a:solidFill>
          <a:ln>
            <a:noFill/>
          </a:ln>
          <a:effectLst/>
        </c:spPr>
      </c:pivotFmt>
      <c:pivotFmt>
        <c:idx val="93"/>
        <c:spPr>
          <a:solidFill>
            <a:srgbClr val="FFC000"/>
          </a:solidFill>
          <a:ln>
            <a:noFill/>
          </a:ln>
          <a:effectLst/>
        </c:spPr>
      </c:pivotFmt>
      <c:pivotFmt>
        <c:idx val="94"/>
        <c:spPr>
          <a:solidFill>
            <a:srgbClr val="C00000"/>
          </a:solidFill>
          <a:ln>
            <a:noFill/>
          </a:ln>
          <a:effectLst/>
        </c:spPr>
      </c:pivotFmt>
      <c:pivotFmt>
        <c:idx val="95"/>
        <c:spPr>
          <a:solidFill>
            <a:schemeClr val="accent4"/>
          </a:solidFill>
          <a:ln>
            <a:noFill/>
          </a:ln>
          <a:effectLst/>
        </c:spPr>
      </c:pivotFmt>
      <c:pivotFmt>
        <c:idx val="96"/>
        <c:spPr>
          <a:solidFill>
            <a:schemeClr val="accent5"/>
          </a:solidFill>
          <a:ln>
            <a:noFill/>
          </a:ln>
          <a:effectLst/>
        </c:spPr>
      </c:pivotFmt>
      <c:pivotFmt>
        <c:idx val="97"/>
        <c:spPr>
          <a:solidFill>
            <a:schemeClr val="accent2"/>
          </a:solidFill>
          <a:ln>
            <a:noFill/>
          </a:ln>
          <a:effectLst/>
        </c:spPr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rgbClr val="92D050"/>
          </a:solidFill>
          <a:ln>
            <a:noFill/>
          </a:ln>
          <a:effectLst/>
        </c:spPr>
      </c:pivotFmt>
      <c:pivotFmt>
        <c:idx val="101"/>
        <c:spPr>
          <a:solidFill>
            <a:srgbClr val="FFC000"/>
          </a:solidFill>
          <a:ln>
            <a:noFill/>
          </a:ln>
          <a:effectLst/>
        </c:spPr>
      </c:pivotFmt>
      <c:pivotFmt>
        <c:idx val="102"/>
        <c:spPr>
          <a:solidFill>
            <a:srgbClr val="C00000"/>
          </a:solidFill>
          <a:ln>
            <a:noFill/>
          </a:ln>
          <a:effectLst/>
        </c:spPr>
      </c:pivotFmt>
      <c:pivotFmt>
        <c:idx val="103"/>
        <c:spPr>
          <a:solidFill>
            <a:schemeClr val="accent4"/>
          </a:solidFill>
          <a:ln>
            <a:noFill/>
          </a:ln>
          <a:effectLst/>
        </c:spPr>
      </c:pivotFmt>
      <c:pivotFmt>
        <c:idx val="104"/>
        <c:spPr>
          <a:solidFill>
            <a:schemeClr val="accent5"/>
          </a:solidFill>
          <a:ln>
            <a:noFill/>
          </a:ln>
          <a:effectLst/>
        </c:spPr>
      </c:pivotFmt>
      <c:pivotFmt>
        <c:idx val="105"/>
        <c:spPr>
          <a:solidFill>
            <a:schemeClr val="accent2"/>
          </a:solidFill>
          <a:ln>
            <a:noFill/>
          </a:ln>
          <a:effectLst/>
        </c:spPr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rgbClr val="92D050"/>
          </a:solidFill>
          <a:ln>
            <a:noFill/>
          </a:ln>
          <a:effectLst/>
        </c:spPr>
      </c:pivotFmt>
      <c:pivotFmt>
        <c:idx val="109"/>
        <c:spPr>
          <a:solidFill>
            <a:srgbClr val="FFC000"/>
          </a:solidFill>
          <a:ln>
            <a:noFill/>
          </a:ln>
          <a:effectLst/>
        </c:spPr>
      </c:pivotFmt>
      <c:pivotFmt>
        <c:idx val="110"/>
        <c:spPr>
          <a:solidFill>
            <a:srgbClr val="C00000"/>
          </a:solidFill>
          <a:ln>
            <a:noFill/>
          </a:ln>
          <a:effectLst/>
        </c:spPr>
      </c:pivotFmt>
      <c:pivotFmt>
        <c:idx val="111"/>
        <c:spPr>
          <a:solidFill>
            <a:schemeClr val="accent4"/>
          </a:solidFill>
          <a:ln>
            <a:noFill/>
          </a:ln>
          <a:effectLst/>
        </c:spPr>
      </c:pivotFmt>
      <c:pivotFmt>
        <c:idx val="112"/>
        <c:spPr>
          <a:solidFill>
            <a:schemeClr val="accent5"/>
          </a:solidFill>
          <a:ln>
            <a:noFill/>
          </a:ln>
          <a:effectLst/>
        </c:spPr>
      </c:pivotFmt>
      <c:pivotFmt>
        <c:idx val="113"/>
        <c:spPr>
          <a:solidFill>
            <a:schemeClr val="accent2"/>
          </a:solidFill>
          <a:ln>
            <a:noFill/>
          </a:ln>
          <a:effectLst/>
        </c:spPr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</c:pivotFmt>
      <c:pivotFmt>
        <c:idx val="115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8018817748334472E-2"/>
          <c:y val="0.12807233069821206"/>
          <c:w val="0.83763972255723029"/>
          <c:h val="0.66176992079530239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20AF-4025-9971-D1CD2B3413B8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20AF-4025-9971-D1CD2B3413B8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20AF-4025-9971-D1CD2B3413B8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20AF-4025-9971-D1CD2B3413B8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20AF-4025-9971-D1CD2B3413B8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20AF-4025-9971-D1CD2B3413B8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20AF-4025-9971-D1CD2B3413B8}"/>
              </c:ext>
            </c:extLst>
          </c:dPt>
          <c:dLbls>
            <c:numFmt formatCode="_(&quot;$&quot;* #,##0_);_(&quot;$&quot;* \(#,##0\);_(&quot;$&quot;* &quot;-&quot;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 Light" panose="020B0502040204020203" pitchFamily="34" charset="0"/>
                    <a:ea typeface="+mn-ea"/>
                    <a:cs typeface="Segoe UI Light" panose="020B0502040204020203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2"/>
              <c:pt idx="0">
                <c:v>2009</c:v>
              </c:pt>
              <c:pt idx="1">
                <c:v>2010</c:v>
              </c:pt>
              <c:pt idx="2">
                <c:v>2011</c:v>
              </c:pt>
              <c:pt idx="3">
                <c:v>2012</c:v>
              </c:pt>
              <c:pt idx="4">
                <c:v>2013</c:v>
              </c:pt>
              <c:pt idx="5">
                <c:v>2014</c:v>
              </c:pt>
              <c:pt idx="6">
                <c:v>2015</c:v>
              </c:pt>
              <c:pt idx="7">
                <c:v>2016</c:v>
              </c:pt>
              <c:pt idx="8">
                <c:v>2017</c:v>
              </c:pt>
              <c:pt idx="9">
                <c:v>2018</c:v>
              </c:pt>
              <c:pt idx="10">
                <c:v>2019</c:v>
              </c:pt>
              <c:pt idx="11">
                <c:v>2020</c:v>
              </c:pt>
            </c:strLit>
          </c:cat>
          <c:val>
            <c:numLit>
              <c:formatCode>General</c:formatCode>
              <c:ptCount val="12"/>
              <c:pt idx="0">
                <c:v>327387.506390639</c:v>
              </c:pt>
              <c:pt idx="1">
                <c:v>356420</c:v>
              </c:pt>
              <c:pt idx="2">
                <c:v>380900.12384000001</c:v>
              </c:pt>
              <c:pt idx="3">
                <c:v>414490.82698000001</c:v>
              </c:pt>
              <c:pt idx="4">
                <c:v>538935.16142999905</c:v>
              </c:pt>
              <c:pt idx="5">
                <c:v>603610.60444999905</c:v>
              </c:pt>
              <c:pt idx="6">
                <c:v>547333.30053000001</c:v>
              </c:pt>
              <c:pt idx="7">
                <c:v>654634.99512999901</c:v>
              </c:pt>
              <c:pt idx="8">
                <c:v>722712</c:v>
              </c:pt>
              <c:pt idx="9">
                <c:v>1003224</c:v>
              </c:pt>
              <c:pt idx="10">
                <c:v>1041408</c:v>
              </c:pt>
              <c:pt idx="11">
                <c:v>1177277</c:v>
              </c:pt>
            </c:numLit>
          </c:val>
          <c:extLst>
            <c:ext xmlns:c16="http://schemas.microsoft.com/office/drawing/2014/chart" uri="{C3380CC4-5D6E-409C-BE32-E72D297353CC}">
              <c16:uniqueId val="{00000007-20AF-4025-9971-D1CD2B341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8"/>
        <c:axId val="387184840"/>
        <c:axId val="387185496"/>
      </c:barChart>
      <c:catAx>
        <c:axId val="387184840"/>
        <c:scaling>
          <c:orientation val="minMax"/>
        </c:scaling>
        <c:delete val="0"/>
        <c:axPos val="b"/>
        <c:numFmt formatCode="[$-409]mm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defRPr>
            </a:pPr>
            <a:endParaRPr lang="en-US"/>
          </a:p>
        </c:txPr>
        <c:crossAx val="387185496"/>
        <c:crosses val="autoZero"/>
        <c:auto val="1"/>
        <c:lblAlgn val="ctr"/>
        <c:lblOffset val="100"/>
        <c:noMultiLvlLbl val="0"/>
      </c:catAx>
      <c:valAx>
        <c:axId val="387185496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387184840"/>
        <c:crosses val="autoZero"/>
        <c:crossBetween val="between"/>
        <c:majorUnit val="200000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66675</xdr:colOff>
      <xdr:row>9</xdr:row>
      <xdr:rowOff>0</xdr:rowOff>
    </xdr:from>
    <xdr:to>
      <xdr:col>7</xdr:col>
      <xdr:colOff>85725</xdr:colOff>
      <xdr:row>21</xdr:row>
      <xdr:rowOff>144464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CD40EC-992D-475E-96D4-6D99E53D91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57150</xdr:colOff>
      <xdr:row>9</xdr:row>
      <xdr:rowOff>0</xdr:rowOff>
    </xdr:from>
    <xdr:to>
      <xdr:col>23</xdr:col>
      <xdr:colOff>80772</xdr:colOff>
      <xdr:row>21</xdr:row>
      <xdr:rowOff>141732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CE4690-4C80-4300-B5BD-BC4E75D620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9</xdr:col>
      <xdr:colOff>15240</xdr:colOff>
      <xdr:row>40</xdr:row>
      <xdr:rowOff>167640</xdr:rowOff>
    </xdr:from>
    <xdr:to>
      <xdr:col>21</xdr:col>
      <xdr:colOff>327660</xdr:colOff>
      <xdr:row>57</xdr:row>
      <xdr:rowOff>129540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69DA70-1B32-49AD-BE10-E56632FBB2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10</xdr:col>
      <xdr:colOff>727075</xdr:colOff>
      <xdr:row>1</xdr:row>
      <xdr:rowOff>22225</xdr:rowOff>
    </xdr:from>
    <xdr:to>
      <xdr:col>18</xdr:col>
      <xdr:colOff>3175</xdr:colOff>
      <xdr:row>12</xdr:row>
      <xdr:rowOff>149231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140B87-EC1C-4DFB-95FB-7DCCEBA095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10</xdr:col>
      <xdr:colOff>555625</xdr:colOff>
      <xdr:row>12</xdr:row>
      <xdr:rowOff>225425</xdr:rowOff>
    </xdr:from>
    <xdr:to>
      <xdr:col>17</xdr:col>
      <xdr:colOff>441325</xdr:colOff>
      <xdr:row>24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6CDD2F-A305-40B0-885D-7E76C627DB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50163</xdr:colOff>
      <xdr:row>92</xdr:row>
      <xdr:rowOff>130811</xdr:rowOff>
    </xdr:from>
    <xdr:to>
      <xdr:col>11</xdr:col>
      <xdr:colOff>111125</xdr:colOff>
      <xdr:row>100</xdr:row>
      <xdr:rowOff>149226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4CB30D-F011-4439-B00C-6C7FD2B048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460375</xdr:colOff>
      <xdr:row>80</xdr:row>
      <xdr:rowOff>138749</xdr:rowOff>
    </xdr:from>
    <xdr:to>
      <xdr:col>11</xdr:col>
      <xdr:colOff>206375</xdr:colOff>
      <xdr:row>88</xdr:row>
      <xdr:rowOff>282893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0EE3F4-80B7-4231-94AA-F3E19BC9F2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David Chase (PREMIER)" id="{7146F2B8-CF94-448D-8AF3-6EED6B148AD6}" userId="David Chase (PREMIER)" providerId="None"/>
</personList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2" xr16:uid="{30429D71-57C4-498F-95D5-9DA6EB1D3B7C}" autoFormatId="16" applyNumberFormats="0" applyBorderFormats="0" applyFontFormats="0" applyPatternFormats="0" applyAlignmentFormats="0" applyWidthHeightFormats="0">
  <queryTableRefresh nextId="6">
    <queryTableFields count="5">
      <queryTableField id="1" name="Date" tableColumnId="1"/>
      <queryTableField id="2" name="RRSP Daily $" tableColumnId="2"/>
      <queryTableField id="3" name="VOO Daily %" tableColumnId="3"/>
      <queryTableField id="4" name="RRSP Daily %" tableColumnId="4"/>
      <queryTableField id="5" name="RRSP vs VOO Daily %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adjustColumnWidth="0" connectionId="1" xr16:uid="{3A6FB97E-FBC5-4B26-B027-553CEE6D3CF1}" autoFormatId="16" applyNumberFormats="0" applyBorderFormats="0" applyFontFormats="0" applyPatternFormats="0" applyAlignmentFormats="0" applyWidthHeightFormats="0">
  <queryTableRefresh nextId="4">
    <queryTableFields count="3">
      <queryTableField id="1" name="Date" tableColumnId="1"/>
      <queryTableField id="2" name="RRSP Daily $" tableColumnId="2"/>
      <queryTableField id="3" name="RRSP Daily %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adjustColumnWidth="0" connectionId="4" xr16:uid="{891D2B23-D482-4521-B431-3A1A4E6BA0A9}" autoFormatId="16" applyNumberFormats="0" applyBorderFormats="0" applyFontFormats="0" applyPatternFormats="0" applyAlignmentFormats="0" applyWidthHeightFormats="0">
  <queryTableRefresh nextId="5">
    <queryTableFields count="3">
      <queryTableField id="1" name="Date" tableColumnId="1"/>
      <queryTableField id="2" name="RRSP Daily $" tableColumnId="2"/>
      <queryTableField id="3" name="RRSP Daily %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adjustColumnWidth="0" connectionId="3" xr16:uid="{3D0185A9-4832-42A4-BBDE-369D6A5D15EC}" autoFormatId="16" applyNumberFormats="0" applyBorderFormats="0" applyFontFormats="0" applyPatternFormats="0" applyAlignmentFormats="0" applyWidthHeightFormats="0">
  <queryTableRefresh nextId="3">
    <queryTableFields count="2">
      <queryTableField id="1" name="Date" tableColumnId="1"/>
      <queryTableField id="2" name="RRSP Total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7548040-BD07-4F54-A5F9-08D852B940CD}" name="Dailies" displayName="Dailies" ref="B2:AM977" headerRowDxfId="166" dataDxfId="165" totalsRowDxfId="164">
  <autoFilter ref="B2:AM977" xr:uid="{21395F75-EB80-4AC7-818F-6C00D3DBC05F}"/>
  <sortState xmlns:xlrd2="http://schemas.microsoft.com/office/spreadsheetml/2017/richdata2" ref="B3:AM706">
    <sortCondition ref="B2:B706"/>
  </sortState>
  <tableColumns count="38">
    <tableColumn id="1" xr3:uid="{9048B658-8E43-417A-81EC-7EF97E35A7FC}" name="Date" totalsRowLabel="Total records" dataDxfId="163" totalsRowDxfId="162"/>
    <tableColumn id="5" xr3:uid="{EF149978-6FA8-4160-B8AB-0621C36522E5}" name="CIBC RRSP" dataDxfId="161" totalsRowDxfId="160">
      <calculatedColumnFormula>#REF!+#REF!</calculatedColumnFormula>
    </tableColumn>
    <tableColumn id="33" xr3:uid="{56859C07-3E91-44EC-8E35-D56BDEA4D51C}" name="CIBC RESP" totalsRowFunction="count" dataDxfId="159" totalsRowDxfId="158"/>
    <tableColumn id="4" xr3:uid="{623E03AC-2BE8-4E88-989B-C8D2B10BF33E}" name="QT RRSP" dataDxfId="157" totalsRowDxfId="156">
      <calculatedColumnFormula>#REF!+#REF!</calculatedColumnFormula>
    </tableColumn>
    <tableColumn id="15" xr3:uid="{70A28305-1173-4522-A915-CD6D39481ACD}" name="QT TFSA" dataDxfId="155" totalsRowDxfId="154"/>
    <tableColumn id="13" xr3:uid="{03BA3EE9-2D1F-49B7-BCDF-FF3B36AC6C27}" name="SunLife RRSP" dataDxfId="153" totalsRowDxfId="152"/>
    <tableColumn id="7" xr3:uid="{7A2958CD-409C-4718-9A0B-5513660BE265}" name="CIBC RRSP Principal Delta" dataDxfId="151" totalsRowDxfId="150"/>
    <tableColumn id="78" xr3:uid="{A9A5E5E3-C6FA-44F7-88DE-2C0A9BE94AE3}" name="CIBC RESP Principal Delta" dataDxfId="149" totalsRowDxfId="148">
      <calculatedColumnFormula>Dailies[[#This Row],[CIBC RESP Principal]]-T2</calculatedColumnFormula>
    </tableColumn>
    <tableColumn id="70" xr3:uid="{B549F7EA-2323-4ECC-8783-B159A879C6BE}" name="QT RRSP Principal Delta" dataDxfId="147" totalsRowDxfId="146"/>
    <tableColumn id="26" xr3:uid="{02C89BCF-14F0-40D4-8C63-CC72B3E8C5B0}" name="QT TFSA Principal Delta" dataDxfId="145" totalsRowDxfId="144"/>
    <tableColumn id="24" xr3:uid="{88D30DE5-D1B8-4C95-BF3D-1B8908A8BC09}" name="SunLife RRSP Principal Delta" dataDxfId="143" totalsRowDxfId="142"/>
    <tableColumn id="19" xr3:uid="{41B2EDC7-CDB2-4FF7-AFA1-2B3B8802D562}" name="Home Equity" dataDxfId="141" totalsRowDxfId="140"/>
    <tableColumn id="20" xr3:uid="{571EB035-8E40-42B9-AC0B-72DB74DB3FAD}" name="Car Equity" dataDxfId="139" totalsRowDxfId="138">
      <calculatedColumnFormula>42000+2000</calculatedColumnFormula>
    </tableColumn>
    <tableColumn id="21" xr3:uid="{F428899C-650E-490E-9785-AD29A3BB2AD5}" name="Valuables Equity" dataDxfId="137" totalsRowDxfId="136">
      <calculatedColumnFormula>900+700</calculatedColumnFormula>
    </tableColumn>
    <tableColumn id="22" xr3:uid="{EA79DC7C-F3DC-4300-B4AA-BB53D71C1D01}" name="GSK Pension" dataDxfId="135" totalsRowDxfId="134"/>
    <tableColumn id="23" xr3:uid="{EF112FF6-D48C-43FC-8297-0BBA3F9593B6}" name="Home Loan" dataDxfId="133" totalsRowDxfId="132"/>
    <tableColumn id="2" xr3:uid="{1390C7D8-3515-47C6-9582-54BEF2624D72}" name="RRSP Total" dataDxfId="131">
      <calculatedColumnFormula>Dailies[[#This Row],[CIBC RRSP]]+Dailies[[#This Row],[QT RRSP]]+Dailies[[#This Row],[SunLife RRSP]]</calculatedColumnFormula>
    </tableColumn>
    <tableColumn id="6" xr3:uid="{46853596-37FE-4CA7-A6E1-3FEF854DA807}" name="CIBC RRSP Principal" dataDxfId="130" totalsRowDxfId="129">
      <calculatedColumnFormula>IF(ISNUMBER(S2),S2,0)+Dailies[[#This Row],[CIBC RRSP Principal Delta]]</calculatedColumnFormula>
    </tableColumn>
    <tableColumn id="16" xr3:uid="{01E6F691-73A2-48BD-BA25-732E04129CCC}" name="CIBC RESP Principal" dataDxfId="128" totalsRowDxfId="127"/>
    <tableColumn id="17" xr3:uid="{D09410CC-62D3-441A-968F-A07EF7CA36AF}" name="QT RRSP Principal" dataDxfId="126" totalsRowDxfId="125">
      <calculatedColumnFormula>IF(ISNUMBER(U2),U2,0)+Dailies[[#This Row],[QT RRSP Principal Delta]]</calculatedColumnFormula>
    </tableColumn>
    <tableColumn id="18" xr3:uid="{752818DC-A9C1-4637-9175-388400E51F17}" name="SunLife RRSP Principal" dataDxfId="124" totalsRowDxfId="123">
      <calculatedColumnFormula>IF(ISNUMBER(V2),V2,0)+Dailies[[#This Row],[SunLife RRSP Principal Delta]]</calculatedColumnFormula>
    </tableColumn>
    <tableColumn id="3" xr3:uid="{21CDDF24-2D90-47D8-BE44-272643A7EECE}" name="RRSP Principal" dataDxfId="122" totalsRowDxfId="121">
      <calculatedColumnFormula>Dailies[[#This Row],[CIBC RRSP Principal]]+Dailies[[#This Row],[QT RRSP Principal]]+Dailies[[#This Row],[SunLife RRSP Principal]]</calculatedColumnFormula>
    </tableColumn>
    <tableColumn id="48" xr3:uid="{23F31796-9A66-4427-9D42-A738B5C41549}" name="Portfolio Principal" dataDxfId="120" totalsRowDxfId="119">
      <calculatedColumnFormula>Dailies[[#This Row],[CIBC RRSP Principal]]+Dailies[[#This Row],[CIBC RESP Principal]]+Dailies[[#This Row],[QT RRSP Principal]]+Dailies[[#This Row],[SunLife RRSP Principal]]</calculatedColumnFormula>
    </tableColumn>
    <tableColumn id="61" xr3:uid="{92F8E3FC-60D5-41BB-BE0F-58F46DFD5162}" name="Portfolio Total" dataDxfId="118">
      <calculatedColumnFormula>Dailies[[#This Row],[CIBC RRSP]]+Dailies[[#This Row],[CIBC RESP]]+Dailies[[#This Row],[QT RRSP]]+Dailies[[#This Row],[SunLife RRSP]]</calculatedColumnFormula>
    </tableColumn>
    <tableColumn id="29" xr3:uid="{E0C04933-2D4D-46CD-96F2-E053F5E4ED3F}" name="Total Net Worth" dataDxfId="117" totalsRowDxfId="116">
      <calculatedColumnFormula>Dailies[[#This Row],[Portfolio Total]]+Dailies[[#This Row],[Home Equity]]+Dailies[[#This Row],[Car Equity]]+Dailies[[#This Row],[Valuables Equity]]+#REF!+Dailies[[#This Row],[GSK Pension]]+Dailies[[#This Row],[Home Loan]]</calculatedColumnFormula>
    </tableColumn>
    <tableColumn id="8" xr3:uid="{E6B41243-C2F6-4AA5-8284-4840243A90C2}" name="CIBC RRSP Daily $" dataDxfId="115" totalsRowDxfId="114">
      <calculatedColumnFormula>IF(ISNUMBER(C2),Dailies[[#This Row],[CIBC RRSP]]-C2-Dailies[[#This Row],[CIBC RRSP Principal Delta]],0)</calculatedColumnFormula>
    </tableColumn>
    <tableColumn id="9" xr3:uid="{F0B8EE95-64A8-492E-BA9C-38D3D0ADD43D}" name="CIBC RESP Daily $" dataDxfId="113" totalsRowDxfId="112">
      <calculatedColumnFormula>IF(ISNUMBER(D2),Dailies[[#This Row],[CIBC RESP]]-D2-Dailies[[#This Row],[CIBC RESP Principal Delta]],0)</calculatedColumnFormula>
    </tableColumn>
    <tableColumn id="10" xr3:uid="{C54551CF-44B2-4384-8AA7-268714642ABC}" name="QT RRSP Daily $" dataDxfId="111" totalsRowDxfId="110">
      <calculatedColumnFormula>IF(ISNUMBER(E2),Dailies[[#This Row],[QT RRSP]]-E2-Dailies[[#This Row],[QT RRSP Principal Delta]],0)</calculatedColumnFormula>
    </tableColumn>
    <tableColumn id="27" xr3:uid="{588E65A9-8EC1-47F1-BC74-09AE8D9AD0A9}" name="SunLife RRSP Daily $" dataDxfId="109" totalsRowDxfId="108">
      <calculatedColumnFormula>IF(ISNUMBER(G2),Dailies[[#This Row],[SunLife RRSP]]-G2-Dailies[[#This Row],[SunLife RRSP Principal Delta]],0)</calculatedColumnFormula>
    </tableColumn>
    <tableColumn id="34" xr3:uid="{016A31DE-0FEB-46D6-9157-F71106373BF7}" name="RRSP Daily $" dataDxfId="107">
      <calculatedColumnFormula>#REF!+#REF!+#REF!+#REF!+#REF!</calculatedColumnFormula>
    </tableColumn>
    <tableColumn id="25" xr3:uid="{4CD822F4-22A9-46CD-8173-7B2C5AE7F57E}" name="Portfolio Daily $" dataDxfId="106">
      <calculatedColumnFormula>Dailies[[#This Row],[RRSP Daily $]]+Dailies[[#This Row],[CIBC RESP Daily $]]</calculatedColumnFormula>
    </tableColumn>
    <tableColumn id="71" xr3:uid="{3B3D6870-3232-4372-9ABE-D5C81A1130EF}" name="VOO Daily $" dataDxfId="105" totalsRowDxfId="104">
      <calculatedColumnFormula>Dailies[[#This Row],[VOO]]-AJ2</calculatedColumnFormula>
    </tableColumn>
    <tableColumn id="14" xr3:uid="{508CEF77-DCBD-4DE3-9D5C-EF8939C81333}" name="RRSP Daily %" dataDxfId="103" totalsRowDxfId="102" dataCellStyle="Percent">
      <calculatedColumnFormula>Dailies[[#This Row],[RRSP Daily $]]/Dailies[[#This Row],[RRSP Total]]</calculatedColumnFormula>
    </tableColumn>
    <tableColumn id="12" xr3:uid="{B2E94E8D-4F43-4627-80FE-661174EC56EE}" name="CIBC RESP Daily %" dataDxfId="101" totalsRowDxfId="100">
      <calculatedColumnFormula>IF(Dailies[[#This Row],[CIBC RESP]]&gt;0,Dailies[[#This Row],[CIBC RESP Daily $]]/Dailies[[#This Row],[CIBC RESP]],0)</calculatedColumnFormula>
    </tableColumn>
    <tableColumn id="35" xr3:uid="{2C2AD38E-2F62-4E74-9F5F-337BF855FA29}" name="VOO" dataDxfId="99" totalsRowDxfId="98"/>
    <tableColumn id="69" xr3:uid="{895F88B1-0142-430E-A9B3-5F86ECE7E336}" name="VOO Daily %" dataDxfId="97" totalsRowDxfId="96" dataCellStyle="Normal 2">
      <calculatedColumnFormula>Dailies[[#This Row],[VOO Daily $]]/Dailies[[#This Row],[VOO]]</calculatedColumnFormula>
    </tableColumn>
    <tableColumn id="28" xr3:uid="{4225848D-392C-4D8A-B429-0BE4F77A7E47}" name="RRSP vs VOO Daily %" dataDxfId="95" totalsRowDxfId="94" dataCellStyle="Normal 2">
      <calculatedColumnFormula>Dailies[[#This Row],[RRSP Daily %]]-Dailies[[#This Row],[VOO Daily %]]</calculatedColumnFormula>
    </tableColumn>
    <tableColumn id="88" xr3:uid="{6ED87FF5-C2C5-4D57-B74A-82C219520450}" name="VOO 200-Day SMA" dataDxfId="93" totalsRowDxfId="92" dataCellStyle="Normal 2"/>
  </tableColumns>
  <tableStyleInfo name="Simple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995E2B-E8ED-4414-B657-CCBC94327760}" name="tblRecentPerformance" displayName="tblRecentPerformance" ref="B4:F34" tableType="queryTable" headerRowDxfId="91" dataDxfId="90">
  <autoFilter ref="B4:F34" xr:uid="{781B4107-7F84-4296-A1E4-48FD696C6FEB}"/>
  <tableColumns count="5">
    <tableColumn id="1" xr3:uid="{036F9800-3FB5-4FAD-861A-C0D0F6435E84}" uniqueName="1" name="Date" totalsRowLabel="Total" queryTableFieldId="1" dataDxfId="89" totalsRowDxfId="88"/>
    <tableColumn id="2" xr3:uid="{1ECDE43A-908A-4BE2-B0C2-60C18C5B32D3}" uniqueName="2" name="RRSP Daily $" totalsRowFunction="sum" queryTableFieldId="2" dataDxfId="87" totalsRowDxfId="86"/>
    <tableColumn id="3" xr3:uid="{C0090E78-1EC0-4725-942F-05831392D656}" uniqueName="3" name="VOO Daily %" queryTableFieldId="3" dataDxfId="85" totalsRowDxfId="84"/>
    <tableColumn id="4" xr3:uid="{C1A77CA4-AEC7-436C-A777-0AB70DCE5D9E}" uniqueName="4" name="RRSP Daily %" queryTableFieldId="4" dataDxfId="83" totalsRowDxfId="82"/>
    <tableColumn id="5" xr3:uid="{74472325-E8CB-4ECE-B64C-A6640E741D9E}" uniqueName="5" name="RRSP vs VOO Daily %" queryTableFieldId="5" dataDxfId="81" totalsRowDxfId="80"/>
  </tableColumns>
  <tableStyleInfo name="Simple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B5503C0-3425-4639-A18A-7C11B8281047}" name="tblBestDays" displayName="tblBestDays" ref="H4:J14" tableType="queryTable" totalsRowShown="0" headerRowDxfId="79" dataDxfId="78">
  <autoFilter ref="H4:J14" xr:uid="{B2D7639C-7127-4F9B-919F-897AD2193DE2}"/>
  <tableColumns count="3">
    <tableColumn id="1" xr3:uid="{9C2A250E-DEDF-4A8C-AD43-C6FA51EF5836}" uniqueName="1" name="Date" queryTableFieldId="1" dataDxfId="77"/>
    <tableColumn id="2" xr3:uid="{F930BED6-9CA0-4248-9E34-DBEB0EF11D8B}" uniqueName="2" name="RRSP Daily $" queryTableFieldId="2" dataDxfId="76"/>
    <tableColumn id="3" xr3:uid="{B245021F-772C-4C1C-B6A9-CCED8D49F7D1}" uniqueName="3" name="RRSP Daily %" queryTableFieldId="3" dataDxfId="75"/>
  </tableColumns>
  <tableStyleInfo name="Simple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F9DEAF8-1D37-4E41-AB22-45D19889A895}" name="tblWorstDays" displayName="tblWorstDays" ref="H17:J27" tableType="queryTable" totalsRowShown="0" headerRowDxfId="74" dataDxfId="73">
  <autoFilter ref="H17:J27" xr:uid="{CEE2575C-762E-4D92-8608-A31D330E0C46}"/>
  <tableColumns count="3">
    <tableColumn id="1" xr3:uid="{9AC471A1-D724-442A-B849-7AB294EE008E}" uniqueName="1" name="Date" queryTableFieldId="1" dataDxfId="72"/>
    <tableColumn id="2" xr3:uid="{D7008D6B-A57A-45A7-9D99-5035F71EAAD7}" uniqueName="2" name="RRSP Daily $" queryTableFieldId="2" dataDxfId="71"/>
    <tableColumn id="3" xr3:uid="{D204ED61-1E9A-4EA6-B0DA-C7D5D9C016B4}" uniqueName="3" name="RRSP Daily %" queryTableFieldId="3" dataDxfId="70"/>
  </tableColumns>
  <tableStyleInfo name="Simple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8CCE984-0918-459A-9EF9-7AA698360E37}" name="qryRRSPTotal" displayName="qryRRSPTotal" ref="H30:I35" tableType="queryTable" totalsRowShown="0">
  <autoFilter ref="H30:I35" xr:uid="{BE8969E6-DBFE-480D-92A0-6033185C32F4}"/>
  <tableColumns count="2">
    <tableColumn id="1" xr3:uid="{14095573-E58B-479B-B556-85C1B603DD65}" uniqueName="1" name="Date" queryTableFieldId="1" dataDxfId="69"/>
    <tableColumn id="2" xr3:uid="{D6068A5C-4416-45A9-A8CB-7FD385E75410}" uniqueName="2" name="RRSP Total" queryTableFieldId="2" dataDxfId="68"/>
  </tableColumns>
  <tableStyleInfo name="Simple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6000000}" name="Accounts" displayName="Accounts" ref="B44:D51" totalsRowShown="0" headerRowDxfId="67" dataDxfId="66">
  <autoFilter ref="B44:D51" xr:uid="{00000000-0009-0000-0100-000002000000}"/>
  <sortState xmlns:xlrd2="http://schemas.microsoft.com/office/spreadsheetml/2017/richdata2" ref="B45:C51">
    <sortCondition ref="B44:B51"/>
  </sortState>
  <tableColumns count="3">
    <tableColumn id="1" xr3:uid="{00000000-0010-0000-0600-000001000000}" name="Account" dataDxfId="65"/>
    <tableColumn id="2" xr3:uid="{00000000-0010-0000-0600-000002000000}" name="Short name" dataDxfId="64"/>
    <tableColumn id="3" xr3:uid="{00000000-0010-0000-0600-000003000000}" name="Open Date" dataDxfId="63"/>
  </tableColumns>
  <tableStyleInfo name="Simple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C000000}" name="NetWorth" displayName="NetWorth" ref="B81:E220" totalsRowCount="1" headerRowDxfId="62" dataDxfId="61" totalsRowDxfId="60">
  <autoFilter ref="B81:E219" xr:uid="{00000000-0009-0000-0100-000005000000}"/>
  <sortState xmlns:xlrd2="http://schemas.microsoft.com/office/spreadsheetml/2017/richdata2" ref="B82:E219">
    <sortCondition sortBy="cellColor" ref="E96"/>
  </sortState>
  <tableColumns count="4">
    <tableColumn id="1" xr3:uid="{00000000-0010-0000-0C00-000001000000}" name="Date" totalsRowLabel="Total" dataDxfId="59" totalsRowDxfId="58"/>
    <tableColumn id="2" xr3:uid="{00000000-0010-0000-0C00-000002000000}" name="Worth" totalsRowFunction="max" dataDxfId="57" totalsRowDxfId="56"/>
    <tableColumn id="3" xr3:uid="{00000000-0010-0000-0C00-000003000000}" name="Delta" totalsRowFunction="average" dataDxfId="55" totalsRowDxfId="54">
      <calculatedColumnFormula>C82-C81</calculatedColumnFormula>
    </tableColumn>
    <tableColumn id="4" xr3:uid="{00000000-0010-0000-0C00-000004000000}" name="Comments" dataDxfId="53" totalsRowDxfId="52"/>
  </tableColumns>
  <tableStyleInfo name="Simple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B462660-DC22-49D0-A0A1-2A1859297C67}" name="Table3" displayName="Table3" ref="B223:D283" totalsRowCount="1" headerRowDxfId="51" dataDxfId="50" headerRowCellStyle="Normal 2" dataCellStyle="Normal 2">
  <autoFilter ref="B223:D282" xr:uid="{B54F143C-B6CF-4D47-BC56-1D13A50D9BB5}"/>
  <sortState xmlns:xlrd2="http://schemas.microsoft.com/office/spreadsheetml/2017/richdata2" ref="B224:D282">
    <sortCondition ref="B223:B282"/>
  </sortState>
  <tableColumns count="3">
    <tableColumn id="1" xr3:uid="{43CFD574-7375-4F6F-91A5-3F47381AFB7B}" name="Date" totalsRowLabel="Total" dataDxfId="49" totalsRowDxfId="48" dataCellStyle="Normal 2"/>
    <tableColumn id="2" xr3:uid="{26634CA0-5668-4B38-BE2F-9155AD77945A}" name="Amount" totalsRowFunction="sum" dataDxfId="47" totalsRowDxfId="46" dataCellStyle="Normal 2"/>
    <tableColumn id="3" xr3:uid="{B4BFD149-160C-4A2F-8BBB-024A75E1A2A2}" name="Running Sum" dataDxfId="45" totalsRowDxfId="44" dataCellStyle="Normal 2">
      <calculatedColumnFormula>IF(ISNUMBER(D223),Table3[[#This Row],[Amount]]+D223,0)</calculatedColumnFormula>
    </tableColumn>
  </tableColumns>
  <tableStyleInfo name="Simple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817541A-CEBE-4B12-B873-7C3B3E4FE8F8}" name="Quotes" displayName="Quotes" ref="A1:U327" totalsRowShown="0" headerRowDxfId="43">
  <autoFilter ref="A1:U327" xr:uid="{1CC7C1C8-1FE1-4985-99D7-C49588FDA7CB}"/>
  <tableColumns count="21">
    <tableColumn id="1" xr3:uid="{8471A1AC-C8C5-41FB-81BB-87907812EE18}" name="Date" dataDxfId="42"/>
    <tableColumn id="2" xr3:uid="{9277EB19-969B-4747-B85C-89F60528E95A}" name="BND" dataDxfId="41">
      <calculatedColumnFormula array="1">IF(AND(_xll.Close_Historical("BND",A2)&lt;&gt;"NA",_xll.Close_Historical("BND",A2)&lt;&gt;"'close'"),_xll.Close_Historical("BND",A2),B1)</calculatedColumnFormula>
    </tableColumn>
    <tableColumn id="3" xr3:uid="{A4602921-B9AC-41C3-91E7-56D0788B5F2B}" name="GDX" dataDxfId="40">
      <calculatedColumnFormula array="1">IF(AND(_xll.Close_Historical("GDX",A2)&lt;&gt;"NA",_xll.Close_Historical("GDX",A2)&lt;&gt;"'close'"),_xll.Close_Historical("GDX",A2),C1)</calculatedColumnFormula>
    </tableColumn>
    <tableColumn id="4" xr3:uid="{35633D7D-81F4-42C6-8A23-2CAC6F545144}" name="GLD" dataDxfId="39">
      <calculatedColumnFormula array="1">IF(AND(_xll.Close_Historical("GLD",A2)&lt;&gt;"NA",_xll.Close_Historical("GLD",A2)&lt;&gt;"'close'"),_xll.Close_Historical("GLD",A2),D1)</calculatedColumnFormula>
    </tableColumn>
    <tableColumn id="5" xr3:uid="{DFD72EE5-AC85-4A14-B508-67A808E81262}" name="IJR" dataDxfId="38">
      <calculatedColumnFormula array="1">IF(AND(_xll.Close_Historical("IJR",A2)&lt;&gt;"NA",_xll.Close_Historical("IJR",A2)&lt;&gt;"'close'"),_xll.Close_Historical("IJR",A2),E1)</calculatedColumnFormula>
    </tableColumn>
    <tableColumn id="6" xr3:uid="{C9281A09-8C01-481A-883D-5DB116F0EAFC}" name="QQQ" dataDxfId="37">
      <calculatedColumnFormula array="1">IF(AND(_xll.Close_Historical("QQQ",A2)&lt;&gt;"NA",_xll.Close_Historical("QQQ",A2)&lt;&gt;"'close'"),_xll.Close_Historical("QQQ",A2),F1)</calculatedColumnFormula>
    </tableColumn>
    <tableColumn id="7" xr3:uid="{4E743EAB-929F-451B-94B7-7570A1A9ABF0}" name="SLV" dataDxfId="36">
      <calculatedColumnFormula array="1">IF(AND(_xll.Close_Historical("SLV",A2)&lt;&gt;"NA",_xll.Close_Historical("SLV",A2)&lt;&gt;"'close'"),_xll.Close_Historical("SLV",A2),G1)</calculatedColumnFormula>
    </tableColumn>
    <tableColumn id="8" xr3:uid="{CA854829-3F6A-4B76-82B0-45D28E7BD922}" name="UUP" dataDxfId="35">
      <calculatedColumnFormula array="1">IF(AND(_xll.Close_Historical("UUP",A2)&lt;&gt;"NA",_xll.Close_Historical("UUP",A2)&lt;&gt;"'close'"),_xll.Close_Historical("UUP",A2),H1)</calculatedColumnFormula>
    </tableColumn>
    <tableColumn id="9" xr3:uid="{715F17A4-6EE9-4A16-878C-7D2FE4CAA207}" name="VGLT" dataDxfId="34">
      <calculatedColumnFormula array="1">IF(AND(_xll.Close_Historical("VGLT",A2)&lt;&gt;"NA",_xll.Close_Historical("VGLT",A2)&lt;&gt;"'close'"),_xll.Close_Historical("VGLT",A2),I1)</calculatedColumnFormula>
    </tableColumn>
    <tableColumn id="10" xr3:uid="{68B84654-C6C2-4D50-B3E8-175A420517C9}" name="VNQ" dataDxfId="33">
      <calculatedColumnFormula array="1">IF(AND(_xll.Close_Historical("VNQ",A2)&lt;&gt;"NA",_xll.Close_Historical("VNQ",A2)&lt;&gt;"'close'"),_xll.Close_Historical("VNQ",A2),J1)</calculatedColumnFormula>
    </tableColumn>
    <tableColumn id="21" xr3:uid="{A874240C-F336-4C10-A1E7-F63DE8062C23}" name="VOO" dataDxfId="32">
      <calculatedColumnFormula array="1">IF(AND(_xll.Close_Historical(INDEX(Quotes[#Headers],1,COLUMN(K2)),Quotes[[#This Row],[Date]])&lt;&gt;"NA",_xll.Close_Historical(INDEX(Quotes[#Headers],1,COLUMN(K2)),Quotes[[#This Row],[Date]])&lt;&gt;"'close'"),_xll.Close_Historical(INDEX(Quotes[#Headers],1,COLUMN(K2)),Quotes[[#This Row],[Date]]),K1)</calculatedColumnFormula>
    </tableColumn>
    <tableColumn id="11" xr3:uid="{FB408317-3183-4DD1-B493-CC053C8CD21C}" name="VTI" dataDxfId="31">
      <calculatedColumnFormula array="1">IF(AND(_xll.Close_Historical("VTI",A2)&lt;&gt;"NA",_xll.Close_Historical("VTI",A2)&lt;&gt;"'close'"),_xll.Close_Historical("VTI",A2),L1)</calculatedColumnFormula>
    </tableColumn>
    <tableColumn id="12" xr3:uid="{342DC5F3-20BB-4CA0-87C0-5CF97D3C2D50}" name="XLK" dataDxfId="30">
      <calculatedColumnFormula array="1">IF(AND(_xll.Close_Historical("XLK",A2)&lt;&gt;"NA",_xll.Close_Historical("XLK",A2)&lt;&gt;"'close'"),_xll.Close_Historical("XLK",A2),M1)</calculatedColumnFormula>
    </tableColumn>
    <tableColumn id="13" xr3:uid="{D4669C6D-476B-458B-8545-BCFCF0BDBB01}" name="XSP.TO" dataDxfId="29">
      <calculatedColumnFormula array="1">IF(AND(_xll.Close_Historical(INDEX(Quotes[#Headers],1,COLUMN(N2)),Quotes[[#This Row],[Date]])&lt;&gt;"NA",_xll.Close_Historical(INDEX(Quotes[#Headers],1,COLUMN(N2)),Quotes[[#This Row],[Date]])&lt;&gt;"'close'"),_xll.Close_Historical(INDEX(Quotes[#Headers],1,COLUMN(N2)),Quotes[[#This Row],[Date]]),N1)</calculatedColumnFormula>
    </tableColumn>
    <tableColumn id="14" xr3:uid="{7ED06F29-FC05-440A-8B97-33E4E1E5DEB8}" name="CGL.TO" dataDxfId="28">
      <calculatedColumnFormula array="1">IF(AND(_xll.Close_Historical(INDEX(Quotes[#Headers],1,COLUMN(O2)),Quotes[[#This Row],[Date]])&lt;&gt;"NA",_xll.Close_Historical(INDEX(Quotes[#Headers],1,COLUMN(O2)),Quotes[[#This Row],[Date]])&lt;&gt;"'close'"),_xll.Close_Historical(INDEX(Quotes[#Headers],1,COLUMN(O2)),Quotes[[#This Row],[Date]]),O1)</calculatedColumnFormula>
    </tableColumn>
    <tableColumn id="15" xr3:uid="{8ADFBAA1-F814-4A5E-8EA0-6E2228E29A2B}" name="VGRO.TO" dataDxfId="27">
      <calculatedColumnFormula>IF(AND(_xll.Close_Historical(INDEX(Quotes[#Headers],1,COLUMN(P2)),Quotes[[#This Row],[Date]])&lt;&gt;"NA",_xll.Close_Historical(INDEX(Quotes[#Headers],1,COLUMN(P2)),Quotes[[#This Row],[Date]])&lt;&gt;"'close'"),_xll.Close_Historical(INDEX(Quotes[#Headers],1,COLUMN(P2)),Quotes[[#This Row],[Date]]),P1)</calculatedColumnFormula>
    </tableColumn>
    <tableColumn id="16" xr3:uid="{05EA88F8-B64F-4385-A5B4-BD06A7CE915F}" name="VRE.TO" dataDxfId="26">
      <calculatedColumnFormula array="1">IF(AND(_xll.Close_Historical(INDEX(Quotes[#Headers],1,COLUMN(Q2)),Quotes[[#This Row],[Date]])&lt;&gt;"NA",_xll.Close_Historical(INDEX(Quotes[#Headers],1,COLUMN(Q2)),Quotes[[#This Row],[Date]])&lt;&gt;"'close'"),_xll.Close_Historical(INDEX(Quotes[#Headers],1,COLUMN(Q2)),Quotes[[#This Row],[Date]]),Q1)</calculatedColumnFormula>
    </tableColumn>
    <tableColumn id="17" xr3:uid="{A004061E-15C1-4648-AFB7-EB263469B860}" name="VCN.TO" dataDxfId="25">
      <calculatedColumnFormula array="1">IF(AND(_xll.Close_Historical(INDEX(Quotes[#Headers],1,COLUMN(R2)),Quotes[[#This Row],[Date]])&lt;&gt;"NA",_xll.Close_Historical(INDEX(Quotes[#Headers],1,COLUMN(R2)),Quotes[[#This Row],[Date]])&lt;&gt;"'close'"),_xll.Close_Historical(INDEX(Quotes[#Headers],1,COLUMN(R2)),Quotes[[#This Row],[Date]]),R1)</calculatedColumnFormula>
    </tableColumn>
    <tableColumn id="18" xr3:uid="{4DA54026-A27E-4A5A-9ABB-BA505E77CF90}" name="HEP.TO" dataDxfId="24">
      <calculatedColumnFormula array="1">IF(AND(_xll.Close_Historical(INDEX(Quotes[#Headers],1,COLUMN(S2)),Quotes[[#This Row],[Date]])&lt;&gt;"NA",_xll.Close_Historical(INDEX(Quotes[#Headers],1,COLUMN(S2)),Quotes[[#This Row],[Date]])&lt;&gt;"'close'"),_xll.Close_Historical(INDEX(Quotes[#Headers],1,COLUMN(S2)),Quotes[[#This Row],[Date]]),S1)</calculatedColumnFormula>
    </tableColumn>
    <tableColumn id="19" xr3:uid="{611B4259-B679-4B83-A222-0DAABD401632}" name="VAB.TO" dataDxfId="23">
      <calculatedColumnFormula array="1">IF(AND(_xll.Close_Historical(INDEX(Quotes[#Headers],1,COLUMN(T2)),Quotes[[#This Row],[Date]])&lt;&gt;"NA",_xll.Close_Historical(INDEX(Quotes[#Headers],1,COLUMN(T2)),Quotes[[#This Row],[Date]])&lt;&gt;"'close'"),_xll.Close_Historical(INDEX(Quotes[#Headers],1,COLUMN(T2)),Quotes[[#This Row],[Date]]),T1)</calculatedColumnFormula>
    </tableColumn>
    <tableColumn id="20" xr3:uid="{22800176-F0EE-42E2-A7B5-4B200A35EB45}" name="FXC" dataDxfId="22">
      <calculatedColumnFormula array="1">IF(AND(_xll.Close_Historical(INDEX(Quotes[#Headers],1,COLUMN(U2)),Quotes[[#This Row],[Date]])&lt;&gt;"NA",_xll.Close_Historical(INDEX(Quotes[#Headers],1,COLUMN(U2)),Quotes[[#This Row],[Date]])&lt;&gt;"'close'"),_xll.Close_Historical(INDEX(Quotes[#Headers],1,COLUMN(U2)),Quotes[[#This Row],[Date]]),U1)</calculatedColumnFormula>
    </tableColumn>
  </tableColumns>
  <tableStyleInfo name="Simple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Q2" dT="2019-02-28T01:25:25.01" personId="{7146F2B8-CF94-448D-8AF3-6EED6B148AD6}" id="{2CC4945C-AFCA-4800-B4BA-86445EDB4E7D}">
    <text>Payments are made on the 28th of each month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alendarlabs.com/holidays/shared/fathers-day.php" TargetMode="External"/><Relationship Id="rId13" Type="http://schemas.openxmlformats.org/officeDocument/2006/relationships/hyperlink" Target="https://www.calendarlabs.com/holidays/us/presidents-day.php" TargetMode="External"/><Relationship Id="rId18" Type="http://schemas.openxmlformats.org/officeDocument/2006/relationships/hyperlink" Target="https://www.calendarlabs.com/holidays/us/veterans-day.php" TargetMode="External"/><Relationship Id="rId26" Type="http://schemas.openxmlformats.org/officeDocument/2006/relationships/hyperlink" Target="https://www.calendarlabs.com/holidays/shared/mothers-day.php" TargetMode="External"/><Relationship Id="rId3" Type="http://schemas.openxmlformats.org/officeDocument/2006/relationships/hyperlink" Target="https://www.calendarlabs.com/holidays/us/veterans-day.php" TargetMode="External"/><Relationship Id="rId21" Type="http://schemas.openxmlformats.org/officeDocument/2006/relationships/hyperlink" Target="https://www.calendarlabs.com/holidays/us/labor-day.php" TargetMode="External"/><Relationship Id="rId7" Type="http://schemas.openxmlformats.org/officeDocument/2006/relationships/hyperlink" Target="https://www.calendarlabs.com/holidays/us/independence-day.php" TargetMode="External"/><Relationship Id="rId12" Type="http://schemas.openxmlformats.org/officeDocument/2006/relationships/hyperlink" Target="https://www.calendarlabs.com/holidays/us/good-friday.php" TargetMode="External"/><Relationship Id="rId17" Type="http://schemas.openxmlformats.org/officeDocument/2006/relationships/hyperlink" Target="https://www.calendarlabs.com/holidays/us/thanksgiving-day.php" TargetMode="External"/><Relationship Id="rId25" Type="http://schemas.openxmlformats.org/officeDocument/2006/relationships/hyperlink" Target="https://www.calendarlabs.com/holidays/us/memorial-day.php" TargetMode="External"/><Relationship Id="rId33" Type="http://schemas.openxmlformats.org/officeDocument/2006/relationships/printerSettings" Target="../printerSettings/printerSettings7.bin"/><Relationship Id="rId2" Type="http://schemas.openxmlformats.org/officeDocument/2006/relationships/hyperlink" Target="https://www.calendarlabs.com/holidays/us/thanksgiving-day.php" TargetMode="External"/><Relationship Id="rId16" Type="http://schemas.openxmlformats.org/officeDocument/2006/relationships/hyperlink" Target="https://www.calendarlabs.com/holidays/us/new-years-day.php" TargetMode="External"/><Relationship Id="rId20" Type="http://schemas.openxmlformats.org/officeDocument/2006/relationships/hyperlink" Target="https://www.calendarlabs.com/holidays/us/columbus-day.php" TargetMode="External"/><Relationship Id="rId29" Type="http://schemas.openxmlformats.org/officeDocument/2006/relationships/hyperlink" Target="https://www.calendarlabs.com/holidays/us/presidents-day.php" TargetMode="External"/><Relationship Id="rId1" Type="http://schemas.openxmlformats.org/officeDocument/2006/relationships/hyperlink" Target="https://www.calendarlabs.com/holidays/us/christmas.php" TargetMode="External"/><Relationship Id="rId6" Type="http://schemas.openxmlformats.org/officeDocument/2006/relationships/hyperlink" Target="https://www.calendarlabs.com/holidays/us/labor-day.php" TargetMode="External"/><Relationship Id="rId11" Type="http://schemas.openxmlformats.org/officeDocument/2006/relationships/hyperlink" Target="https://www.calendarlabs.com/holidays/us/easter.php" TargetMode="External"/><Relationship Id="rId24" Type="http://schemas.openxmlformats.org/officeDocument/2006/relationships/hyperlink" Target="https://www.calendarlabs.com/holidays/fun/national-donut-day.php" TargetMode="External"/><Relationship Id="rId32" Type="http://schemas.openxmlformats.org/officeDocument/2006/relationships/hyperlink" Target="https://www.calendarlabs.com/holidays/us/new-years-day.php" TargetMode="External"/><Relationship Id="rId5" Type="http://schemas.openxmlformats.org/officeDocument/2006/relationships/hyperlink" Target="https://www.calendarlabs.com/holidays/us/columbus-day.php" TargetMode="External"/><Relationship Id="rId15" Type="http://schemas.openxmlformats.org/officeDocument/2006/relationships/hyperlink" Target="https://www.calendarlabs.com/holidays/us/martin-luther-king-day.php" TargetMode="External"/><Relationship Id="rId23" Type="http://schemas.openxmlformats.org/officeDocument/2006/relationships/hyperlink" Target="https://www.calendarlabs.com/holidays/shared/fathers-day.php" TargetMode="External"/><Relationship Id="rId28" Type="http://schemas.openxmlformats.org/officeDocument/2006/relationships/hyperlink" Target="https://www.calendarlabs.com/holidays/us/good-friday.php" TargetMode="External"/><Relationship Id="rId10" Type="http://schemas.openxmlformats.org/officeDocument/2006/relationships/hyperlink" Target="https://www.calendarlabs.com/holidays/shared/mothers-day.php" TargetMode="External"/><Relationship Id="rId19" Type="http://schemas.openxmlformats.org/officeDocument/2006/relationships/hyperlink" Target="https://www.calendarlabs.com/holidays/us/halloween.php" TargetMode="External"/><Relationship Id="rId31" Type="http://schemas.openxmlformats.org/officeDocument/2006/relationships/hyperlink" Target="https://www.calendarlabs.com/holidays/us/martin-luther-king-day.php" TargetMode="External"/><Relationship Id="rId4" Type="http://schemas.openxmlformats.org/officeDocument/2006/relationships/hyperlink" Target="https://www.calendarlabs.com/holidays/us/halloween.php" TargetMode="External"/><Relationship Id="rId9" Type="http://schemas.openxmlformats.org/officeDocument/2006/relationships/hyperlink" Target="https://www.calendarlabs.com/holidays/us/memorial-day.php" TargetMode="External"/><Relationship Id="rId14" Type="http://schemas.openxmlformats.org/officeDocument/2006/relationships/hyperlink" Target="https://www.calendarlabs.com/holidays/us/valentines-day.php" TargetMode="External"/><Relationship Id="rId22" Type="http://schemas.openxmlformats.org/officeDocument/2006/relationships/hyperlink" Target="https://www.calendarlabs.com/holidays/us/independence-day.php" TargetMode="External"/><Relationship Id="rId27" Type="http://schemas.openxmlformats.org/officeDocument/2006/relationships/hyperlink" Target="https://www.calendarlabs.com/holidays/us/easter.php" TargetMode="External"/><Relationship Id="rId30" Type="http://schemas.openxmlformats.org/officeDocument/2006/relationships/hyperlink" Target="https://www.calendarlabs.com/holidays/us/valentines-day.php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BB529"/>
  <sheetViews>
    <sheetView showGridLines="0" workbookViewId="0">
      <selection activeCell="S26" sqref="S26:W27"/>
    </sheetView>
  </sheetViews>
  <sheetFormatPr defaultRowHeight="14.25" x14ac:dyDescent="0.25"/>
  <cols>
    <col min="1" max="1" width="1.7109375" style="145" customWidth="1"/>
    <col min="2" max="2" width="2.140625" customWidth="1"/>
    <col min="3" max="7" width="6.7109375" customWidth="1"/>
    <col min="8" max="8" width="2.140625" customWidth="1"/>
    <col min="9" max="9" width="2.140625" style="145" customWidth="1"/>
    <col min="10" max="10" width="2.140625" customWidth="1"/>
    <col min="11" max="15" width="6.7109375" customWidth="1"/>
    <col min="16" max="16" width="2.140625" customWidth="1"/>
    <col min="17" max="17" width="2.140625" style="145" customWidth="1"/>
    <col min="18" max="18" width="2.140625" customWidth="1"/>
    <col min="19" max="23" width="6.7109375" customWidth="1"/>
    <col min="24" max="24" width="2.140625" customWidth="1"/>
    <col min="25" max="25" width="2.140625" style="145" customWidth="1"/>
    <col min="26" max="26" width="2.140625" customWidth="1"/>
    <col min="27" max="31" width="6.7109375" customWidth="1"/>
    <col min="32" max="32" width="2.140625" customWidth="1"/>
    <col min="33" max="54" width="9.140625" style="145"/>
  </cols>
  <sheetData>
    <row r="1" spans="2:32" s="145" customFormat="1" ht="9" customHeight="1" x14ac:dyDescent="0.25"/>
    <row r="2" spans="2:32" ht="11.25" customHeight="1" x14ac:dyDescent="0.25">
      <c r="B2" s="88"/>
      <c r="C2" s="89"/>
      <c r="D2" s="89"/>
      <c r="E2" s="89"/>
      <c r="F2" s="89"/>
      <c r="G2" s="89"/>
      <c r="H2" s="90"/>
      <c r="J2" s="96"/>
      <c r="K2" s="97"/>
      <c r="L2" s="97"/>
      <c r="M2" s="97"/>
      <c r="N2" s="97"/>
      <c r="O2" s="97"/>
      <c r="P2" s="98"/>
      <c r="R2" s="104"/>
      <c r="S2" s="105"/>
      <c r="T2" s="105"/>
      <c r="U2" s="105"/>
      <c r="V2" s="105"/>
      <c r="W2" s="105"/>
      <c r="X2" s="106"/>
      <c r="Z2" s="146"/>
      <c r="AA2" s="147"/>
      <c r="AB2" s="147"/>
      <c r="AC2" s="147"/>
      <c r="AD2" s="147"/>
      <c r="AE2" s="147"/>
      <c r="AF2" s="148"/>
    </row>
    <row r="3" spans="2:32" ht="15" customHeight="1" x14ac:dyDescent="0.25">
      <c r="B3" s="91"/>
      <c r="C3" s="448" t="s">
        <v>115</v>
      </c>
      <c r="D3" s="448"/>
      <c r="E3" s="448"/>
      <c r="F3" s="448"/>
      <c r="G3" s="448"/>
      <c r="H3" s="92"/>
      <c r="J3" s="99"/>
      <c r="K3" s="450" t="s">
        <v>117</v>
      </c>
      <c r="L3" s="450"/>
      <c r="M3" s="450"/>
      <c r="N3" s="450"/>
      <c r="O3" s="450"/>
      <c r="P3" s="100"/>
      <c r="R3" s="107"/>
      <c r="S3" s="445" t="s">
        <v>126</v>
      </c>
      <c r="T3" s="445"/>
      <c r="U3" s="445"/>
      <c r="V3" s="445"/>
      <c r="W3" s="445"/>
      <c r="X3" s="108"/>
      <c r="Z3" s="149"/>
      <c r="AA3" s="438" t="s">
        <v>12</v>
      </c>
      <c r="AB3" s="438"/>
      <c r="AC3" s="438"/>
      <c r="AD3" s="438"/>
      <c r="AE3" s="438"/>
      <c r="AF3" s="151"/>
    </row>
    <row r="4" spans="2:32" ht="15" customHeight="1" x14ac:dyDescent="0.25">
      <c r="B4" s="91"/>
      <c r="C4" s="448"/>
      <c r="D4" s="448"/>
      <c r="E4" s="448"/>
      <c r="F4" s="448"/>
      <c r="G4" s="448"/>
      <c r="H4" s="92"/>
      <c r="J4" s="99"/>
      <c r="K4" s="450"/>
      <c r="L4" s="450"/>
      <c r="M4" s="450"/>
      <c r="N4" s="450"/>
      <c r="O4" s="450"/>
      <c r="P4" s="100"/>
      <c r="R4" s="107"/>
      <c r="S4" s="445"/>
      <c r="T4" s="445"/>
      <c r="U4" s="445"/>
      <c r="V4" s="445"/>
      <c r="W4" s="445"/>
      <c r="X4" s="108"/>
      <c r="Z4" s="149"/>
      <c r="AA4" s="438"/>
      <c r="AB4" s="438"/>
      <c r="AC4" s="438"/>
      <c r="AD4" s="438"/>
      <c r="AE4" s="438"/>
      <c r="AF4" s="151"/>
    </row>
    <row r="5" spans="2:32" ht="15" customHeight="1" x14ac:dyDescent="0.25">
      <c r="B5" s="91"/>
      <c r="C5" s="449" t="str">
        <f>TEXT(Balance!K2/1000,"$#,##0k")</f>
        <v>$44k</v>
      </c>
      <c r="D5" s="449"/>
      <c r="E5" s="449"/>
      <c r="F5" s="449"/>
      <c r="G5" s="449"/>
      <c r="H5" s="92"/>
      <c r="J5" s="99"/>
      <c r="K5" s="451" t="str">
        <f>TEXT('Scratch pad'!K75*10/1000,"$#,##0k")</f>
        <v>$1,775k</v>
      </c>
      <c r="L5" s="451"/>
      <c r="M5" s="451"/>
      <c r="N5" s="451"/>
      <c r="O5" s="451"/>
      <c r="P5" s="100"/>
      <c r="R5" s="107"/>
      <c r="S5" s="446" t="e">
        <f>TEXT(Balance!K25/1000,"$#,##0k")</f>
        <v>#N/A</v>
      </c>
      <c r="T5" s="446"/>
      <c r="U5" s="446"/>
      <c r="V5" s="446"/>
      <c r="W5" s="446"/>
      <c r="X5" s="108"/>
      <c r="Y5" s="163"/>
      <c r="Z5" s="149"/>
      <c r="AA5" s="439" t="str">
        <f>TEXT('Scratch pad'!E13/1000,"$#,##0k")</f>
        <v>$70k</v>
      </c>
      <c r="AB5" s="439"/>
      <c r="AC5" s="439"/>
      <c r="AD5" s="439"/>
      <c r="AE5" s="439"/>
      <c r="AF5" s="151"/>
    </row>
    <row r="6" spans="2:32" ht="15" customHeight="1" x14ac:dyDescent="0.25">
      <c r="B6" s="91"/>
      <c r="C6" s="449"/>
      <c r="D6" s="449"/>
      <c r="E6" s="449"/>
      <c r="F6" s="449"/>
      <c r="G6" s="449"/>
      <c r="H6" s="92"/>
      <c r="J6" s="99"/>
      <c r="K6" s="451"/>
      <c r="L6" s="451"/>
      <c r="M6" s="451"/>
      <c r="N6" s="451"/>
      <c r="O6" s="451"/>
      <c r="P6" s="100"/>
      <c r="R6" s="107"/>
      <c r="S6" s="446"/>
      <c r="T6" s="446"/>
      <c r="U6" s="446"/>
      <c r="V6" s="446"/>
      <c r="W6" s="446"/>
      <c r="X6" s="108"/>
      <c r="Y6" s="163"/>
      <c r="Z6" s="149"/>
      <c r="AA6" s="439"/>
      <c r="AB6" s="439"/>
      <c r="AC6" s="439"/>
      <c r="AD6" s="439"/>
      <c r="AE6" s="439"/>
      <c r="AF6" s="151"/>
    </row>
    <row r="7" spans="2:32" ht="15" customHeight="1" x14ac:dyDescent="0.25">
      <c r="B7" s="91"/>
      <c r="C7" s="449"/>
      <c r="D7" s="449"/>
      <c r="E7" s="449"/>
      <c r="F7" s="449"/>
      <c r="G7" s="449"/>
      <c r="H7" s="92"/>
      <c r="J7" s="99"/>
      <c r="K7" s="451"/>
      <c r="L7" s="451"/>
      <c r="M7" s="451"/>
      <c r="N7" s="451"/>
      <c r="O7" s="451"/>
      <c r="P7" s="100"/>
      <c r="R7" s="107"/>
      <c r="S7" s="446"/>
      <c r="T7" s="446"/>
      <c r="U7" s="446"/>
      <c r="V7" s="446"/>
      <c r="W7" s="446"/>
      <c r="X7" s="108"/>
      <c r="Y7" s="163"/>
      <c r="Z7" s="149"/>
      <c r="AA7" s="439"/>
      <c r="AB7" s="439"/>
      <c r="AC7" s="439"/>
      <c r="AD7" s="439"/>
      <c r="AE7" s="439"/>
      <c r="AF7" s="151"/>
    </row>
    <row r="8" spans="2:32" ht="15" customHeight="1" x14ac:dyDescent="0.25">
      <c r="B8" s="91"/>
      <c r="C8" s="449"/>
      <c r="D8" s="449"/>
      <c r="E8" s="449"/>
      <c r="F8" s="449"/>
      <c r="G8" s="449"/>
      <c r="H8" s="92"/>
      <c r="J8" s="99"/>
      <c r="K8" s="451"/>
      <c r="L8" s="451"/>
      <c r="M8" s="451"/>
      <c r="N8" s="451"/>
      <c r="O8" s="451"/>
      <c r="P8" s="100"/>
      <c r="R8" s="107"/>
      <c r="S8" s="446"/>
      <c r="T8" s="446"/>
      <c r="U8" s="446"/>
      <c r="V8" s="446"/>
      <c r="W8" s="446"/>
      <c r="X8" s="108"/>
      <c r="Y8" s="163"/>
      <c r="Z8" s="149"/>
      <c r="AA8" s="439"/>
      <c r="AB8" s="439"/>
      <c r="AC8" s="439"/>
      <c r="AD8" s="439"/>
      <c r="AE8" s="439"/>
      <c r="AF8" s="151"/>
    </row>
    <row r="9" spans="2:32" ht="15" customHeight="1" x14ac:dyDescent="0.25">
      <c r="B9" s="91"/>
      <c r="C9" s="449"/>
      <c r="D9" s="449"/>
      <c r="E9" s="449"/>
      <c r="F9" s="449"/>
      <c r="G9" s="449"/>
      <c r="H9" s="92"/>
      <c r="J9" s="99"/>
      <c r="K9" s="451"/>
      <c r="L9" s="451"/>
      <c r="M9" s="451"/>
      <c r="N9" s="451"/>
      <c r="O9" s="451"/>
      <c r="P9" s="100"/>
      <c r="R9" s="107"/>
      <c r="S9" s="446"/>
      <c r="T9" s="446"/>
      <c r="U9" s="446"/>
      <c r="V9" s="446"/>
      <c r="W9" s="446"/>
      <c r="X9" s="108"/>
      <c r="Y9" s="163"/>
      <c r="Z9" s="149"/>
      <c r="AA9" s="439"/>
      <c r="AB9" s="439"/>
      <c r="AC9" s="439"/>
      <c r="AD9" s="439"/>
      <c r="AE9" s="439"/>
      <c r="AF9" s="151"/>
    </row>
    <row r="10" spans="2:32" ht="15" customHeight="1" x14ac:dyDescent="0.25">
      <c r="B10" s="91"/>
      <c r="H10" s="92"/>
      <c r="J10" s="99"/>
      <c r="P10" s="100"/>
      <c r="R10" s="107"/>
      <c r="S10" s="109"/>
      <c r="T10" s="109"/>
      <c r="U10" s="109"/>
      <c r="V10" s="109"/>
      <c r="W10" s="109"/>
      <c r="X10" s="108"/>
      <c r="Y10" s="163"/>
      <c r="Z10" s="150"/>
      <c r="AA10" s="153"/>
      <c r="AB10" s="153"/>
      <c r="AC10" s="153"/>
      <c r="AD10" s="153"/>
      <c r="AE10" s="153"/>
      <c r="AF10" s="152"/>
    </row>
    <row r="11" spans="2:32" ht="14.25" customHeight="1" x14ac:dyDescent="0.25">
      <c r="B11" s="91"/>
      <c r="H11" s="92"/>
      <c r="J11" s="99"/>
      <c r="K11" s="452" t="str">
        <f>CONCATENATE(TEXT(('Scratch pad'!K75*10/1000)-(Balance!K2/1000),"$#,##0k"), " to go")</f>
        <v>$1,732k to go</v>
      </c>
      <c r="L11" s="452"/>
      <c r="M11" s="452"/>
      <c r="N11" s="452"/>
      <c r="O11" s="452"/>
      <c r="P11" s="100"/>
      <c r="R11" s="107"/>
      <c r="S11" s="109"/>
      <c r="T11" s="109"/>
      <c r="U11" s="109"/>
      <c r="V11" s="109"/>
      <c r="W11" s="109"/>
      <c r="X11" s="108"/>
      <c r="Z11" s="145"/>
      <c r="AA11" s="145"/>
      <c r="AB11" s="145"/>
      <c r="AC11" s="145"/>
      <c r="AD11" s="145"/>
      <c r="AE11" s="145"/>
      <c r="AF11" s="145"/>
    </row>
    <row r="12" spans="2:32" ht="14.25" customHeight="1" x14ac:dyDescent="0.25">
      <c r="B12" s="91"/>
      <c r="H12" s="92"/>
      <c r="J12" s="99"/>
      <c r="K12" s="452"/>
      <c r="L12" s="452"/>
      <c r="M12" s="452"/>
      <c r="N12" s="452"/>
      <c r="O12" s="452"/>
      <c r="P12" s="100"/>
      <c r="R12" s="107"/>
      <c r="S12" s="109"/>
      <c r="T12" s="109"/>
      <c r="U12" s="109"/>
      <c r="V12" s="109"/>
      <c r="W12" s="109"/>
      <c r="X12" s="108"/>
      <c r="Z12" s="129"/>
      <c r="AA12" s="130"/>
      <c r="AB12" s="130"/>
      <c r="AC12" s="130"/>
      <c r="AD12" s="130"/>
      <c r="AE12" s="130"/>
      <c r="AF12" s="131"/>
    </row>
    <row r="13" spans="2:32" ht="14.25" customHeight="1" x14ac:dyDescent="0.25">
      <c r="B13" s="91"/>
      <c r="H13" s="92"/>
      <c r="J13" s="99"/>
      <c r="K13" s="456" t="s">
        <v>118</v>
      </c>
      <c r="L13" s="456"/>
      <c r="M13" s="456"/>
      <c r="N13" s="456"/>
      <c r="O13" s="456"/>
      <c r="P13" s="100"/>
      <c r="R13" s="107"/>
      <c r="S13" s="109"/>
      <c r="T13" s="109"/>
      <c r="U13" s="109"/>
      <c r="V13" s="109"/>
      <c r="W13" s="109"/>
      <c r="X13" s="108"/>
      <c r="Z13" s="132"/>
      <c r="AA13" s="448" t="s">
        <v>13</v>
      </c>
      <c r="AB13" s="448"/>
      <c r="AC13" s="448"/>
      <c r="AD13" s="448"/>
      <c r="AE13" s="448"/>
      <c r="AF13" s="133"/>
    </row>
    <row r="14" spans="2:32" ht="14.25" customHeight="1" x14ac:dyDescent="0.25">
      <c r="B14" s="91"/>
      <c r="H14" s="92"/>
      <c r="J14" s="99"/>
      <c r="K14" s="456"/>
      <c r="L14" s="456"/>
      <c r="M14" s="456"/>
      <c r="N14" s="456"/>
      <c r="O14" s="456"/>
      <c r="P14" s="100"/>
      <c r="R14" s="107"/>
      <c r="S14" s="109"/>
      <c r="T14" s="109"/>
      <c r="U14" s="109"/>
      <c r="V14" s="109"/>
      <c r="W14" s="109"/>
      <c r="X14" s="108"/>
      <c r="Z14" s="132"/>
      <c r="AA14" s="154"/>
      <c r="AB14" s="154"/>
      <c r="AC14" s="154"/>
      <c r="AD14" s="154"/>
      <c r="AE14" s="154"/>
      <c r="AF14" s="133"/>
    </row>
    <row r="15" spans="2:32" ht="15" customHeight="1" x14ac:dyDescent="0.25">
      <c r="B15" s="91"/>
      <c r="H15" s="92"/>
      <c r="J15" s="99"/>
      <c r="K15" s="456" t="str">
        <f ca="1">CONCATENATE(2037-YEAR(TODAY())," years until 65")</f>
        <v>17 years until 65</v>
      </c>
      <c r="L15" s="456"/>
      <c r="M15" s="456"/>
      <c r="N15" s="456"/>
      <c r="O15" s="456"/>
      <c r="P15" s="100"/>
      <c r="R15" s="107"/>
      <c r="S15" s="109"/>
      <c r="T15" s="109"/>
      <c r="U15" s="109"/>
      <c r="V15" s="109"/>
      <c r="W15" s="109"/>
      <c r="X15" s="108"/>
      <c r="Z15" s="132"/>
      <c r="AA15" s="453" t="str">
        <f>TEXT('Scratch pad'!E15/1000,"$#,##0k")</f>
        <v>$64k</v>
      </c>
      <c r="AB15" s="453"/>
      <c r="AC15" s="453"/>
      <c r="AD15" s="453"/>
      <c r="AE15" s="453"/>
      <c r="AF15" s="133"/>
    </row>
    <row r="16" spans="2:32" ht="15" customHeight="1" x14ac:dyDescent="0.25">
      <c r="B16" s="91"/>
      <c r="H16" s="92"/>
      <c r="J16" s="99"/>
      <c r="K16" s="456"/>
      <c r="L16" s="456"/>
      <c r="M16" s="456"/>
      <c r="N16" s="456"/>
      <c r="O16" s="456"/>
      <c r="P16" s="100"/>
      <c r="R16" s="107"/>
      <c r="S16" s="109"/>
      <c r="T16" s="109"/>
      <c r="U16" s="109"/>
      <c r="V16" s="109"/>
      <c r="W16" s="109"/>
      <c r="X16" s="108"/>
      <c r="Z16" s="132"/>
      <c r="AA16" s="453"/>
      <c r="AB16" s="453"/>
      <c r="AC16" s="453"/>
      <c r="AD16" s="453"/>
      <c r="AE16" s="453"/>
      <c r="AF16" s="133"/>
    </row>
    <row r="17" spans="2:32" ht="15" customHeight="1" x14ac:dyDescent="0.25">
      <c r="B17" s="91"/>
      <c r="H17" s="92"/>
      <c r="J17" s="101"/>
      <c r="K17" s="102"/>
      <c r="L17" s="102"/>
      <c r="M17" s="102"/>
      <c r="N17" s="102"/>
      <c r="O17" s="102"/>
      <c r="P17" s="103"/>
      <c r="R17" s="107"/>
      <c r="S17" s="109"/>
      <c r="T17" s="109"/>
      <c r="U17" s="109"/>
      <c r="V17" s="109"/>
      <c r="W17" s="109"/>
      <c r="X17" s="108"/>
      <c r="Z17" s="132"/>
      <c r="AA17" s="453"/>
      <c r="AB17" s="453"/>
      <c r="AC17" s="453"/>
      <c r="AD17" s="453"/>
      <c r="AE17" s="453"/>
      <c r="AF17" s="133"/>
    </row>
    <row r="18" spans="2:32" ht="15" customHeight="1" x14ac:dyDescent="0.25">
      <c r="B18" s="91"/>
      <c r="H18" s="92"/>
      <c r="J18" s="145"/>
      <c r="K18" s="145"/>
      <c r="L18" s="145"/>
      <c r="M18" s="145"/>
      <c r="N18" s="145"/>
      <c r="O18" s="145"/>
      <c r="P18" s="145"/>
      <c r="R18" s="107"/>
      <c r="S18" s="109"/>
      <c r="T18" s="109"/>
      <c r="U18" s="109"/>
      <c r="V18" s="109"/>
      <c r="W18" s="109"/>
      <c r="X18" s="108"/>
      <c r="Z18" s="132"/>
      <c r="AA18" s="453"/>
      <c r="AB18" s="453"/>
      <c r="AC18" s="453"/>
      <c r="AD18" s="453"/>
      <c r="AE18" s="453"/>
      <c r="AF18" s="133"/>
    </row>
    <row r="19" spans="2:32" ht="15" customHeight="1" x14ac:dyDescent="0.25">
      <c r="B19" s="91"/>
      <c r="H19" s="92"/>
      <c r="J19" s="113"/>
      <c r="K19" s="114"/>
      <c r="L19" s="114"/>
      <c r="M19" s="114"/>
      <c r="N19" s="114"/>
      <c r="O19" s="114"/>
      <c r="P19" s="115"/>
      <c r="R19" s="107"/>
      <c r="S19" s="109"/>
      <c r="T19" s="109"/>
      <c r="U19" s="109"/>
      <c r="V19" s="109"/>
      <c r="W19" s="109"/>
      <c r="X19" s="108"/>
      <c r="Z19" s="132"/>
      <c r="AA19" s="453"/>
      <c r="AB19" s="453"/>
      <c r="AC19" s="453"/>
      <c r="AD19" s="453"/>
      <c r="AE19" s="453"/>
      <c r="AF19" s="133"/>
    </row>
    <row r="20" spans="2:32" ht="15" customHeight="1" x14ac:dyDescent="0.25">
      <c r="B20" s="91"/>
      <c r="H20" s="92"/>
      <c r="J20" s="116"/>
      <c r="K20" s="454" t="s">
        <v>116</v>
      </c>
      <c r="L20" s="454"/>
      <c r="M20" s="454"/>
      <c r="N20" s="454"/>
      <c r="O20" s="454"/>
      <c r="P20" s="117"/>
      <c r="R20" s="107"/>
      <c r="S20" s="109"/>
      <c r="T20" s="109"/>
      <c r="U20" s="109"/>
      <c r="V20" s="109"/>
      <c r="W20" s="109"/>
      <c r="X20" s="108"/>
      <c r="Z20" s="134"/>
      <c r="AA20" s="155"/>
      <c r="AB20" s="155"/>
      <c r="AC20" s="155"/>
      <c r="AD20" s="155"/>
      <c r="AE20" s="155"/>
      <c r="AF20" s="135"/>
    </row>
    <row r="21" spans="2:32" x14ac:dyDescent="0.25">
      <c r="B21" s="91"/>
      <c r="H21" s="92"/>
      <c r="J21" s="116"/>
      <c r="K21" s="454"/>
      <c r="L21" s="454"/>
      <c r="M21" s="454"/>
      <c r="N21" s="454"/>
      <c r="O21" s="454"/>
      <c r="P21" s="117"/>
      <c r="R21" s="107"/>
      <c r="S21" s="109"/>
      <c r="T21" s="109"/>
      <c r="U21" s="109"/>
      <c r="V21" s="109"/>
      <c r="W21" s="109"/>
      <c r="X21" s="108"/>
      <c r="Z21" s="157"/>
      <c r="AA21" s="157"/>
      <c r="AB21" s="157"/>
      <c r="AC21" s="157"/>
      <c r="AD21" s="157"/>
      <c r="AE21" s="157"/>
      <c r="AF21" s="157"/>
    </row>
    <row r="22" spans="2:32" x14ac:dyDescent="0.25">
      <c r="B22" s="91"/>
      <c r="H22" s="92"/>
      <c r="J22" s="116"/>
      <c r="K22" s="455" t="str">
        <f>TEXT(Balance!K10/-1000,"$#,##0k")</f>
        <v>$23k</v>
      </c>
      <c r="L22" s="455"/>
      <c r="M22" s="455"/>
      <c r="N22" s="455"/>
      <c r="O22" s="455"/>
      <c r="P22" s="117"/>
      <c r="R22" s="107"/>
      <c r="S22" s="109"/>
      <c r="T22" s="109"/>
      <c r="U22" s="109"/>
      <c r="V22" s="109"/>
      <c r="W22" s="109"/>
      <c r="X22" s="108"/>
      <c r="Z22" s="157"/>
      <c r="AA22" s="157"/>
      <c r="AB22" s="157"/>
      <c r="AC22" s="157"/>
      <c r="AD22" s="157"/>
      <c r="AE22" s="157"/>
      <c r="AF22" s="157"/>
    </row>
    <row r="23" spans="2:32" ht="11.25" customHeight="1" x14ac:dyDescent="0.25">
      <c r="B23" s="93"/>
      <c r="C23" s="94"/>
      <c r="D23" s="94"/>
      <c r="E23" s="94"/>
      <c r="F23" s="94"/>
      <c r="G23" s="94"/>
      <c r="H23" s="95"/>
      <c r="J23" s="116"/>
      <c r="K23" s="455"/>
      <c r="L23" s="455"/>
      <c r="M23" s="455"/>
      <c r="N23" s="455"/>
      <c r="O23" s="455"/>
      <c r="P23" s="117"/>
      <c r="R23" s="110"/>
      <c r="S23" s="111"/>
      <c r="T23" s="111"/>
      <c r="U23" s="111"/>
      <c r="V23" s="111"/>
      <c r="W23" s="111"/>
      <c r="X23" s="112"/>
      <c r="Z23" s="157"/>
      <c r="AA23" s="157"/>
      <c r="AB23" s="157"/>
      <c r="AC23" s="157"/>
      <c r="AD23" s="157"/>
      <c r="AE23" s="157"/>
      <c r="AF23" s="157"/>
    </row>
    <row r="24" spans="2:32" ht="11.25" customHeight="1" x14ac:dyDescent="0.25">
      <c r="B24" s="145"/>
      <c r="C24" s="145"/>
      <c r="D24" s="145"/>
      <c r="E24" s="145"/>
      <c r="F24" s="145"/>
      <c r="G24" s="145"/>
      <c r="H24" s="145"/>
      <c r="J24" s="116"/>
      <c r="K24" s="455"/>
      <c r="L24" s="455"/>
      <c r="M24" s="455"/>
      <c r="N24" s="455"/>
      <c r="O24" s="455"/>
      <c r="P24" s="117"/>
      <c r="R24" s="145"/>
      <c r="S24" s="145"/>
      <c r="T24" s="145"/>
      <c r="U24" s="145"/>
      <c r="V24" s="145"/>
      <c r="W24" s="145"/>
      <c r="X24" s="145"/>
      <c r="Z24" s="145"/>
      <c r="AA24" s="145"/>
      <c r="AB24" s="145"/>
      <c r="AC24" s="145"/>
      <c r="AD24" s="145"/>
      <c r="AE24" s="145"/>
      <c r="AF24" s="145"/>
    </row>
    <row r="25" spans="2:32" x14ac:dyDescent="0.25">
      <c r="B25" s="121"/>
      <c r="C25" s="122"/>
      <c r="D25" s="122"/>
      <c r="E25" s="122"/>
      <c r="F25" s="122"/>
      <c r="G25" s="122"/>
      <c r="H25" s="123"/>
      <c r="J25" s="116"/>
      <c r="K25" s="455"/>
      <c r="L25" s="455"/>
      <c r="M25" s="455"/>
      <c r="N25" s="455"/>
      <c r="O25" s="455"/>
      <c r="P25" s="117"/>
      <c r="R25" s="167"/>
      <c r="S25" s="168"/>
      <c r="T25" s="168"/>
      <c r="U25" s="168"/>
      <c r="V25" s="168"/>
      <c r="W25" s="168"/>
      <c r="X25" s="169"/>
      <c r="Z25" s="158"/>
      <c r="AA25" s="158"/>
      <c r="AB25" s="158"/>
      <c r="AC25" s="158"/>
      <c r="AD25" s="158"/>
      <c r="AE25" s="158"/>
      <c r="AF25" s="158"/>
    </row>
    <row r="26" spans="2:32" x14ac:dyDescent="0.25">
      <c r="B26" s="124"/>
      <c r="C26" s="438" t="s">
        <v>9</v>
      </c>
      <c r="D26" s="438"/>
      <c r="E26" s="438"/>
      <c r="F26" s="438"/>
      <c r="G26" s="438"/>
      <c r="H26" s="125"/>
      <c r="J26" s="116"/>
      <c r="K26" s="455"/>
      <c r="L26" s="455"/>
      <c r="M26" s="455"/>
      <c r="N26" s="455"/>
      <c r="O26" s="455"/>
      <c r="P26" s="117"/>
      <c r="R26" s="170"/>
      <c r="S26" s="447"/>
      <c r="T26" s="447"/>
      <c r="U26" s="447"/>
      <c r="V26" s="447"/>
      <c r="W26" s="447"/>
      <c r="X26" s="171"/>
      <c r="Z26" s="158"/>
      <c r="AA26" s="440"/>
      <c r="AB26" s="440"/>
      <c r="AC26" s="440"/>
      <c r="AD26" s="440"/>
      <c r="AE26" s="440"/>
      <c r="AF26" s="158"/>
    </row>
    <row r="27" spans="2:32" x14ac:dyDescent="0.25">
      <c r="B27" s="124"/>
      <c r="C27" s="438"/>
      <c r="D27" s="438"/>
      <c r="E27" s="438"/>
      <c r="F27" s="438"/>
      <c r="G27" s="438"/>
      <c r="H27" s="125"/>
      <c r="J27" s="116"/>
      <c r="K27" s="456" t="s">
        <v>119</v>
      </c>
      <c r="L27" s="456"/>
      <c r="M27" s="456"/>
      <c r="N27" s="456"/>
      <c r="O27" s="456"/>
      <c r="P27" s="117"/>
      <c r="R27" s="170"/>
      <c r="S27" s="447"/>
      <c r="T27" s="447"/>
      <c r="U27" s="447"/>
      <c r="V27" s="447"/>
      <c r="W27" s="447"/>
      <c r="X27" s="171"/>
      <c r="Z27" s="158"/>
      <c r="AA27" s="440"/>
      <c r="AB27" s="440"/>
      <c r="AC27" s="440"/>
      <c r="AD27" s="440"/>
      <c r="AE27" s="440"/>
      <c r="AF27" s="158"/>
    </row>
    <row r="28" spans="2:32" ht="14.25" customHeight="1" x14ac:dyDescent="0.25">
      <c r="B28" s="124"/>
      <c r="C28" s="457" t="e">
        <f>Spousal_Pmts_Remain</f>
        <v>#REF!</v>
      </c>
      <c r="D28" s="457"/>
      <c r="E28" s="457"/>
      <c r="F28" s="457"/>
      <c r="G28" s="457"/>
      <c r="H28" s="125"/>
      <c r="J28" s="116"/>
      <c r="K28" s="456"/>
      <c r="L28" s="456"/>
      <c r="M28" s="456"/>
      <c r="N28" s="456"/>
      <c r="O28" s="456"/>
      <c r="P28" s="117"/>
      <c r="R28" s="170"/>
      <c r="S28" s="164"/>
      <c r="T28" s="164"/>
      <c r="U28" s="164"/>
      <c r="V28" s="164"/>
      <c r="W28" s="164"/>
      <c r="X28" s="171"/>
      <c r="Z28" s="158"/>
      <c r="AA28" s="441"/>
      <c r="AB28" s="441"/>
      <c r="AC28" s="441"/>
      <c r="AD28" s="441"/>
      <c r="AE28" s="441"/>
      <c r="AF28" s="158"/>
    </row>
    <row r="29" spans="2:32" ht="14.25" customHeight="1" x14ac:dyDescent="0.25">
      <c r="B29" s="124"/>
      <c r="C29" s="457"/>
      <c r="D29" s="457"/>
      <c r="E29" s="457"/>
      <c r="F29" s="457"/>
      <c r="G29" s="457"/>
      <c r="H29" s="125"/>
      <c r="J29" s="116"/>
      <c r="K29" s="456" t="s">
        <v>120</v>
      </c>
      <c r="L29" s="456"/>
      <c r="M29" s="456"/>
      <c r="N29" s="456"/>
      <c r="O29" s="456"/>
      <c r="P29" s="117"/>
      <c r="R29" s="170"/>
      <c r="S29" s="164"/>
      <c r="T29" s="164"/>
      <c r="U29" s="164"/>
      <c r="V29" s="164"/>
      <c r="W29" s="164"/>
      <c r="X29" s="171"/>
      <c r="Z29" s="158"/>
      <c r="AA29" s="441"/>
      <c r="AB29" s="441"/>
      <c r="AC29" s="441"/>
      <c r="AD29" s="441"/>
      <c r="AE29" s="441"/>
      <c r="AF29" s="158"/>
    </row>
    <row r="30" spans="2:32" ht="14.25" customHeight="1" x14ac:dyDescent="0.25">
      <c r="B30" s="124"/>
      <c r="C30" s="457"/>
      <c r="D30" s="457"/>
      <c r="E30" s="457"/>
      <c r="F30" s="457"/>
      <c r="G30" s="457"/>
      <c r="H30" s="125"/>
      <c r="J30" s="116"/>
      <c r="K30" s="456"/>
      <c r="L30" s="456"/>
      <c r="M30" s="456"/>
      <c r="N30" s="456"/>
      <c r="O30" s="456"/>
      <c r="P30" s="117"/>
      <c r="R30" s="170"/>
      <c r="S30" s="164"/>
      <c r="T30" s="164"/>
      <c r="U30" s="164"/>
      <c r="V30" s="164"/>
      <c r="W30" s="164"/>
      <c r="X30" s="171"/>
      <c r="Z30" s="158"/>
      <c r="AA30" s="441"/>
      <c r="AB30" s="441"/>
      <c r="AC30" s="441"/>
      <c r="AD30" s="441"/>
      <c r="AE30" s="441"/>
      <c r="AF30" s="158"/>
    </row>
    <row r="31" spans="2:32" ht="14.25" customHeight="1" x14ac:dyDescent="0.25">
      <c r="B31" s="124"/>
      <c r="C31" s="457"/>
      <c r="D31" s="457"/>
      <c r="E31" s="457"/>
      <c r="F31" s="457"/>
      <c r="G31" s="457"/>
      <c r="H31" s="125"/>
      <c r="J31" s="116"/>
      <c r="K31" s="456" t="s">
        <v>121</v>
      </c>
      <c r="L31" s="456"/>
      <c r="M31" s="456"/>
      <c r="N31" s="456"/>
      <c r="O31" s="456"/>
      <c r="P31" s="117"/>
      <c r="R31" s="170"/>
      <c r="S31" s="164"/>
      <c r="T31" s="164"/>
      <c r="U31" s="164"/>
      <c r="V31" s="164"/>
      <c r="W31" s="164"/>
      <c r="X31" s="171"/>
      <c r="Z31" s="158"/>
      <c r="AA31" s="441"/>
      <c r="AB31" s="441"/>
      <c r="AC31" s="441"/>
      <c r="AD31" s="441"/>
      <c r="AE31" s="441"/>
      <c r="AF31" s="158"/>
    </row>
    <row r="32" spans="2:32" ht="14.25" customHeight="1" x14ac:dyDescent="0.25">
      <c r="B32" s="124"/>
      <c r="C32" s="457"/>
      <c r="D32" s="457"/>
      <c r="E32" s="457"/>
      <c r="F32" s="457"/>
      <c r="G32" s="457"/>
      <c r="H32" s="125"/>
      <c r="J32" s="116"/>
      <c r="K32" s="456"/>
      <c r="L32" s="456"/>
      <c r="M32" s="456"/>
      <c r="N32" s="456"/>
      <c r="O32" s="456"/>
      <c r="P32" s="117"/>
      <c r="R32" s="170"/>
      <c r="S32" s="164"/>
      <c r="T32" s="164"/>
      <c r="U32" s="164"/>
      <c r="V32" s="164"/>
      <c r="W32" s="164"/>
      <c r="X32" s="171"/>
      <c r="Z32" s="158"/>
      <c r="AA32" s="441"/>
      <c r="AB32" s="441"/>
      <c r="AC32" s="441"/>
      <c r="AD32" s="441"/>
      <c r="AE32" s="441"/>
      <c r="AF32" s="158"/>
    </row>
    <row r="33" spans="2:32" ht="14.25" customHeight="1" x14ac:dyDescent="0.25">
      <c r="B33" s="124"/>
      <c r="C33" s="452" t="e">
        <f>CONCATENATE(" Last payment on ", TEXT('Scratch pad'!#REF!, "dd-MMM-yyyy"))</f>
        <v>#REF!</v>
      </c>
      <c r="D33" s="452"/>
      <c r="E33" s="452"/>
      <c r="F33" s="452"/>
      <c r="G33" s="452"/>
      <c r="H33" s="125"/>
      <c r="J33" s="116"/>
      <c r="K33" s="456" t="s">
        <v>122</v>
      </c>
      <c r="L33" s="456"/>
      <c r="M33" s="456"/>
      <c r="N33" s="456"/>
      <c r="O33" s="456"/>
      <c r="P33" s="117"/>
      <c r="R33" s="172"/>
      <c r="S33" s="156"/>
      <c r="T33" s="156"/>
      <c r="U33" s="156"/>
      <c r="V33" s="156"/>
      <c r="W33" s="156"/>
      <c r="X33" s="173"/>
      <c r="Z33" s="145"/>
      <c r="AA33" s="145"/>
      <c r="AB33" s="145"/>
      <c r="AC33" s="145"/>
      <c r="AD33" s="145"/>
      <c r="AE33" s="145"/>
      <c r="AF33" s="145"/>
    </row>
    <row r="34" spans="2:32" ht="14.25" customHeight="1" x14ac:dyDescent="0.25">
      <c r="B34" s="124"/>
      <c r="C34" s="452"/>
      <c r="D34" s="452"/>
      <c r="E34" s="452"/>
      <c r="F34" s="452"/>
      <c r="G34" s="452"/>
      <c r="H34" s="125"/>
      <c r="J34" s="116"/>
      <c r="K34" s="456"/>
      <c r="L34" s="456"/>
      <c r="M34" s="456"/>
      <c r="N34" s="456"/>
      <c r="O34" s="456"/>
      <c r="P34" s="117"/>
      <c r="R34" s="174"/>
      <c r="S34" s="165"/>
      <c r="T34" s="165"/>
      <c r="U34" s="165"/>
      <c r="V34" s="165"/>
      <c r="W34" s="165"/>
      <c r="X34" s="175"/>
      <c r="Z34" s="159"/>
      <c r="AA34" s="159"/>
      <c r="AB34" s="159"/>
      <c r="AC34" s="159"/>
      <c r="AD34" s="159"/>
      <c r="AE34" s="159"/>
      <c r="AF34" s="159"/>
    </row>
    <row r="35" spans="2:32" ht="14.25" customHeight="1" x14ac:dyDescent="0.25">
      <c r="B35" s="124"/>
      <c r="C35" s="452" t="e">
        <f>CONCATENATE('Scratch pad'!#REF!, " payments made")</f>
        <v>#REF!</v>
      </c>
      <c r="D35" s="452"/>
      <c r="E35" s="452"/>
      <c r="F35" s="452"/>
      <c r="G35" s="452"/>
      <c r="H35" s="125"/>
      <c r="J35" s="161"/>
      <c r="K35" s="156"/>
      <c r="L35" s="156"/>
      <c r="M35" s="156"/>
      <c r="N35" s="156"/>
      <c r="O35" s="156"/>
      <c r="P35" s="162"/>
      <c r="R35" s="174"/>
      <c r="S35" s="166"/>
      <c r="T35" s="166"/>
      <c r="U35" s="166"/>
      <c r="V35" s="166"/>
      <c r="W35" s="166"/>
      <c r="X35" s="175"/>
      <c r="Z35" s="159"/>
      <c r="AA35" s="442"/>
      <c r="AB35" s="442"/>
      <c r="AC35" s="442"/>
      <c r="AD35" s="442"/>
      <c r="AE35" s="442"/>
      <c r="AF35" s="159"/>
    </row>
    <row r="36" spans="2:32" ht="14.25" customHeight="1" x14ac:dyDescent="0.25">
      <c r="B36" s="124"/>
      <c r="C36" s="452"/>
      <c r="D36" s="452"/>
      <c r="E36" s="452"/>
      <c r="F36" s="452"/>
      <c r="G36" s="452"/>
      <c r="H36" s="125"/>
      <c r="J36" s="161"/>
      <c r="K36" s="156"/>
      <c r="L36" s="156"/>
      <c r="M36" s="156"/>
      <c r="N36" s="156"/>
      <c r="O36" s="156"/>
      <c r="P36" s="162"/>
      <c r="R36" s="174"/>
      <c r="S36" s="166"/>
      <c r="T36" s="166"/>
      <c r="U36" s="166"/>
      <c r="V36" s="166"/>
      <c r="W36" s="166"/>
      <c r="X36" s="175"/>
      <c r="Z36" s="159"/>
      <c r="AA36" s="442"/>
      <c r="AB36" s="442"/>
      <c r="AC36" s="442"/>
      <c r="AD36" s="442"/>
      <c r="AE36" s="442"/>
      <c r="AF36" s="159"/>
    </row>
    <row r="37" spans="2:32" ht="14.25" customHeight="1" x14ac:dyDescent="0.25">
      <c r="B37" s="126"/>
      <c r="C37" s="127"/>
      <c r="D37" s="127"/>
      <c r="E37" s="127"/>
      <c r="F37" s="127"/>
      <c r="G37" s="127"/>
      <c r="H37" s="128"/>
      <c r="J37" s="118"/>
      <c r="K37" s="119"/>
      <c r="L37" s="119"/>
      <c r="M37" s="119"/>
      <c r="N37" s="119"/>
      <c r="O37" s="119"/>
      <c r="P37" s="120"/>
      <c r="R37" s="176"/>
      <c r="S37" s="177"/>
      <c r="T37" s="177"/>
      <c r="U37" s="177"/>
      <c r="V37" s="177"/>
      <c r="W37" s="177"/>
      <c r="X37" s="178"/>
      <c r="Z37" s="159"/>
      <c r="AA37" s="443"/>
      <c r="AB37" s="443"/>
      <c r="AC37" s="443"/>
      <c r="AD37" s="443"/>
      <c r="AE37" s="443"/>
      <c r="AF37" s="159"/>
    </row>
    <row r="38" spans="2:32" ht="15" customHeight="1" x14ac:dyDescent="0.25">
      <c r="B38" s="145"/>
      <c r="C38" s="145"/>
      <c r="D38" s="145"/>
      <c r="E38" s="145"/>
      <c r="F38" s="145"/>
      <c r="G38" s="145"/>
      <c r="H38" s="145"/>
      <c r="J38" s="145"/>
      <c r="K38" s="145"/>
      <c r="L38" s="145"/>
      <c r="M38" s="145"/>
      <c r="N38" s="145"/>
      <c r="O38" s="145"/>
      <c r="P38" s="145"/>
      <c r="R38" s="159"/>
      <c r="S38" s="160"/>
      <c r="T38" s="160"/>
      <c r="U38" s="160"/>
      <c r="V38" s="160"/>
      <c r="W38" s="160"/>
      <c r="X38" s="159"/>
      <c r="Z38" s="159"/>
      <c r="AA38" s="443"/>
      <c r="AB38" s="443"/>
      <c r="AC38" s="443"/>
      <c r="AD38" s="443"/>
      <c r="AE38" s="443"/>
      <c r="AF38" s="159"/>
    </row>
    <row r="39" spans="2:32" ht="15" customHeight="1" x14ac:dyDescent="0.25">
      <c r="B39" s="137"/>
      <c r="C39" s="138"/>
      <c r="D39" s="138"/>
      <c r="E39" s="138"/>
      <c r="F39" s="138"/>
      <c r="G39" s="138"/>
      <c r="H39" s="138"/>
      <c r="I39" s="138"/>
      <c r="J39" s="138"/>
      <c r="K39" s="138"/>
      <c r="L39" s="138"/>
      <c r="M39" s="138"/>
      <c r="N39" s="138"/>
      <c r="O39" s="138"/>
      <c r="P39" s="138"/>
      <c r="Q39" s="138"/>
      <c r="R39" s="138"/>
      <c r="S39" s="138"/>
      <c r="T39" s="138"/>
      <c r="U39" s="138"/>
      <c r="V39" s="138"/>
      <c r="W39" s="138"/>
      <c r="X39" s="139"/>
      <c r="Z39" s="159"/>
      <c r="AA39" s="443"/>
      <c r="AB39" s="443"/>
      <c r="AC39" s="443"/>
      <c r="AD39" s="443"/>
      <c r="AE39" s="443"/>
      <c r="AF39" s="159"/>
    </row>
    <row r="40" spans="2:32" ht="15" customHeight="1" x14ac:dyDescent="0.25">
      <c r="B40" s="140"/>
      <c r="C40" s="444" t="s">
        <v>124</v>
      </c>
      <c r="D40" s="444"/>
      <c r="E40" s="444"/>
      <c r="F40" s="444"/>
      <c r="G40" s="444"/>
      <c r="H40" s="109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156"/>
      <c r="V40" s="156"/>
      <c r="W40" s="109"/>
      <c r="X40" s="141"/>
      <c r="Z40" s="159"/>
      <c r="AA40" s="443"/>
      <c r="AB40" s="443"/>
      <c r="AC40" s="443"/>
      <c r="AD40" s="443"/>
      <c r="AE40" s="443"/>
      <c r="AF40" s="159"/>
    </row>
    <row r="41" spans="2:32" ht="15" customHeight="1" x14ac:dyDescent="0.25">
      <c r="B41" s="140"/>
      <c r="C41" s="444"/>
      <c r="D41" s="444"/>
      <c r="E41" s="444"/>
      <c r="F41" s="444"/>
      <c r="G41" s="444"/>
      <c r="H41" s="109"/>
      <c r="I41" s="156"/>
      <c r="J41" s="156"/>
      <c r="K41" s="156"/>
      <c r="L41" s="156"/>
      <c r="M41" s="156"/>
      <c r="N41" s="156"/>
      <c r="O41" s="156"/>
      <c r="P41" s="156"/>
      <c r="Q41" s="156"/>
      <c r="R41" s="156"/>
      <c r="S41" s="156"/>
      <c r="T41" s="156"/>
      <c r="U41" s="156"/>
      <c r="V41" s="156"/>
      <c r="W41" s="109"/>
      <c r="X41" s="141"/>
      <c r="Z41" s="159"/>
      <c r="AA41" s="443"/>
      <c r="AB41" s="443"/>
      <c r="AC41" s="443"/>
      <c r="AD41" s="443"/>
      <c r="AE41" s="443"/>
      <c r="AF41" s="159"/>
    </row>
    <row r="42" spans="2:32" ht="14.25" customHeight="1" x14ac:dyDescent="0.25">
      <c r="B42" s="140"/>
      <c r="C42" s="437" t="e">
        <f>TEXT(USRRSP_TotalVal/1000,"$#,##0k")</f>
        <v>#N/A</v>
      </c>
      <c r="D42" s="437"/>
      <c r="E42" s="437"/>
      <c r="F42" s="437"/>
      <c r="G42" s="437"/>
      <c r="H42" s="109"/>
      <c r="I42" s="156"/>
      <c r="J42" s="156"/>
      <c r="K42" s="156"/>
      <c r="L42" s="156"/>
      <c r="M42" s="156"/>
      <c r="N42" s="156"/>
      <c r="O42" s="156"/>
      <c r="P42" s="156"/>
      <c r="Q42" s="156"/>
      <c r="R42" s="156"/>
      <c r="S42" s="156"/>
      <c r="T42" s="156"/>
      <c r="U42" s="156"/>
      <c r="V42" s="156"/>
      <c r="W42" s="109"/>
      <c r="X42" s="141"/>
      <c r="Z42" s="145"/>
      <c r="AA42" s="145"/>
      <c r="AB42" s="145"/>
      <c r="AC42" s="145"/>
      <c r="AD42" s="145"/>
      <c r="AE42" s="145"/>
      <c r="AF42" s="145"/>
    </row>
    <row r="43" spans="2:32" ht="14.25" customHeight="1" x14ac:dyDescent="0.25">
      <c r="B43" s="140"/>
      <c r="C43" s="437"/>
      <c r="D43" s="437"/>
      <c r="E43" s="437"/>
      <c r="F43" s="437"/>
      <c r="G43" s="437"/>
      <c r="H43" s="109"/>
      <c r="I43" s="156"/>
      <c r="J43" s="156"/>
      <c r="K43" s="156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  <c r="W43" s="109"/>
      <c r="X43" s="141"/>
      <c r="Z43" s="145"/>
      <c r="AA43" s="145"/>
      <c r="AB43" s="145"/>
      <c r="AC43" s="145"/>
      <c r="AD43" s="145"/>
      <c r="AE43" s="145"/>
      <c r="AF43" s="145"/>
    </row>
    <row r="44" spans="2:32" ht="14.25" customHeight="1" x14ac:dyDescent="0.25">
      <c r="B44" s="140"/>
      <c r="C44" s="437"/>
      <c r="D44" s="437"/>
      <c r="E44" s="437"/>
      <c r="F44" s="437"/>
      <c r="G44" s="437"/>
      <c r="H44" s="109"/>
      <c r="I44" s="156"/>
      <c r="J44" s="156"/>
      <c r="K44" s="156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09"/>
      <c r="X44" s="141"/>
      <c r="Z44" s="145"/>
      <c r="AA44" s="145"/>
      <c r="AB44" s="145"/>
      <c r="AC44" s="145"/>
      <c r="AD44" s="145"/>
      <c r="AE44" s="145"/>
      <c r="AF44" s="145"/>
    </row>
    <row r="45" spans="2:32" ht="14.25" customHeight="1" x14ac:dyDescent="0.25">
      <c r="B45" s="140"/>
      <c r="C45" s="437"/>
      <c r="D45" s="437"/>
      <c r="E45" s="437"/>
      <c r="F45" s="437"/>
      <c r="G45" s="437"/>
      <c r="H45" s="109"/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09"/>
      <c r="X45" s="141"/>
      <c r="Z45" s="145"/>
      <c r="AA45" s="145"/>
      <c r="AB45" s="145"/>
      <c r="AC45" s="145"/>
      <c r="AD45" s="145"/>
      <c r="AE45" s="145"/>
      <c r="AF45" s="145"/>
    </row>
    <row r="46" spans="2:32" ht="14.25" customHeight="1" x14ac:dyDescent="0.25">
      <c r="B46" s="140"/>
      <c r="C46" s="437"/>
      <c r="D46" s="437"/>
      <c r="E46" s="437"/>
      <c r="F46" s="437"/>
      <c r="G46" s="437"/>
      <c r="H46" s="109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09"/>
      <c r="X46" s="141"/>
      <c r="Z46" s="145"/>
      <c r="AA46" s="145"/>
      <c r="AB46" s="145"/>
      <c r="AC46" s="145"/>
      <c r="AD46" s="145"/>
      <c r="AE46" s="145"/>
      <c r="AF46" s="145"/>
    </row>
    <row r="47" spans="2:32" x14ac:dyDescent="0.25">
      <c r="B47" s="140"/>
      <c r="C47" s="109"/>
      <c r="D47" s="109"/>
      <c r="E47" s="109"/>
      <c r="F47" s="109"/>
      <c r="G47" s="109"/>
      <c r="H47" s="109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09"/>
      <c r="X47" s="141"/>
      <c r="Z47" s="145"/>
      <c r="AA47" s="145"/>
      <c r="AB47" s="145"/>
      <c r="AC47" s="145"/>
      <c r="AD47" s="145"/>
      <c r="AE47" s="145"/>
      <c r="AF47" s="145"/>
    </row>
    <row r="48" spans="2:32" x14ac:dyDescent="0.25">
      <c r="B48" s="140"/>
      <c r="C48" s="436" t="e">
        <f>CONCATENATE(TEXT(USRRSP_GainLoss/1000,"$#,##0k")," gain")</f>
        <v>#N/A</v>
      </c>
      <c r="D48" s="436"/>
      <c r="E48" s="436"/>
      <c r="F48" s="436"/>
      <c r="G48" s="436"/>
      <c r="H48" s="109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09"/>
      <c r="X48" s="141"/>
      <c r="Z48" s="145"/>
      <c r="AA48" s="145"/>
      <c r="AB48" s="145"/>
      <c r="AC48" s="145"/>
      <c r="AD48" s="145"/>
      <c r="AE48" s="145"/>
      <c r="AF48" s="145"/>
    </row>
    <row r="49" spans="2:32" x14ac:dyDescent="0.25">
      <c r="B49" s="140"/>
      <c r="C49" s="136"/>
      <c r="D49" s="136"/>
      <c r="E49" s="136"/>
      <c r="F49" s="136"/>
      <c r="G49" s="136"/>
      <c r="H49" s="109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09"/>
      <c r="X49" s="141"/>
      <c r="Z49" s="145"/>
      <c r="AA49" s="145"/>
      <c r="AB49" s="145"/>
      <c r="AC49" s="145"/>
      <c r="AD49" s="145"/>
      <c r="AE49" s="145"/>
      <c r="AF49" s="145"/>
    </row>
    <row r="50" spans="2:32" x14ac:dyDescent="0.25">
      <c r="B50" s="140"/>
      <c r="C50" s="436" t="e">
        <f>CONCATENATE(TEXT(USRRSP_GainLossPct,"##%")," return")</f>
        <v>#N/A</v>
      </c>
      <c r="D50" s="436"/>
      <c r="E50" s="436"/>
      <c r="F50" s="436"/>
      <c r="G50" s="436"/>
      <c r="H50" s="109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09"/>
      <c r="X50" s="141"/>
      <c r="Z50" s="145"/>
      <c r="AA50" s="145"/>
      <c r="AB50" s="145"/>
      <c r="AC50" s="145"/>
      <c r="AD50" s="145"/>
      <c r="AE50" s="145"/>
      <c r="AF50" s="145"/>
    </row>
    <row r="51" spans="2:32" x14ac:dyDescent="0.25">
      <c r="B51" s="140"/>
      <c r="C51" s="136"/>
      <c r="D51" s="136"/>
      <c r="E51" s="136"/>
      <c r="F51" s="136"/>
      <c r="G51" s="136"/>
      <c r="H51" s="109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09"/>
      <c r="X51" s="141"/>
      <c r="Z51" s="145"/>
      <c r="AA51" s="145"/>
      <c r="AB51" s="145"/>
      <c r="AC51" s="145"/>
      <c r="AD51" s="145"/>
      <c r="AE51" s="145"/>
      <c r="AF51" s="145"/>
    </row>
    <row r="52" spans="2:32" x14ac:dyDescent="0.25">
      <c r="B52" s="140"/>
      <c r="C52" s="436" t="e">
        <f ca="1">CONCATENATE(TEXT(USRRSP_AnnualPct,"##%")," annualized return")</f>
        <v>#N/A</v>
      </c>
      <c r="D52" s="436"/>
      <c r="E52" s="436"/>
      <c r="F52" s="436"/>
      <c r="G52" s="436"/>
      <c r="H52" s="109"/>
      <c r="I52" s="156"/>
      <c r="J52" s="156"/>
      <c r="K52" s="156"/>
      <c r="L52" s="156"/>
      <c r="M52" s="156"/>
      <c r="N52" s="156"/>
      <c r="O52" s="156"/>
      <c r="P52" s="156"/>
      <c r="Q52" s="156"/>
      <c r="R52" s="156"/>
      <c r="S52" s="156"/>
      <c r="T52" s="156"/>
      <c r="U52" s="156"/>
      <c r="V52" s="156"/>
      <c r="W52" s="109"/>
      <c r="X52" s="141"/>
      <c r="Z52" s="145"/>
      <c r="AA52" s="145"/>
      <c r="AB52" s="145"/>
      <c r="AC52" s="145"/>
      <c r="AD52" s="145"/>
      <c r="AE52" s="145"/>
      <c r="AF52" s="145"/>
    </row>
    <row r="53" spans="2:32" x14ac:dyDescent="0.25">
      <c r="B53" s="140"/>
      <c r="C53" s="109"/>
      <c r="D53" s="109"/>
      <c r="E53" s="109"/>
      <c r="F53" s="109"/>
      <c r="G53" s="109"/>
      <c r="H53" s="109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09"/>
      <c r="X53" s="141"/>
      <c r="Z53" s="145"/>
      <c r="AA53" s="145"/>
      <c r="AB53" s="145"/>
      <c r="AC53" s="145"/>
      <c r="AD53" s="145"/>
      <c r="AE53" s="145"/>
      <c r="AF53" s="145"/>
    </row>
    <row r="54" spans="2:32" x14ac:dyDescent="0.25">
      <c r="B54" s="140"/>
      <c r="C54" s="109"/>
      <c r="D54" s="109"/>
      <c r="E54" s="109"/>
      <c r="F54" s="109"/>
      <c r="G54" s="109"/>
      <c r="H54" s="109"/>
      <c r="I54" s="156"/>
      <c r="J54" s="156"/>
      <c r="K54" s="156"/>
      <c r="L54" s="156"/>
      <c r="M54" s="156"/>
      <c r="N54" s="156"/>
      <c r="O54" s="156"/>
      <c r="P54" s="156"/>
      <c r="Q54" s="156"/>
      <c r="R54" s="156"/>
      <c r="S54" s="156"/>
      <c r="T54" s="156"/>
      <c r="U54" s="156"/>
      <c r="V54" s="156"/>
      <c r="W54" s="109"/>
      <c r="X54" s="141"/>
      <c r="Z54" s="145"/>
      <c r="AA54" s="145"/>
      <c r="AB54" s="145"/>
      <c r="AC54" s="145"/>
      <c r="AD54" s="145"/>
      <c r="AE54" s="145"/>
      <c r="AF54" s="145"/>
    </row>
    <row r="55" spans="2:32" x14ac:dyDescent="0.25">
      <c r="B55" s="140"/>
      <c r="C55" s="109"/>
      <c r="D55" s="109"/>
      <c r="E55" s="109"/>
      <c r="F55" s="109"/>
      <c r="G55" s="109"/>
      <c r="H55" s="109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09"/>
      <c r="X55" s="141"/>
      <c r="Z55" s="145"/>
      <c r="AA55" s="145"/>
      <c r="AB55" s="145"/>
      <c r="AC55" s="145"/>
      <c r="AD55" s="145"/>
      <c r="AE55" s="145"/>
      <c r="AF55" s="145"/>
    </row>
    <row r="56" spans="2:32" x14ac:dyDescent="0.25">
      <c r="B56" s="140"/>
      <c r="C56" s="109"/>
      <c r="D56" s="109"/>
      <c r="E56" s="109"/>
      <c r="F56" s="109"/>
      <c r="G56" s="109"/>
      <c r="H56" s="109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  <c r="U56" s="156"/>
      <c r="V56" s="156"/>
      <c r="W56" s="109"/>
      <c r="X56" s="141"/>
      <c r="Z56" s="145"/>
      <c r="AA56" s="145"/>
      <c r="AB56" s="145"/>
      <c r="AC56" s="145"/>
      <c r="AD56" s="145"/>
      <c r="AE56" s="145"/>
      <c r="AF56" s="145"/>
    </row>
    <row r="57" spans="2:32" x14ac:dyDescent="0.25">
      <c r="B57" s="140"/>
      <c r="C57" s="109"/>
      <c r="D57" s="109"/>
      <c r="E57" s="109"/>
      <c r="F57" s="109"/>
      <c r="G57" s="109"/>
      <c r="H57" s="109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  <c r="U57" s="156"/>
      <c r="V57" s="156"/>
      <c r="W57" s="109"/>
      <c r="X57" s="141"/>
      <c r="Z57" s="145"/>
      <c r="AA57" s="145"/>
      <c r="AB57" s="145"/>
      <c r="AC57" s="145"/>
      <c r="AD57" s="145"/>
      <c r="AE57" s="145"/>
      <c r="AF57" s="145"/>
    </row>
    <row r="58" spans="2:32" x14ac:dyDescent="0.25">
      <c r="B58" s="140"/>
      <c r="C58" s="109"/>
      <c r="D58" s="109"/>
      <c r="E58" s="109"/>
      <c r="F58" s="109"/>
      <c r="G58" s="109"/>
      <c r="H58" s="109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  <c r="U58" s="156"/>
      <c r="V58" s="156"/>
      <c r="W58" s="109"/>
      <c r="X58" s="141"/>
      <c r="Z58" s="145"/>
      <c r="AA58" s="145"/>
      <c r="AB58" s="145"/>
      <c r="AC58" s="145"/>
      <c r="AD58" s="145"/>
      <c r="AE58" s="145"/>
      <c r="AF58" s="145"/>
    </row>
    <row r="59" spans="2:32" x14ac:dyDescent="0.25">
      <c r="B59" s="140"/>
      <c r="C59" s="109"/>
      <c r="D59" s="109"/>
      <c r="E59" s="109"/>
      <c r="F59" s="109"/>
      <c r="G59" s="109"/>
      <c r="H59" s="109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56"/>
      <c r="W59" s="109"/>
      <c r="X59" s="141"/>
      <c r="Z59" s="145"/>
      <c r="AA59" s="145"/>
      <c r="AB59" s="145"/>
      <c r="AC59" s="145"/>
      <c r="AD59" s="145"/>
      <c r="AE59" s="145"/>
      <c r="AF59" s="145"/>
    </row>
    <row r="60" spans="2:32" x14ac:dyDescent="0.25">
      <c r="B60" s="142"/>
      <c r="C60" s="143"/>
      <c r="D60" s="143"/>
      <c r="E60" s="143"/>
      <c r="F60" s="143"/>
      <c r="G60" s="143"/>
      <c r="H60" s="143"/>
      <c r="I60" s="143"/>
      <c r="J60" s="143"/>
      <c r="K60" s="143"/>
      <c r="L60" s="143"/>
      <c r="M60" s="143"/>
      <c r="N60" s="143"/>
      <c r="O60" s="143"/>
      <c r="P60" s="143"/>
      <c r="Q60" s="143"/>
      <c r="R60" s="143"/>
      <c r="S60" s="143"/>
      <c r="T60" s="143"/>
      <c r="U60" s="143"/>
      <c r="V60" s="143"/>
      <c r="W60" s="143"/>
      <c r="X60" s="144"/>
      <c r="Z60" s="145"/>
      <c r="AA60" s="145"/>
      <c r="AB60" s="145"/>
      <c r="AC60" s="145"/>
      <c r="AD60" s="145"/>
      <c r="AE60" s="145"/>
      <c r="AF60" s="145"/>
    </row>
    <row r="61" spans="2:32" x14ac:dyDescent="0.25">
      <c r="B61" s="145"/>
      <c r="C61" s="145"/>
      <c r="D61" s="145"/>
      <c r="E61" s="145"/>
      <c r="F61" s="145"/>
      <c r="G61" s="145"/>
      <c r="H61" s="145"/>
      <c r="J61" s="145"/>
      <c r="K61" s="145"/>
      <c r="L61" s="145"/>
      <c r="M61" s="145"/>
      <c r="N61" s="145"/>
      <c r="O61" s="145"/>
      <c r="P61" s="145"/>
      <c r="R61" s="145"/>
      <c r="S61" s="145"/>
      <c r="T61" s="145"/>
      <c r="U61" s="145"/>
      <c r="V61" s="145"/>
      <c r="W61" s="145"/>
      <c r="X61" s="145"/>
      <c r="Z61" s="145"/>
      <c r="AA61" s="145"/>
      <c r="AB61" s="145"/>
      <c r="AC61" s="145"/>
      <c r="AD61" s="145"/>
      <c r="AE61" s="145"/>
      <c r="AF61" s="145"/>
    </row>
    <row r="62" spans="2:32" x14ac:dyDescent="0.25">
      <c r="B62" s="145"/>
      <c r="C62" s="145"/>
      <c r="D62" s="145"/>
      <c r="E62" s="145"/>
      <c r="F62" s="145"/>
      <c r="G62" s="145"/>
      <c r="H62" s="145"/>
      <c r="J62" s="145"/>
      <c r="K62" s="145"/>
      <c r="L62" s="145"/>
      <c r="M62" s="145"/>
      <c r="N62" s="145"/>
      <c r="O62" s="145"/>
      <c r="P62" s="145"/>
      <c r="R62" s="145"/>
      <c r="S62" s="145"/>
      <c r="T62" s="145"/>
      <c r="U62" s="145"/>
      <c r="V62" s="145"/>
      <c r="W62" s="145"/>
      <c r="X62" s="145"/>
      <c r="Z62" s="145"/>
      <c r="AA62" s="145"/>
      <c r="AB62" s="145"/>
      <c r="AC62" s="145"/>
      <c r="AD62" s="145"/>
      <c r="AE62" s="145"/>
      <c r="AF62" s="145"/>
    </row>
    <row r="63" spans="2:32" x14ac:dyDescent="0.25">
      <c r="B63" s="145"/>
      <c r="C63" s="145"/>
      <c r="D63" s="145"/>
      <c r="E63" s="145"/>
      <c r="F63" s="145"/>
      <c r="G63" s="145"/>
      <c r="H63" s="145"/>
      <c r="J63" s="145"/>
      <c r="K63" s="145"/>
      <c r="L63" s="145"/>
      <c r="M63" s="145"/>
      <c r="N63" s="145"/>
      <c r="O63" s="145"/>
      <c r="P63" s="145"/>
      <c r="R63" s="145"/>
      <c r="S63" s="145"/>
      <c r="T63" s="145"/>
      <c r="U63" s="145"/>
      <c r="V63" s="145"/>
      <c r="W63" s="145"/>
      <c r="X63" s="145"/>
      <c r="Z63" s="145"/>
      <c r="AA63" s="145"/>
      <c r="AB63" s="145"/>
      <c r="AC63" s="145"/>
      <c r="AD63" s="145"/>
      <c r="AE63" s="145"/>
      <c r="AF63" s="145"/>
    </row>
    <row r="64" spans="2:32" x14ac:dyDescent="0.25">
      <c r="B64" s="145"/>
      <c r="C64" s="145"/>
      <c r="D64" s="145"/>
      <c r="E64" s="145"/>
      <c r="F64" s="145"/>
      <c r="G64" s="145"/>
      <c r="H64" s="145"/>
      <c r="J64" s="145"/>
      <c r="K64" s="145"/>
      <c r="L64" s="145"/>
      <c r="M64" s="145"/>
      <c r="N64" s="145"/>
      <c r="O64" s="145"/>
      <c r="P64" s="145"/>
      <c r="R64" s="145"/>
      <c r="S64" s="145"/>
      <c r="T64" s="145"/>
      <c r="U64" s="145"/>
      <c r="V64" s="145"/>
      <c r="W64" s="145"/>
      <c r="X64" s="145"/>
      <c r="Z64" s="145"/>
      <c r="AA64" s="145"/>
      <c r="AB64" s="145"/>
      <c r="AC64" s="145"/>
      <c r="AD64" s="145"/>
      <c r="AE64" s="145"/>
      <c r="AF64" s="145"/>
    </row>
    <row r="65" spans="2:32" x14ac:dyDescent="0.25">
      <c r="B65" s="145"/>
      <c r="C65" s="145"/>
      <c r="D65" s="145"/>
      <c r="E65" s="145"/>
      <c r="F65" s="145"/>
      <c r="G65" s="145"/>
      <c r="H65" s="145"/>
      <c r="J65" s="145"/>
      <c r="K65" s="145"/>
      <c r="L65" s="145"/>
      <c r="M65" s="145"/>
      <c r="N65" s="145"/>
      <c r="O65" s="145"/>
      <c r="P65" s="145"/>
      <c r="R65" s="145"/>
      <c r="S65" s="145"/>
      <c r="T65" s="145"/>
      <c r="U65" s="145"/>
      <c r="V65" s="145"/>
      <c r="W65" s="145"/>
      <c r="X65" s="145"/>
      <c r="Z65" s="145"/>
      <c r="AA65" s="145"/>
      <c r="AB65" s="145"/>
      <c r="AC65" s="145"/>
      <c r="AD65" s="145"/>
      <c r="AE65" s="145"/>
      <c r="AF65" s="145"/>
    </row>
    <row r="66" spans="2:32" x14ac:dyDescent="0.25">
      <c r="B66" s="145"/>
      <c r="C66" s="145"/>
      <c r="D66" s="145"/>
      <c r="E66" s="145"/>
      <c r="F66" s="145"/>
      <c r="G66" s="145"/>
      <c r="H66" s="145"/>
      <c r="J66" s="145"/>
      <c r="K66" s="145"/>
      <c r="L66" s="145"/>
      <c r="M66" s="145"/>
      <c r="N66" s="145"/>
      <c r="O66" s="145"/>
      <c r="P66" s="145"/>
      <c r="R66" s="145"/>
      <c r="S66" s="145"/>
      <c r="T66" s="145"/>
      <c r="U66" s="145"/>
      <c r="V66" s="145"/>
      <c r="W66" s="145"/>
      <c r="X66" s="145"/>
      <c r="Z66" s="145"/>
      <c r="AA66" s="145"/>
      <c r="AB66" s="145"/>
      <c r="AC66" s="145"/>
      <c r="AD66" s="145"/>
      <c r="AE66" s="145"/>
      <c r="AF66" s="145"/>
    </row>
    <row r="67" spans="2:32" x14ac:dyDescent="0.25">
      <c r="B67" s="145"/>
      <c r="C67" s="145"/>
      <c r="D67" s="145"/>
      <c r="E67" s="145"/>
      <c r="F67" s="145"/>
      <c r="G67" s="145"/>
      <c r="H67" s="145"/>
      <c r="J67" s="145"/>
      <c r="K67" s="145"/>
      <c r="L67" s="145"/>
      <c r="M67" s="145"/>
      <c r="N67" s="145"/>
      <c r="O67" s="145"/>
      <c r="P67" s="145"/>
      <c r="R67" s="145"/>
      <c r="S67" s="145"/>
      <c r="T67" s="145"/>
      <c r="U67" s="145"/>
      <c r="V67" s="145"/>
      <c r="W67" s="145"/>
      <c r="X67" s="145"/>
      <c r="Z67" s="145"/>
      <c r="AA67" s="145"/>
      <c r="AB67" s="145"/>
      <c r="AC67" s="145"/>
      <c r="AD67" s="145"/>
      <c r="AE67" s="145"/>
      <c r="AF67" s="145"/>
    </row>
    <row r="68" spans="2:32" x14ac:dyDescent="0.25">
      <c r="B68" s="145"/>
      <c r="C68" s="145"/>
      <c r="D68" s="145"/>
      <c r="E68" s="145"/>
      <c r="F68" s="145"/>
      <c r="G68" s="145"/>
      <c r="H68" s="145"/>
      <c r="J68" s="145"/>
      <c r="K68" s="145"/>
      <c r="L68" s="145"/>
      <c r="M68" s="145"/>
      <c r="N68" s="145"/>
      <c r="O68" s="145"/>
      <c r="P68" s="145"/>
      <c r="R68" s="145"/>
      <c r="S68" s="145"/>
      <c r="T68" s="145"/>
      <c r="U68" s="145"/>
      <c r="V68" s="145"/>
      <c r="W68" s="145"/>
      <c r="X68" s="145"/>
      <c r="Z68" s="145"/>
      <c r="AA68" s="145"/>
      <c r="AB68" s="145"/>
      <c r="AC68" s="145"/>
      <c r="AD68" s="145"/>
      <c r="AE68" s="145"/>
      <c r="AF68" s="145"/>
    </row>
    <row r="69" spans="2:32" x14ac:dyDescent="0.25">
      <c r="B69" s="145"/>
      <c r="C69" s="145"/>
      <c r="D69" s="145"/>
      <c r="E69" s="145"/>
      <c r="F69" s="145"/>
      <c r="G69" s="145"/>
      <c r="H69" s="145"/>
      <c r="J69" s="145"/>
      <c r="K69" s="145"/>
      <c r="L69" s="145"/>
      <c r="M69" s="145"/>
      <c r="N69" s="145"/>
      <c r="O69" s="145"/>
      <c r="P69" s="145"/>
      <c r="R69" s="145"/>
      <c r="S69" s="145"/>
      <c r="T69" s="145"/>
      <c r="U69" s="145"/>
      <c r="V69" s="145"/>
      <c r="W69" s="145"/>
      <c r="X69" s="145"/>
      <c r="Z69" s="145"/>
      <c r="AA69" s="145"/>
      <c r="AB69" s="145"/>
      <c r="AC69" s="145"/>
      <c r="AD69" s="145"/>
      <c r="AE69" s="145"/>
      <c r="AF69" s="145"/>
    </row>
    <row r="70" spans="2:32" x14ac:dyDescent="0.25">
      <c r="B70" s="145"/>
      <c r="C70" s="145"/>
      <c r="D70" s="145"/>
      <c r="E70" s="145"/>
      <c r="F70" s="145"/>
      <c r="G70" s="145"/>
      <c r="H70" s="145"/>
      <c r="J70" s="145"/>
      <c r="K70" s="145"/>
      <c r="L70" s="145"/>
      <c r="M70" s="145"/>
      <c r="N70" s="145"/>
      <c r="O70" s="145"/>
      <c r="P70" s="145"/>
      <c r="R70" s="145"/>
      <c r="S70" s="145"/>
      <c r="T70" s="145"/>
      <c r="U70" s="145"/>
      <c r="V70" s="145"/>
      <c r="W70" s="145"/>
      <c r="X70" s="145"/>
      <c r="Z70" s="145"/>
      <c r="AA70" s="145"/>
      <c r="AB70" s="145"/>
      <c r="AC70" s="145"/>
      <c r="AD70" s="145"/>
      <c r="AE70" s="145"/>
      <c r="AF70" s="145"/>
    </row>
    <row r="71" spans="2:32" x14ac:dyDescent="0.25">
      <c r="B71" s="145"/>
      <c r="C71" s="145"/>
      <c r="D71" s="145"/>
      <c r="E71" s="145"/>
      <c r="F71" s="145"/>
      <c r="G71" s="145"/>
      <c r="H71" s="145"/>
      <c r="J71" s="145"/>
      <c r="K71" s="145"/>
      <c r="L71" s="145"/>
      <c r="M71" s="145"/>
      <c r="N71" s="145"/>
      <c r="O71" s="145"/>
      <c r="P71" s="145"/>
      <c r="R71" s="145"/>
      <c r="S71" s="145"/>
      <c r="T71" s="145"/>
      <c r="U71" s="145"/>
      <c r="V71" s="145"/>
      <c r="W71" s="145"/>
      <c r="X71" s="145"/>
      <c r="Z71" s="145"/>
      <c r="AA71" s="145"/>
      <c r="AB71" s="145"/>
      <c r="AC71" s="145"/>
      <c r="AD71" s="145"/>
      <c r="AE71" s="145"/>
      <c r="AF71" s="145"/>
    </row>
    <row r="72" spans="2:32" x14ac:dyDescent="0.25">
      <c r="B72" s="145"/>
      <c r="C72" s="145"/>
      <c r="D72" s="145"/>
      <c r="E72" s="145"/>
      <c r="F72" s="145"/>
      <c r="G72" s="145"/>
      <c r="H72" s="145"/>
      <c r="J72" s="145"/>
      <c r="K72" s="145"/>
      <c r="L72" s="145"/>
      <c r="M72" s="145"/>
      <c r="N72" s="145"/>
      <c r="O72" s="145"/>
      <c r="P72" s="145"/>
      <c r="R72" s="145"/>
      <c r="S72" s="145"/>
      <c r="T72" s="145"/>
      <c r="U72" s="145"/>
      <c r="V72" s="145"/>
      <c r="W72" s="145"/>
      <c r="X72" s="145"/>
      <c r="Z72" s="145"/>
      <c r="AA72" s="145"/>
      <c r="AB72" s="145"/>
      <c r="AC72" s="145"/>
      <c r="AD72" s="145"/>
      <c r="AE72" s="145"/>
      <c r="AF72" s="145"/>
    </row>
    <row r="73" spans="2:32" x14ac:dyDescent="0.25">
      <c r="B73" s="145"/>
      <c r="C73" s="145"/>
      <c r="D73" s="145"/>
      <c r="E73" s="145"/>
      <c r="F73" s="145"/>
      <c r="G73" s="145"/>
      <c r="H73" s="145"/>
      <c r="J73" s="145"/>
      <c r="K73" s="145"/>
      <c r="L73" s="145"/>
      <c r="M73" s="145"/>
      <c r="N73" s="145"/>
      <c r="O73" s="145"/>
      <c r="P73" s="145"/>
      <c r="R73" s="145"/>
      <c r="S73" s="145"/>
      <c r="T73" s="145"/>
      <c r="U73" s="145"/>
      <c r="V73" s="145"/>
      <c r="W73" s="145"/>
      <c r="X73" s="145"/>
      <c r="Z73" s="145"/>
      <c r="AA73" s="145"/>
      <c r="AB73" s="145"/>
      <c r="AC73" s="145"/>
      <c r="AD73" s="145"/>
      <c r="AE73" s="145"/>
      <c r="AF73" s="145"/>
    </row>
    <row r="74" spans="2:32" x14ac:dyDescent="0.25">
      <c r="B74" s="145"/>
      <c r="C74" s="145"/>
      <c r="D74" s="145"/>
      <c r="E74" s="145"/>
      <c r="F74" s="145"/>
      <c r="G74" s="145"/>
      <c r="H74" s="145"/>
      <c r="J74" s="145"/>
      <c r="K74" s="145"/>
      <c r="L74" s="145"/>
      <c r="M74" s="145"/>
      <c r="N74" s="145"/>
      <c r="O74" s="145"/>
      <c r="P74" s="145"/>
      <c r="R74" s="145"/>
      <c r="S74" s="145"/>
      <c r="T74" s="145"/>
      <c r="U74" s="145"/>
      <c r="V74" s="145"/>
      <c r="W74" s="145"/>
      <c r="X74" s="145"/>
      <c r="Z74" s="145"/>
      <c r="AA74" s="145"/>
      <c r="AB74" s="145"/>
      <c r="AC74" s="145"/>
      <c r="AD74" s="145"/>
      <c r="AE74" s="145"/>
      <c r="AF74" s="145"/>
    </row>
    <row r="75" spans="2:32" x14ac:dyDescent="0.25">
      <c r="B75" s="145"/>
      <c r="C75" s="145"/>
      <c r="D75" s="145"/>
      <c r="E75" s="145"/>
      <c r="F75" s="145"/>
      <c r="G75" s="145"/>
      <c r="H75" s="145"/>
      <c r="J75" s="145"/>
      <c r="K75" s="145"/>
      <c r="L75" s="145"/>
      <c r="M75" s="145"/>
      <c r="N75" s="145"/>
      <c r="O75" s="145"/>
      <c r="P75" s="145"/>
      <c r="R75" s="145"/>
      <c r="S75" s="145"/>
      <c r="T75" s="145"/>
      <c r="U75" s="145"/>
      <c r="V75" s="145"/>
      <c r="W75" s="145"/>
      <c r="X75" s="145"/>
      <c r="Z75" s="145"/>
      <c r="AA75" s="145"/>
      <c r="AB75" s="145"/>
      <c r="AC75" s="145"/>
      <c r="AD75" s="145"/>
      <c r="AE75" s="145"/>
      <c r="AF75" s="145"/>
    </row>
    <row r="76" spans="2:32" x14ac:dyDescent="0.25">
      <c r="B76" s="145"/>
      <c r="C76" s="145"/>
      <c r="D76" s="145"/>
      <c r="E76" s="145"/>
      <c r="F76" s="145"/>
      <c r="G76" s="145"/>
      <c r="H76" s="145"/>
      <c r="J76" s="145"/>
      <c r="K76" s="145"/>
      <c r="L76" s="145"/>
      <c r="M76" s="145"/>
      <c r="N76" s="145"/>
      <c r="O76" s="145"/>
      <c r="P76" s="145"/>
      <c r="R76" s="145"/>
      <c r="S76" s="145"/>
      <c r="T76" s="145"/>
      <c r="U76" s="145"/>
      <c r="V76" s="145"/>
      <c r="W76" s="145"/>
      <c r="X76" s="145"/>
      <c r="Z76" s="145"/>
      <c r="AA76" s="145"/>
      <c r="AB76" s="145"/>
      <c r="AC76" s="145"/>
      <c r="AD76" s="145"/>
      <c r="AE76" s="145"/>
      <c r="AF76" s="145"/>
    </row>
    <row r="77" spans="2:32" x14ac:dyDescent="0.25">
      <c r="B77" s="145"/>
      <c r="C77" s="145"/>
      <c r="D77" s="145"/>
      <c r="E77" s="145"/>
      <c r="F77" s="145"/>
      <c r="G77" s="145"/>
      <c r="H77" s="145"/>
      <c r="J77" s="145"/>
      <c r="K77" s="145"/>
      <c r="L77" s="145"/>
      <c r="M77" s="145"/>
      <c r="N77" s="145"/>
      <c r="O77" s="145"/>
      <c r="P77" s="145"/>
      <c r="R77" s="145"/>
      <c r="S77" s="145"/>
      <c r="T77" s="145"/>
      <c r="U77" s="145"/>
      <c r="V77" s="145"/>
      <c r="W77" s="145"/>
      <c r="X77" s="145"/>
      <c r="Z77" s="145"/>
      <c r="AA77" s="145"/>
      <c r="AB77" s="145"/>
      <c r="AC77" s="145"/>
      <c r="AD77" s="145"/>
      <c r="AE77" s="145"/>
      <c r="AF77" s="145"/>
    </row>
    <row r="78" spans="2:32" x14ac:dyDescent="0.25">
      <c r="B78" s="145"/>
      <c r="C78" s="145"/>
      <c r="D78" s="145"/>
      <c r="E78" s="145"/>
      <c r="F78" s="145"/>
      <c r="G78" s="145"/>
      <c r="H78" s="145"/>
      <c r="J78" s="145"/>
      <c r="K78" s="145"/>
      <c r="L78" s="145"/>
      <c r="M78" s="145"/>
      <c r="N78" s="145"/>
      <c r="O78" s="145"/>
      <c r="P78" s="145"/>
      <c r="R78" s="145"/>
      <c r="S78" s="145"/>
      <c r="T78" s="145"/>
      <c r="U78" s="145"/>
      <c r="V78" s="145"/>
      <c r="W78" s="145"/>
      <c r="X78" s="145"/>
      <c r="Z78" s="145"/>
      <c r="AA78" s="145"/>
      <c r="AB78" s="145"/>
      <c r="AC78" s="145"/>
      <c r="AD78" s="145"/>
      <c r="AE78" s="145"/>
      <c r="AF78" s="145"/>
    </row>
    <row r="79" spans="2:32" x14ac:dyDescent="0.25">
      <c r="B79" s="145"/>
      <c r="C79" s="145"/>
      <c r="D79" s="145"/>
      <c r="E79" s="145"/>
      <c r="F79" s="145"/>
      <c r="G79" s="145"/>
      <c r="H79" s="145"/>
      <c r="J79" s="145"/>
      <c r="K79" s="145"/>
      <c r="L79" s="145"/>
      <c r="M79" s="145"/>
      <c r="N79" s="145"/>
      <c r="O79" s="145"/>
      <c r="P79" s="145"/>
      <c r="R79" s="145"/>
      <c r="S79" s="145"/>
      <c r="T79" s="145"/>
      <c r="U79" s="145"/>
      <c r="V79" s="145"/>
      <c r="W79" s="145"/>
      <c r="X79" s="145"/>
      <c r="Z79" s="145"/>
      <c r="AA79" s="145"/>
      <c r="AB79" s="145"/>
      <c r="AC79" s="145"/>
      <c r="AD79" s="145"/>
      <c r="AE79" s="145"/>
      <c r="AF79" s="145"/>
    </row>
    <row r="80" spans="2:32" x14ac:dyDescent="0.25">
      <c r="B80" s="145"/>
      <c r="C80" s="145"/>
      <c r="D80" s="145"/>
      <c r="E80" s="145"/>
      <c r="F80" s="145"/>
      <c r="G80" s="145"/>
      <c r="H80" s="145"/>
      <c r="J80" s="145"/>
      <c r="K80" s="145"/>
      <c r="L80" s="145"/>
      <c r="M80" s="145"/>
      <c r="N80" s="145"/>
      <c r="O80" s="145"/>
      <c r="P80" s="145"/>
      <c r="R80" s="145"/>
      <c r="S80" s="145"/>
      <c r="T80" s="145"/>
      <c r="U80" s="145"/>
      <c r="V80" s="145"/>
      <c r="W80" s="145"/>
      <c r="X80" s="145"/>
      <c r="Z80" s="145"/>
      <c r="AA80" s="145"/>
      <c r="AB80" s="145"/>
      <c r="AC80" s="145"/>
      <c r="AD80" s="145"/>
      <c r="AE80" s="145"/>
      <c r="AF80" s="145"/>
    </row>
    <row r="81" spans="2:32" x14ac:dyDescent="0.25">
      <c r="B81" s="145"/>
      <c r="C81" s="145"/>
      <c r="D81" s="145"/>
      <c r="E81" s="145"/>
      <c r="F81" s="145"/>
      <c r="G81" s="145"/>
      <c r="H81" s="145"/>
      <c r="J81" s="145"/>
      <c r="K81" s="145"/>
      <c r="L81" s="145"/>
      <c r="M81" s="145"/>
      <c r="N81" s="145"/>
      <c r="O81" s="145"/>
      <c r="P81" s="145"/>
      <c r="R81" s="145"/>
      <c r="S81" s="145"/>
      <c r="T81" s="145"/>
      <c r="U81" s="145"/>
      <c r="V81" s="145"/>
      <c r="W81" s="145"/>
      <c r="X81" s="145"/>
      <c r="Z81" s="145"/>
      <c r="AA81" s="145"/>
      <c r="AB81" s="145"/>
      <c r="AC81" s="145"/>
      <c r="AD81" s="145"/>
      <c r="AE81" s="145"/>
      <c r="AF81" s="145"/>
    </row>
    <row r="82" spans="2:32" x14ac:dyDescent="0.25">
      <c r="B82" s="145"/>
      <c r="C82" s="145"/>
      <c r="D82" s="145"/>
      <c r="E82" s="145"/>
      <c r="F82" s="145"/>
      <c r="G82" s="145"/>
      <c r="H82" s="145"/>
      <c r="J82" s="145"/>
      <c r="K82" s="145"/>
      <c r="L82" s="145"/>
      <c r="M82" s="145"/>
      <c r="N82" s="145"/>
      <c r="O82" s="145"/>
      <c r="P82" s="145"/>
      <c r="R82" s="145"/>
      <c r="S82" s="145"/>
      <c r="T82" s="145"/>
      <c r="U82" s="145"/>
      <c r="V82" s="145"/>
      <c r="W82" s="145"/>
      <c r="X82" s="145"/>
      <c r="Z82" s="145"/>
      <c r="AA82" s="145"/>
      <c r="AB82" s="145"/>
      <c r="AC82" s="145"/>
      <c r="AD82" s="145"/>
      <c r="AE82" s="145"/>
      <c r="AF82" s="145"/>
    </row>
    <row r="83" spans="2:32" x14ac:dyDescent="0.25">
      <c r="B83" s="145"/>
      <c r="C83" s="145"/>
      <c r="D83" s="145"/>
      <c r="E83" s="145"/>
      <c r="F83" s="145"/>
      <c r="G83" s="145"/>
      <c r="H83" s="145"/>
      <c r="J83" s="145"/>
      <c r="K83" s="145"/>
      <c r="L83" s="145"/>
      <c r="M83" s="145"/>
      <c r="N83" s="145"/>
      <c r="O83" s="145"/>
      <c r="P83" s="145"/>
      <c r="R83" s="145"/>
      <c r="S83" s="145"/>
      <c r="T83" s="145"/>
      <c r="U83" s="145"/>
      <c r="V83" s="145"/>
      <c r="W83" s="145"/>
      <c r="X83" s="145"/>
      <c r="Z83" s="145"/>
      <c r="AA83" s="145"/>
      <c r="AB83" s="145"/>
      <c r="AC83" s="145"/>
      <c r="AD83" s="145"/>
      <c r="AE83" s="145"/>
      <c r="AF83" s="145"/>
    </row>
    <row r="84" spans="2:32" x14ac:dyDescent="0.25">
      <c r="B84" s="145"/>
      <c r="C84" s="145"/>
      <c r="D84" s="145"/>
      <c r="E84" s="145"/>
      <c r="F84" s="145"/>
      <c r="G84" s="145"/>
      <c r="H84" s="145"/>
      <c r="J84" s="145"/>
      <c r="K84" s="145"/>
      <c r="L84" s="145"/>
      <c r="M84" s="145"/>
      <c r="N84" s="145"/>
      <c r="O84" s="145"/>
      <c r="P84" s="145"/>
      <c r="R84" s="145"/>
      <c r="S84" s="145"/>
      <c r="T84" s="145"/>
      <c r="U84" s="145"/>
      <c r="V84" s="145"/>
      <c r="W84" s="145"/>
      <c r="X84" s="145"/>
      <c r="Z84" s="145"/>
      <c r="AA84" s="145"/>
      <c r="AB84" s="145"/>
      <c r="AC84" s="145"/>
      <c r="AD84" s="145"/>
      <c r="AE84" s="145"/>
      <c r="AF84" s="145"/>
    </row>
    <row r="85" spans="2:32" x14ac:dyDescent="0.25">
      <c r="B85" s="145"/>
      <c r="C85" s="145"/>
      <c r="D85" s="145"/>
      <c r="E85" s="145"/>
      <c r="F85" s="145"/>
      <c r="G85" s="145"/>
      <c r="H85" s="145"/>
      <c r="J85" s="145"/>
      <c r="K85" s="145"/>
      <c r="L85" s="145"/>
      <c r="M85" s="145"/>
      <c r="N85" s="145"/>
      <c r="O85" s="145"/>
      <c r="P85" s="145"/>
      <c r="R85" s="145"/>
      <c r="S85" s="145"/>
      <c r="T85" s="145"/>
      <c r="U85" s="145"/>
      <c r="V85" s="145"/>
      <c r="W85" s="145"/>
      <c r="X85" s="145"/>
      <c r="Z85" s="145"/>
      <c r="AA85" s="145"/>
      <c r="AB85" s="145"/>
      <c r="AC85" s="145"/>
      <c r="AD85" s="145"/>
      <c r="AE85" s="145"/>
      <c r="AF85" s="145"/>
    </row>
    <row r="86" spans="2:32" x14ac:dyDescent="0.25">
      <c r="B86" s="145"/>
      <c r="C86" s="145"/>
      <c r="D86" s="145"/>
      <c r="E86" s="145"/>
      <c r="F86" s="145"/>
      <c r="G86" s="145"/>
      <c r="H86" s="145"/>
      <c r="J86" s="145"/>
      <c r="K86" s="145"/>
      <c r="L86" s="145"/>
      <c r="M86" s="145"/>
      <c r="N86" s="145"/>
      <c r="O86" s="145"/>
      <c r="P86" s="145"/>
      <c r="R86" s="145"/>
      <c r="S86" s="145"/>
      <c r="T86" s="145"/>
      <c r="U86" s="145"/>
      <c r="V86" s="145"/>
      <c r="W86" s="145"/>
      <c r="X86" s="145"/>
      <c r="Z86" s="145"/>
      <c r="AA86" s="145"/>
      <c r="AB86" s="145"/>
      <c r="AC86" s="145"/>
      <c r="AD86" s="145"/>
      <c r="AE86" s="145"/>
      <c r="AF86" s="145"/>
    </row>
    <row r="87" spans="2:32" x14ac:dyDescent="0.25">
      <c r="B87" s="145"/>
      <c r="C87" s="145"/>
      <c r="D87" s="145"/>
      <c r="E87" s="145"/>
      <c r="F87" s="145"/>
      <c r="G87" s="145"/>
      <c r="H87" s="145"/>
      <c r="J87" s="145"/>
      <c r="K87" s="145"/>
      <c r="L87" s="145"/>
      <c r="M87" s="145"/>
      <c r="N87" s="145"/>
      <c r="O87" s="145"/>
      <c r="P87" s="145"/>
      <c r="R87" s="145"/>
      <c r="S87" s="145"/>
      <c r="T87" s="145"/>
      <c r="U87" s="145"/>
      <c r="V87" s="145"/>
      <c r="W87" s="145"/>
      <c r="X87" s="145"/>
      <c r="Z87" s="145"/>
      <c r="AA87" s="145"/>
      <c r="AB87" s="145"/>
      <c r="AC87" s="145"/>
      <c r="AD87" s="145"/>
      <c r="AE87" s="145"/>
      <c r="AF87" s="145"/>
    </row>
    <row r="88" spans="2:32" x14ac:dyDescent="0.25">
      <c r="B88" s="145"/>
      <c r="C88" s="145"/>
      <c r="D88" s="145"/>
      <c r="E88" s="145"/>
      <c r="F88" s="145"/>
      <c r="G88" s="145"/>
      <c r="H88" s="145"/>
      <c r="J88" s="145"/>
      <c r="K88" s="145"/>
      <c r="L88" s="145"/>
      <c r="M88" s="145"/>
      <c r="N88" s="145"/>
      <c r="O88" s="145"/>
      <c r="P88" s="145"/>
      <c r="R88" s="145"/>
      <c r="S88" s="145"/>
      <c r="T88" s="145"/>
      <c r="U88" s="145"/>
      <c r="V88" s="145"/>
      <c r="W88" s="145"/>
      <c r="X88" s="145"/>
      <c r="Z88" s="145"/>
      <c r="AA88" s="145"/>
      <c r="AB88" s="145"/>
      <c r="AC88" s="145"/>
      <c r="AD88" s="145"/>
      <c r="AE88" s="145"/>
      <c r="AF88" s="145"/>
    </row>
    <row r="89" spans="2:32" x14ac:dyDescent="0.25">
      <c r="B89" s="145"/>
      <c r="C89" s="145"/>
      <c r="D89" s="145"/>
      <c r="E89" s="145"/>
      <c r="F89" s="145"/>
      <c r="G89" s="145"/>
      <c r="H89" s="145"/>
      <c r="J89" s="145"/>
      <c r="K89" s="145"/>
      <c r="L89" s="145"/>
      <c r="M89" s="145"/>
      <c r="N89" s="145"/>
      <c r="O89" s="145"/>
      <c r="P89" s="145"/>
      <c r="R89" s="145"/>
      <c r="S89" s="145"/>
      <c r="T89" s="145"/>
      <c r="U89" s="145"/>
      <c r="V89" s="145"/>
      <c r="W89" s="145"/>
      <c r="X89" s="145"/>
      <c r="Z89" s="145"/>
      <c r="AA89" s="145"/>
      <c r="AB89" s="145"/>
      <c r="AC89" s="145"/>
      <c r="AD89" s="145"/>
      <c r="AE89" s="145"/>
      <c r="AF89" s="145"/>
    </row>
    <row r="90" spans="2:32" x14ac:dyDescent="0.25">
      <c r="B90" s="145"/>
      <c r="C90" s="145"/>
      <c r="D90" s="145"/>
      <c r="E90" s="145"/>
      <c r="F90" s="145"/>
      <c r="G90" s="145"/>
      <c r="H90" s="145"/>
      <c r="J90" s="145"/>
      <c r="K90" s="145"/>
      <c r="L90" s="145"/>
      <c r="M90" s="145"/>
      <c r="N90" s="145"/>
      <c r="O90" s="145"/>
      <c r="P90" s="145"/>
      <c r="R90" s="145"/>
      <c r="S90" s="145"/>
      <c r="T90" s="145"/>
      <c r="U90" s="145"/>
      <c r="V90" s="145"/>
      <c r="W90" s="145"/>
      <c r="X90" s="145"/>
      <c r="Z90" s="145"/>
      <c r="AA90" s="145"/>
      <c r="AB90" s="145"/>
      <c r="AC90" s="145"/>
      <c r="AD90" s="145"/>
      <c r="AE90" s="145"/>
      <c r="AF90" s="145"/>
    </row>
    <row r="91" spans="2:32" x14ac:dyDescent="0.25">
      <c r="B91" s="145"/>
      <c r="C91" s="145"/>
      <c r="D91" s="145"/>
      <c r="E91" s="145"/>
      <c r="F91" s="145"/>
      <c r="G91" s="145"/>
      <c r="H91" s="145"/>
      <c r="J91" s="145"/>
      <c r="K91" s="145"/>
      <c r="L91" s="145"/>
      <c r="M91" s="145"/>
      <c r="N91" s="145"/>
      <c r="O91" s="145"/>
      <c r="P91" s="145"/>
      <c r="R91" s="145"/>
      <c r="S91" s="145"/>
      <c r="T91" s="145"/>
      <c r="U91" s="145"/>
      <c r="V91" s="145"/>
      <c r="W91" s="145"/>
      <c r="X91" s="145"/>
      <c r="Z91" s="145"/>
      <c r="AA91" s="145"/>
      <c r="AB91" s="145"/>
      <c r="AC91" s="145"/>
      <c r="AD91" s="145"/>
      <c r="AE91" s="145"/>
      <c r="AF91" s="145"/>
    </row>
    <row r="92" spans="2:32" x14ac:dyDescent="0.25">
      <c r="B92" s="145"/>
      <c r="C92" s="145"/>
      <c r="D92" s="145"/>
      <c r="E92" s="145"/>
      <c r="F92" s="145"/>
      <c r="G92" s="145"/>
      <c r="H92" s="145"/>
      <c r="J92" s="145"/>
      <c r="K92" s="145"/>
      <c r="L92" s="145"/>
      <c r="M92" s="145"/>
      <c r="N92" s="145"/>
      <c r="O92" s="145"/>
      <c r="P92" s="145"/>
      <c r="R92" s="145"/>
      <c r="S92" s="145"/>
      <c r="T92" s="145"/>
      <c r="U92" s="145"/>
      <c r="V92" s="145"/>
      <c r="W92" s="145"/>
      <c r="X92" s="145"/>
      <c r="Z92" s="145"/>
      <c r="AA92" s="145"/>
      <c r="AB92" s="145"/>
      <c r="AC92" s="145"/>
      <c r="AD92" s="145"/>
      <c r="AE92" s="145"/>
      <c r="AF92" s="145"/>
    </row>
    <row r="93" spans="2:32" x14ac:dyDescent="0.25">
      <c r="B93" s="145"/>
      <c r="C93" s="145"/>
      <c r="D93" s="145"/>
      <c r="E93" s="145"/>
      <c r="F93" s="145"/>
      <c r="G93" s="145"/>
      <c r="H93" s="145"/>
      <c r="J93" s="145"/>
      <c r="K93" s="145"/>
      <c r="L93" s="145"/>
      <c r="M93" s="145"/>
      <c r="N93" s="145"/>
      <c r="O93" s="145"/>
      <c r="P93" s="145"/>
      <c r="R93" s="145"/>
      <c r="S93" s="145"/>
      <c r="T93" s="145"/>
      <c r="U93" s="145"/>
      <c r="V93" s="145"/>
      <c r="W93" s="145"/>
      <c r="X93" s="145"/>
      <c r="Z93" s="145"/>
      <c r="AA93" s="145"/>
      <c r="AB93" s="145"/>
      <c r="AC93" s="145"/>
      <c r="AD93" s="145"/>
      <c r="AE93" s="145"/>
      <c r="AF93" s="145"/>
    </row>
    <row r="94" spans="2:32" x14ac:dyDescent="0.25">
      <c r="B94" s="145"/>
      <c r="C94" s="145"/>
      <c r="D94" s="145"/>
      <c r="E94" s="145"/>
      <c r="F94" s="145"/>
      <c r="G94" s="145"/>
      <c r="H94" s="145"/>
      <c r="J94" s="145"/>
      <c r="K94" s="145"/>
      <c r="L94" s="145"/>
      <c r="M94" s="145"/>
      <c r="N94" s="145"/>
      <c r="O94" s="145"/>
      <c r="P94" s="145"/>
      <c r="R94" s="145"/>
      <c r="S94" s="145"/>
      <c r="T94" s="145"/>
      <c r="U94" s="145"/>
      <c r="V94" s="145"/>
      <c r="W94" s="145"/>
      <c r="X94" s="145"/>
      <c r="Z94" s="145"/>
      <c r="AA94" s="145"/>
      <c r="AB94" s="145"/>
      <c r="AC94" s="145"/>
      <c r="AD94" s="145"/>
      <c r="AE94" s="145"/>
      <c r="AF94" s="145"/>
    </row>
    <row r="95" spans="2:32" x14ac:dyDescent="0.25">
      <c r="B95" s="145"/>
      <c r="C95" s="145"/>
      <c r="D95" s="145"/>
      <c r="E95" s="145"/>
      <c r="F95" s="145"/>
      <c r="G95" s="145"/>
      <c r="H95" s="145"/>
      <c r="J95" s="145"/>
      <c r="K95" s="145"/>
      <c r="L95" s="145"/>
      <c r="M95" s="145"/>
      <c r="N95" s="145"/>
      <c r="O95" s="145"/>
      <c r="P95" s="145"/>
      <c r="R95" s="145"/>
      <c r="S95" s="145"/>
      <c r="T95" s="145"/>
      <c r="U95" s="145"/>
      <c r="V95" s="145"/>
      <c r="W95" s="145"/>
      <c r="X95" s="145"/>
      <c r="Z95" s="145"/>
      <c r="AA95" s="145"/>
      <c r="AB95" s="145"/>
      <c r="AC95" s="145"/>
      <c r="AD95" s="145"/>
      <c r="AE95" s="145"/>
      <c r="AF95" s="145"/>
    </row>
    <row r="96" spans="2:32" x14ac:dyDescent="0.25">
      <c r="B96" s="145"/>
      <c r="C96" s="145"/>
      <c r="D96" s="145"/>
      <c r="E96" s="145"/>
      <c r="F96" s="145"/>
      <c r="G96" s="145"/>
      <c r="H96" s="145"/>
      <c r="J96" s="145"/>
      <c r="K96" s="145"/>
      <c r="L96" s="145"/>
      <c r="M96" s="145"/>
      <c r="N96" s="145"/>
      <c r="O96" s="145"/>
      <c r="P96" s="145"/>
      <c r="R96" s="145"/>
      <c r="S96" s="145"/>
      <c r="T96" s="145"/>
      <c r="U96" s="145"/>
      <c r="V96" s="145"/>
      <c r="W96" s="145"/>
      <c r="X96" s="145"/>
      <c r="Z96" s="145"/>
      <c r="AA96" s="145"/>
      <c r="AB96" s="145"/>
      <c r="AC96" s="145"/>
      <c r="AD96" s="145"/>
      <c r="AE96" s="145"/>
      <c r="AF96" s="145"/>
    </row>
    <row r="97" spans="2:32" x14ac:dyDescent="0.25">
      <c r="B97" s="145"/>
      <c r="C97" s="145"/>
      <c r="D97" s="145"/>
      <c r="E97" s="145"/>
      <c r="F97" s="145"/>
      <c r="G97" s="145"/>
      <c r="H97" s="145"/>
      <c r="J97" s="145"/>
      <c r="K97" s="145"/>
      <c r="L97" s="145"/>
      <c r="M97" s="145"/>
      <c r="N97" s="145"/>
      <c r="O97" s="145"/>
      <c r="P97" s="145"/>
      <c r="R97" s="145"/>
      <c r="S97" s="145"/>
      <c r="T97" s="145"/>
      <c r="U97" s="145"/>
      <c r="V97" s="145"/>
      <c r="W97" s="145"/>
      <c r="X97" s="145"/>
      <c r="Z97" s="145"/>
      <c r="AA97" s="145"/>
      <c r="AB97" s="145"/>
      <c r="AC97" s="145"/>
      <c r="AD97" s="145"/>
      <c r="AE97" s="145"/>
      <c r="AF97" s="145"/>
    </row>
    <row r="98" spans="2:32" x14ac:dyDescent="0.25">
      <c r="B98" s="145"/>
      <c r="C98" s="145"/>
      <c r="D98" s="145"/>
      <c r="E98" s="145"/>
      <c r="F98" s="145"/>
      <c r="G98" s="145"/>
      <c r="H98" s="145"/>
      <c r="J98" s="145"/>
      <c r="K98" s="145"/>
      <c r="L98" s="145"/>
      <c r="M98" s="145"/>
      <c r="N98" s="145"/>
      <c r="O98" s="145"/>
      <c r="P98" s="145"/>
      <c r="R98" s="145"/>
      <c r="S98" s="145"/>
      <c r="T98" s="145"/>
      <c r="U98" s="145"/>
      <c r="V98" s="145"/>
      <c r="W98" s="145"/>
      <c r="X98" s="145"/>
      <c r="Z98" s="145"/>
      <c r="AA98" s="145"/>
      <c r="AB98" s="145"/>
      <c r="AC98" s="145"/>
      <c r="AD98" s="145"/>
      <c r="AE98" s="145"/>
      <c r="AF98" s="145"/>
    </row>
    <row r="99" spans="2:32" x14ac:dyDescent="0.25">
      <c r="B99" s="145"/>
      <c r="C99" s="145"/>
      <c r="D99" s="145"/>
      <c r="E99" s="145"/>
      <c r="F99" s="145"/>
      <c r="G99" s="145"/>
      <c r="H99" s="145"/>
      <c r="J99" s="145"/>
      <c r="K99" s="145"/>
      <c r="L99" s="145"/>
      <c r="M99" s="145"/>
      <c r="N99" s="145"/>
      <c r="O99" s="145"/>
      <c r="P99" s="145"/>
      <c r="R99" s="145"/>
      <c r="S99" s="145"/>
      <c r="T99" s="145"/>
      <c r="U99" s="145"/>
      <c r="V99" s="145"/>
      <c r="W99" s="145"/>
      <c r="X99" s="145"/>
      <c r="Z99" s="145"/>
      <c r="AA99" s="145"/>
      <c r="AB99" s="145"/>
      <c r="AC99" s="145"/>
      <c r="AD99" s="145"/>
      <c r="AE99" s="145"/>
      <c r="AF99" s="145"/>
    </row>
    <row r="100" spans="2:32" x14ac:dyDescent="0.25">
      <c r="B100" s="145"/>
      <c r="C100" s="145"/>
      <c r="D100" s="145"/>
      <c r="E100" s="145"/>
      <c r="F100" s="145"/>
      <c r="G100" s="145"/>
      <c r="H100" s="145"/>
      <c r="J100" s="145"/>
      <c r="K100" s="145"/>
      <c r="L100" s="145"/>
      <c r="M100" s="145"/>
      <c r="N100" s="145"/>
      <c r="O100" s="145"/>
      <c r="P100" s="145"/>
      <c r="R100" s="145"/>
      <c r="S100" s="145"/>
      <c r="T100" s="145"/>
      <c r="U100" s="145"/>
      <c r="V100" s="145"/>
      <c r="W100" s="145"/>
      <c r="X100" s="145"/>
      <c r="Z100" s="145"/>
      <c r="AA100" s="145"/>
      <c r="AB100" s="145"/>
      <c r="AC100" s="145"/>
      <c r="AD100" s="145"/>
      <c r="AE100" s="145"/>
      <c r="AF100" s="145"/>
    </row>
    <row r="101" spans="2:32" x14ac:dyDescent="0.25">
      <c r="B101" s="145"/>
      <c r="C101" s="145"/>
      <c r="D101" s="145"/>
      <c r="E101" s="145"/>
      <c r="F101" s="145"/>
      <c r="G101" s="145"/>
      <c r="H101" s="145"/>
      <c r="J101" s="145"/>
      <c r="K101" s="145"/>
      <c r="L101" s="145"/>
      <c r="M101" s="145"/>
      <c r="N101" s="145"/>
      <c r="O101" s="145"/>
      <c r="P101" s="145"/>
      <c r="R101" s="145"/>
      <c r="S101" s="145"/>
      <c r="T101" s="145"/>
      <c r="U101" s="145"/>
      <c r="V101" s="145"/>
      <c r="W101" s="145"/>
      <c r="X101" s="145"/>
      <c r="Z101" s="145"/>
      <c r="AA101" s="145"/>
      <c r="AB101" s="145"/>
      <c r="AC101" s="145"/>
      <c r="AD101" s="145"/>
      <c r="AE101" s="145"/>
      <c r="AF101" s="145"/>
    </row>
    <row r="102" spans="2:32" x14ac:dyDescent="0.25">
      <c r="B102" s="145"/>
      <c r="C102" s="145"/>
      <c r="D102" s="145"/>
      <c r="E102" s="145"/>
      <c r="F102" s="145"/>
      <c r="G102" s="145"/>
      <c r="H102" s="145"/>
      <c r="J102" s="145"/>
      <c r="K102" s="145"/>
      <c r="L102" s="145"/>
      <c r="M102" s="145"/>
      <c r="N102" s="145"/>
      <c r="O102" s="145"/>
      <c r="P102" s="145"/>
      <c r="R102" s="145"/>
      <c r="S102" s="145"/>
      <c r="T102" s="145"/>
      <c r="U102" s="145"/>
      <c r="V102" s="145"/>
      <c r="W102" s="145"/>
      <c r="X102" s="145"/>
      <c r="Z102" s="145"/>
      <c r="AA102" s="145"/>
      <c r="AB102" s="145"/>
      <c r="AC102" s="145"/>
      <c r="AD102" s="145"/>
      <c r="AE102" s="145"/>
      <c r="AF102" s="145"/>
    </row>
    <row r="103" spans="2:32" x14ac:dyDescent="0.25">
      <c r="B103" s="145"/>
      <c r="C103" s="145"/>
      <c r="D103" s="145"/>
      <c r="E103" s="145"/>
      <c r="F103" s="145"/>
      <c r="G103" s="145"/>
      <c r="H103" s="145"/>
      <c r="J103" s="145"/>
      <c r="K103" s="145"/>
      <c r="L103" s="145"/>
      <c r="M103" s="145"/>
      <c r="N103" s="145"/>
      <c r="O103" s="145"/>
      <c r="P103" s="145"/>
      <c r="R103" s="145"/>
      <c r="S103" s="145"/>
      <c r="T103" s="145"/>
      <c r="U103" s="145"/>
      <c r="V103" s="145"/>
      <c r="W103" s="145"/>
      <c r="X103" s="145"/>
      <c r="Z103" s="145"/>
      <c r="AA103" s="145"/>
      <c r="AB103" s="145"/>
      <c r="AC103" s="145"/>
      <c r="AD103" s="145"/>
      <c r="AE103" s="145"/>
      <c r="AF103" s="145"/>
    </row>
    <row r="104" spans="2:32" x14ac:dyDescent="0.25">
      <c r="B104" s="145"/>
      <c r="C104" s="145"/>
      <c r="D104" s="145"/>
      <c r="E104" s="145"/>
      <c r="F104" s="145"/>
      <c r="G104" s="145"/>
      <c r="H104" s="145"/>
      <c r="J104" s="145"/>
      <c r="K104" s="145"/>
      <c r="L104" s="145"/>
      <c r="M104" s="145"/>
      <c r="N104" s="145"/>
      <c r="O104" s="145"/>
      <c r="P104" s="145"/>
      <c r="R104" s="145"/>
      <c r="S104" s="145"/>
      <c r="T104" s="145"/>
      <c r="U104" s="145"/>
      <c r="V104" s="145"/>
      <c r="W104" s="145"/>
      <c r="X104" s="145"/>
      <c r="Z104" s="145"/>
      <c r="AA104" s="145"/>
      <c r="AB104" s="145"/>
      <c r="AC104" s="145"/>
      <c r="AD104" s="145"/>
      <c r="AE104" s="145"/>
      <c r="AF104" s="145"/>
    </row>
    <row r="105" spans="2:32" x14ac:dyDescent="0.25">
      <c r="B105" s="145"/>
      <c r="C105" s="145"/>
      <c r="D105" s="145"/>
      <c r="E105" s="145"/>
      <c r="F105" s="145"/>
      <c r="G105" s="145"/>
      <c r="H105" s="145"/>
      <c r="J105" s="145"/>
      <c r="K105" s="145"/>
      <c r="L105" s="145"/>
      <c r="M105" s="145"/>
      <c r="N105" s="145"/>
      <c r="O105" s="145"/>
      <c r="P105" s="145"/>
      <c r="R105" s="145"/>
      <c r="S105" s="145"/>
      <c r="T105" s="145"/>
      <c r="U105" s="145"/>
      <c r="V105" s="145"/>
      <c r="W105" s="145"/>
      <c r="X105" s="145"/>
      <c r="Z105" s="145"/>
      <c r="AA105" s="145"/>
      <c r="AB105" s="145"/>
      <c r="AC105" s="145"/>
      <c r="AD105" s="145"/>
      <c r="AE105" s="145"/>
      <c r="AF105" s="145"/>
    </row>
    <row r="106" spans="2:32" x14ac:dyDescent="0.25">
      <c r="B106" s="145"/>
      <c r="C106" s="145"/>
      <c r="D106" s="145"/>
      <c r="E106" s="145"/>
      <c r="F106" s="145"/>
      <c r="G106" s="145"/>
      <c r="H106" s="145"/>
      <c r="J106" s="145"/>
      <c r="K106" s="145"/>
      <c r="L106" s="145"/>
      <c r="M106" s="145"/>
      <c r="N106" s="145"/>
      <c r="O106" s="145"/>
      <c r="P106" s="145"/>
      <c r="R106" s="145"/>
      <c r="S106" s="145"/>
      <c r="T106" s="145"/>
      <c r="U106" s="145"/>
      <c r="V106" s="145"/>
      <c r="W106" s="145"/>
      <c r="X106" s="145"/>
      <c r="Z106" s="145"/>
      <c r="AA106" s="145"/>
      <c r="AB106" s="145"/>
      <c r="AC106" s="145"/>
      <c r="AD106" s="145"/>
      <c r="AE106" s="145"/>
      <c r="AF106" s="145"/>
    </row>
    <row r="107" spans="2:32" x14ac:dyDescent="0.25">
      <c r="B107" s="145"/>
      <c r="C107" s="145"/>
      <c r="D107" s="145"/>
      <c r="E107" s="145"/>
      <c r="F107" s="145"/>
      <c r="G107" s="145"/>
      <c r="H107" s="145"/>
      <c r="J107" s="145"/>
      <c r="K107" s="145"/>
      <c r="L107" s="145"/>
      <c r="M107" s="145"/>
      <c r="N107" s="145"/>
      <c r="O107" s="145"/>
      <c r="P107" s="145"/>
      <c r="R107" s="145"/>
      <c r="S107" s="145"/>
      <c r="T107" s="145"/>
      <c r="U107" s="145"/>
      <c r="V107" s="145"/>
      <c r="W107" s="145"/>
      <c r="X107" s="145"/>
      <c r="Z107" s="145"/>
      <c r="AA107" s="145"/>
      <c r="AB107" s="145"/>
      <c r="AC107" s="145"/>
      <c r="AD107" s="145"/>
      <c r="AE107" s="145"/>
      <c r="AF107" s="145"/>
    </row>
    <row r="108" spans="2:32" x14ac:dyDescent="0.25">
      <c r="B108" s="145"/>
      <c r="C108" s="145"/>
      <c r="D108" s="145"/>
      <c r="E108" s="145"/>
      <c r="F108" s="145"/>
      <c r="G108" s="145"/>
      <c r="H108" s="145"/>
      <c r="J108" s="145"/>
      <c r="K108" s="145"/>
      <c r="L108" s="145"/>
      <c r="M108" s="145"/>
      <c r="N108" s="145"/>
      <c r="O108" s="145"/>
      <c r="P108" s="145"/>
      <c r="R108" s="145"/>
      <c r="S108" s="145"/>
      <c r="T108" s="145"/>
      <c r="U108" s="145"/>
      <c r="V108" s="145"/>
      <c r="W108" s="145"/>
      <c r="X108" s="145"/>
      <c r="Z108" s="145"/>
      <c r="AA108" s="145"/>
      <c r="AB108" s="145"/>
      <c r="AC108" s="145"/>
      <c r="AD108" s="145"/>
      <c r="AE108" s="145"/>
      <c r="AF108" s="145"/>
    </row>
    <row r="109" spans="2:32" x14ac:dyDescent="0.25">
      <c r="B109" s="145"/>
      <c r="C109" s="145"/>
      <c r="D109" s="145"/>
      <c r="E109" s="145"/>
      <c r="F109" s="145"/>
      <c r="G109" s="145"/>
      <c r="H109" s="145"/>
      <c r="J109" s="145"/>
      <c r="K109" s="145"/>
      <c r="L109" s="145"/>
      <c r="M109" s="145"/>
      <c r="N109" s="145"/>
      <c r="O109" s="145"/>
      <c r="P109" s="145"/>
      <c r="R109" s="145"/>
      <c r="S109" s="145"/>
      <c r="T109" s="145"/>
      <c r="U109" s="145"/>
      <c r="V109" s="145"/>
      <c r="W109" s="145"/>
      <c r="X109" s="145"/>
      <c r="Z109" s="145"/>
      <c r="AA109" s="145"/>
      <c r="AB109" s="145"/>
      <c r="AC109" s="145"/>
      <c r="AD109" s="145"/>
      <c r="AE109" s="145"/>
      <c r="AF109" s="145"/>
    </row>
    <row r="110" spans="2:32" x14ac:dyDescent="0.25">
      <c r="B110" s="145"/>
      <c r="C110" s="145"/>
      <c r="D110" s="145"/>
      <c r="E110" s="145"/>
      <c r="F110" s="145"/>
      <c r="G110" s="145"/>
      <c r="H110" s="145"/>
      <c r="J110" s="145"/>
      <c r="K110" s="145"/>
      <c r="L110" s="145"/>
      <c r="M110" s="145"/>
      <c r="N110" s="145"/>
      <c r="O110" s="145"/>
      <c r="P110" s="145"/>
      <c r="R110" s="145"/>
      <c r="S110" s="145"/>
      <c r="T110" s="145"/>
      <c r="U110" s="145"/>
      <c r="V110" s="145"/>
      <c r="W110" s="145"/>
      <c r="X110" s="145"/>
      <c r="Z110" s="145"/>
      <c r="AA110" s="145"/>
      <c r="AB110" s="145"/>
      <c r="AC110" s="145"/>
      <c r="AD110" s="145"/>
      <c r="AE110" s="145"/>
      <c r="AF110" s="145"/>
    </row>
    <row r="111" spans="2:32" x14ac:dyDescent="0.25">
      <c r="B111" s="145"/>
      <c r="C111" s="145"/>
      <c r="D111" s="145"/>
      <c r="E111" s="145"/>
      <c r="F111" s="145"/>
      <c r="G111" s="145"/>
      <c r="H111" s="145"/>
      <c r="J111" s="145"/>
      <c r="K111" s="145"/>
      <c r="L111" s="145"/>
      <c r="M111" s="145"/>
      <c r="N111" s="145"/>
      <c r="O111" s="145"/>
      <c r="P111" s="145"/>
      <c r="R111" s="145"/>
      <c r="S111" s="145"/>
      <c r="T111" s="145"/>
      <c r="U111" s="145"/>
      <c r="V111" s="145"/>
      <c r="W111" s="145"/>
      <c r="X111" s="145"/>
      <c r="Z111" s="145"/>
      <c r="AA111" s="145"/>
      <c r="AB111" s="145"/>
      <c r="AC111" s="145"/>
      <c r="AD111" s="145"/>
      <c r="AE111" s="145"/>
      <c r="AF111" s="145"/>
    </row>
    <row r="112" spans="2:32" x14ac:dyDescent="0.25">
      <c r="B112" s="145"/>
      <c r="C112" s="145"/>
      <c r="D112" s="145"/>
      <c r="E112" s="145"/>
      <c r="F112" s="145"/>
      <c r="G112" s="145"/>
      <c r="H112" s="145"/>
      <c r="J112" s="145"/>
      <c r="K112" s="145"/>
      <c r="L112" s="145"/>
      <c r="M112" s="145"/>
      <c r="N112" s="145"/>
      <c r="O112" s="145"/>
      <c r="P112" s="145"/>
      <c r="R112" s="145"/>
      <c r="S112" s="145"/>
      <c r="T112" s="145"/>
      <c r="U112" s="145"/>
      <c r="V112" s="145"/>
      <c r="W112" s="145"/>
      <c r="X112" s="145"/>
      <c r="Z112" s="145"/>
      <c r="AA112" s="145"/>
      <c r="AB112" s="145"/>
      <c r="AC112" s="145"/>
      <c r="AD112" s="145"/>
      <c r="AE112" s="145"/>
      <c r="AF112" s="145"/>
    </row>
    <row r="113" spans="2:32" x14ac:dyDescent="0.25">
      <c r="B113" s="145"/>
      <c r="C113" s="145"/>
      <c r="D113" s="145"/>
      <c r="E113" s="145"/>
      <c r="F113" s="145"/>
      <c r="G113" s="145"/>
      <c r="H113" s="145"/>
      <c r="J113" s="145"/>
      <c r="K113" s="145"/>
      <c r="L113" s="145"/>
      <c r="M113" s="145"/>
      <c r="N113" s="145"/>
      <c r="O113" s="145"/>
      <c r="P113" s="145"/>
      <c r="R113" s="145"/>
      <c r="S113" s="145"/>
      <c r="T113" s="145"/>
      <c r="U113" s="145"/>
      <c r="V113" s="145"/>
      <c r="W113" s="145"/>
      <c r="X113" s="145"/>
      <c r="Z113" s="145"/>
      <c r="AA113" s="145"/>
      <c r="AB113" s="145"/>
      <c r="AC113" s="145"/>
      <c r="AD113" s="145"/>
      <c r="AE113" s="145"/>
      <c r="AF113" s="145"/>
    </row>
    <row r="114" spans="2:32" x14ac:dyDescent="0.25">
      <c r="B114" s="145"/>
      <c r="C114" s="145"/>
      <c r="D114" s="145"/>
      <c r="E114" s="145"/>
      <c r="F114" s="145"/>
      <c r="G114" s="145"/>
      <c r="H114" s="145"/>
      <c r="J114" s="145"/>
      <c r="K114" s="145"/>
      <c r="L114" s="145"/>
      <c r="M114" s="145"/>
      <c r="N114" s="145"/>
      <c r="O114" s="145"/>
      <c r="P114" s="145"/>
      <c r="R114" s="145"/>
      <c r="S114" s="145"/>
      <c r="T114" s="145"/>
      <c r="U114" s="145"/>
      <c r="V114" s="145"/>
      <c r="W114" s="145"/>
      <c r="X114" s="145"/>
      <c r="Z114" s="145"/>
      <c r="AA114" s="145"/>
      <c r="AB114" s="145"/>
      <c r="AC114" s="145"/>
      <c r="AD114" s="145"/>
      <c r="AE114" s="145"/>
      <c r="AF114" s="145"/>
    </row>
    <row r="115" spans="2:32" x14ac:dyDescent="0.25">
      <c r="B115" s="145"/>
      <c r="C115" s="145"/>
      <c r="D115" s="145"/>
      <c r="E115" s="145"/>
      <c r="F115" s="145"/>
      <c r="G115" s="145"/>
      <c r="H115" s="145"/>
      <c r="J115" s="145"/>
      <c r="K115" s="145"/>
      <c r="L115" s="145"/>
      <c r="M115" s="145"/>
      <c r="N115" s="145"/>
      <c r="O115" s="145"/>
      <c r="P115" s="145"/>
      <c r="R115" s="145"/>
      <c r="S115" s="145"/>
      <c r="T115" s="145"/>
      <c r="U115" s="145"/>
      <c r="V115" s="145"/>
      <c r="W115" s="145"/>
      <c r="X115" s="145"/>
      <c r="Z115" s="145"/>
      <c r="AA115" s="145"/>
      <c r="AB115" s="145"/>
      <c r="AC115" s="145"/>
      <c r="AD115" s="145"/>
      <c r="AE115" s="145"/>
      <c r="AF115" s="145"/>
    </row>
    <row r="116" spans="2:32" x14ac:dyDescent="0.25">
      <c r="B116" s="145"/>
      <c r="C116" s="145"/>
      <c r="D116" s="145"/>
      <c r="E116" s="145"/>
      <c r="F116" s="145"/>
      <c r="G116" s="145"/>
      <c r="H116" s="145"/>
      <c r="J116" s="145"/>
      <c r="K116" s="145"/>
      <c r="L116" s="145"/>
      <c r="M116" s="145"/>
      <c r="N116" s="145"/>
      <c r="O116" s="145"/>
      <c r="P116" s="145"/>
      <c r="R116" s="145"/>
      <c r="S116" s="145"/>
      <c r="T116" s="145"/>
      <c r="U116" s="145"/>
      <c r="V116" s="145"/>
      <c r="W116" s="145"/>
      <c r="X116" s="145"/>
      <c r="Z116" s="145"/>
      <c r="AA116" s="145"/>
      <c r="AB116" s="145"/>
      <c r="AC116" s="145"/>
      <c r="AD116" s="145"/>
      <c r="AE116" s="145"/>
      <c r="AF116" s="145"/>
    </row>
    <row r="117" spans="2:32" x14ac:dyDescent="0.25">
      <c r="B117" s="145"/>
      <c r="C117" s="145"/>
      <c r="D117" s="145"/>
      <c r="E117" s="145"/>
      <c r="F117" s="145"/>
      <c r="G117" s="145"/>
      <c r="H117" s="145"/>
      <c r="J117" s="145"/>
      <c r="K117" s="145"/>
      <c r="L117" s="145"/>
      <c r="M117" s="145"/>
      <c r="N117" s="145"/>
      <c r="O117" s="145"/>
      <c r="P117" s="145"/>
      <c r="R117" s="145"/>
      <c r="S117" s="145"/>
      <c r="T117" s="145"/>
      <c r="U117" s="145"/>
      <c r="V117" s="145"/>
      <c r="W117" s="145"/>
      <c r="X117" s="145"/>
      <c r="Z117" s="145"/>
      <c r="AA117" s="145"/>
      <c r="AB117" s="145"/>
      <c r="AC117" s="145"/>
      <c r="AD117" s="145"/>
      <c r="AE117" s="145"/>
      <c r="AF117" s="145"/>
    </row>
    <row r="118" spans="2:32" x14ac:dyDescent="0.25">
      <c r="B118" s="145"/>
      <c r="C118" s="145"/>
      <c r="D118" s="145"/>
      <c r="E118" s="145"/>
      <c r="F118" s="145"/>
      <c r="G118" s="145"/>
      <c r="H118" s="145"/>
      <c r="J118" s="145"/>
      <c r="K118" s="145"/>
      <c r="L118" s="145"/>
      <c r="M118" s="145"/>
      <c r="N118" s="145"/>
      <c r="O118" s="145"/>
      <c r="P118" s="145"/>
      <c r="R118" s="145"/>
      <c r="S118" s="145"/>
      <c r="T118" s="145"/>
      <c r="U118" s="145"/>
      <c r="V118" s="145"/>
      <c r="W118" s="145"/>
      <c r="X118" s="145"/>
      <c r="Z118" s="145"/>
      <c r="AA118" s="145"/>
      <c r="AB118" s="145"/>
      <c r="AC118" s="145"/>
      <c r="AD118" s="145"/>
      <c r="AE118" s="145"/>
      <c r="AF118" s="145"/>
    </row>
    <row r="119" spans="2:32" x14ac:dyDescent="0.25">
      <c r="B119" s="145"/>
      <c r="C119" s="145"/>
      <c r="D119" s="145"/>
      <c r="E119" s="145"/>
      <c r="F119" s="145"/>
      <c r="G119" s="145"/>
      <c r="H119" s="145"/>
      <c r="J119" s="145"/>
      <c r="K119" s="145"/>
      <c r="L119" s="145"/>
      <c r="M119" s="145"/>
      <c r="N119" s="145"/>
      <c r="O119" s="145"/>
      <c r="P119" s="145"/>
      <c r="R119" s="145"/>
      <c r="S119" s="145"/>
      <c r="T119" s="145"/>
      <c r="U119" s="145"/>
      <c r="V119" s="145"/>
      <c r="W119" s="145"/>
      <c r="X119" s="145"/>
      <c r="Z119" s="145"/>
      <c r="AA119" s="145"/>
      <c r="AB119" s="145"/>
      <c r="AC119" s="145"/>
      <c r="AD119" s="145"/>
      <c r="AE119" s="145"/>
      <c r="AF119" s="145"/>
    </row>
    <row r="120" spans="2:32" x14ac:dyDescent="0.25">
      <c r="B120" s="145"/>
      <c r="C120" s="145"/>
      <c r="D120" s="145"/>
      <c r="E120" s="145"/>
      <c r="F120" s="145"/>
      <c r="G120" s="145"/>
      <c r="H120" s="145"/>
      <c r="J120" s="145"/>
      <c r="K120" s="145"/>
      <c r="L120" s="145"/>
      <c r="M120" s="145"/>
      <c r="N120" s="145"/>
      <c r="O120" s="145"/>
      <c r="P120" s="145"/>
      <c r="R120" s="145"/>
      <c r="S120" s="145"/>
      <c r="T120" s="145"/>
      <c r="U120" s="145"/>
      <c r="V120" s="145"/>
      <c r="W120" s="145"/>
      <c r="X120" s="145"/>
      <c r="Z120" s="145"/>
      <c r="AA120" s="145"/>
      <c r="AB120" s="145"/>
      <c r="AC120" s="145"/>
      <c r="AD120" s="145"/>
      <c r="AE120" s="145"/>
      <c r="AF120" s="145"/>
    </row>
    <row r="121" spans="2:32" x14ac:dyDescent="0.25">
      <c r="B121" s="145"/>
      <c r="C121" s="145"/>
      <c r="D121" s="145"/>
      <c r="E121" s="145"/>
      <c r="F121" s="145"/>
      <c r="G121" s="145"/>
      <c r="H121" s="145"/>
      <c r="J121" s="145"/>
      <c r="K121" s="145"/>
      <c r="L121" s="145"/>
      <c r="M121" s="145"/>
      <c r="N121" s="145"/>
      <c r="O121" s="145"/>
      <c r="P121" s="145"/>
      <c r="R121" s="145"/>
      <c r="S121" s="145"/>
      <c r="T121" s="145"/>
      <c r="U121" s="145"/>
      <c r="V121" s="145"/>
      <c r="W121" s="145"/>
      <c r="X121" s="145"/>
      <c r="Z121" s="145"/>
      <c r="AA121" s="145"/>
      <c r="AB121" s="145"/>
      <c r="AC121" s="145"/>
      <c r="AD121" s="145"/>
      <c r="AE121" s="145"/>
      <c r="AF121" s="145"/>
    </row>
    <row r="122" spans="2:32" x14ac:dyDescent="0.25">
      <c r="B122" s="145"/>
      <c r="C122" s="145"/>
      <c r="D122" s="145"/>
      <c r="E122" s="145"/>
      <c r="F122" s="145"/>
      <c r="G122" s="145"/>
      <c r="H122" s="145"/>
      <c r="J122" s="145"/>
      <c r="K122" s="145"/>
      <c r="L122" s="145"/>
      <c r="M122" s="145"/>
      <c r="N122" s="145"/>
      <c r="O122" s="145"/>
      <c r="P122" s="145"/>
      <c r="R122" s="145"/>
      <c r="S122" s="145"/>
      <c r="T122" s="145"/>
      <c r="U122" s="145"/>
      <c r="V122" s="145"/>
      <c r="W122" s="145"/>
      <c r="X122" s="145"/>
      <c r="Z122" s="145"/>
      <c r="AA122" s="145"/>
      <c r="AB122" s="145"/>
      <c r="AC122" s="145"/>
      <c r="AD122" s="145"/>
      <c r="AE122" s="145"/>
      <c r="AF122" s="145"/>
    </row>
    <row r="123" spans="2:32" x14ac:dyDescent="0.25">
      <c r="B123" s="145"/>
      <c r="C123" s="145"/>
      <c r="D123" s="145"/>
      <c r="E123" s="145"/>
      <c r="F123" s="145"/>
      <c r="G123" s="145"/>
      <c r="H123" s="145"/>
      <c r="J123" s="145"/>
      <c r="K123" s="145"/>
      <c r="L123" s="145"/>
      <c r="M123" s="145"/>
      <c r="N123" s="145"/>
      <c r="O123" s="145"/>
      <c r="P123" s="145"/>
      <c r="R123" s="145"/>
      <c r="S123" s="145"/>
      <c r="T123" s="145"/>
      <c r="U123" s="145"/>
      <c r="V123" s="145"/>
      <c r="W123" s="145"/>
      <c r="X123" s="145"/>
      <c r="Z123" s="145"/>
      <c r="AA123" s="145"/>
      <c r="AB123" s="145"/>
      <c r="AC123" s="145"/>
      <c r="AD123" s="145"/>
      <c r="AE123" s="145"/>
      <c r="AF123" s="145"/>
    </row>
    <row r="124" spans="2:32" x14ac:dyDescent="0.25">
      <c r="B124" s="145"/>
      <c r="C124" s="145"/>
      <c r="D124" s="145"/>
      <c r="E124" s="145"/>
      <c r="F124" s="145"/>
      <c r="G124" s="145"/>
      <c r="H124" s="145"/>
      <c r="J124" s="145"/>
      <c r="K124" s="145"/>
      <c r="L124" s="145"/>
      <c r="M124" s="145"/>
      <c r="N124" s="145"/>
      <c r="O124" s="145"/>
      <c r="P124" s="145"/>
      <c r="R124" s="145"/>
      <c r="S124" s="145"/>
      <c r="T124" s="145"/>
      <c r="U124" s="145"/>
      <c r="V124" s="145"/>
      <c r="W124" s="145"/>
      <c r="X124" s="145"/>
      <c r="Z124" s="145"/>
      <c r="AA124" s="145"/>
      <c r="AB124" s="145"/>
      <c r="AC124" s="145"/>
      <c r="AD124" s="145"/>
      <c r="AE124" s="145"/>
      <c r="AF124" s="145"/>
    </row>
    <row r="125" spans="2:32" x14ac:dyDescent="0.25">
      <c r="B125" s="145"/>
      <c r="C125" s="145"/>
      <c r="D125" s="145"/>
      <c r="E125" s="145"/>
      <c r="F125" s="145"/>
      <c r="G125" s="145"/>
      <c r="H125" s="145"/>
      <c r="J125" s="145"/>
      <c r="K125" s="145"/>
      <c r="L125" s="145"/>
      <c r="M125" s="145"/>
      <c r="N125" s="145"/>
      <c r="O125" s="145"/>
      <c r="P125" s="145"/>
      <c r="R125" s="145"/>
      <c r="S125" s="145"/>
      <c r="T125" s="145"/>
      <c r="U125" s="145"/>
      <c r="V125" s="145"/>
      <c r="W125" s="145"/>
      <c r="X125" s="145"/>
      <c r="Z125" s="145"/>
      <c r="AA125" s="145"/>
      <c r="AB125" s="145"/>
      <c r="AC125" s="145"/>
      <c r="AD125" s="145"/>
      <c r="AE125" s="145"/>
      <c r="AF125" s="145"/>
    </row>
    <row r="126" spans="2:32" x14ac:dyDescent="0.25">
      <c r="B126" s="145"/>
      <c r="C126" s="145"/>
      <c r="D126" s="145"/>
      <c r="E126" s="145"/>
      <c r="F126" s="145"/>
      <c r="G126" s="145"/>
      <c r="H126" s="145"/>
      <c r="J126" s="145"/>
      <c r="K126" s="145"/>
      <c r="L126" s="145"/>
      <c r="M126" s="145"/>
      <c r="N126" s="145"/>
      <c r="O126" s="145"/>
      <c r="P126" s="145"/>
      <c r="R126" s="145"/>
      <c r="S126" s="145"/>
      <c r="T126" s="145"/>
      <c r="U126" s="145"/>
      <c r="V126" s="145"/>
      <c r="W126" s="145"/>
      <c r="X126" s="145"/>
      <c r="Z126" s="145"/>
      <c r="AA126" s="145"/>
      <c r="AB126" s="145"/>
      <c r="AC126" s="145"/>
      <c r="AD126" s="145"/>
      <c r="AE126" s="145"/>
      <c r="AF126" s="145"/>
    </row>
    <row r="127" spans="2:32" x14ac:dyDescent="0.25">
      <c r="B127" s="145"/>
      <c r="C127" s="145"/>
      <c r="D127" s="145"/>
      <c r="E127" s="145"/>
      <c r="F127" s="145"/>
      <c r="G127" s="145"/>
      <c r="H127" s="145"/>
      <c r="J127" s="145"/>
      <c r="K127" s="145"/>
      <c r="L127" s="145"/>
      <c r="M127" s="145"/>
      <c r="N127" s="145"/>
      <c r="O127" s="145"/>
      <c r="P127" s="145"/>
      <c r="R127" s="145"/>
      <c r="S127" s="145"/>
      <c r="T127" s="145"/>
      <c r="U127" s="145"/>
      <c r="V127" s="145"/>
      <c r="W127" s="145"/>
      <c r="X127" s="145"/>
      <c r="Z127" s="145"/>
      <c r="AA127" s="145"/>
      <c r="AB127" s="145"/>
      <c r="AC127" s="145"/>
      <c r="AD127" s="145"/>
      <c r="AE127" s="145"/>
      <c r="AF127" s="145"/>
    </row>
    <row r="128" spans="2:32" x14ac:dyDescent="0.25">
      <c r="B128" s="145"/>
      <c r="C128" s="145"/>
      <c r="D128" s="145"/>
      <c r="E128" s="145"/>
      <c r="F128" s="145"/>
      <c r="G128" s="145"/>
      <c r="H128" s="145"/>
      <c r="J128" s="145"/>
      <c r="K128" s="145"/>
      <c r="L128" s="145"/>
      <c r="M128" s="145"/>
      <c r="N128" s="145"/>
      <c r="O128" s="145"/>
      <c r="P128" s="145"/>
      <c r="R128" s="145"/>
      <c r="S128" s="145"/>
      <c r="T128" s="145"/>
      <c r="U128" s="145"/>
      <c r="V128" s="145"/>
      <c r="W128" s="145"/>
      <c r="X128" s="145"/>
      <c r="Z128" s="145"/>
      <c r="AA128" s="145"/>
      <c r="AB128" s="145"/>
      <c r="AC128" s="145"/>
      <c r="AD128" s="145"/>
      <c r="AE128" s="145"/>
      <c r="AF128" s="145"/>
    </row>
    <row r="129" spans="2:32" x14ac:dyDescent="0.25">
      <c r="B129" s="145"/>
      <c r="C129" s="145"/>
      <c r="D129" s="145"/>
      <c r="E129" s="145"/>
      <c r="F129" s="145"/>
      <c r="G129" s="145"/>
      <c r="H129" s="145"/>
      <c r="J129" s="145"/>
      <c r="K129" s="145"/>
      <c r="L129" s="145"/>
      <c r="M129" s="145"/>
      <c r="N129" s="145"/>
      <c r="O129" s="145"/>
      <c r="P129" s="145"/>
      <c r="R129" s="145"/>
      <c r="S129" s="145"/>
      <c r="T129" s="145"/>
      <c r="U129" s="145"/>
      <c r="V129" s="145"/>
      <c r="W129" s="145"/>
      <c r="X129" s="145"/>
      <c r="Z129" s="145"/>
      <c r="AA129" s="145"/>
      <c r="AB129" s="145"/>
      <c r="AC129" s="145"/>
      <c r="AD129" s="145"/>
      <c r="AE129" s="145"/>
      <c r="AF129" s="145"/>
    </row>
    <row r="130" spans="2:32" x14ac:dyDescent="0.25">
      <c r="B130" s="145"/>
      <c r="C130" s="145"/>
      <c r="D130" s="145"/>
      <c r="E130" s="145"/>
      <c r="F130" s="145"/>
      <c r="G130" s="145"/>
      <c r="H130" s="145"/>
      <c r="J130" s="145"/>
      <c r="K130" s="145"/>
      <c r="L130" s="145"/>
      <c r="M130" s="145"/>
      <c r="N130" s="145"/>
      <c r="O130" s="145"/>
      <c r="P130" s="145"/>
      <c r="R130" s="145"/>
      <c r="S130" s="145"/>
      <c r="T130" s="145"/>
      <c r="U130" s="145"/>
      <c r="V130" s="145"/>
      <c r="W130" s="145"/>
      <c r="X130" s="145"/>
      <c r="Z130" s="145"/>
      <c r="AA130" s="145"/>
      <c r="AB130" s="145"/>
      <c r="AC130" s="145"/>
      <c r="AD130" s="145"/>
      <c r="AE130" s="145"/>
      <c r="AF130" s="145"/>
    </row>
    <row r="131" spans="2:32" x14ac:dyDescent="0.25">
      <c r="B131" s="145"/>
      <c r="C131" s="145"/>
      <c r="D131" s="145"/>
      <c r="E131" s="145"/>
      <c r="F131" s="145"/>
      <c r="G131" s="145"/>
      <c r="H131" s="145"/>
      <c r="J131" s="145"/>
      <c r="K131" s="145"/>
      <c r="L131" s="145"/>
      <c r="M131" s="145"/>
      <c r="N131" s="145"/>
      <c r="O131" s="145"/>
      <c r="P131" s="145"/>
      <c r="R131" s="145"/>
      <c r="S131" s="145"/>
      <c r="T131" s="145"/>
      <c r="U131" s="145"/>
      <c r="V131" s="145"/>
      <c r="W131" s="145"/>
      <c r="X131" s="145"/>
      <c r="Z131" s="145"/>
      <c r="AA131" s="145"/>
      <c r="AB131" s="145"/>
      <c r="AC131" s="145"/>
      <c r="AD131" s="145"/>
      <c r="AE131" s="145"/>
      <c r="AF131" s="145"/>
    </row>
    <row r="132" spans="2:32" x14ac:dyDescent="0.25">
      <c r="B132" s="145"/>
      <c r="C132" s="145"/>
      <c r="D132" s="145"/>
      <c r="E132" s="145"/>
      <c r="F132" s="145"/>
      <c r="G132" s="145"/>
      <c r="H132" s="145"/>
      <c r="J132" s="145"/>
      <c r="K132" s="145"/>
      <c r="L132" s="145"/>
      <c r="M132" s="145"/>
      <c r="N132" s="145"/>
      <c r="O132" s="145"/>
      <c r="P132" s="145"/>
      <c r="R132" s="145"/>
      <c r="S132" s="145"/>
      <c r="T132" s="145"/>
      <c r="U132" s="145"/>
      <c r="V132" s="145"/>
      <c r="W132" s="145"/>
      <c r="X132" s="145"/>
      <c r="Z132" s="145"/>
      <c r="AA132" s="145"/>
      <c r="AB132" s="145"/>
      <c r="AC132" s="145"/>
      <c r="AD132" s="145"/>
      <c r="AE132" s="145"/>
      <c r="AF132" s="145"/>
    </row>
    <row r="133" spans="2:32" x14ac:dyDescent="0.25">
      <c r="B133" s="145"/>
      <c r="C133" s="145"/>
      <c r="D133" s="145"/>
      <c r="E133" s="145"/>
      <c r="F133" s="145"/>
      <c r="G133" s="145"/>
      <c r="H133" s="145"/>
      <c r="J133" s="145"/>
      <c r="K133" s="145"/>
      <c r="L133" s="145"/>
      <c r="M133" s="145"/>
      <c r="N133" s="145"/>
      <c r="O133" s="145"/>
      <c r="P133" s="145"/>
      <c r="R133" s="145"/>
      <c r="S133" s="145"/>
      <c r="T133" s="145"/>
      <c r="U133" s="145"/>
      <c r="V133" s="145"/>
      <c r="W133" s="145"/>
      <c r="X133" s="145"/>
      <c r="Z133" s="145"/>
      <c r="AA133" s="145"/>
      <c r="AB133" s="145"/>
      <c r="AC133" s="145"/>
      <c r="AD133" s="145"/>
      <c r="AE133" s="145"/>
      <c r="AF133" s="145"/>
    </row>
    <row r="134" spans="2:32" x14ac:dyDescent="0.25">
      <c r="B134" s="145"/>
      <c r="C134" s="145"/>
      <c r="D134" s="145"/>
      <c r="E134" s="145"/>
      <c r="F134" s="145"/>
      <c r="G134" s="145"/>
      <c r="H134" s="145"/>
      <c r="J134" s="145"/>
      <c r="K134" s="145"/>
      <c r="L134" s="145"/>
      <c r="M134" s="145"/>
      <c r="N134" s="145"/>
      <c r="O134" s="145"/>
      <c r="P134" s="145"/>
      <c r="R134" s="145"/>
      <c r="S134" s="145"/>
      <c r="T134" s="145"/>
      <c r="U134" s="145"/>
      <c r="V134" s="145"/>
      <c r="W134" s="145"/>
      <c r="X134" s="145"/>
      <c r="Z134" s="145"/>
      <c r="AA134" s="145"/>
      <c r="AB134" s="145"/>
      <c r="AC134" s="145"/>
      <c r="AD134" s="145"/>
      <c r="AE134" s="145"/>
      <c r="AF134" s="145"/>
    </row>
    <row r="135" spans="2:32" x14ac:dyDescent="0.25">
      <c r="B135" s="145"/>
      <c r="C135" s="145"/>
      <c r="D135" s="145"/>
      <c r="E135" s="145"/>
      <c r="F135" s="145"/>
      <c r="G135" s="145"/>
      <c r="H135" s="145"/>
      <c r="J135" s="145"/>
      <c r="K135" s="145"/>
      <c r="L135" s="145"/>
      <c r="M135" s="145"/>
      <c r="N135" s="145"/>
      <c r="O135" s="145"/>
      <c r="P135" s="145"/>
      <c r="R135" s="145"/>
      <c r="S135" s="145"/>
      <c r="T135" s="145"/>
      <c r="U135" s="145"/>
      <c r="V135" s="145"/>
      <c r="W135" s="145"/>
      <c r="X135" s="145"/>
      <c r="Z135" s="145"/>
      <c r="AA135" s="145"/>
      <c r="AB135" s="145"/>
      <c r="AC135" s="145"/>
      <c r="AD135" s="145"/>
      <c r="AE135" s="145"/>
      <c r="AF135" s="145"/>
    </row>
    <row r="136" spans="2:32" x14ac:dyDescent="0.25">
      <c r="B136" s="145"/>
      <c r="C136" s="145"/>
      <c r="D136" s="145"/>
      <c r="E136" s="145"/>
      <c r="F136" s="145"/>
      <c r="G136" s="145"/>
      <c r="H136" s="145"/>
      <c r="J136" s="145"/>
      <c r="K136" s="145"/>
      <c r="L136" s="145"/>
      <c r="M136" s="145"/>
      <c r="N136" s="145"/>
      <c r="O136" s="145"/>
      <c r="P136" s="145"/>
      <c r="R136" s="145"/>
      <c r="S136" s="145"/>
      <c r="T136" s="145"/>
      <c r="U136" s="145"/>
      <c r="V136" s="145"/>
      <c r="W136" s="145"/>
      <c r="X136" s="145"/>
      <c r="Z136" s="145"/>
      <c r="AA136" s="145"/>
      <c r="AB136" s="145"/>
      <c r="AC136" s="145"/>
      <c r="AD136" s="145"/>
      <c r="AE136" s="145"/>
      <c r="AF136" s="145"/>
    </row>
    <row r="137" spans="2:32" x14ac:dyDescent="0.25">
      <c r="B137" s="145"/>
      <c r="C137" s="145"/>
      <c r="D137" s="145"/>
      <c r="E137" s="145"/>
      <c r="F137" s="145"/>
      <c r="G137" s="145"/>
      <c r="H137" s="145"/>
      <c r="J137" s="145"/>
      <c r="K137" s="145"/>
      <c r="L137" s="145"/>
      <c r="M137" s="145"/>
      <c r="N137" s="145"/>
      <c r="O137" s="145"/>
      <c r="P137" s="145"/>
      <c r="R137" s="145"/>
      <c r="S137" s="145"/>
      <c r="T137" s="145"/>
      <c r="U137" s="145"/>
      <c r="V137" s="145"/>
      <c r="W137" s="145"/>
      <c r="X137" s="145"/>
      <c r="Z137" s="145"/>
      <c r="AA137" s="145"/>
      <c r="AB137" s="145"/>
      <c r="AC137" s="145"/>
      <c r="AD137" s="145"/>
      <c r="AE137" s="145"/>
      <c r="AF137" s="145"/>
    </row>
    <row r="138" spans="2:32" x14ac:dyDescent="0.25">
      <c r="B138" s="145"/>
      <c r="C138" s="145"/>
      <c r="D138" s="145"/>
      <c r="E138" s="145"/>
      <c r="F138" s="145"/>
      <c r="G138" s="145"/>
      <c r="H138" s="145"/>
      <c r="J138" s="145"/>
      <c r="K138" s="145"/>
      <c r="L138" s="145"/>
      <c r="M138" s="145"/>
      <c r="N138" s="145"/>
      <c r="O138" s="145"/>
      <c r="P138" s="145"/>
      <c r="R138" s="145"/>
      <c r="S138" s="145"/>
      <c r="T138" s="145"/>
      <c r="U138" s="145"/>
      <c r="V138" s="145"/>
      <c r="W138" s="145"/>
      <c r="X138" s="145"/>
      <c r="Z138" s="145"/>
      <c r="AA138" s="145"/>
      <c r="AB138" s="145"/>
      <c r="AC138" s="145"/>
      <c r="AD138" s="145"/>
      <c r="AE138" s="145"/>
      <c r="AF138" s="145"/>
    </row>
    <row r="139" spans="2:32" x14ac:dyDescent="0.25">
      <c r="B139" s="145"/>
      <c r="C139" s="145"/>
      <c r="D139" s="145"/>
      <c r="E139" s="145"/>
      <c r="F139" s="145"/>
      <c r="G139" s="145"/>
      <c r="H139" s="145"/>
      <c r="J139" s="145"/>
      <c r="K139" s="145"/>
      <c r="L139" s="145"/>
      <c r="M139" s="145"/>
      <c r="N139" s="145"/>
      <c r="O139" s="145"/>
      <c r="P139" s="145"/>
      <c r="R139" s="145"/>
      <c r="S139" s="145"/>
      <c r="T139" s="145"/>
      <c r="U139" s="145"/>
      <c r="V139" s="145"/>
      <c r="W139" s="145"/>
      <c r="X139" s="145"/>
      <c r="Z139" s="145"/>
      <c r="AA139" s="145"/>
      <c r="AB139" s="145"/>
      <c r="AC139" s="145"/>
      <c r="AD139" s="145"/>
      <c r="AE139" s="145"/>
      <c r="AF139" s="145"/>
    </row>
    <row r="140" spans="2:32" x14ac:dyDescent="0.25">
      <c r="B140" s="145"/>
      <c r="C140" s="145"/>
      <c r="D140" s="145"/>
      <c r="E140" s="145"/>
      <c r="F140" s="145"/>
      <c r="G140" s="145"/>
      <c r="H140" s="145"/>
      <c r="J140" s="145"/>
      <c r="K140" s="145"/>
      <c r="L140" s="145"/>
      <c r="M140" s="145"/>
      <c r="N140" s="145"/>
      <c r="O140" s="145"/>
      <c r="P140" s="145"/>
      <c r="R140" s="145"/>
      <c r="S140" s="145"/>
      <c r="T140" s="145"/>
      <c r="U140" s="145"/>
      <c r="V140" s="145"/>
      <c r="W140" s="145"/>
      <c r="X140" s="145"/>
      <c r="Z140" s="145"/>
      <c r="AA140" s="145"/>
      <c r="AB140" s="145"/>
      <c r="AC140" s="145"/>
      <c r="AD140" s="145"/>
      <c r="AE140" s="145"/>
      <c r="AF140" s="145"/>
    </row>
    <row r="141" spans="2:32" x14ac:dyDescent="0.25">
      <c r="B141" s="145"/>
      <c r="C141" s="145"/>
      <c r="D141" s="145"/>
      <c r="E141" s="145"/>
      <c r="F141" s="145"/>
      <c r="G141" s="145"/>
      <c r="H141" s="145"/>
      <c r="J141" s="145"/>
      <c r="K141" s="145"/>
      <c r="L141" s="145"/>
      <c r="M141" s="145"/>
      <c r="N141" s="145"/>
      <c r="O141" s="145"/>
      <c r="P141" s="145"/>
      <c r="R141" s="145"/>
      <c r="S141" s="145"/>
      <c r="T141" s="145"/>
      <c r="U141" s="145"/>
      <c r="V141" s="145"/>
      <c r="W141" s="145"/>
      <c r="X141" s="145"/>
      <c r="Z141" s="145"/>
      <c r="AA141" s="145"/>
      <c r="AB141" s="145"/>
      <c r="AC141" s="145"/>
      <c r="AD141" s="145"/>
      <c r="AE141" s="145"/>
      <c r="AF141" s="145"/>
    </row>
    <row r="142" spans="2:32" x14ac:dyDescent="0.25">
      <c r="B142" s="145"/>
      <c r="C142" s="145"/>
      <c r="D142" s="145"/>
      <c r="E142" s="145"/>
      <c r="F142" s="145"/>
      <c r="G142" s="145"/>
      <c r="H142" s="145"/>
      <c r="J142" s="145"/>
      <c r="K142" s="145"/>
      <c r="L142" s="145"/>
      <c r="M142" s="145"/>
      <c r="N142" s="145"/>
      <c r="O142" s="145"/>
      <c r="P142" s="145"/>
      <c r="R142" s="145"/>
      <c r="S142" s="145"/>
      <c r="T142" s="145"/>
      <c r="U142" s="145"/>
      <c r="V142" s="145"/>
      <c r="W142" s="145"/>
      <c r="X142" s="145"/>
      <c r="Z142" s="145"/>
      <c r="AA142" s="145"/>
      <c r="AB142" s="145"/>
      <c r="AC142" s="145"/>
      <c r="AD142" s="145"/>
      <c r="AE142" s="145"/>
      <c r="AF142" s="145"/>
    </row>
    <row r="143" spans="2:32" x14ac:dyDescent="0.25">
      <c r="B143" s="145"/>
      <c r="C143" s="145"/>
      <c r="D143" s="145"/>
      <c r="E143" s="145"/>
      <c r="F143" s="145"/>
      <c r="G143" s="145"/>
      <c r="H143" s="145"/>
      <c r="J143" s="145"/>
      <c r="K143" s="145"/>
      <c r="L143" s="145"/>
      <c r="M143" s="145"/>
      <c r="N143" s="145"/>
      <c r="O143" s="145"/>
      <c r="P143" s="145"/>
      <c r="R143" s="145"/>
      <c r="S143" s="145"/>
      <c r="T143" s="145"/>
      <c r="U143" s="145"/>
      <c r="V143" s="145"/>
      <c r="W143" s="145"/>
      <c r="X143" s="145"/>
      <c r="Z143" s="145"/>
      <c r="AA143" s="145"/>
      <c r="AB143" s="145"/>
      <c r="AC143" s="145"/>
      <c r="AD143" s="145"/>
      <c r="AE143" s="145"/>
      <c r="AF143" s="145"/>
    </row>
    <row r="144" spans="2:32" x14ac:dyDescent="0.25">
      <c r="B144" s="145"/>
      <c r="C144" s="145"/>
      <c r="D144" s="145"/>
      <c r="E144" s="145"/>
      <c r="F144" s="145"/>
      <c r="G144" s="145"/>
      <c r="H144" s="145"/>
      <c r="J144" s="145"/>
      <c r="K144" s="145"/>
      <c r="L144" s="145"/>
      <c r="M144" s="145"/>
      <c r="N144" s="145"/>
      <c r="O144" s="145"/>
      <c r="P144" s="145"/>
      <c r="R144" s="145"/>
      <c r="S144" s="145"/>
      <c r="T144" s="145"/>
      <c r="U144" s="145"/>
      <c r="V144" s="145"/>
      <c r="W144" s="145"/>
      <c r="X144" s="145"/>
      <c r="Z144" s="145"/>
      <c r="AA144" s="145"/>
      <c r="AB144" s="145"/>
      <c r="AC144" s="145"/>
      <c r="AD144" s="145"/>
      <c r="AE144" s="145"/>
      <c r="AF144" s="145"/>
    </row>
    <row r="145" spans="2:32" x14ac:dyDescent="0.25">
      <c r="B145" s="145"/>
      <c r="C145" s="145"/>
      <c r="D145" s="145"/>
      <c r="E145" s="145"/>
      <c r="F145" s="145"/>
      <c r="G145" s="145"/>
      <c r="H145" s="145"/>
      <c r="J145" s="145"/>
      <c r="K145" s="145"/>
      <c r="L145" s="145"/>
      <c r="M145" s="145"/>
      <c r="N145" s="145"/>
      <c r="O145" s="145"/>
      <c r="P145" s="145"/>
      <c r="R145" s="145"/>
      <c r="S145" s="145"/>
      <c r="T145" s="145"/>
      <c r="U145" s="145"/>
      <c r="V145" s="145"/>
      <c r="W145" s="145"/>
      <c r="X145" s="145"/>
      <c r="Z145" s="145"/>
      <c r="AA145" s="145"/>
      <c r="AB145" s="145"/>
      <c r="AC145" s="145"/>
      <c r="AD145" s="145"/>
      <c r="AE145" s="145"/>
      <c r="AF145" s="145"/>
    </row>
    <row r="146" spans="2:32" x14ac:dyDescent="0.25">
      <c r="B146" s="145"/>
      <c r="C146" s="145"/>
      <c r="D146" s="145"/>
      <c r="E146" s="145"/>
      <c r="F146" s="145"/>
      <c r="G146" s="145"/>
      <c r="H146" s="145"/>
      <c r="J146" s="145"/>
      <c r="K146" s="145"/>
      <c r="L146" s="145"/>
      <c r="M146" s="145"/>
      <c r="N146" s="145"/>
      <c r="O146" s="145"/>
      <c r="P146" s="145"/>
      <c r="R146" s="145"/>
      <c r="S146" s="145"/>
      <c r="T146" s="145"/>
      <c r="U146" s="145"/>
      <c r="V146" s="145"/>
      <c r="W146" s="145"/>
      <c r="X146" s="145"/>
      <c r="Z146" s="145"/>
      <c r="AA146" s="145"/>
      <c r="AB146" s="145"/>
      <c r="AC146" s="145"/>
      <c r="AD146" s="145"/>
      <c r="AE146" s="145"/>
      <c r="AF146" s="145"/>
    </row>
    <row r="147" spans="2:32" x14ac:dyDescent="0.25">
      <c r="B147" s="145"/>
      <c r="C147" s="145"/>
      <c r="D147" s="145"/>
      <c r="E147" s="145"/>
      <c r="F147" s="145"/>
      <c r="G147" s="145"/>
      <c r="H147" s="145"/>
      <c r="J147" s="145"/>
      <c r="K147" s="145"/>
      <c r="L147" s="145"/>
      <c r="M147" s="145"/>
      <c r="N147" s="145"/>
      <c r="O147" s="145"/>
      <c r="P147" s="145"/>
      <c r="R147" s="145"/>
      <c r="S147" s="145"/>
      <c r="T147" s="145"/>
      <c r="U147" s="145"/>
      <c r="V147" s="145"/>
      <c r="W147" s="145"/>
      <c r="X147" s="145"/>
      <c r="Z147" s="145"/>
      <c r="AA147" s="145"/>
      <c r="AB147" s="145"/>
      <c r="AC147" s="145"/>
      <c r="AD147" s="145"/>
      <c r="AE147" s="145"/>
      <c r="AF147" s="145"/>
    </row>
    <row r="148" spans="2:32" x14ac:dyDescent="0.25">
      <c r="B148" s="145"/>
      <c r="C148" s="145"/>
      <c r="D148" s="145"/>
      <c r="E148" s="145"/>
      <c r="F148" s="145"/>
      <c r="G148" s="145"/>
      <c r="H148" s="145"/>
      <c r="J148" s="145"/>
      <c r="K148" s="145"/>
      <c r="L148" s="145"/>
      <c r="M148" s="145"/>
      <c r="N148" s="145"/>
      <c r="O148" s="145"/>
      <c r="P148" s="145"/>
      <c r="R148" s="145"/>
      <c r="S148" s="145"/>
      <c r="T148" s="145"/>
      <c r="U148" s="145"/>
      <c r="V148" s="145"/>
      <c r="W148" s="145"/>
      <c r="X148" s="145"/>
      <c r="Z148" s="145"/>
      <c r="AA148" s="145"/>
      <c r="AB148" s="145"/>
      <c r="AC148" s="145"/>
      <c r="AD148" s="145"/>
      <c r="AE148" s="145"/>
      <c r="AF148" s="145"/>
    </row>
    <row r="149" spans="2:32" x14ac:dyDescent="0.25">
      <c r="B149" s="145"/>
      <c r="C149" s="145"/>
      <c r="D149" s="145"/>
      <c r="E149" s="145"/>
      <c r="F149" s="145"/>
      <c r="G149" s="145"/>
      <c r="H149" s="145"/>
      <c r="J149" s="145"/>
      <c r="K149" s="145"/>
      <c r="L149" s="145"/>
      <c r="M149" s="145"/>
      <c r="N149" s="145"/>
      <c r="O149" s="145"/>
      <c r="P149" s="145"/>
      <c r="R149" s="145"/>
      <c r="S149" s="145"/>
      <c r="T149" s="145"/>
      <c r="U149" s="145"/>
      <c r="V149" s="145"/>
      <c r="W149" s="145"/>
      <c r="X149" s="145"/>
      <c r="Z149" s="145"/>
      <c r="AA149" s="145"/>
      <c r="AB149" s="145"/>
      <c r="AC149" s="145"/>
      <c r="AD149" s="145"/>
      <c r="AE149" s="145"/>
      <c r="AF149" s="145"/>
    </row>
    <row r="150" spans="2:32" x14ac:dyDescent="0.25">
      <c r="B150" s="145"/>
      <c r="C150" s="145"/>
      <c r="D150" s="145"/>
      <c r="E150" s="145"/>
      <c r="F150" s="145"/>
      <c r="G150" s="145"/>
      <c r="H150" s="145"/>
      <c r="J150" s="145"/>
      <c r="K150" s="145"/>
      <c r="L150" s="145"/>
      <c r="M150" s="145"/>
      <c r="N150" s="145"/>
      <c r="O150" s="145"/>
      <c r="P150" s="145"/>
      <c r="R150" s="145"/>
      <c r="S150" s="145"/>
      <c r="T150" s="145"/>
      <c r="U150" s="145"/>
      <c r="V150" s="145"/>
      <c r="W150" s="145"/>
      <c r="X150" s="145"/>
      <c r="Z150" s="145"/>
      <c r="AA150" s="145"/>
      <c r="AB150" s="145"/>
      <c r="AC150" s="145"/>
      <c r="AD150" s="145"/>
      <c r="AE150" s="145"/>
      <c r="AF150" s="145"/>
    </row>
    <row r="151" spans="2:32" x14ac:dyDescent="0.25">
      <c r="B151" s="145"/>
      <c r="C151" s="145"/>
      <c r="D151" s="145"/>
      <c r="E151" s="145"/>
      <c r="F151" s="145"/>
      <c r="G151" s="145"/>
      <c r="H151" s="145"/>
      <c r="J151" s="145"/>
      <c r="K151" s="145"/>
      <c r="L151" s="145"/>
      <c r="M151" s="145"/>
      <c r="N151" s="145"/>
      <c r="O151" s="145"/>
      <c r="P151" s="145"/>
      <c r="R151" s="145"/>
      <c r="S151" s="145"/>
      <c r="T151" s="145"/>
      <c r="U151" s="145"/>
      <c r="V151" s="145"/>
      <c r="W151" s="145"/>
      <c r="X151" s="145"/>
      <c r="Z151" s="145"/>
      <c r="AA151" s="145"/>
      <c r="AB151" s="145"/>
      <c r="AC151" s="145"/>
      <c r="AD151" s="145"/>
      <c r="AE151" s="145"/>
      <c r="AF151" s="145"/>
    </row>
    <row r="152" spans="2:32" x14ac:dyDescent="0.25">
      <c r="B152" s="145"/>
      <c r="C152" s="145"/>
      <c r="D152" s="145"/>
      <c r="E152" s="145"/>
      <c r="F152" s="145"/>
      <c r="G152" s="145"/>
      <c r="H152" s="145"/>
      <c r="J152" s="145"/>
      <c r="K152" s="145"/>
      <c r="L152" s="145"/>
      <c r="M152" s="145"/>
      <c r="N152" s="145"/>
      <c r="O152" s="145"/>
      <c r="P152" s="145"/>
      <c r="R152" s="145"/>
      <c r="S152" s="145"/>
      <c r="T152" s="145"/>
      <c r="U152" s="145"/>
      <c r="V152" s="145"/>
      <c r="W152" s="145"/>
      <c r="X152" s="145"/>
      <c r="Z152" s="145"/>
      <c r="AA152" s="145"/>
      <c r="AB152" s="145"/>
      <c r="AC152" s="145"/>
      <c r="AD152" s="145"/>
      <c r="AE152" s="145"/>
      <c r="AF152" s="145"/>
    </row>
    <row r="153" spans="2:32" x14ac:dyDescent="0.25">
      <c r="B153" s="145"/>
      <c r="C153" s="145"/>
      <c r="D153" s="145"/>
      <c r="E153" s="145"/>
      <c r="F153" s="145"/>
      <c r="G153" s="145"/>
      <c r="H153" s="145"/>
      <c r="J153" s="145"/>
      <c r="K153" s="145"/>
      <c r="L153" s="145"/>
      <c r="M153" s="145"/>
      <c r="N153" s="145"/>
      <c r="O153" s="145"/>
      <c r="P153" s="145"/>
      <c r="R153" s="145"/>
      <c r="S153" s="145"/>
      <c r="T153" s="145"/>
      <c r="U153" s="145"/>
      <c r="V153" s="145"/>
      <c r="W153" s="145"/>
      <c r="X153" s="145"/>
      <c r="Z153" s="145"/>
      <c r="AA153" s="145"/>
      <c r="AB153" s="145"/>
      <c r="AC153" s="145"/>
      <c r="AD153" s="145"/>
      <c r="AE153" s="145"/>
      <c r="AF153" s="145"/>
    </row>
    <row r="154" spans="2:32" x14ac:dyDescent="0.25">
      <c r="B154" s="145"/>
      <c r="C154" s="145"/>
      <c r="D154" s="145"/>
      <c r="E154" s="145"/>
      <c r="F154" s="145"/>
      <c r="G154" s="145"/>
      <c r="H154" s="145"/>
      <c r="J154" s="145"/>
      <c r="K154" s="145"/>
      <c r="L154" s="145"/>
      <c r="M154" s="145"/>
      <c r="N154" s="145"/>
      <c r="O154" s="145"/>
      <c r="P154" s="145"/>
      <c r="R154" s="145"/>
      <c r="S154" s="145"/>
      <c r="T154" s="145"/>
      <c r="U154" s="145"/>
      <c r="V154" s="145"/>
      <c r="W154" s="145"/>
      <c r="X154" s="145"/>
      <c r="Z154" s="145"/>
      <c r="AA154" s="145"/>
      <c r="AB154" s="145"/>
      <c r="AC154" s="145"/>
      <c r="AD154" s="145"/>
      <c r="AE154" s="145"/>
      <c r="AF154" s="145"/>
    </row>
    <row r="155" spans="2:32" x14ac:dyDescent="0.25">
      <c r="B155" s="145"/>
      <c r="C155" s="145"/>
      <c r="D155" s="145"/>
      <c r="E155" s="145"/>
      <c r="F155" s="145"/>
      <c r="G155" s="145"/>
      <c r="H155" s="145"/>
      <c r="J155" s="145"/>
      <c r="K155" s="145"/>
      <c r="L155" s="145"/>
      <c r="M155" s="145"/>
      <c r="N155" s="145"/>
      <c r="O155" s="145"/>
      <c r="P155" s="145"/>
      <c r="R155" s="145"/>
      <c r="S155" s="145"/>
      <c r="T155" s="145"/>
      <c r="U155" s="145"/>
      <c r="V155" s="145"/>
      <c r="W155" s="145"/>
      <c r="X155" s="145"/>
      <c r="Z155" s="145"/>
      <c r="AA155" s="145"/>
      <c r="AB155" s="145"/>
      <c r="AC155" s="145"/>
      <c r="AD155" s="145"/>
      <c r="AE155" s="145"/>
      <c r="AF155" s="145"/>
    </row>
    <row r="156" spans="2:32" x14ac:dyDescent="0.25">
      <c r="B156" s="145"/>
      <c r="C156" s="145"/>
      <c r="D156" s="145"/>
      <c r="E156" s="145"/>
      <c r="F156" s="145"/>
      <c r="G156" s="145"/>
      <c r="H156" s="145"/>
      <c r="J156" s="145"/>
      <c r="K156" s="145"/>
      <c r="L156" s="145"/>
      <c r="M156" s="145"/>
      <c r="N156" s="145"/>
      <c r="O156" s="145"/>
      <c r="P156" s="145"/>
      <c r="R156" s="145"/>
      <c r="S156" s="145"/>
      <c r="T156" s="145"/>
      <c r="U156" s="145"/>
      <c r="V156" s="145"/>
      <c r="W156" s="145"/>
      <c r="X156" s="145"/>
      <c r="Z156" s="145"/>
      <c r="AA156" s="145"/>
      <c r="AB156" s="145"/>
      <c r="AC156" s="145"/>
      <c r="AD156" s="145"/>
      <c r="AE156" s="145"/>
      <c r="AF156" s="145"/>
    </row>
    <row r="157" spans="2:32" x14ac:dyDescent="0.25">
      <c r="B157" s="145"/>
      <c r="C157" s="145"/>
      <c r="D157" s="145"/>
      <c r="E157" s="145"/>
      <c r="F157" s="145"/>
      <c r="G157" s="145"/>
      <c r="H157" s="145"/>
      <c r="J157" s="145"/>
      <c r="K157" s="145"/>
      <c r="L157" s="145"/>
      <c r="M157" s="145"/>
      <c r="N157" s="145"/>
      <c r="O157" s="145"/>
      <c r="P157" s="145"/>
      <c r="R157" s="145"/>
      <c r="S157" s="145"/>
      <c r="T157" s="145"/>
      <c r="U157" s="145"/>
      <c r="V157" s="145"/>
      <c r="W157" s="145"/>
      <c r="X157" s="145"/>
      <c r="Z157" s="145"/>
      <c r="AA157" s="145"/>
      <c r="AB157" s="145"/>
      <c r="AC157" s="145"/>
      <c r="AD157" s="145"/>
      <c r="AE157" s="145"/>
      <c r="AF157" s="145"/>
    </row>
    <row r="158" spans="2:32" x14ac:dyDescent="0.25">
      <c r="B158" s="145"/>
      <c r="C158" s="145"/>
      <c r="D158" s="145"/>
      <c r="E158" s="145"/>
      <c r="F158" s="145"/>
      <c r="G158" s="145"/>
      <c r="H158" s="145"/>
      <c r="J158" s="145"/>
      <c r="K158" s="145"/>
      <c r="L158" s="145"/>
      <c r="M158" s="145"/>
      <c r="N158" s="145"/>
      <c r="O158" s="145"/>
      <c r="P158" s="145"/>
      <c r="R158" s="145"/>
      <c r="S158" s="145"/>
      <c r="T158" s="145"/>
      <c r="U158" s="145"/>
      <c r="V158" s="145"/>
      <c r="W158" s="145"/>
      <c r="X158" s="145"/>
      <c r="Z158" s="145"/>
      <c r="AA158" s="145"/>
      <c r="AB158" s="145"/>
      <c r="AC158" s="145"/>
      <c r="AD158" s="145"/>
      <c r="AE158" s="145"/>
      <c r="AF158" s="145"/>
    </row>
    <row r="159" spans="2:32" x14ac:dyDescent="0.25">
      <c r="B159" s="145"/>
      <c r="C159" s="145"/>
      <c r="D159" s="145"/>
      <c r="E159" s="145"/>
      <c r="F159" s="145"/>
      <c r="G159" s="145"/>
      <c r="H159" s="145"/>
      <c r="J159" s="145"/>
      <c r="K159" s="145"/>
      <c r="L159" s="145"/>
      <c r="M159" s="145"/>
      <c r="N159" s="145"/>
      <c r="O159" s="145"/>
      <c r="P159" s="145"/>
      <c r="R159" s="145"/>
      <c r="S159" s="145"/>
      <c r="T159" s="145"/>
      <c r="U159" s="145"/>
      <c r="V159" s="145"/>
      <c r="W159" s="145"/>
      <c r="X159" s="145"/>
      <c r="Z159" s="145"/>
      <c r="AA159" s="145"/>
      <c r="AB159" s="145"/>
      <c r="AC159" s="145"/>
      <c r="AD159" s="145"/>
      <c r="AE159" s="145"/>
      <c r="AF159" s="145"/>
    </row>
    <row r="160" spans="2:32" x14ac:dyDescent="0.25">
      <c r="B160" s="145"/>
      <c r="C160" s="145"/>
      <c r="D160" s="145"/>
      <c r="E160" s="145"/>
      <c r="F160" s="145"/>
      <c r="G160" s="145"/>
      <c r="H160" s="145"/>
      <c r="J160" s="145"/>
      <c r="K160" s="145"/>
      <c r="L160" s="145"/>
      <c r="M160" s="145"/>
      <c r="N160" s="145"/>
      <c r="O160" s="145"/>
      <c r="P160" s="145"/>
      <c r="R160" s="145"/>
      <c r="S160" s="145"/>
      <c r="T160" s="145"/>
      <c r="U160" s="145"/>
      <c r="V160" s="145"/>
      <c r="W160" s="145"/>
      <c r="X160" s="145"/>
      <c r="Z160" s="145"/>
      <c r="AA160" s="145"/>
      <c r="AB160" s="145"/>
      <c r="AC160" s="145"/>
      <c r="AD160" s="145"/>
      <c r="AE160" s="145"/>
      <c r="AF160" s="145"/>
    </row>
    <row r="161" spans="2:32" x14ac:dyDescent="0.25">
      <c r="B161" s="145"/>
      <c r="C161" s="145"/>
      <c r="D161" s="145"/>
      <c r="E161" s="145"/>
      <c r="F161" s="145"/>
      <c r="G161" s="145"/>
      <c r="H161" s="145"/>
      <c r="J161" s="145"/>
      <c r="K161" s="145"/>
      <c r="L161" s="145"/>
      <c r="M161" s="145"/>
      <c r="N161" s="145"/>
      <c r="O161" s="145"/>
      <c r="P161" s="145"/>
      <c r="R161" s="145"/>
      <c r="S161" s="145"/>
      <c r="T161" s="145"/>
      <c r="U161" s="145"/>
      <c r="V161" s="145"/>
      <c r="W161" s="145"/>
      <c r="X161" s="145"/>
      <c r="Z161" s="145"/>
      <c r="AA161" s="145"/>
      <c r="AB161" s="145"/>
      <c r="AC161" s="145"/>
      <c r="AD161" s="145"/>
      <c r="AE161" s="145"/>
      <c r="AF161" s="145"/>
    </row>
    <row r="162" spans="2:32" x14ac:dyDescent="0.25">
      <c r="B162" s="145"/>
      <c r="C162" s="145"/>
      <c r="D162" s="145"/>
      <c r="E162" s="145"/>
      <c r="F162" s="145"/>
      <c r="G162" s="145"/>
      <c r="H162" s="145"/>
      <c r="J162" s="145"/>
      <c r="K162" s="145"/>
      <c r="L162" s="145"/>
      <c r="M162" s="145"/>
      <c r="N162" s="145"/>
      <c r="O162" s="145"/>
      <c r="P162" s="145"/>
      <c r="R162" s="145"/>
      <c r="S162" s="145"/>
      <c r="T162" s="145"/>
      <c r="U162" s="145"/>
      <c r="V162" s="145"/>
      <c r="W162" s="145"/>
      <c r="X162" s="145"/>
      <c r="Z162" s="145"/>
      <c r="AA162" s="145"/>
      <c r="AB162" s="145"/>
      <c r="AC162" s="145"/>
      <c r="AD162" s="145"/>
      <c r="AE162" s="145"/>
      <c r="AF162" s="145"/>
    </row>
    <row r="163" spans="2:32" x14ac:dyDescent="0.25">
      <c r="B163" s="145"/>
      <c r="C163" s="145"/>
      <c r="D163" s="145"/>
      <c r="E163" s="145"/>
      <c r="F163" s="145"/>
      <c r="G163" s="145"/>
      <c r="H163" s="145"/>
      <c r="J163" s="145"/>
      <c r="K163" s="145"/>
      <c r="L163" s="145"/>
      <c r="M163" s="145"/>
      <c r="N163" s="145"/>
      <c r="O163" s="145"/>
      <c r="P163" s="145"/>
      <c r="R163" s="145"/>
      <c r="S163" s="145"/>
      <c r="T163" s="145"/>
      <c r="U163" s="145"/>
      <c r="V163" s="145"/>
      <c r="W163" s="145"/>
      <c r="X163" s="145"/>
      <c r="Z163" s="145"/>
      <c r="AA163" s="145"/>
      <c r="AB163" s="145"/>
      <c r="AC163" s="145"/>
      <c r="AD163" s="145"/>
      <c r="AE163" s="145"/>
      <c r="AF163" s="145"/>
    </row>
    <row r="164" spans="2:32" x14ac:dyDescent="0.25">
      <c r="B164" s="145"/>
      <c r="C164" s="145"/>
      <c r="D164" s="145"/>
      <c r="E164" s="145"/>
      <c r="F164" s="145"/>
      <c r="G164" s="145"/>
      <c r="H164" s="145"/>
      <c r="J164" s="145"/>
      <c r="K164" s="145"/>
      <c r="L164" s="145"/>
      <c r="M164" s="145"/>
      <c r="N164" s="145"/>
      <c r="O164" s="145"/>
      <c r="P164" s="145"/>
      <c r="R164" s="145"/>
      <c r="S164" s="145"/>
      <c r="T164" s="145"/>
      <c r="U164" s="145"/>
      <c r="V164" s="145"/>
      <c r="W164" s="145"/>
      <c r="X164" s="145"/>
      <c r="Z164" s="145"/>
      <c r="AA164" s="145"/>
      <c r="AB164" s="145"/>
      <c r="AC164" s="145"/>
      <c r="AD164" s="145"/>
      <c r="AE164" s="145"/>
      <c r="AF164" s="145"/>
    </row>
    <row r="165" spans="2:32" x14ac:dyDescent="0.25">
      <c r="B165" s="145"/>
      <c r="C165" s="145"/>
      <c r="D165" s="145"/>
      <c r="E165" s="145"/>
      <c r="F165" s="145"/>
      <c r="G165" s="145"/>
      <c r="H165" s="145"/>
      <c r="J165" s="145"/>
      <c r="K165" s="145"/>
      <c r="L165" s="145"/>
      <c r="M165" s="145"/>
      <c r="N165" s="145"/>
      <c r="O165" s="145"/>
      <c r="P165" s="145"/>
      <c r="R165" s="145"/>
      <c r="S165" s="145"/>
      <c r="T165" s="145"/>
      <c r="U165" s="145"/>
      <c r="V165" s="145"/>
      <c r="W165" s="145"/>
      <c r="X165" s="145"/>
      <c r="Z165" s="145"/>
      <c r="AA165" s="145"/>
      <c r="AB165" s="145"/>
      <c r="AC165" s="145"/>
      <c r="AD165" s="145"/>
      <c r="AE165" s="145"/>
      <c r="AF165" s="145"/>
    </row>
    <row r="166" spans="2:32" x14ac:dyDescent="0.25">
      <c r="B166" s="145"/>
      <c r="C166" s="145"/>
      <c r="D166" s="145"/>
      <c r="E166" s="145"/>
      <c r="F166" s="145"/>
      <c r="G166" s="145"/>
      <c r="H166" s="145"/>
      <c r="J166" s="145"/>
      <c r="K166" s="145"/>
      <c r="L166" s="145"/>
      <c r="M166" s="145"/>
      <c r="N166" s="145"/>
      <c r="O166" s="145"/>
      <c r="P166" s="145"/>
      <c r="R166" s="145"/>
      <c r="S166" s="145"/>
      <c r="T166" s="145"/>
      <c r="U166" s="145"/>
      <c r="V166" s="145"/>
      <c r="W166" s="145"/>
      <c r="X166" s="145"/>
      <c r="Z166" s="145"/>
      <c r="AA166" s="145"/>
      <c r="AB166" s="145"/>
      <c r="AC166" s="145"/>
      <c r="AD166" s="145"/>
      <c r="AE166" s="145"/>
      <c r="AF166" s="145"/>
    </row>
    <row r="167" spans="2:32" x14ac:dyDescent="0.25">
      <c r="B167" s="145"/>
      <c r="C167" s="145"/>
      <c r="D167" s="145"/>
      <c r="E167" s="145"/>
      <c r="F167" s="145"/>
      <c r="G167" s="145"/>
      <c r="H167" s="145"/>
      <c r="J167" s="145"/>
      <c r="K167" s="145"/>
      <c r="L167" s="145"/>
      <c r="M167" s="145"/>
      <c r="N167" s="145"/>
      <c r="O167" s="145"/>
      <c r="P167" s="145"/>
      <c r="R167" s="145"/>
      <c r="S167" s="145"/>
      <c r="T167" s="145"/>
      <c r="U167" s="145"/>
      <c r="V167" s="145"/>
      <c r="W167" s="145"/>
      <c r="X167" s="145"/>
      <c r="Z167" s="145"/>
      <c r="AA167" s="145"/>
      <c r="AB167" s="145"/>
      <c r="AC167" s="145"/>
      <c r="AD167" s="145"/>
      <c r="AE167" s="145"/>
      <c r="AF167" s="145"/>
    </row>
    <row r="168" spans="2:32" x14ac:dyDescent="0.25">
      <c r="B168" s="145"/>
      <c r="C168" s="145"/>
      <c r="D168" s="145"/>
      <c r="E168" s="145"/>
      <c r="F168" s="145"/>
      <c r="G168" s="145"/>
      <c r="H168" s="145"/>
      <c r="J168" s="145"/>
      <c r="K168" s="145"/>
      <c r="L168" s="145"/>
      <c r="M168" s="145"/>
      <c r="N168" s="145"/>
      <c r="O168" s="145"/>
      <c r="P168" s="145"/>
      <c r="R168" s="145"/>
      <c r="S168" s="145"/>
      <c r="T168" s="145"/>
      <c r="U168" s="145"/>
      <c r="V168" s="145"/>
      <c r="W168" s="145"/>
      <c r="X168" s="145"/>
      <c r="Z168" s="145"/>
      <c r="AA168" s="145"/>
      <c r="AB168" s="145"/>
      <c r="AC168" s="145"/>
      <c r="AD168" s="145"/>
      <c r="AE168" s="145"/>
      <c r="AF168" s="145"/>
    </row>
    <row r="169" spans="2:32" x14ac:dyDescent="0.25">
      <c r="B169" s="145"/>
      <c r="C169" s="145"/>
      <c r="D169" s="145"/>
      <c r="E169" s="145"/>
      <c r="F169" s="145"/>
      <c r="G169" s="145"/>
      <c r="H169" s="145"/>
      <c r="J169" s="145"/>
      <c r="K169" s="145"/>
      <c r="L169" s="145"/>
      <c r="M169" s="145"/>
      <c r="N169" s="145"/>
      <c r="O169" s="145"/>
      <c r="P169" s="145"/>
      <c r="R169" s="145"/>
      <c r="S169" s="145"/>
      <c r="T169" s="145"/>
      <c r="U169" s="145"/>
      <c r="V169" s="145"/>
      <c r="W169" s="145"/>
      <c r="X169" s="145"/>
      <c r="Z169" s="145"/>
      <c r="AA169" s="145"/>
      <c r="AB169" s="145"/>
      <c r="AC169" s="145"/>
      <c r="AD169" s="145"/>
      <c r="AE169" s="145"/>
      <c r="AF169" s="145"/>
    </row>
    <row r="170" spans="2:32" x14ac:dyDescent="0.25">
      <c r="B170" s="145"/>
      <c r="C170" s="145"/>
      <c r="D170" s="145"/>
      <c r="E170" s="145"/>
      <c r="F170" s="145"/>
      <c r="G170" s="145"/>
      <c r="H170" s="145"/>
      <c r="J170" s="145"/>
      <c r="K170" s="145"/>
      <c r="L170" s="145"/>
      <c r="M170" s="145"/>
      <c r="N170" s="145"/>
      <c r="O170" s="145"/>
      <c r="P170" s="145"/>
      <c r="R170" s="145"/>
      <c r="S170" s="145"/>
      <c r="T170" s="145"/>
      <c r="U170" s="145"/>
      <c r="V170" s="145"/>
      <c r="W170" s="145"/>
      <c r="X170" s="145"/>
      <c r="Z170" s="145"/>
      <c r="AA170" s="145"/>
      <c r="AB170" s="145"/>
      <c r="AC170" s="145"/>
      <c r="AD170" s="145"/>
      <c r="AE170" s="145"/>
      <c r="AF170" s="145"/>
    </row>
    <row r="171" spans="2:32" x14ac:dyDescent="0.25">
      <c r="B171" s="145"/>
      <c r="C171" s="145"/>
      <c r="D171" s="145"/>
      <c r="E171" s="145"/>
      <c r="F171" s="145"/>
      <c r="G171" s="145"/>
      <c r="H171" s="145"/>
      <c r="J171" s="145"/>
      <c r="K171" s="145"/>
      <c r="L171" s="145"/>
      <c r="M171" s="145"/>
      <c r="N171" s="145"/>
      <c r="O171" s="145"/>
      <c r="P171" s="145"/>
      <c r="R171" s="145"/>
      <c r="S171" s="145"/>
      <c r="T171" s="145"/>
      <c r="U171" s="145"/>
      <c r="V171" s="145"/>
      <c r="W171" s="145"/>
      <c r="X171" s="145"/>
      <c r="Z171" s="145"/>
      <c r="AA171" s="145"/>
      <c r="AB171" s="145"/>
      <c r="AC171" s="145"/>
      <c r="AD171" s="145"/>
      <c r="AE171" s="145"/>
      <c r="AF171" s="145"/>
    </row>
    <row r="172" spans="2:32" x14ac:dyDescent="0.25">
      <c r="B172" s="145"/>
      <c r="C172" s="145"/>
      <c r="D172" s="145"/>
      <c r="E172" s="145"/>
      <c r="F172" s="145"/>
      <c r="G172" s="145"/>
      <c r="H172" s="145"/>
      <c r="J172" s="145"/>
      <c r="K172" s="145"/>
      <c r="L172" s="145"/>
      <c r="M172" s="145"/>
      <c r="N172" s="145"/>
      <c r="O172" s="145"/>
      <c r="P172" s="145"/>
      <c r="R172" s="145"/>
      <c r="S172" s="145"/>
      <c r="T172" s="145"/>
      <c r="U172" s="145"/>
      <c r="V172" s="145"/>
      <c r="W172" s="145"/>
      <c r="X172" s="145"/>
      <c r="Z172" s="145"/>
      <c r="AA172" s="145"/>
      <c r="AB172" s="145"/>
      <c r="AC172" s="145"/>
      <c r="AD172" s="145"/>
      <c r="AE172" s="145"/>
      <c r="AF172" s="145"/>
    </row>
    <row r="173" spans="2:32" x14ac:dyDescent="0.25">
      <c r="B173" s="145"/>
      <c r="C173" s="145"/>
      <c r="D173" s="145"/>
      <c r="E173" s="145"/>
      <c r="F173" s="145"/>
      <c r="G173" s="145"/>
      <c r="H173" s="145"/>
      <c r="J173" s="145"/>
      <c r="K173" s="145"/>
      <c r="L173" s="145"/>
      <c r="M173" s="145"/>
      <c r="N173" s="145"/>
      <c r="O173" s="145"/>
      <c r="P173" s="145"/>
      <c r="R173" s="145"/>
      <c r="S173" s="145"/>
      <c r="T173" s="145"/>
      <c r="U173" s="145"/>
      <c r="V173" s="145"/>
      <c r="W173" s="145"/>
      <c r="X173" s="145"/>
      <c r="Z173" s="145"/>
      <c r="AA173" s="145"/>
      <c r="AB173" s="145"/>
      <c r="AC173" s="145"/>
      <c r="AD173" s="145"/>
      <c r="AE173" s="145"/>
      <c r="AF173" s="145"/>
    </row>
    <row r="174" spans="2:32" x14ac:dyDescent="0.25">
      <c r="B174" s="145"/>
      <c r="C174" s="145"/>
      <c r="D174" s="145"/>
      <c r="E174" s="145"/>
      <c r="F174" s="145"/>
      <c r="G174" s="145"/>
      <c r="H174" s="145"/>
      <c r="J174" s="145"/>
      <c r="K174" s="145"/>
      <c r="L174" s="145"/>
      <c r="M174" s="145"/>
      <c r="N174" s="145"/>
      <c r="O174" s="145"/>
      <c r="P174" s="145"/>
      <c r="R174" s="145"/>
      <c r="S174" s="145"/>
      <c r="T174" s="145"/>
      <c r="U174" s="145"/>
      <c r="V174" s="145"/>
      <c r="W174" s="145"/>
      <c r="X174" s="145"/>
      <c r="Z174" s="145"/>
      <c r="AA174" s="145"/>
      <c r="AB174" s="145"/>
      <c r="AC174" s="145"/>
      <c r="AD174" s="145"/>
      <c r="AE174" s="145"/>
      <c r="AF174" s="145"/>
    </row>
    <row r="175" spans="2:32" x14ac:dyDescent="0.25">
      <c r="B175" s="145"/>
      <c r="C175" s="145"/>
      <c r="D175" s="145"/>
      <c r="E175" s="145"/>
      <c r="F175" s="145"/>
      <c r="G175" s="145"/>
      <c r="H175" s="145"/>
      <c r="J175" s="145"/>
      <c r="K175" s="145"/>
      <c r="L175" s="145"/>
      <c r="M175" s="145"/>
      <c r="N175" s="145"/>
      <c r="O175" s="145"/>
      <c r="P175" s="145"/>
      <c r="R175" s="145"/>
      <c r="S175" s="145"/>
      <c r="T175" s="145"/>
      <c r="U175" s="145"/>
      <c r="V175" s="145"/>
      <c r="W175" s="145"/>
      <c r="X175" s="145"/>
      <c r="Z175" s="145"/>
      <c r="AA175" s="145"/>
      <c r="AB175" s="145"/>
      <c r="AC175" s="145"/>
      <c r="AD175" s="145"/>
      <c r="AE175" s="145"/>
      <c r="AF175" s="145"/>
    </row>
    <row r="176" spans="2:32" x14ac:dyDescent="0.25">
      <c r="B176" s="145"/>
      <c r="C176" s="145"/>
      <c r="D176" s="145"/>
      <c r="E176" s="145"/>
      <c r="F176" s="145"/>
      <c r="G176" s="145"/>
      <c r="H176" s="145"/>
      <c r="J176" s="145"/>
      <c r="K176" s="145"/>
      <c r="L176" s="145"/>
      <c r="M176" s="145"/>
      <c r="N176" s="145"/>
      <c r="O176" s="145"/>
      <c r="P176" s="145"/>
      <c r="R176" s="145"/>
      <c r="S176" s="145"/>
      <c r="T176" s="145"/>
      <c r="U176" s="145"/>
      <c r="V176" s="145"/>
      <c r="W176" s="145"/>
      <c r="X176" s="145"/>
      <c r="Z176" s="145"/>
      <c r="AA176" s="145"/>
      <c r="AB176" s="145"/>
      <c r="AC176" s="145"/>
      <c r="AD176" s="145"/>
      <c r="AE176" s="145"/>
      <c r="AF176" s="145"/>
    </row>
    <row r="177" spans="2:32" x14ac:dyDescent="0.25">
      <c r="B177" s="145"/>
      <c r="C177" s="145"/>
      <c r="D177" s="145"/>
      <c r="E177" s="145"/>
      <c r="F177" s="145"/>
      <c r="G177" s="145"/>
      <c r="H177" s="145"/>
      <c r="J177" s="145"/>
      <c r="K177" s="145"/>
      <c r="L177" s="145"/>
      <c r="M177" s="145"/>
      <c r="N177" s="145"/>
      <c r="O177" s="145"/>
      <c r="P177" s="145"/>
      <c r="R177" s="145"/>
      <c r="S177" s="145"/>
      <c r="T177" s="145"/>
      <c r="U177" s="145"/>
      <c r="V177" s="145"/>
      <c r="W177" s="145"/>
      <c r="X177" s="145"/>
      <c r="Z177" s="145"/>
      <c r="AA177" s="145"/>
      <c r="AB177" s="145"/>
      <c r="AC177" s="145"/>
      <c r="AD177" s="145"/>
      <c r="AE177" s="145"/>
      <c r="AF177" s="145"/>
    </row>
    <row r="178" spans="2:32" x14ac:dyDescent="0.25">
      <c r="B178" s="145"/>
      <c r="C178" s="145"/>
      <c r="D178" s="145"/>
      <c r="E178" s="145"/>
      <c r="F178" s="145"/>
      <c r="G178" s="145"/>
      <c r="H178" s="145"/>
      <c r="J178" s="145"/>
      <c r="K178" s="145"/>
      <c r="L178" s="145"/>
      <c r="M178" s="145"/>
      <c r="N178" s="145"/>
      <c r="O178" s="145"/>
      <c r="P178" s="145"/>
      <c r="R178" s="145"/>
      <c r="S178" s="145"/>
      <c r="T178" s="145"/>
      <c r="U178" s="145"/>
      <c r="V178" s="145"/>
      <c r="W178" s="145"/>
      <c r="X178" s="145"/>
      <c r="Z178" s="145"/>
      <c r="AA178" s="145"/>
      <c r="AB178" s="145"/>
      <c r="AC178" s="145"/>
      <c r="AD178" s="145"/>
      <c r="AE178" s="145"/>
      <c r="AF178" s="145"/>
    </row>
    <row r="179" spans="2:32" x14ac:dyDescent="0.25">
      <c r="B179" s="145"/>
      <c r="C179" s="145"/>
      <c r="D179" s="145"/>
      <c r="E179" s="145"/>
      <c r="F179" s="145"/>
      <c r="G179" s="145"/>
      <c r="H179" s="145"/>
      <c r="J179" s="145"/>
      <c r="K179" s="145"/>
      <c r="L179" s="145"/>
      <c r="M179" s="145"/>
      <c r="N179" s="145"/>
      <c r="O179" s="145"/>
      <c r="P179" s="145"/>
      <c r="R179" s="145"/>
      <c r="S179" s="145"/>
      <c r="T179" s="145"/>
      <c r="U179" s="145"/>
      <c r="V179" s="145"/>
      <c r="W179" s="145"/>
      <c r="X179" s="145"/>
      <c r="Z179" s="145"/>
      <c r="AA179" s="145"/>
      <c r="AB179" s="145"/>
      <c r="AC179" s="145"/>
      <c r="AD179" s="145"/>
      <c r="AE179" s="145"/>
      <c r="AF179" s="145"/>
    </row>
    <row r="180" spans="2:32" x14ac:dyDescent="0.25">
      <c r="B180" s="145"/>
      <c r="C180" s="145"/>
      <c r="D180" s="145"/>
      <c r="E180" s="145"/>
      <c r="F180" s="145"/>
      <c r="G180" s="145"/>
      <c r="H180" s="145"/>
      <c r="J180" s="145"/>
      <c r="K180" s="145"/>
      <c r="L180" s="145"/>
      <c r="M180" s="145"/>
      <c r="N180" s="145"/>
      <c r="O180" s="145"/>
      <c r="P180" s="145"/>
      <c r="R180" s="145"/>
      <c r="S180" s="145"/>
      <c r="T180" s="145"/>
      <c r="U180" s="145"/>
      <c r="V180" s="145"/>
      <c r="W180" s="145"/>
      <c r="X180" s="145"/>
      <c r="Z180" s="145"/>
      <c r="AA180" s="145"/>
      <c r="AB180" s="145"/>
      <c r="AC180" s="145"/>
      <c r="AD180" s="145"/>
      <c r="AE180" s="145"/>
      <c r="AF180" s="145"/>
    </row>
    <row r="181" spans="2:32" x14ac:dyDescent="0.25">
      <c r="B181" s="145"/>
      <c r="C181" s="145"/>
      <c r="D181" s="145"/>
      <c r="E181" s="145"/>
      <c r="F181" s="145"/>
      <c r="G181" s="145"/>
      <c r="H181" s="145"/>
      <c r="J181" s="145"/>
      <c r="K181" s="145"/>
      <c r="L181" s="145"/>
      <c r="M181" s="145"/>
      <c r="N181" s="145"/>
      <c r="O181" s="145"/>
      <c r="P181" s="145"/>
      <c r="R181" s="145"/>
      <c r="S181" s="145"/>
      <c r="T181" s="145"/>
      <c r="U181" s="145"/>
      <c r="V181" s="145"/>
      <c r="W181" s="145"/>
      <c r="X181" s="145"/>
      <c r="Z181" s="145"/>
      <c r="AA181" s="145"/>
      <c r="AB181" s="145"/>
      <c r="AC181" s="145"/>
      <c r="AD181" s="145"/>
      <c r="AE181" s="145"/>
      <c r="AF181" s="145"/>
    </row>
    <row r="182" spans="2:32" x14ac:dyDescent="0.25">
      <c r="B182" s="145"/>
      <c r="C182" s="145"/>
      <c r="D182" s="145"/>
      <c r="E182" s="145"/>
      <c r="F182" s="145"/>
      <c r="G182" s="145"/>
      <c r="H182" s="145"/>
      <c r="J182" s="145"/>
      <c r="K182" s="145"/>
      <c r="L182" s="145"/>
      <c r="M182" s="145"/>
      <c r="N182" s="145"/>
      <c r="O182" s="145"/>
      <c r="P182" s="145"/>
      <c r="R182" s="145"/>
      <c r="S182" s="145"/>
      <c r="T182" s="145"/>
      <c r="U182" s="145"/>
      <c r="V182" s="145"/>
      <c r="W182" s="145"/>
      <c r="X182" s="145"/>
      <c r="Z182" s="145"/>
      <c r="AA182" s="145"/>
      <c r="AB182" s="145"/>
      <c r="AC182" s="145"/>
      <c r="AD182" s="145"/>
      <c r="AE182" s="145"/>
      <c r="AF182" s="145"/>
    </row>
    <row r="183" spans="2:32" x14ac:dyDescent="0.25">
      <c r="B183" s="145"/>
      <c r="C183" s="145"/>
      <c r="D183" s="145"/>
      <c r="E183" s="145"/>
      <c r="F183" s="145"/>
      <c r="G183" s="145"/>
      <c r="H183" s="145"/>
      <c r="J183" s="145"/>
      <c r="K183" s="145"/>
      <c r="L183" s="145"/>
      <c r="M183" s="145"/>
      <c r="N183" s="145"/>
      <c r="O183" s="145"/>
      <c r="P183" s="145"/>
      <c r="R183" s="145"/>
      <c r="S183" s="145"/>
      <c r="T183" s="145"/>
      <c r="U183" s="145"/>
      <c r="V183" s="145"/>
      <c r="W183" s="145"/>
      <c r="X183" s="145"/>
      <c r="Z183" s="145"/>
      <c r="AA183" s="145"/>
      <c r="AB183" s="145"/>
      <c r="AC183" s="145"/>
      <c r="AD183" s="145"/>
      <c r="AE183" s="145"/>
      <c r="AF183" s="145"/>
    </row>
    <row r="184" spans="2:32" x14ac:dyDescent="0.25">
      <c r="B184" s="145"/>
      <c r="C184" s="145"/>
      <c r="D184" s="145"/>
      <c r="E184" s="145"/>
      <c r="F184" s="145"/>
      <c r="G184" s="145"/>
      <c r="H184" s="145"/>
      <c r="J184" s="145"/>
      <c r="K184" s="145"/>
      <c r="L184" s="145"/>
      <c r="M184" s="145"/>
      <c r="N184" s="145"/>
      <c r="O184" s="145"/>
      <c r="P184" s="145"/>
      <c r="R184" s="145"/>
      <c r="S184" s="145"/>
      <c r="T184" s="145"/>
      <c r="U184" s="145"/>
      <c r="V184" s="145"/>
      <c r="W184" s="145"/>
      <c r="X184" s="145"/>
      <c r="Z184" s="145"/>
      <c r="AA184" s="145"/>
      <c r="AB184" s="145"/>
      <c r="AC184" s="145"/>
      <c r="AD184" s="145"/>
      <c r="AE184" s="145"/>
      <c r="AF184" s="145"/>
    </row>
    <row r="185" spans="2:32" x14ac:dyDescent="0.25">
      <c r="B185" s="145"/>
      <c r="C185" s="145"/>
      <c r="D185" s="145"/>
      <c r="E185" s="145"/>
      <c r="F185" s="145"/>
      <c r="G185" s="145"/>
      <c r="H185" s="145"/>
      <c r="J185" s="145"/>
      <c r="K185" s="145"/>
      <c r="L185" s="145"/>
      <c r="M185" s="145"/>
      <c r="N185" s="145"/>
      <c r="O185" s="145"/>
      <c r="P185" s="145"/>
      <c r="R185" s="145"/>
      <c r="S185" s="145"/>
      <c r="T185" s="145"/>
      <c r="U185" s="145"/>
      <c r="V185" s="145"/>
      <c r="W185" s="145"/>
      <c r="X185" s="145"/>
      <c r="Z185" s="145"/>
      <c r="AA185" s="145"/>
      <c r="AB185" s="145"/>
      <c r="AC185" s="145"/>
      <c r="AD185" s="145"/>
      <c r="AE185" s="145"/>
      <c r="AF185" s="145"/>
    </row>
    <row r="186" spans="2:32" x14ac:dyDescent="0.25">
      <c r="B186" s="145"/>
      <c r="C186" s="145"/>
      <c r="D186" s="145"/>
      <c r="E186" s="145"/>
      <c r="F186" s="145"/>
      <c r="G186" s="145"/>
      <c r="H186" s="145"/>
      <c r="J186" s="145"/>
      <c r="K186" s="145"/>
      <c r="L186" s="145"/>
      <c r="M186" s="145"/>
      <c r="N186" s="145"/>
      <c r="O186" s="145"/>
      <c r="P186" s="145"/>
      <c r="R186" s="145"/>
      <c r="S186" s="145"/>
      <c r="T186" s="145"/>
      <c r="U186" s="145"/>
      <c r="V186" s="145"/>
      <c r="W186" s="145"/>
      <c r="X186" s="145"/>
      <c r="Z186" s="145"/>
      <c r="AA186" s="145"/>
      <c r="AB186" s="145"/>
      <c r="AC186" s="145"/>
      <c r="AD186" s="145"/>
      <c r="AE186" s="145"/>
      <c r="AF186" s="145"/>
    </row>
    <row r="187" spans="2:32" x14ac:dyDescent="0.25">
      <c r="B187" s="145"/>
      <c r="C187" s="145"/>
      <c r="D187" s="145"/>
      <c r="E187" s="145"/>
      <c r="F187" s="145"/>
      <c r="G187" s="145"/>
      <c r="H187" s="145"/>
      <c r="J187" s="145"/>
      <c r="K187" s="145"/>
      <c r="L187" s="145"/>
      <c r="M187" s="145"/>
      <c r="N187" s="145"/>
      <c r="O187" s="145"/>
      <c r="P187" s="145"/>
      <c r="R187" s="145"/>
      <c r="S187" s="145"/>
      <c r="T187" s="145"/>
      <c r="U187" s="145"/>
      <c r="V187" s="145"/>
      <c r="W187" s="145"/>
      <c r="X187" s="145"/>
      <c r="Z187" s="145"/>
      <c r="AA187" s="145"/>
      <c r="AB187" s="145"/>
      <c r="AC187" s="145"/>
      <c r="AD187" s="145"/>
      <c r="AE187" s="145"/>
      <c r="AF187" s="145"/>
    </row>
    <row r="188" spans="2:32" x14ac:dyDescent="0.25">
      <c r="B188" s="145"/>
      <c r="C188" s="145"/>
      <c r="D188" s="145"/>
      <c r="E188" s="145"/>
      <c r="F188" s="145"/>
      <c r="G188" s="145"/>
      <c r="H188" s="145"/>
      <c r="J188" s="145"/>
      <c r="K188" s="145"/>
      <c r="L188" s="145"/>
      <c r="M188" s="145"/>
      <c r="N188" s="145"/>
      <c r="O188" s="145"/>
      <c r="P188" s="145"/>
      <c r="R188" s="145"/>
      <c r="S188" s="145"/>
      <c r="T188" s="145"/>
      <c r="U188" s="145"/>
      <c r="V188" s="145"/>
      <c r="W188" s="145"/>
      <c r="X188" s="145"/>
      <c r="Z188" s="145"/>
      <c r="AA188" s="145"/>
      <c r="AB188" s="145"/>
      <c r="AC188" s="145"/>
      <c r="AD188" s="145"/>
      <c r="AE188" s="145"/>
      <c r="AF188" s="145"/>
    </row>
    <row r="189" spans="2:32" x14ac:dyDescent="0.25">
      <c r="B189" s="145"/>
      <c r="C189" s="145"/>
      <c r="D189" s="145"/>
      <c r="E189" s="145"/>
      <c r="F189" s="145"/>
      <c r="G189" s="145"/>
      <c r="H189" s="145"/>
      <c r="J189" s="145"/>
      <c r="K189" s="145"/>
      <c r="L189" s="145"/>
      <c r="M189" s="145"/>
      <c r="N189" s="145"/>
      <c r="O189" s="145"/>
      <c r="P189" s="145"/>
      <c r="R189" s="145"/>
      <c r="S189" s="145"/>
      <c r="T189" s="145"/>
      <c r="U189" s="145"/>
      <c r="V189" s="145"/>
      <c r="W189" s="145"/>
      <c r="X189" s="145"/>
      <c r="Z189" s="145"/>
      <c r="AA189" s="145"/>
      <c r="AB189" s="145"/>
      <c r="AC189" s="145"/>
      <c r="AD189" s="145"/>
      <c r="AE189" s="145"/>
      <c r="AF189" s="145"/>
    </row>
    <row r="190" spans="2:32" x14ac:dyDescent="0.25">
      <c r="B190" s="145"/>
      <c r="C190" s="145"/>
      <c r="D190" s="145"/>
      <c r="E190" s="145"/>
      <c r="F190" s="145"/>
      <c r="G190" s="145"/>
      <c r="H190" s="145"/>
      <c r="J190" s="145"/>
      <c r="K190" s="145"/>
      <c r="L190" s="145"/>
      <c r="M190" s="145"/>
      <c r="N190" s="145"/>
      <c r="O190" s="145"/>
      <c r="P190" s="145"/>
      <c r="R190" s="145"/>
      <c r="S190" s="145"/>
      <c r="T190" s="145"/>
      <c r="U190" s="145"/>
      <c r="V190" s="145"/>
      <c r="W190" s="145"/>
      <c r="X190" s="145"/>
      <c r="Z190" s="145"/>
      <c r="AA190" s="145"/>
      <c r="AB190" s="145"/>
      <c r="AC190" s="145"/>
      <c r="AD190" s="145"/>
      <c r="AE190" s="145"/>
      <c r="AF190" s="145"/>
    </row>
    <row r="191" spans="2:32" x14ac:dyDescent="0.25">
      <c r="B191" s="145"/>
      <c r="C191" s="145"/>
      <c r="D191" s="145"/>
      <c r="E191" s="145"/>
      <c r="F191" s="145"/>
      <c r="G191" s="145"/>
      <c r="H191" s="145"/>
      <c r="J191" s="145"/>
      <c r="K191" s="145"/>
      <c r="L191" s="145"/>
      <c r="M191" s="145"/>
      <c r="N191" s="145"/>
      <c r="O191" s="145"/>
      <c r="P191" s="145"/>
      <c r="R191" s="145"/>
      <c r="S191" s="145"/>
      <c r="T191" s="145"/>
      <c r="U191" s="145"/>
      <c r="V191" s="145"/>
      <c r="W191" s="145"/>
      <c r="X191" s="145"/>
      <c r="Z191" s="145"/>
      <c r="AA191" s="145"/>
      <c r="AB191" s="145"/>
      <c r="AC191" s="145"/>
      <c r="AD191" s="145"/>
      <c r="AE191" s="145"/>
      <c r="AF191" s="145"/>
    </row>
    <row r="192" spans="2:32" x14ac:dyDescent="0.25">
      <c r="B192" s="145"/>
      <c r="C192" s="145"/>
      <c r="D192" s="145"/>
      <c r="E192" s="145"/>
      <c r="F192" s="145"/>
      <c r="G192" s="145"/>
      <c r="H192" s="145"/>
      <c r="J192" s="145"/>
      <c r="K192" s="145"/>
      <c r="L192" s="145"/>
      <c r="M192" s="145"/>
      <c r="N192" s="145"/>
      <c r="O192" s="145"/>
      <c r="P192" s="145"/>
      <c r="R192" s="145"/>
      <c r="S192" s="145"/>
      <c r="T192" s="145"/>
      <c r="U192" s="145"/>
      <c r="V192" s="145"/>
      <c r="W192" s="145"/>
      <c r="X192" s="145"/>
      <c r="Z192" s="145"/>
      <c r="AA192" s="145"/>
      <c r="AB192" s="145"/>
      <c r="AC192" s="145"/>
      <c r="AD192" s="145"/>
      <c r="AE192" s="145"/>
      <c r="AF192" s="145"/>
    </row>
    <row r="193" spans="2:32" x14ac:dyDescent="0.25">
      <c r="B193" s="145"/>
      <c r="C193" s="145"/>
      <c r="D193" s="145"/>
      <c r="E193" s="145"/>
      <c r="F193" s="145"/>
      <c r="G193" s="145"/>
      <c r="H193" s="145"/>
      <c r="J193" s="145"/>
      <c r="K193" s="145"/>
      <c r="L193" s="145"/>
      <c r="M193" s="145"/>
      <c r="N193" s="145"/>
      <c r="O193" s="145"/>
      <c r="P193" s="145"/>
      <c r="R193" s="145"/>
      <c r="S193" s="145"/>
      <c r="T193" s="145"/>
      <c r="U193" s="145"/>
      <c r="V193" s="145"/>
      <c r="W193" s="145"/>
      <c r="X193" s="145"/>
      <c r="Z193" s="145"/>
      <c r="AA193" s="145"/>
      <c r="AB193" s="145"/>
      <c r="AC193" s="145"/>
      <c r="AD193" s="145"/>
      <c r="AE193" s="145"/>
      <c r="AF193" s="145"/>
    </row>
    <row r="194" spans="2:32" x14ac:dyDescent="0.25">
      <c r="B194" s="145"/>
      <c r="C194" s="145"/>
      <c r="D194" s="145"/>
      <c r="E194" s="145"/>
      <c r="F194" s="145"/>
      <c r="G194" s="145"/>
      <c r="H194" s="145"/>
      <c r="J194" s="145"/>
      <c r="K194" s="145"/>
      <c r="L194" s="145"/>
      <c r="M194" s="145"/>
      <c r="N194" s="145"/>
      <c r="O194" s="145"/>
      <c r="P194" s="145"/>
      <c r="R194" s="145"/>
      <c r="S194" s="145"/>
      <c r="T194" s="145"/>
      <c r="U194" s="145"/>
      <c r="V194" s="145"/>
      <c r="W194" s="145"/>
      <c r="X194" s="145"/>
      <c r="Z194" s="145"/>
      <c r="AA194" s="145"/>
      <c r="AB194" s="145"/>
      <c r="AC194" s="145"/>
      <c r="AD194" s="145"/>
      <c r="AE194" s="145"/>
      <c r="AF194" s="145"/>
    </row>
    <row r="195" spans="2:32" x14ac:dyDescent="0.25">
      <c r="B195" s="145"/>
      <c r="C195" s="145"/>
      <c r="D195" s="145"/>
      <c r="E195" s="145"/>
      <c r="F195" s="145"/>
      <c r="G195" s="145"/>
      <c r="H195" s="145"/>
      <c r="J195" s="145"/>
      <c r="K195" s="145"/>
      <c r="L195" s="145"/>
      <c r="M195" s="145"/>
      <c r="N195" s="145"/>
      <c r="O195" s="145"/>
      <c r="P195" s="145"/>
      <c r="R195" s="145"/>
      <c r="S195" s="145"/>
      <c r="T195" s="145"/>
      <c r="U195" s="145"/>
      <c r="V195" s="145"/>
      <c r="W195" s="145"/>
      <c r="X195" s="145"/>
      <c r="Z195" s="145"/>
      <c r="AA195" s="145"/>
      <c r="AB195" s="145"/>
      <c r="AC195" s="145"/>
      <c r="AD195" s="145"/>
      <c r="AE195" s="145"/>
      <c r="AF195" s="145"/>
    </row>
    <row r="196" spans="2:32" x14ac:dyDescent="0.25">
      <c r="B196" s="145"/>
      <c r="C196" s="145"/>
      <c r="D196" s="145"/>
      <c r="E196" s="145"/>
      <c r="F196" s="145"/>
      <c r="G196" s="145"/>
      <c r="H196" s="145"/>
      <c r="J196" s="145"/>
      <c r="K196" s="145"/>
      <c r="L196" s="145"/>
      <c r="M196" s="145"/>
      <c r="N196" s="145"/>
      <c r="O196" s="145"/>
      <c r="P196" s="145"/>
      <c r="R196" s="145"/>
      <c r="S196" s="145"/>
      <c r="T196" s="145"/>
      <c r="U196" s="145"/>
      <c r="V196" s="145"/>
      <c r="W196" s="145"/>
      <c r="X196" s="145"/>
      <c r="Z196" s="145"/>
      <c r="AA196" s="145"/>
      <c r="AB196" s="145"/>
      <c r="AC196" s="145"/>
      <c r="AD196" s="145"/>
      <c r="AE196" s="145"/>
      <c r="AF196" s="145"/>
    </row>
    <row r="197" spans="2:32" x14ac:dyDescent="0.25">
      <c r="B197" s="145"/>
      <c r="C197" s="145"/>
      <c r="D197" s="145"/>
      <c r="E197" s="145"/>
      <c r="F197" s="145"/>
      <c r="G197" s="145"/>
      <c r="H197" s="145"/>
      <c r="J197" s="145"/>
      <c r="K197" s="145"/>
      <c r="L197" s="145"/>
      <c r="M197" s="145"/>
      <c r="N197" s="145"/>
      <c r="O197" s="145"/>
      <c r="P197" s="145"/>
      <c r="R197" s="145"/>
      <c r="S197" s="145"/>
      <c r="T197" s="145"/>
      <c r="U197" s="145"/>
      <c r="V197" s="145"/>
      <c r="W197" s="145"/>
      <c r="X197" s="145"/>
      <c r="Z197" s="145"/>
      <c r="AA197" s="145"/>
      <c r="AB197" s="145"/>
      <c r="AC197" s="145"/>
      <c r="AD197" s="145"/>
      <c r="AE197" s="145"/>
      <c r="AF197" s="145"/>
    </row>
    <row r="198" spans="2:32" x14ac:dyDescent="0.25">
      <c r="B198" s="145"/>
      <c r="C198" s="145"/>
      <c r="D198" s="145"/>
      <c r="E198" s="145"/>
      <c r="F198" s="145"/>
      <c r="G198" s="145"/>
      <c r="H198" s="145"/>
      <c r="J198" s="145"/>
      <c r="K198" s="145"/>
      <c r="L198" s="145"/>
      <c r="M198" s="145"/>
      <c r="N198" s="145"/>
      <c r="O198" s="145"/>
      <c r="P198" s="145"/>
      <c r="R198" s="145"/>
      <c r="S198" s="145"/>
      <c r="T198" s="145"/>
      <c r="U198" s="145"/>
      <c r="V198" s="145"/>
      <c r="W198" s="145"/>
      <c r="X198" s="145"/>
      <c r="Z198" s="145"/>
      <c r="AA198" s="145"/>
      <c r="AB198" s="145"/>
      <c r="AC198" s="145"/>
      <c r="AD198" s="145"/>
      <c r="AE198" s="145"/>
      <c r="AF198" s="145"/>
    </row>
    <row r="199" spans="2:32" x14ac:dyDescent="0.25">
      <c r="B199" s="145"/>
      <c r="C199" s="145"/>
      <c r="D199" s="145"/>
      <c r="E199" s="145"/>
      <c r="F199" s="145"/>
      <c r="G199" s="145"/>
      <c r="H199" s="145"/>
      <c r="J199" s="145"/>
      <c r="K199" s="145"/>
      <c r="L199" s="145"/>
      <c r="M199" s="145"/>
      <c r="N199" s="145"/>
      <c r="O199" s="145"/>
      <c r="P199" s="145"/>
      <c r="R199" s="145"/>
      <c r="S199" s="145"/>
      <c r="T199" s="145"/>
      <c r="U199" s="145"/>
      <c r="V199" s="145"/>
      <c r="W199" s="145"/>
      <c r="X199" s="145"/>
      <c r="Z199" s="145"/>
      <c r="AA199" s="145"/>
      <c r="AB199" s="145"/>
      <c r="AC199" s="145"/>
      <c r="AD199" s="145"/>
      <c r="AE199" s="145"/>
      <c r="AF199" s="145"/>
    </row>
    <row r="200" spans="2:32" x14ac:dyDescent="0.25">
      <c r="B200" s="145"/>
      <c r="C200" s="145"/>
      <c r="D200" s="145"/>
      <c r="E200" s="145"/>
      <c r="F200" s="145"/>
      <c r="G200" s="145"/>
      <c r="H200" s="145"/>
      <c r="J200" s="145"/>
      <c r="K200" s="145"/>
      <c r="L200" s="145"/>
      <c r="M200" s="145"/>
      <c r="N200" s="145"/>
      <c r="O200" s="145"/>
      <c r="P200" s="145"/>
      <c r="R200" s="145"/>
      <c r="S200" s="145"/>
      <c r="T200" s="145"/>
      <c r="U200" s="145"/>
      <c r="V200" s="145"/>
      <c r="W200" s="145"/>
      <c r="X200" s="145"/>
      <c r="Z200" s="145"/>
      <c r="AA200" s="145"/>
      <c r="AB200" s="145"/>
      <c r="AC200" s="145"/>
      <c r="AD200" s="145"/>
      <c r="AE200" s="145"/>
      <c r="AF200" s="145"/>
    </row>
    <row r="201" spans="2:32" x14ac:dyDescent="0.25">
      <c r="B201" s="145"/>
      <c r="C201" s="145"/>
      <c r="D201" s="145"/>
      <c r="E201" s="145"/>
      <c r="F201" s="145"/>
      <c r="G201" s="145"/>
      <c r="H201" s="145"/>
      <c r="J201" s="145"/>
      <c r="K201" s="145"/>
      <c r="L201" s="145"/>
      <c r="M201" s="145"/>
      <c r="N201" s="145"/>
      <c r="O201" s="145"/>
      <c r="P201" s="145"/>
      <c r="R201" s="145"/>
      <c r="S201" s="145"/>
      <c r="T201" s="145"/>
      <c r="U201" s="145"/>
      <c r="V201" s="145"/>
      <c r="W201" s="145"/>
      <c r="X201" s="145"/>
      <c r="Z201" s="145"/>
      <c r="AA201" s="145"/>
      <c r="AB201" s="145"/>
      <c r="AC201" s="145"/>
      <c r="AD201" s="145"/>
      <c r="AE201" s="145"/>
      <c r="AF201" s="145"/>
    </row>
    <row r="202" spans="2:32" x14ac:dyDescent="0.25">
      <c r="B202" s="145"/>
      <c r="C202" s="145"/>
      <c r="D202" s="145"/>
      <c r="E202" s="145"/>
      <c r="F202" s="145"/>
      <c r="G202" s="145"/>
      <c r="H202" s="145"/>
      <c r="J202" s="145"/>
      <c r="K202" s="145"/>
      <c r="L202" s="145"/>
      <c r="M202" s="145"/>
      <c r="N202" s="145"/>
      <c r="O202" s="145"/>
      <c r="P202" s="145"/>
      <c r="R202" s="145"/>
      <c r="S202" s="145"/>
      <c r="T202" s="145"/>
      <c r="U202" s="145"/>
      <c r="V202" s="145"/>
      <c r="W202" s="145"/>
      <c r="X202" s="145"/>
      <c r="Z202" s="145"/>
      <c r="AA202" s="145"/>
      <c r="AB202" s="145"/>
      <c r="AC202" s="145"/>
      <c r="AD202" s="145"/>
      <c r="AE202" s="145"/>
      <c r="AF202" s="145"/>
    </row>
    <row r="203" spans="2:32" x14ac:dyDescent="0.25">
      <c r="B203" s="145"/>
      <c r="C203" s="145"/>
      <c r="D203" s="145"/>
      <c r="E203" s="145"/>
      <c r="F203" s="145"/>
      <c r="G203" s="145"/>
      <c r="H203" s="145"/>
      <c r="J203" s="145"/>
      <c r="K203" s="145"/>
      <c r="L203" s="145"/>
      <c r="M203" s="145"/>
      <c r="N203" s="145"/>
      <c r="O203" s="145"/>
      <c r="P203" s="145"/>
      <c r="R203" s="145"/>
      <c r="S203" s="145"/>
      <c r="T203" s="145"/>
      <c r="U203" s="145"/>
      <c r="V203" s="145"/>
      <c r="W203" s="145"/>
      <c r="X203" s="145"/>
      <c r="Z203" s="145"/>
      <c r="AA203" s="145"/>
      <c r="AB203" s="145"/>
      <c r="AC203" s="145"/>
      <c r="AD203" s="145"/>
      <c r="AE203" s="145"/>
      <c r="AF203" s="145"/>
    </row>
    <row r="204" spans="2:32" x14ac:dyDescent="0.25">
      <c r="B204" s="145"/>
      <c r="C204" s="145"/>
      <c r="D204" s="145"/>
      <c r="E204" s="145"/>
      <c r="F204" s="145"/>
      <c r="G204" s="145"/>
      <c r="H204" s="145"/>
      <c r="J204" s="145"/>
      <c r="K204" s="145"/>
      <c r="L204" s="145"/>
      <c r="M204" s="145"/>
      <c r="N204" s="145"/>
      <c r="O204" s="145"/>
      <c r="P204" s="145"/>
      <c r="R204" s="145"/>
      <c r="S204" s="145"/>
      <c r="T204" s="145"/>
      <c r="U204" s="145"/>
      <c r="V204" s="145"/>
      <c r="W204" s="145"/>
      <c r="X204" s="145"/>
      <c r="Z204" s="145"/>
      <c r="AA204" s="145"/>
      <c r="AB204" s="145"/>
      <c r="AC204" s="145"/>
      <c r="AD204" s="145"/>
      <c r="AE204" s="145"/>
      <c r="AF204" s="145"/>
    </row>
    <row r="205" spans="2:32" x14ac:dyDescent="0.25">
      <c r="B205" s="145"/>
      <c r="C205" s="145"/>
      <c r="D205" s="145"/>
      <c r="E205" s="145"/>
      <c r="F205" s="145"/>
      <c r="G205" s="145"/>
      <c r="H205" s="145"/>
      <c r="J205" s="145"/>
      <c r="K205" s="145"/>
      <c r="L205" s="145"/>
      <c r="M205" s="145"/>
      <c r="N205" s="145"/>
      <c r="O205" s="145"/>
      <c r="P205" s="145"/>
      <c r="R205" s="145"/>
      <c r="S205" s="145"/>
      <c r="T205" s="145"/>
      <c r="U205" s="145"/>
      <c r="V205" s="145"/>
      <c r="W205" s="145"/>
      <c r="X205" s="145"/>
      <c r="Z205" s="145"/>
      <c r="AA205" s="145"/>
      <c r="AB205" s="145"/>
      <c r="AC205" s="145"/>
      <c r="AD205" s="145"/>
      <c r="AE205" s="145"/>
      <c r="AF205" s="145"/>
    </row>
    <row r="206" spans="2:32" x14ac:dyDescent="0.25">
      <c r="B206" s="145"/>
      <c r="C206" s="145"/>
      <c r="D206" s="145"/>
      <c r="E206" s="145"/>
      <c r="F206" s="145"/>
      <c r="G206" s="145"/>
      <c r="H206" s="145"/>
      <c r="J206" s="145"/>
      <c r="K206" s="145"/>
      <c r="L206" s="145"/>
      <c r="M206" s="145"/>
      <c r="N206" s="145"/>
      <c r="O206" s="145"/>
      <c r="P206" s="145"/>
      <c r="R206" s="145"/>
      <c r="S206" s="145"/>
      <c r="T206" s="145"/>
      <c r="U206" s="145"/>
      <c r="V206" s="145"/>
      <c r="W206" s="145"/>
      <c r="X206" s="145"/>
      <c r="Z206" s="145"/>
      <c r="AA206" s="145"/>
      <c r="AB206" s="145"/>
      <c r="AC206" s="145"/>
      <c r="AD206" s="145"/>
      <c r="AE206" s="145"/>
      <c r="AF206" s="145"/>
    </row>
    <row r="207" spans="2:32" x14ac:dyDescent="0.25">
      <c r="B207" s="145"/>
      <c r="C207" s="145"/>
      <c r="D207" s="145"/>
      <c r="E207" s="145"/>
      <c r="F207" s="145"/>
      <c r="G207" s="145"/>
      <c r="H207" s="145"/>
      <c r="J207" s="145"/>
      <c r="K207" s="145"/>
      <c r="L207" s="145"/>
      <c r="M207" s="145"/>
      <c r="N207" s="145"/>
      <c r="O207" s="145"/>
      <c r="P207" s="145"/>
      <c r="R207" s="145"/>
      <c r="S207" s="145"/>
      <c r="T207" s="145"/>
      <c r="U207" s="145"/>
      <c r="V207" s="145"/>
      <c r="W207" s="145"/>
      <c r="X207" s="145"/>
      <c r="Z207" s="145"/>
      <c r="AA207" s="145"/>
      <c r="AB207" s="145"/>
      <c r="AC207" s="145"/>
      <c r="AD207" s="145"/>
      <c r="AE207" s="145"/>
      <c r="AF207" s="145"/>
    </row>
    <row r="208" spans="2:32" x14ac:dyDescent="0.25">
      <c r="B208" s="145"/>
      <c r="C208" s="145"/>
      <c r="D208" s="145"/>
      <c r="E208" s="145"/>
      <c r="F208" s="145"/>
      <c r="G208" s="145"/>
      <c r="H208" s="145"/>
      <c r="J208" s="145"/>
      <c r="K208" s="145"/>
      <c r="L208" s="145"/>
      <c r="M208" s="145"/>
      <c r="N208" s="145"/>
      <c r="O208" s="145"/>
      <c r="P208" s="145"/>
      <c r="R208" s="145"/>
      <c r="S208" s="145"/>
      <c r="T208" s="145"/>
      <c r="U208" s="145"/>
      <c r="V208" s="145"/>
      <c r="W208" s="145"/>
      <c r="X208" s="145"/>
      <c r="Z208" s="145"/>
      <c r="AA208" s="145"/>
      <c r="AB208" s="145"/>
      <c r="AC208" s="145"/>
      <c r="AD208" s="145"/>
      <c r="AE208" s="145"/>
      <c r="AF208" s="145"/>
    </row>
    <row r="209" spans="2:32" x14ac:dyDescent="0.25">
      <c r="B209" s="145"/>
      <c r="C209" s="145"/>
      <c r="D209" s="145"/>
      <c r="E209" s="145"/>
      <c r="F209" s="145"/>
      <c r="G209" s="145"/>
      <c r="H209" s="145"/>
      <c r="J209" s="145"/>
      <c r="K209" s="145"/>
      <c r="L209" s="145"/>
      <c r="M209" s="145"/>
      <c r="N209" s="145"/>
      <c r="O209" s="145"/>
      <c r="P209" s="145"/>
      <c r="R209" s="145"/>
      <c r="S209" s="145"/>
      <c r="T209" s="145"/>
      <c r="U209" s="145"/>
      <c r="V209" s="145"/>
      <c r="W209" s="145"/>
      <c r="X209" s="145"/>
      <c r="Z209" s="145"/>
      <c r="AA209" s="145"/>
      <c r="AB209" s="145"/>
      <c r="AC209" s="145"/>
      <c r="AD209" s="145"/>
      <c r="AE209" s="145"/>
      <c r="AF209" s="145"/>
    </row>
    <row r="210" spans="2:32" x14ac:dyDescent="0.25">
      <c r="B210" s="145"/>
      <c r="C210" s="145"/>
      <c r="D210" s="145"/>
      <c r="E210" s="145"/>
      <c r="F210" s="145"/>
      <c r="G210" s="145"/>
      <c r="H210" s="145"/>
      <c r="J210" s="145"/>
      <c r="K210" s="145"/>
      <c r="L210" s="145"/>
      <c r="M210" s="145"/>
      <c r="N210" s="145"/>
      <c r="O210" s="145"/>
      <c r="P210" s="145"/>
      <c r="R210" s="145"/>
      <c r="S210" s="145"/>
      <c r="T210" s="145"/>
      <c r="U210" s="145"/>
      <c r="V210" s="145"/>
      <c r="W210" s="145"/>
      <c r="X210" s="145"/>
      <c r="Z210" s="145"/>
      <c r="AA210" s="145"/>
      <c r="AB210" s="145"/>
      <c r="AC210" s="145"/>
      <c r="AD210" s="145"/>
      <c r="AE210" s="145"/>
      <c r="AF210" s="145"/>
    </row>
    <row r="211" spans="2:32" x14ac:dyDescent="0.25">
      <c r="B211" s="145"/>
      <c r="C211" s="145"/>
      <c r="D211" s="145"/>
      <c r="E211" s="145"/>
      <c r="F211" s="145"/>
      <c r="G211" s="145"/>
      <c r="H211" s="145"/>
      <c r="J211" s="145"/>
      <c r="K211" s="145"/>
      <c r="L211" s="145"/>
      <c r="M211" s="145"/>
      <c r="N211" s="145"/>
      <c r="O211" s="145"/>
      <c r="P211" s="145"/>
      <c r="R211" s="145"/>
      <c r="S211" s="145"/>
      <c r="T211" s="145"/>
      <c r="U211" s="145"/>
      <c r="V211" s="145"/>
      <c r="W211" s="145"/>
      <c r="X211" s="145"/>
      <c r="Z211" s="145"/>
      <c r="AA211" s="145"/>
      <c r="AB211" s="145"/>
      <c r="AC211" s="145"/>
      <c r="AD211" s="145"/>
      <c r="AE211" s="145"/>
      <c r="AF211" s="145"/>
    </row>
    <row r="212" spans="2:32" x14ac:dyDescent="0.25">
      <c r="B212" s="145"/>
      <c r="C212" s="145"/>
      <c r="D212" s="145"/>
      <c r="E212" s="145"/>
      <c r="F212" s="145"/>
      <c r="G212" s="145"/>
      <c r="H212" s="145"/>
      <c r="J212" s="145"/>
      <c r="K212" s="145"/>
      <c r="L212" s="145"/>
      <c r="M212" s="145"/>
      <c r="N212" s="145"/>
      <c r="O212" s="145"/>
      <c r="P212" s="145"/>
      <c r="R212" s="145"/>
      <c r="S212" s="145"/>
      <c r="T212" s="145"/>
      <c r="U212" s="145"/>
      <c r="V212" s="145"/>
      <c r="W212" s="145"/>
      <c r="X212" s="145"/>
      <c r="Z212" s="145"/>
      <c r="AA212" s="145"/>
      <c r="AB212" s="145"/>
      <c r="AC212" s="145"/>
      <c r="AD212" s="145"/>
      <c r="AE212" s="145"/>
      <c r="AF212" s="145"/>
    </row>
    <row r="213" spans="2:32" x14ac:dyDescent="0.25">
      <c r="B213" s="145"/>
      <c r="C213" s="145"/>
      <c r="D213" s="145"/>
      <c r="E213" s="145"/>
      <c r="F213" s="145"/>
      <c r="G213" s="145"/>
      <c r="H213" s="145"/>
      <c r="J213" s="145"/>
      <c r="K213" s="145"/>
      <c r="L213" s="145"/>
      <c r="M213" s="145"/>
      <c r="N213" s="145"/>
      <c r="O213" s="145"/>
      <c r="P213" s="145"/>
      <c r="R213" s="145"/>
      <c r="S213" s="145"/>
      <c r="T213" s="145"/>
      <c r="U213" s="145"/>
      <c r="V213" s="145"/>
      <c r="W213" s="145"/>
      <c r="X213" s="145"/>
      <c r="Z213" s="145"/>
      <c r="AA213" s="145"/>
      <c r="AB213" s="145"/>
      <c r="AC213" s="145"/>
      <c r="AD213" s="145"/>
      <c r="AE213" s="145"/>
      <c r="AF213" s="145"/>
    </row>
    <row r="214" spans="2:32" x14ac:dyDescent="0.25">
      <c r="B214" s="145"/>
      <c r="C214" s="145"/>
      <c r="D214" s="145"/>
      <c r="E214" s="145"/>
      <c r="F214" s="145"/>
      <c r="G214" s="145"/>
      <c r="H214" s="145"/>
      <c r="J214" s="145"/>
      <c r="K214" s="145"/>
      <c r="L214" s="145"/>
      <c r="M214" s="145"/>
      <c r="N214" s="145"/>
      <c r="O214" s="145"/>
      <c r="P214" s="145"/>
      <c r="R214" s="145"/>
      <c r="S214" s="145"/>
      <c r="T214" s="145"/>
      <c r="U214" s="145"/>
      <c r="V214" s="145"/>
      <c r="W214" s="145"/>
      <c r="X214" s="145"/>
      <c r="Z214" s="145"/>
      <c r="AA214" s="145"/>
      <c r="AB214" s="145"/>
      <c r="AC214" s="145"/>
      <c r="AD214" s="145"/>
      <c r="AE214" s="145"/>
      <c r="AF214" s="145"/>
    </row>
    <row r="215" spans="2:32" x14ac:dyDescent="0.25">
      <c r="B215" s="145"/>
      <c r="C215" s="145"/>
      <c r="D215" s="145"/>
      <c r="E215" s="145"/>
      <c r="F215" s="145"/>
      <c r="G215" s="145"/>
      <c r="H215" s="145"/>
      <c r="J215" s="145"/>
      <c r="K215" s="145"/>
      <c r="L215" s="145"/>
      <c r="M215" s="145"/>
      <c r="N215" s="145"/>
      <c r="O215" s="145"/>
      <c r="P215" s="145"/>
      <c r="R215" s="145"/>
      <c r="S215" s="145"/>
      <c r="T215" s="145"/>
      <c r="U215" s="145"/>
      <c r="V215" s="145"/>
      <c r="W215" s="145"/>
      <c r="X215" s="145"/>
      <c r="Z215" s="145"/>
      <c r="AA215" s="145"/>
      <c r="AB215" s="145"/>
      <c r="AC215" s="145"/>
      <c r="AD215" s="145"/>
      <c r="AE215" s="145"/>
      <c r="AF215" s="145"/>
    </row>
    <row r="216" spans="2:32" x14ac:dyDescent="0.25">
      <c r="B216" s="145"/>
      <c r="C216" s="145"/>
      <c r="D216" s="145"/>
      <c r="E216" s="145"/>
      <c r="F216" s="145"/>
      <c r="G216" s="145"/>
      <c r="H216" s="145"/>
      <c r="J216" s="145"/>
      <c r="K216" s="145"/>
      <c r="L216" s="145"/>
      <c r="M216" s="145"/>
      <c r="N216" s="145"/>
      <c r="O216" s="145"/>
      <c r="P216" s="145"/>
      <c r="R216" s="145"/>
      <c r="S216" s="145"/>
      <c r="T216" s="145"/>
      <c r="U216" s="145"/>
      <c r="V216" s="145"/>
      <c r="W216" s="145"/>
      <c r="X216" s="145"/>
      <c r="Z216" s="145"/>
      <c r="AA216" s="145"/>
      <c r="AB216" s="145"/>
      <c r="AC216" s="145"/>
      <c r="AD216" s="145"/>
      <c r="AE216" s="145"/>
      <c r="AF216" s="145"/>
    </row>
    <row r="217" spans="2:32" x14ac:dyDescent="0.25">
      <c r="B217" s="145"/>
      <c r="C217" s="145"/>
      <c r="D217" s="145"/>
      <c r="E217" s="145"/>
      <c r="F217" s="145"/>
      <c r="G217" s="145"/>
      <c r="H217" s="145"/>
      <c r="J217" s="145"/>
      <c r="K217" s="145"/>
      <c r="L217" s="145"/>
      <c r="M217" s="145"/>
      <c r="N217" s="145"/>
      <c r="O217" s="145"/>
      <c r="P217" s="145"/>
      <c r="R217" s="145"/>
      <c r="S217" s="145"/>
      <c r="T217" s="145"/>
      <c r="U217" s="145"/>
      <c r="V217" s="145"/>
      <c r="W217" s="145"/>
      <c r="X217" s="145"/>
      <c r="Z217" s="145"/>
      <c r="AA217" s="145"/>
      <c r="AB217" s="145"/>
      <c r="AC217" s="145"/>
      <c r="AD217" s="145"/>
      <c r="AE217" s="145"/>
      <c r="AF217" s="145"/>
    </row>
    <row r="218" spans="2:32" x14ac:dyDescent="0.25">
      <c r="B218" s="145"/>
      <c r="C218" s="145"/>
      <c r="D218" s="145"/>
      <c r="E218" s="145"/>
      <c r="F218" s="145"/>
      <c r="G218" s="145"/>
      <c r="H218" s="145"/>
      <c r="J218" s="145"/>
      <c r="K218" s="145"/>
      <c r="L218" s="145"/>
      <c r="M218" s="145"/>
      <c r="N218" s="145"/>
      <c r="O218" s="145"/>
      <c r="P218" s="145"/>
      <c r="R218" s="145"/>
      <c r="S218" s="145"/>
      <c r="T218" s="145"/>
      <c r="U218" s="145"/>
      <c r="V218" s="145"/>
      <c r="W218" s="145"/>
      <c r="X218" s="145"/>
      <c r="Z218" s="145"/>
      <c r="AA218" s="145"/>
      <c r="AB218" s="145"/>
      <c r="AC218" s="145"/>
      <c r="AD218" s="145"/>
      <c r="AE218" s="145"/>
      <c r="AF218" s="145"/>
    </row>
    <row r="219" spans="2:32" x14ac:dyDescent="0.25">
      <c r="B219" s="145"/>
      <c r="C219" s="145"/>
      <c r="D219" s="145"/>
      <c r="E219" s="145"/>
      <c r="F219" s="145"/>
      <c r="G219" s="145"/>
      <c r="H219" s="145"/>
      <c r="J219" s="145"/>
      <c r="K219" s="145"/>
      <c r="L219" s="145"/>
      <c r="M219" s="145"/>
      <c r="N219" s="145"/>
      <c r="O219" s="145"/>
      <c r="P219" s="145"/>
      <c r="R219" s="145"/>
      <c r="S219" s="145"/>
      <c r="T219" s="145"/>
      <c r="U219" s="145"/>
      <c r="V219" s="145"/>
      <c r="W219" s="145"/>
      <c r="X219" s="145"/>
      <c r="Z219" s="145"/>
      <c r="AA219" s="145"/>
      <c r="AB219" s="145"/>
      <c r="AC219" s="145"/>
      <c r="AD219" s="145"/>
      <c r="AE219" s="145"/>
      <c r="AF219" s="145"/>
    </row>
    <row r="220" spans="2:32" x14ac:dyDescent="0.25">
      <c r="B220" s="145"/>
      <c r="C220" s="145"/>
      <c r="D220" s="145"/>
      <c r="E220" s="145"/>
      <c r="F220" s="145"/>
      <c r="G220" s="145"/>
      <c r="H220" s="145"/>
      <c r="J220" s="145"/>
      <c r="K220" s="145"/>
      <c r="L220" s="145"/>
      <c r="M220" s="145"/>
      <c r="N220" s="145"/>
      <c r="O220" s="145"/>
      <c r="P220" s="145"/>
      <c r="R220" s="145"/>
      <c r="S220" s="145"/>
      <c r="T220" s="145"/>
      <c r="U220" s="145"/>
      <c r="V220" s="145"/>
      <c r="W220" s="145"/>
      <c r="X220" s="145"/>
      <c r="Z220" s="145"/>
      <c r="AA220" s="145"/>
      <c r="AB220" s="145"/>
      <c r="AC220" s="145"/>
      <c r="AD220" s="145"/>
      <c r="AE220" s="145"/>
      <c r="AF220" s="145"/>
    </row>
    <row r="221" spans="2:32" x14ac:dyDescent="0.25">
      <c r="B221" s="145"/>
      <c r="C221" s="145"/>
      <c r="D221" s="145"/>
      <c r="E221" s="145"/>
      <c r="F221" s="145"/>
      <c r="G221" s="145"/>
      <c r="H221" s="145"/>
      <c r="J221" s="145"/>
      <c r="K221" s="145"/>
      <c r="L221" s="145"/>
      <c r="M221" s="145"/>
      <c r="N221" s="145"/>
      <c r="O221" s="145"/>
      <c r="P221" s="145"/>
      <c r="R221" s="145"/>
      <c r="S221" s="145"/>
      <c r="T221" s="145"/>
      <c r="U221" s="145"/>
      <c r="V221" s="145"/>
      <c r="W221" s="145"/>
      <c r="X221" s="145"/>
      <c r="Z221" s="145"/>
      <c r="AA221" s="145"/>
      <c r="AB221" s="145"/>
      <c r="AC221" s="145"/>
      <c r="AD221" s="145"/>
      <c r="AE221" s="145"/>
      <c r="AF221" s="145"/>
    </row>
    <row r="222" spans="2:32" x14ac:dyDescent="0.25">
      <c r="B222" s="145"/>
      <c r="C222" s="145"/>
      <c r="D222" s="145"/>
      <c r="E222" s="145"/>
      <c r="F222" s="145"/>
      <c r="G222" s="145"/>
      <c r="H222" s="145"/>
      <c r="J222" s="145"/>
      <c r="K222" s="145"/>
      <c r="L222" s="145"/>
      <c r="M222" s="145"/>
      <c r="N222" s="145"/>
      <c r="O222" s="145"/>
      <c r="P222" s="145"/>
      <c r="R222" s="145"/>
      <c r="S222" s="145"/>
      <c r="T222" s="145"/>
      <c r="U222" s="145"/>
      <c r="V222" s="145"/>
      <c r="W222" s="145"/>
      <c r="X222" s="145"/>
      <c r="Z222" s="145"/>
      <c r="AA222" s="145"/>
      <c r="AB222" s="145"/>
      <c r="AC222" s="145"/>
      <c r="AD222" s="145"/>
      <c r="AE222" s="145"/>
      <c r="AF222" s="145"/>
    </row>
    <row r="223" spans="2:32" x14ac:dyDescent="0.25">
      <c r="B223" s="145"/>
      <c r="C223" s="145"/>
      <c r="D223" s="145"/>
      <c r="E223" s="145"/>
      <c r="F223" s="145"/>
      <c r="G223" s="145"/>
      <c r="H223" s="145"/>
      <c r="J223" s="145"/>
      <c r="K223" s="145"/>
      <c r="L223" s="145"/>
      <c r="M223" s="145"/>
      <c r="N223" s="145"/>
      <c r="O223" s="145"/>
      <c r="P223" s="145"/>
      <c r="R223" s="145"/>
      <c r="S223" s="145"/>
      <c r="T223" s="145"/>
      <c r="U223" s="145"/>
      <c r="V223" s="145"/>
      <c r="W223" s="145"/>
      <c r="X223" s="145"/>
      <c r="Z223" s="145"/>
      <c r="AA223" s="145"/>
      <c r="AB223" s="145"/>
      <c r="AC223" s="145"/>
      <c r="AD223" s="145"/>
      <c r="AE223" s="145"/>
      <c r="AF223" s="145"/>
    </row>
    <row r="224" spans="2:32" x14ac:dyDescent="0.25">
      <c r="B224" s="145"/>
      <c r="C224" s="145"/>
      <c r="D224" s="145"/>
      <c r="E224" s="145"/>
      <c r="F224" s="145"/>
      <c r="G224" s="145"/>
      <c r="H224" s="145"/>
      <c r="J224" s="145"/>
      <c r="K224" s="145"/>
      <c r="L224" s="145"/>
      <c r="M224" s="145"/>
      <c r="N224" s="145"/>
      <c r="O224" s="145"/>
      <c r="P224" s="145"/>
      <c r="R224" s="145"/>
      <c r="S224" s="145"/>
      <c r="T224" s="145"/>
      <c r="U224" s="145"/>
      <c r="V224" s="145"/>
      <c r="W224" s="145"/>
      <c r="X224" s="145"/>
      <c r="Z224" s="145"/>
      <c r="AA224" s="145"/>
      <c r="AB224" s="145"/>
      <c r="AC224" s="145"/>
      <c r="AD224" s="145"/>
      <c r="AE224" s="145"/>
      <c r="AF224" s="145"/>
    </row>
    <row r="225" spans="2:32" x14ac:dyDescent="0.25">
      <c r="B225" s="145"/>
      <c r="C225" s="145"/>
      <c r="D225" s="145"/>
      <c r="E225" s="145"/>
      <c r="F225" s="145"/>
      <c r="G225" s="145"/>
      <c r="H225" s="145"/>
      <c r="J225" s="145"/>
      <c r="K225" s="145"/>
      <c r="L225" s="145"/>
      <c r="M225" s="145"/>
      <c r="N225" s="145"/>
      <c r="O225" s="145"/>
      <c r="P225" s="145"/>
      <c r="R225" s="145"/>
      <c r="S225" s="145"/>
      <c r="T225" s="145"/>
      <c r="U225" s="145"/>
      <c r="V225" s="145"/>
      <c r="W225" s="145"/>
      <c r="X225" s="145"/>
      <c r="Z225" s="145"/>
      <c r="AA225" s="145"/>
      <c r="AB225" s="145"/>
      <c r="AC225" s="145"/>
      <c r="AD225" s="145"/>
      <c r="AE225" s="145"/>
      <c r="AF225" s="145"/>
    </row>
    <row r="226" spans="2:32" x14ac:dyDescent="0.25">
      <c r="B226" s="145"/>
      <c r="C226" s="145"/>
      <c r="D226" s="145"/>
      <c r="E226" s="145"/>
      <c r="F226" s="145"/>
      <c r="G226" s="145"/>
      <c r="H226" s="145"/>
      <c r="J226" s="145"/>
      <c r="K226" s="145"/>
      <c r="L226" s="145"/>
      <c r="M226" s="145"/>
      <c r="N226" s="145"/>
      <c r="O226" s="145"/>
      <c r="P226" s="145"/>
      <c r="R226" s="145"/>
      <c r="S226" s="145"/>
      <c r="T226" s="145"/>
      <c r="U226" s="145"/>
      <c r="V226" s="145"/>
      <c r="W226" s="145"/>
      <c r="X226" s="145"/>
      <c r="Z226" s="145"/>
      <c r="AA226" s="145"/>
      <c r="AB226" s="145"/>
      <c r="AC226" s="145"/>
      <c r="AD226" s="145"/>
      <c r="AE226" s="145"/>
      <c r="AF226" s="145"/>
    </row>
    <row r="227" spans="2:32" x14ac:dyDescent="0.25">
      <c r="B227" s="145"/>
      <c r="C227" s="145"/>
      <c r="D227" s="145"/>
      <c r="E227" s="145"/>
      <c r="F227" s="145"/>
      <c r="G227" s="145"/>
      <c r="H227" s="145"/>
      <c r="J227" s="145"/>
      <c r="K227" s="145"/>
      <c r="L227" s="145"/>
      <c r="M227" s="145"/>
      <c r="N227" s="145"/>
      <c r="O227" s="145"/>
      <c r="P227" s="145"/>
      <c r="R227" s="145"/>
      <c r="S227" s="145"/>
      <c r="T227" s="145"/>
      <c r="U227" s="145"/>
      <c r="V227" s="145"/>
      <c r="W227" s="145"/>
      <c r="X227" s="145"/>
      <c r="Z227" s="145"/>
      <c r="AA227" s="145"/>
      <c r="AB227" s="145"/>
      <c r="AC227" s="145"/>
      <c r="AD227" s="145"/>
      <c r="AE227" s="145"/>
      <c r="AF227" s="145"/>
    </row>
    <row r="228" spans="2:32" x14ac:dyDescent="0.25">
      <c r="B228" s="145"/>
      <c r="C228" s="145"/>
      <c r="D228" s="145"/>
      <c r="E228" s="145"/>
      <c r="F228" s="145"/>
      <c r="G228" s="145"/>
      <c r="H228" s="145"/>
      <c r="J228" s="145"/>
      <c r="K228" s="145"/>
      <c r="L228" s="145"/>
      <c r="M228" s="145"/>
      <c r="N228" s="145"/>
      <c r="O228" s="145"/>
      <c r="P228" s="145"/>
      <c r="R228" s="145"/>
      <c r="S228" s="145"/>
      <c r="T228" s="145"/>
      <c r="U228" s="145"/>
      <c r="V228" s="145"/>
      <c r="W228" s="145"/>
      <c r="X228" s="145"/>
      <c r="Z228" s="145"/>
      <c r="AA228" s="145"/>
      <c r="AB228" s="145"/>
      <c r="AC228" s="145"/>
      <c r="AD228" s="145"/>
      <c r="AE228" s="145"/>
      <c r="AF228" s="145"/>
    </row>
    <row r="229" spans="2:32" x14ac:dyDescent="0.25">
      <c r="B229" s="145"/>
      <c r="C229" s="145"/>
      <c r="D229" s="145"/>
      <c r="E229" s="145"/>
      <c r="F229" s="145"/>
      <c r="G229" s="145"/>
      <c r="H229" s="145"/>
      <c r="J229" s="145"/>
      <c r="K229" s="145"/>
      <c r="L229" s="145"/>
      <c r="M229" s="145"/>
      <c r="N229" s="145"/>
      <c r="O229" s="145"/>
      <c r="P229" s="145"/>
      <c r="R229" s="145"/>
      <c r="S229" s="145"/>
      <c r="T229" s="145"/>
      <c r="U229" s="145"/>
      <c r="V229" s="145"/>
      <c r="W229" s="145"/>
      <c r="X229" s="145"/>
      <c r="Z229" s="145"/>
      <c r="AA229" s="145"/>
      <c r="AB229" s="145"/>
      <c r="AC229" s="145"/>
      <c r="AD229" s="145"/>
      <c r="AE229" s="145"/>
      <c r="AF229" s="145"/>
    </row>
    <row r="230" spans="2:32" x14ac:dyDescent="0.25">
      <c r="B230" s="145"/>
      <c r="C230" s="145"/>
      <c r="D230" s="145"/>
      <c r="E230" s="145"/>
      <c r="F230" s="145"/>
      <c r="G230" s="145"/>
      <c r="H230" s="145"/>
      <c r="J230" s="145"/>
      <c r="K230" s="145"/>
      <c r="L230" s="145"/>
      <c r="M230" s="145"/>
      <c r="N230" s="145"/>
      <c r="O230" s="145"/>
      <c r="P230" s="145"/>
      <c r="R230" s="145"/>
      <c r="S230" s="145"/>
      <c r="T230" s="145"/>
      <c r="U230" s="145"/>
      <c r="V230" s="145"/>
      <c r="W230" s="145"/>
      <c r="X230" s="145"/>
      <c r="Z230" s="145"/>
      <c r="AA230" s="145"/>
      <c r="AB230" s="145"/>
      <c r="AC230" s="145"/>
      <c r="AD230" s="145"/>
      <c r="AE230" s="145"/>
      <c r="AF230" s="145"/>
    </row>
    <row r="231" spans="2:32" x14ac:dyDescent="0.25">
      <c r="B231" s="145"/>
      <c r="C231" s="145"/>
      <c r="D231" s="145"/>
      <c r="E231" s="145"/>
      <c r="F231" s="145"/>
      <c r="G231" s="145"/>
      <c r="H231" s="145"/>
      <c r="J231" s="145"/>
      <c r="K231" s="145"/>
      <c r="L231" s="145"/>
      <c r="M231" s="145"/>
      <c r="N231" s="145"/>
      <c r="O231" s="145"/>
      <c r="P231" s="145"/>
      <c r="R231" s="145"/>
      <c r="S231" s="145"/>
      <c r="T231" s="145"/>
      <c r="U231" s="145"/>
      <c r="V231" s="145"/>
      <c r="W231" s="145"/>
      <c r="X231" s="145"/>
      <c r="Z231" s="145"/>
      <c r="AA231" s="145"/>
      <c r="AB231" s="145"/>
      <c r="AC231" s="145"/>
      <c r="AD231" s="145"/>
      <c r="AE231" s="145"/>
      <c r="AF231" s="145"/>
    </row>
    <row r="232" spans="2:32" x14ac:dyDescent="0.25">
      <c r="B232" s="145"/>
      <c r="C232" s="145"/>
      <c r="D232" s="145"/>
      <c r="E232" s="145"/>
      <c r="F232" s="145"/>
      <c r="G232" s="145"/>
      <c r="H232" s="145"/>
      <c r="J232" s="145"/>
      <c r="K232" s="145"/>
      <c r="L232" s="145"/>
      <c r="M232" s="145"/>
      <c r="N232" s="145"/>
      <c r="O232" s="145"/>
      <c r="P232" s="145"/>
      <c r="R232" s="145"/>
      <c r="S232" s="145"/>
      <c r="T232" s="145"/>
      <c r="U232" s="145"/>
      <c r="V232" s="145"/>
      <c r="W232" s="145"/>
      <c r="X232" s="145"/>
      <c r="Z232" s="145"/>
      <c r="AA232" s="145"/>
      <c r="AB232" s="145"/>
      <c r="AC232" s="145"/>
      <c r="AD232" s="145"/>
      <c r="AE232" s="145"/>
      <c r="AF232" s="145"/>
    </row>
    <row r="233" spans="2:32" x14ac:dyDescent="0.25">
      <c r="B233" s="145"/>
      <c r="C233" s="145"/>
      <c r="D233" s="145"/>
      <c r="E233" s="145"/>
      <c r="F233" s="145"/>
      <c r="G233" s="145"/>
      <c r="H233" s="145"/>
      <c r="J233" s="145"/>
      <c r="K233" s="145"/>
      <c r="L233" s="145"/>
      <c r="M233" s="145"/>
      <c r="N233" s="145"/>
      <c r="O233" s="145"/>
      <c r="P233" s="145"/>
      <c r="R233" s="145"/>
      <c r="S233" s="145"/>
      <c r="T233" s="145"/>
      <c r="U233" s="145"/>
      <c r="V233" s="145"/>
      <c r="W233" s="145"/>
      <c r="X233" s="145"/>
      <c r="Z233" s="145"/>
      <c r="AA233" s="145"/>
      <c r="AB233" s="145"/>
      <c r="AC233" s="145"/>
      <c r="AD233" s="145"/>
      <c r="AE233" s="145"/>
      <c r="AF233" s="145"/>
    </row>
    <row r="234" spans="2:32" x14ac:dyDescent="0.25">
      <c r="B234" s="145"/>
      <c r="C234" s="145"/>
      <c r="D234" s="145"/>
      <c r="E234" s="145"/>
      <c r="F234" s="145"/>
      <c r="G234" s="145"/>
      <c r="H234" s="145"/>
      <c r="J234" s="145"/>
      <c r="K234" s="145"/>
      <c r="L234" s="145"/>
      <c r="M234" s="145"/>
      <c r="N234" s="145"/>
      <c r="O234" s="145"/>
      <c r="P234" s="145"/>
      <c r="R234" s="145"/>
      <c r="S234" s="145"/>
      <c r="T234" s="145"/>
      <c r="U234" s="145"/>
      <c r="V234" s="145"/>
      <c r="W234" s="145"/>
      <c r="X234" s="145"/>
      <c r="Z234" s="145"/>
      <c r="AA234" s="145"/>
      <c r="AB234" s="145"/>
      <c r="AC234" s="145"/>
      <c r="AD234" s="145"/>
      <c r="AE234" s="145"/>
      <c r="AF234" s="145"/>
    </row>
    <row r="235" spans="2:32" x14ac:dyDescent="0.25">
      <c r="B235" s="145"/>
      <c r="C235" s="145"/>
      <c r="D235" s="145"/>
      <c r="E235" s="145"/>
      <c r="F235" s="145"/>
      <c r="G235" s="145"/>
      <c r="H235" s="145"/>
      <c r="J235" s="145"/>
      <c r="K235" s="145"/>
      <c r="L235" s="145"/>
      <c r="M235" s="145"/>
      <c r="N235" s="145"/>
      <c r="O235" s="145"/>
      <c r="P235" s="145"/>
      <c r="R235" s="145"/>
      <c r="S235" s="145"/>
      <c r="T235" s="145"/>
      <c r="U235" s="145"/>
      <c r="V235" s="145"/>
      <c r="W235" s="145"/>
      <c r="X235" s="145"/>
      <c r="Z235" s="145"/>
      <c r="AA235" s="145"/>
      <c r="AB235" s="145"/>
      <c r="AC235" s="145"/>
      <c r="AD235" s="145"/>
      <c r="AE235" s="145"/>
      <c r="AF235" s="145"/>
    </row>
    <row r="236" spans="2:32" x14ac:dyDescent="0.25">
      <c r="B236" s="145"/>
      <c r="C236" s="145"/>
      <c r="D236" s="145"/>
      <c r="E236" s="145"/>
      <c r="F236" s="145"/>
      <c r="G236" s="145"/>
      <c r="H236" s="145"/>
      <c r="J236" s="145"/>
      <c r="K236" s="145"/>
      <c r="L236" s="145"/>
      <c r="M236" s="145"/>
      <c r="N236" s="145"/>
      <c r="O236" s="145"/>
      <c r="P236" s="145"/>
      <c r="R236" s="145"/>
      <c r="S236" s="145"/>
      <c r="T236" s="145"/>
      <c r="U236" s="145"/>
      <c r="V236" s="145"/>
      <c r="W236" s="145"/>
      <c r="X236" s="145"/>
      <c r="Z236" s="145"/>
      <c r="AA236" s="145"/>
      <c r="AB236" s="145"/>
      <c r="AC236" s="145"/>
      <c r="AD236" s="145"/>
      <c r="AE236" s="145"/>
      <c r="AF236" s="145"/>
    </row>
    <row r="237" spans="2:32" x14ac:dyDescent="0.25">
      <c r="B237" s="145"/>
      <c r="C237" s="145"/>
      <c r="D237" s="145"/>
      <c r="E237" s="145"/>
      <c r="F237" s="145"/>
      <c r="G237" s="145"/>
      <c r="H237" s="145"/>
      <c r="J237" s="145"/>
      <c r="K237" s="145"/>
      <c r="L237" s="145"/>
      <c r="M237" s="145"/>
      <c r="N237" s="145"/>
      <c r="O237" s="145"/>
      <c r="P237" s="145"/>
      <c r="R237" s="145"/>
      <c r="S237" s="145"/>
      <c r="T237" s="145"/>
      <c r="U237" s="145"/>
      <c r="V237" s="145"/>
      <c r="W237" s="145"/>
      <c r="X237" s="145"/>
      <c r="Z237" s="145"/>
      <c r="AA237" s="145"/>
      <c r="AB237" s="145"/>
      <c r="AC237" s="145"/>
      <c r="AD237" s="145"/>
      <c r="AE237" s="145"/>
      <c r="AF237" s="145"/>
    </row>
    <row r="238" spans="2:32" x14ac:dyDescent="0.25">
      <c r="B238" s="145"/>
      <c r="C238" s="145"/>
      <c r="D238" s="145"/>
      <c r="E238" s="145"/>
      <c r="F238" s="145"/>
      <c r="G238" s="145"/>
      <c r="H238" s="145"/>
      <c r="J238" s="145"/>
      <c r="K238" s="145"/>
      <c r="L238" s="145"/>
      <c r="M238" s="145"/>
      <c r="N238" s="145"/>
      <c r="O238" s="145"/>
      <c r="P238" s="145"/>
      <c r="R238" s="145"/>
      <c r="S238" s="145"/>
      <c r="T238" s="145"/>
      <c r="U238" s="145"/>
      <c r="V238" s="145"/>
      <c r="W238" s="145"/>
      <c r="X238" s="145"/>
      <c r="Z238" s="145"/>
      <c r="AA238" s="145"/>
      <c r="AB238" s="145"/>
      <c r="AC238" s="145"/>
      <c r="AD238" s="145"/>
      <c r="AE238" s="145"/>
      <c r="AF238" s="145"/>
    </row>
    <row r="239" spans="2:32" x14ac:dyDescent="0.25">
      <c r="B239" s="145"/>
      <c r="C239" s="145"/>
      <c r="D239" s="145"/>
      <c r="E239" s="145"/>
      <c r="F239" s="145"/>
      <c r="G239" s="145"/>
      <c r="H239" s="145"/>
      <c r="J239" s="145"/>
      <c r="K239" s="145"/>
      <c r="L239" s="145"/>
      <c r="M239" s="145"/>
      <c r="N239" s="145"/>
      <c r="O239" s="145"/>
      <c r="P239" s="145"/>
      <c r="R239" s="145"/>
      <c r="S239" s="145"/>
      <c r="T239" s="145"/>
      <c r="U239" s="145"/>
      <c r="V239" s="145"/>
      <c r="W239" s="145"/>
      <c r="X239" s="145"/>
      <c r="Z239" s="145"/>
      <c r="AA239" s="145"/>
      <c r="AB239" s="145"/>
      <c r="AC239" s="145"/>
      <c r="AD239" s="145"/>
      <c r="AE239" s="145"/>
      <c r="AF239" s="145"/>
    </row>
    <row r="240" spans="2:32" x14ac:dyDescent="0.25">
      <c r="B240" s="145"/>
      <c r="C240" s="145"/>
      <c r="D240" s="145"/>
      <c r="E240" s="145"/>
      <c r="F240" s="145"/>
      <c r="G240" s="145"/>
      <c r="H240" s="145"/>
      <c r="J240" s="145"/>
      <c r="K240" s="145"/>
      <c r="L240" s="145"/>
      <c r="M240" s="145"/>
      <c r="N240" s="145"/>
      <c r="O240" s="145"/>
      <c r="P240" s="145"/>
      <c r="R240" s="145"/>
      <c r="S240" s="145"/>
      <c r="T240" s="145"/>
      <c r="U240" s="145"/>
      <c r="V240" s="145"/>
      <c r="W240" s="145"/>
      <c r="X240" s="145"/>
      <c r="Z240" s="145"/>
      <c r="AA240" s="145"/>
      <c r="AB240" s="145"/>
      <c r="AC240" s="145"/>
      <c r="AD240" s="145"/>
      <c r="AE240" s="145"/>
      <c r="AF240" s="145"/>
    </row>
    <row r="241" spans="2:32" x14ac:dyDescent="0.25">
      <c r="B241" s="145"/>
      <c r="C241" s="145"/>
      <c r="D241" s="145"/>
      <c r="E241" s="145"/>
      <c r="F241" s="145"/>
      <c r="G241" s="145"/>
      <c r="H241" s="145"/>
      <c r="J241" s="145"/>
      <c r="K241" s="145"/>
      <c r="L241" s="145"/>
      <c r="M241" s="145"/>
      <c r="N241" s="145"/>
      <c r="O241" s="145"/>
      <c r="P241" s="145"/>
      <c r="R241" s="145"/>
      <c r="S241" s="145"/>
      <c r="T241" s="145"/>
      <c r="U241" s="145"/>
      <c r="V241" s="145"/>
      <c r="W241" s="145"/>
      <c r="X241" s="145"/>
      <c r="Z241" s="145"/>
      <c r="AA241" s="145"/>
      <c r="AB241" s="145"/>
      <c r="AC241" s="145"/>
      <c r="AD241" s="145"/>
      <c r="AE241" s="145"/>
      <c r="AF241" s="145"/>
    </row>
    <row r="242" spans="2:32" x14ac:dyDescent="0.25">
      <c r="B242" s="145"/>
      <c r="C242" s="145"/>
      <c r="D242" s="145"/>
      <c r="E242" s="145"/>
      <c r="F242" s="145"/>
      <c r="G242" s="145"/>
      <c r="H242" s="145"/>
      <c r="J242" s="145"/>
      <c r="K242" s="145"/>
      <c r="L242" s="145"/>
      <c r="M242" s="145"/>
      <c r="N242" s="145"/>
      <c r="O242" s="145"/>
      <c r="P242" s="145"/>
      <c r="R242" s="145"/>
      <c r="S242" s="145"/>
      <c r="T242" s="145"/>
      <c r="U242" s="145"/>
      <c r="V242" s="145"/>
      <c r="W242" s="145"/>
      <c r="X242" s="145"/>
      <c r="Z242" s="145"/>
      <c r="AA242" s="145"/>
      <c r="AB242" s="145"/>
      <c r="AC242" s="145"/>
      <c r="AD242" s="145"/>
      <c r="AE242" s="145"/>
      <c r="AF242" s="145"/>
    </row>
    <row r="243" spans="2:32" x14ac:dyDescent="0.25">
      <c r="B243" s="145"/>
      <c r="C243" s="145"/>
      <c r="D243" s="145"/>
      <c r="E243" s="145"/>
      <c r="F243" s="145"/>
      <c r="G243" s="145"/>
      <c r="H243" s="145"/>
      <c r="J243" s="145"/>
      <c r="K243" s="145"/>
      <c r="L243" s="145"/>
      <c r="M243" s="145"/>
      <c r="N243" s="145"/>
      <c r="O243" s="145"/>
      <c r="P243" s="145"/>
      <c r="R243" s="145"/>
      <c r="S243" s="145"/>
      <c r="T243" s="145"/>
      <c r="U243" s="145"/>
      <c r="V243" s="145"/>
      <c r="W243" s="145"/>
      <c r="X243" s="145"/>
      <c r="Z243" s="145"/>
      <c r="AA243" s="145"/>
      <c r="AB243" s="145"/>
      <c r="AC243" s="145"/>
      <c r="AD243" s="145"/>
      <c r="AE243" s="145"/>
      <c r="AF243" s="145"/>
    </row>
    <row r="244" spans="2:32" x14ac:dyDescent="0.25">
      <c r="B244" s="145"/>
      <c r="C244" s="145"/>
      <c r="D244" s="145"/>
      <c r="E244" s="145"/>
      <c r="F244" s="145"/>
      <c r="G244" s="145"/>
      <c r="H244" s="145"/>
      <c r="J244" s="145"/>
      <c r="K244" s="145"/>
      <c r="L244" s="145"/>
      <c r="M244" s="145"/>
      <c r="N244" s="145"/>
      <c r="O244" s="145"/>
      <c r="P244" s="145"/>
      <c r="R244" s="145"/>
      <c r="S244" s="145"/>
      <c r="T244" s="145"/>
      <c r="U244" s="145"/>
      <c r="V244" s="145"/>
      <c r="W244" s="145"/>
      <c r="X244" s="145"/>
      <c r="Z244" s="145"/>
      <c r="AA244" s="145"/>
      <c r="AB244" s="145"/>
      <c r="AC244" s="145"/>
      <c r="AD244" s="145"/>
      <c r="AE244" s="145"/>
      <c r="AF244" s="145"/>
    </row>
    <row r="245" spans="2:32" x14ac:dyDescent="0.25">
      <c r="B245" s="145"/>
      <c r="C245" s="145"/>
      <c r="D245" s="145"/>
      <c r="E245" s="145"/>
      <c r="F245" s="145"/>
      <c r="G245" s="145"/>
      <c r="H245" s="145"/>
      <c r="J245" s="145"/>
      <c r="K245" s="145"/>
      <c r="L245" s="145"/>
      <c r="M245" s="145"/>
      <c r="N245" s="145"/>
      <c r="O245" s="145"/>
      <c r="P245" s="145"/>
      <c r="R245" s="145"/>
      <c r="S245" s="145"/>
      <c r="T245" s="145"/>
      <c r="U245" s="145"/>
      <c r="V245" s="145"/>
      <c r="W245" s="145"/>
      <c r="X245" s="145"/>
      <c r="Z245" s="145"/>
      <c r="AA245" s="145"/>
      <c r="AB245" s="145"/>
      <c r="AC245" s="145"/>
      <c r="AD245" s="145"/>
      <c r="AE245" s="145"/>
      <c r="AF245" s="145"/>
    </row>
    <row r="246" spans="2:32" x14ac:dyDescent="0.25">
      <c r="B246" s="145"/>
      <c r="C246" s="145"/>
      <c r="D246" s="145"/>
      <c r="E246" s="145"/>
      <c r="F246" s="145"/>
      <c r="G246" s="145"/>
      <c r="H246" s="145"/>
      <c r="J246" s="145"/>
      <c r="K246" s="145"/>
      <c r="L246" s="145"/>
      <c r="M246" s="145"/>
      <c r="N246" s="145"/>
      <c r="O246" s="145"/>
      <c r="P246" s="145"/>
      <c r="R246" s="145"/>
      <c r="S246" s="145"/>
      <c r="T246" s="145"/>
      <c r="U246" s="145"/>
      <c r="V246" s="145"/>
      <c r="W246" s="145"/>
      <c r="X246" s="145"/>
      <c r="Z246" s="145"/>
      <c r="AA246" s="145"/>
      <c r="AB246" s="145"/>
      <c r="AC246" s="145"/>
      <c r="AD246" s="145"/>
      <c r="AE246" s="145"/>
      <c r="AF246" s="145"/>
    </row>
    <row r="247" spans="2:32" x14ac:dyDescent="0.25">
      <c r="B247" s="145"/>
      <c r="C247" s="145"/>
      <c r="D247" s="145"/>
      <c r="E247" s="145"/>
      <c r="F247" s="145"/>
      <c r="G247" s="145"/>
      <c r="H247" s="145"/>
      <c r="J247" s="145"/>
      <c r="K247" s="145"/>
      <c r="L247" s="145"/>
      <c r="M247" s="145"/>
      <c r="N247" s="145"/>
      <c r="O247" s="145"/>
      <c r="P247" s="145"/>
      <c r="R247" s="145"/>
      <c r="S247" s="145"/>
      <c r="T247" s="145"/>
      <c r="U247" s="145"/>
      <c r="V247" s="145"/>
      <c r="W247" s="145"/>
      <c r="X247" s="145"/>
      <c r="Z247" s="145"/>
      <c r="AA247" s="145"/>
      <c r="AB247" s="145"/>
      <c r="AC247" s="145"/>
      <c r="AD247" s="145"/>
      <c r="AE247" s="145"/>
      <c r="AF247" s="145"/>
    </row>
    <row r="248" spans="2:32" x14ac:dyDescent="0.25">
      <c r="B248" s="145"/>
      <c r="C248" s="145"/>
      <c r="D248" s="145"/>
      <c r="E248" s="145"/>
      <c r="F248" s="145"/>
      <c r="G248" s="145"/>
      <c r="H248" s="145"/>
      <c r="J248" s="145"/>
      <c r="K248" s="145"/>
      <c r="L248" s="145"/>
      <c r="M248" s="145"/>
      <c r="N248" s="145"/>
      <c r="O248" s="145"/>
      <c r="P248" s="145"/>
      <c r="R248" s="145"/>
      <c r="S248" s="145"/>
      <c r="T248" s="145"/>
      <c r="U248" s="145"/>
      <c r="V248" s="145"/>
      <c r="W248" s="145"/>
      <c r="X248" s="145"/>
      <c r="Z248" s="145"/>
      <c r="AA248" s="145"/>
      <c r="AB248" s="145"/>
      <c r="AC248" s="145"/>
      <c r="AD248" s="145"/>
      <c r="AE248" s="145"/>
      <c r="AF248" s="145"/>
    </row>
    <row r="249" spans="2:32" x14ac:dyDescent="0.25">
      <c r="B249" s="145"/>
      <c r="C249" s="145"/>
      <c r="D249" s="145"/>
      <c r="E249" s="145"/>
      <c r="F249" s="145"/>
      <c r="G249" s="145"/>
      <c r="H249" s="145"/>
      <c r="J249" s="145"/>
      <c r="K249" s="145"/>
      <c r="L249" s="145"/>
      <c r="M249" s="145"/>
      <c r="N249" s="145"/>
      <c r="O249" s="145"/>
      <c r="P249" s="145"/>
      <c r="R249" s="145"/>
      <c r="S249" s="145"/>
      <c r="T249" s="145"/>
      <c r="U249" s="145"/>
      <c r="V249" s="145"/>
      <c r="W249" s="145"/>
      <c r="X249" s="145"/>
      <c r="Z249" s="145"/>
      <c r="AA249" s="145"/>
      <c r="AB249" s="145"/>
      <c r="AC249" s="145"/>
      <c r="AD249" s="145"/>
      <c r="AE249" s="145"/>
      <c r="AF249" s="145"/>
    </row>
    <row r="250" spans="2:32" x14ac:dyDescent="0.25">
      <c r="B250" s="145"/>
      <c r="C250" s="145"/>
      <c r="D250" s="145"/>
      <c r="E250" s="145"/>
      <c r="F250" s="145"/>
      <c r="G250" s="145"/>
      <c r="H250" s="145"/>
      <c r="J250" s="145"/>
      <c r="K250" s="145"/>
      <c r="L250" s="145"/>
      <c r="M250" s="145"/>
      <c r="N250" s="145"/>
      <c r="O250" s="145"/>
      <c r="P250" s="145"/>
      <c r="R250" s="145"/>
      <c r="S250" s="145"/>
      <c r="T250" s="145"/>
      <c r="U250" s="145"/>
      <c r="V250" s="145"/>
      <c r="W250" s="145"/>
      <c r="X250" s="145"/>
      <c r="Z250" s="145"/>
      <c r="AA250" s="145"/>
      <c r="AB250" s="145"/>
      <c r="AC250" s="145"/>
      <c r="AD250" s="145"/>
      <c r="AE250" s="145"/>
      <c r="AF250" s="145"/>
    </row>
    <row r="251" spans="2:32" x14ac:dyDescent="0.25">
      <c r="B251" s="145"/>
      <c r="C251" s="145"/>
      <c r="D251" s="145"/>
      <c r="E251" s="145"/>
      <c r="F251" s="145"/>
      <c r="G251" s="145"/>
      <c r="H251" s="145"/>
      <c r="J251" s="145"/>
      <c r="K251" s="145"/>
      <c r="L251" s="145"/>
      <c r="M251" s="145"/>
      <c r="N251" s="145"/>
      <c r="O251" s="145"/>
      <c r="P251" s="145"/>
      <c r="R251" s="145"/>
      <c r="S251" s="145"/>
      <c r="T251" s="145"/>
      <c r="U251" s="145"/>
      <c r="V251" s="145"/>
      <c r="W251" s="145"/>
      <c r="X251" s="145"/>
      <c r="Z251" s="145"/>
      <c r="AA251" s="145"/>
      <c r="AB251" s="145"/>
      <c r="AC251" s="145"/>
      <c r="AD251" s="145"/>
      <c r="AE251" s="145"/>
      <c r="AF251" s="145"/>
    </row>
    <row r="252" spans="2:32" x14ac:dyDescent="0.25">
      <c r="B252" s="145"/>
      <c r="C252" s="145"/>
      <c r="D252" s="145"/>
      <c r="E252" s="145"/>
      <c r="F252" s="145"/>
      <c r="G252" s="145"/>
      <c r="H252" s="145"/>
      <c r="J252" s="145"/>
      <c r="K252" s="145"/>
      <c r="L252" s="145"/>
      <c r="M252" s="145"/>
      <c r="N252" s="145"/>
      <c r="O252" s="145"/>
      <c r="P252" s="145"/>
      <c r="R252" s="145"/>
      <c r="S252" s="145"/>
      <c r="T252" s="145"/>
      <c r="U252" s="145"/>
      <c r="V252" s="145"/>
      <c r="W252" s="145"/>
      <c r="X252" s="145"/>
      <c r="Z252" s="145"/>
      <c r="AA252" s="145"/>
      <c r="AB252" s="145"/>
      <c r="AC252" s="145"/>
      <c r="AD252" s="145"/>
      <c r="AE252" s="145"/>
      <c r="AF252" s="145"/>
    </row>
    <row r="253" spans="2:32" x14ac:dyDescent="0.25">
      <c r="B253" s="145"/>
      <c r="C253" s="145"/>
      <c r="D253" s="145"/>
      <c r="E253" s="145"/>
      <c r="F253" s="145"/>
      <c r="G253" s="145"/>
      <c r="H253" s="145"/>
      <c r="J253" s="145"/>
      <c r="K253" s="145"/>
      <c r="L253" s="145"/>
      <c r="M253" s="145"/>
      <c r="N253" s="145"/>
      <c r="O253" s="145"/>
      <c r="P253" s="145"/>
      <c r="R253" s="145"/>
      <c r="S253" s="145"/>
      <c r="T253" s="145"/>
      <c r="U253" s="145"/>
      <c r="V253" s="145"/>
      <c r="W253" s="145"/>
      <c r="X253" s="145"/>
      <c r="Z253" s="145"/>
      <c r="AA253" s="145"/>
      <c r="AB253" s="145"/>
      <c r="AC253" s="145"/>
      <c r="AD253" s="145"/>
      <c r="AE253" s="145"/>
      <c r="AF253" s="145"/>
    </row>
    <row r="254" spans="2:32" x14ac:dyDescent="0.25">
      <c r="B254" s="145"/>
      <c r="C254" s="145"/>
      <c r="D254" s="145"/>
      <c r="E254" s="145"/>
      <c r="F254" s="145"/>
      <c r="G254" s="145"/>
      <c r="H254" s="145"/>
      <c r="J254" s="145"/>
      <c r="K254" s="145"/>
      <c r="L254" s="145"/>
      <c r="M254" s="145"/>
      <c r="N254" s="145"/>
      <c r="O254" s="145"/>
      <c r="P254" s="145"/>
      <c r="R254" s="145"/>
      <c r="S254" s="145"/>
      <c r="T254" s="145"/>
      <c r="U254" s="145"/>
      <c r="V254" s="145"/>
      <c r="W254" s="145"/>
      <c r="X254" s="145"/>
      <c r="Z254" s="145"/>
      <c r="AA254" s="145"/>
      <c r="AB254" s="145"/>
      <c r="AC254" s="145"/>
      <c r="AD254" s="145"/>
      <c r="AE254" s="145"/>
      <c r="AF254" s="145"/>
    </row>
    <row r="255" spans="2:32" x14ac:dyDescent="0.25">
      <c r="B255" s="145"/>
      <c r="C255" s="145"/>
      <c r="D255" s="145"/>
      <c r="E255" s="145"/>
      <c r="F255" s="145"/>
      <c r="G255" s="145"/>
      <c r="H255" s="145"/>
      <c r="J255" s="145"/>
      <c r="K255" s="145"/>
      <c r="L255" s="145"/>
      <c r="M255" s="145"/>
      <c r="N255" s="145"/>
      <c r="O255" s="145"/>
      <c r="P255" s="145"/>
      <c r="R255" s="145"/>
      <c r="S255" s="145"/>
      <c r="T255" s="145"/>
      <c r="U255" s="145"/>
      <c r="V255" s="145"/>
      <c r="W255" s="145"/>
      <c r="X255" s="145"/>
      <c r="Z255" s="145"/>
      <c r="AA255" s="145"/>
      <c r="AB255" s="145"/>
      <c r="AC255" s="145"/>
      <c r="AD255" s="145"/>
      <c r="AE255" s="145"/>
      <c r="AF255" s="145"/>
    </row>
    <row r="256" spans="2:32" x14ac:dyDescent="0.25">
      <c r="B256" s="145"/>
      <c r="C256" s="145"/>
      <c r="D256" s="145"/>
      <c r="E256" s="145"/>
      <c r="F256" s="145"/>
      <c r="G256" s="145"/>
      <c r="H256" s="145"/>
      <c r="J256" s="145"/>
      <c r="K256" s="145"/>
      <c r="L256" s="145"/>
      <c r="M256" s="145"/>
      <c r="N256" s="145"/>
      <c r="O256" s="145"/>
      <c r="P256" s="145"/>
      <c r="R256" s="145"/>
      <c r="S256" s="145"/>
      <c r="T256" s="145"/>
      <c r="U256" s="145"/>
      <c r="V256" s="145"/>
      <c r="W256" s="145"/>
      <c r="X256" s="145"/>
      <c r="Z256" s="145"/>
      <c r="AA256" s="145"/>
      <c r="AB256" s="145"/>
      <c r="AC256" s="145"/>
      <c r="AD256" s="145"/>
      <c r="AE256" s="145"/>
      <c r="AF256" s="145"/>
    </row>
    <row r="257" spans="2:32" x14ac:dyDescent="0.25">
      <c r="B257" s="145"/>
      <c r="C257" s="145"/>
      <c r="D257" s="145"/>
      <c r="E257" s="145"/>
      <c r="F257" s="145"/>
      <c r="G257" s="145"/>
      <c r="H257" s="145"/>
      <c r="J257" s="145"/>
      <c r="K257" s="145"/>
      <c r="L257" s="145"/>
      <c r="M257" s="145"/>
      <c r="N257" s="145"/>
      <c r="O257" s="145"/>
      <c r="P257" s="145"/>
      <c r="R257" s="145"/>
      <c r="S257" s="145"/>
      <c r="T257" s="145"/>
      <c r="U257" s="145"/>
      <c r="V257" s="145"/>
      <c r="W257" s="145"/>
      <c r="X257" s="145"/>
      <c r="Z257" s="145"/>
      <c r="AA257" s="145"/>
      <c r="AB257" s="145"/>
      <c r="AC257" s="145"/>
      <c r="AD257" s="145"/>
      <c r="AE257" s="145"/>
      <c r="AF257" s="145"/>
    </row>
    <row r="258" spans="2:32" x14ac:dyDescent="0.25">
      <c r="B258" s="145"/>
      <c r="C258" s="145"/>
      <c r="D258" s="145"/>
      <c r="E258" s="145"/>
      <c r="F258" s="145"/>
      <c r="G258" s="145"/>
      <c r="H258" s="145"/>
      <c r="J258" s="145"/>
      <c r="K258" s="145"/>
      <c r="L258" s="145"/>
      <c r="M258" s="145"/>
      <c r="N258" s="145"/>
      <c r="O258" s="145"/>
      <c r="P258" s="145"/>
      <c r="R258" s="145"/>
      <c r="S258" s="145"/>
      <c r="T258" s="145"/>
      <c r="U258" s="145"/>
      <c r="V258" s="145"/>
      <c r="W258" s="145"/>
      <c r="X258" s="145"/>
      <c r="Z258" s="145"/>
      <c r="AA258" s="145"/>
      <c r="AB258" s="145"/>
      <c r="AC258" s="145"/>
      <c r="AD258" s="145"/>
      <c r="AE258" s="145"/>
      <c r="AF258" s="145"/>
    </row>
    <row r="259" spans="2:32" x14ac:dyDescent="0.25">
      <c r="B259" s="145"/>
      <c r="C259" s="145"/>
      <c r="D259" s="145"/>
      <c r="E259" s="145"/>
      <c r="F259" s="145"/>
      <c r="G259" s="145"/>
      <c r="H259" s="145"/>
      <c r="J259" s="145"/>
      <c r="K259" s="145"/>
      <c r="L259" s="145"/>
      <c r="M259" s="145"/>
      <c r="N259" s="145"/>
      <c r="O259" s="145"/>
      <c r="P259" s="145"/>
      <c r="R259" s="145"/>
      <c r="S259" s="145"/>
      <c r="T259" s="145"/>
      <c r="U259" s="145"/>
      <c r="V259" s="145"/>
      <c r="W259" s="145"/>
      <c r="X259" s="145"/>
      <c r="Z259" s="145"/>
      <c r="AA259" s="145"/>
      <c r="AB259" s="145"/>
      <c r="AC259" s="145"/>
      <c r="AD259" s="145"/>
      <c r="AE259" s="145"/>
      <c r="AF259" s="145"/>
    </row>
    <row r="260" spans="2:32" x14ac:dyDescent="0.25">
      <c r="B260" s="145"/>
      <c r="C260" s="145"/>
      <c r="D260" s="145"/>
      <c r="E260" s="145"/>
      <c r="F260" s="145"/>
      <c r="G260" s="145"/>
      <c r="H260" s="145"/>
      <c r="J260" s="145"/>
      <c r="K260" s="145"/>
      <c r="L260" s="145"/>
      <c r="M260" s="145"/>
      <c r="N260" s="145"/>
      <c r="O260" s="145"/>
      <c r="P260" s="145"/>
      <c r="R260" s="145"/>
      <c r="S260" s="145"/>
      <c r="T260" s="145"/>
      <c r="U260" s="145"/>
      <c r="V260" s="145"/>
      <c r="W260" s="145"/>
      <c r="X260" s="145"/>
      <c r="Z260" s="145"/>
      <c r="AA260" s="145"/>
      <c r="AB260" s="145"/>
      <c r="AC260" s="145"/>
      <c r="AD260" s="145"/>
      <c r="AE260" s="145"/>
      <c r="AF260" s="145"/>
    </row>
    <row r="261" spans="2:32" x14ac:dyDescent="0.25">
      <c r="B261" s="145"/>
      <c r="C261" s="145"/>
      <c r="D261" s="145"/>
      <c r="E261" s="145"/>
      <c r="F261" s="145"/>
      <c r="G261" s="145"/>
      <c r="H261" s="145"/>
      <c r="J261" s="145"/>
      <c r="K261" s="145"/>
      <c r="L261" s="145"/>
      <c r="M261" s="145"/>
      <c r="N261" s="145"/>
      <c r="O261" s="145"/>
      <c r="P261" s="145"/>
      <c r="R261" s="145"/>
      <c r="S261" s="145"/>
      <c r="T261" s="145"/>
      <c r="U261" s="145"/>
      <c r="V261" s="145"/>
      <c r="W261" s="145"/>
      <c r="X261" s="145"/>
      <c r="Z261" s="145"/>
      <c r="AA261" s="145"/>
      <c r="AB261" s="145"/>
      <c r="AC261" s="145"/>
      <c r="AD261" s="145"/>
      <c r="AE261" s="145"/>
      <c r="AF261" s="145"/>
    </row>
    <row r="262" spans="2:32" x14ac:dyDescent="0.25">
      <c r="B262" s="145"/>
      <c r="C262" s="145"/>
      <c r="D262" s="145"/>
      <c r="E262" s="145"/>
      <c r="F262" s="145"/>
      <c r="G262" s="145"/>
      <c r="H262" s="145"/>
      <c r="J262" s="145"/>
      <c r="K262" s="145"/>
      <c r="L262" s="145"/>
      <c r="M262" s="145"/>
      <c r="N262" s="145"/>
      <c r="O262" s="145"/>
      <c r="P262" s="145"/>
      <c r="R262" s="145"/>
      <c r="S262" s="145"/>
      <c r="T262" s="145"/>
      <c r="U262" s="145"/>
      <c r="V262" s="145"/>
      <c r="W262" s="145"/>
      <c r="X262" s="145"/>
      <c r="Z262" s="145"/>
      <c r="AA262" s="145"/>
      <c r="AB262" s="145"/>
      <c r="AC262" s="145"/>
      <c r="AD262" s="145"/>
      <c r="AE262" s="145"/>
      <c r="AF262" s="145"/>
    </row>
    <row r="263" spans="2:32" x14ac:dyDescent="0.25">
      <c r="B263" s="145"/>
      <c r="C263" s="145"/>
      <c r="D263" s="145"/>
      <c r="E263" s="145"/>
      <c r="F263" s="145"/>
      <c r="G263" s="145"/>
      <c r="H263" s="145"/>
      <c r="J263" s="145"/>
      <c r="K263" s="145"/>
      <c r="L263" s="145"/>
      <c r="M263" s="145"/>
      <c r="N263" s="145"/>
      <c r="O263" s="145"/>
      <c r="P263" s="145"/>
      <c r="R263" s="145"/>
      <c r="S263" s="145"/>
      <c r="T263" s="145"/>
      <c r="U263" s="145"/>
      <c r="V263" s="145"/>
      <c r="W263" s="145"/>
      <c r="X263" s="145"/>
      <c r="Z263" s="145"/>
      <c r="AA263" s="145"/>
      <c r="AB263" s="145"/>
      <c r="AC263" s="145"/>
      <c r="AD263" s="145"/>
      <c r="AE263" s="145"/>
      <c r="AF263" s="145"/>
    </row>
    <row r="264" spans="2:32" x14ac:dyDescent="0.25">
      <c r="B264" s="145"/>
      <c r="C264" s="145"/>
      <c r="D264" s="145"/>
      <c r="E264" s="145"/>
      <c r="F264" s="145"/>
      <c r="G264" s="145"/>
      <c r="H264" s="145"/>
      <c r="J264" s="145"/>
      <c r="K264" s="145"/>
      <c r="L264" s="145"/>
      <c r="M264" s="145"/>
      <c r="N264" s="145"/>
      <c r="O264" s="145"/>
      <c r="P264" s="145"/>
      <c r="R264" s="145"/>
      <c r="S264" s="145"/>
      <c r="T264" s="145"/>
      <c r="U264" s="145"/>
      <c r="V264" s="145"/>
      <c r="W264" s="145"/>
      <c r="X264" s="145"/>
      <c r="Z264" s="145"/>
      <c r="AA264" s="145"/>
      <c r="AB264" s="145"/>
      <c r="AC264" s="145"/>
      <c r="AD264" s="145"/>
      <c r="AE264" s="145"/>
      <c r="AF264" s="145"/>
    </row>
    <row r="265" spans="2:32" x14ac:dyDescent="0.25">
      <c r="B265" s="145"/>
      <c r="C265" s="145"/>
      <c r="D265" s="145"/>
      <c r="E265" s="145"/>
      <c r="F265" s="145"/>
      <c r="G265" s="145"/>
      <c r="H265" s="145"/>
      <c r="J265" s="145"/>
      <c r="K265" s="145"/>
      <c r="L265" s="145"/>
      <c r="M265" s="145"/>
      <c r="N265" s="145"/>
      <c r="O265" s="145"/>
      <c r="P265" s="145"/>
      <c r="R265" s="145"/>
      <c r="S265" s="145"/>
      <c r="T265" s="145"/>
      <c r="U265" s="145"/>
      <c r="V265" s="145"/>
      <c r="W265" s="145"/>
      <c r="X265" s="145"/>
      <c r="Z265" s="145"/>
      <c r="AA265" s="145"/>
      <c r="AB265" s="145"/>
      <c r="AC265" s="145"/>
      <c r="AD265" s="145"/>
      <c r="AE265" s="145"/>
      <c r="AF265" s="145"/>
    </row>
    <row r="266" spans="2:32" x14ac:dyDescent="0.25">
      <c r="B266" s="145"/>
      <c r="C266" s="145"/>
      <c r="D266" s="145"/>
      <c r="E266" s="145"/>
      <c r="F266" s="145"/>
      <c r="G266" s="145"/>
      <c r="H266" s="145"/>
      <c r="J266" s="145"/>
      <c r="K266" s="145"/>
      <c r="L266" s="145"/>
      <c r="M266" s="145"/>
      <c r="N266" s="145"/>
      <c r="O266" s="145"/>
      <c r="P266" s="145"/>
      <c r="R266" s="145"/>
      <c r="S266" s="145"/>
      <c r="T266" s="145"/>
      <c r="U266" s="145"/>
      <c r="V266" s="145"/>
      <c r="W266" s="145"/>
      <c r="X266" s="145"/>
      <c r="Z266" s="145"/>
      <c r="AA266" s="145"/>
      <c r="AB266" s="145"/>
      <c r="AC266" s="145"/>
      <c r="AD266" s="145"/>
      <c r="AE266" s="145"/>
      <c r="AF266" s="145"/>
    </row>
    <row r="267" spans="2:32" x14ac:dyDescent="0.25">
      <c r="B267" s="145"/>
      <c r="C267" s="145"/>
      <c r="D267" s="145"/>
      <c r="E267" s="145"/>
      <c r="F267" s="145"/>
      <c r="G267" s="145"/>
      <c r="H267" s="145"/>
      <c r="J267" s="145"/>
      <c r="K267" s="145"/>
      <c r="L267" s="145"/>
      <c r="M267" s="145"/>
      <c r="N267" s="145"/>
      <c r="O267" s="145"/>
      <c r="P267" s="145"/>
      <c r="R267" s="145"/>
      <c r="S267" s="145"/>
      <c r="T267" s="145"/>
      <c r="U267" s="145"/>
      <c r="V267" s="145"/>
      <c r="W267" s="145"/>
      <c r="X267" s="145"/>
      <c r="Z267" s="145"/>
      <c r="AA267" s="145"/>
      <c r="AB267" s="145"/>
      <c r="AC267" s="145"/>
      <c r="AD267" s="145"/>
      <c r="AE267" s="145"/>
      <c r="AF267" s="145"/>
    </row>
    <row r="268" spans="2:32" x14ac:dyDescent="0.25">
      <c r="B268" s="145"/>
      <c r="C268" s="145"/>
      <c r="D268" s="145"/>
      <c r="E268" s="145"/>
      <c r="F268" s="145"/>
      <c r="G268" s="145"/>
      <c r="H268" s="145"/>
      <c r="J268" s="145"/>
      <c r="K268" s="145"/>
      <c r="L268" s="145"/>
      <c r="M268" s="145"/>
      <c r="N268" s="145"/>
      <c r="O268" s="145"/>
      <c r="P268" s="145"/>
      <c r="R268" s="145"/>
      <c r="S268" s="145"/>
      <c r="T268" s="145"/>
      <c r="U268" s="145"/>
      <c r="V268" s="145"/>
      <c r="W268" s="145"/>
      <c r="X268" s="145"/>
      <c r="Z268" s="145"/>
      <c r="AA268" s="145"/>
      <c r="AB268" s="145"/>
      <c r="AC268" s="145"/>
      <c r="AD268" s="145"/>
      <c r="AE268" s="145"/>
      <c r="AF268" s="145"/>
    </row>
    <row r="269" spans="2:32" x14ac:dyDescent="0.25">
      <c r="B269" s="145"/>
      <c r="C269" s="145"/>
      <c r="D269" s="145"/>
      <c r="E269" s="145"/>
      <c r="F269" s="145"/>
      <c r="G269" s="145"/>
      <c r="H269" s="145"/>
      <c r="J269" s="145"/>
      <c r="K269" s="145"/>
      <c r="L269" s="145"/>
      <c r="M269" s="145"/>
      <c r="N269" s="145"/>
      <c r="O269" s="145"/>
      <c r="P269" s="145"/>
      <c r="R269" s="145"/>
      <c r="S269" s="145"/>
      <c r="T269" s="145"/>
      <c r="U269" s="145"/>
      <c r="V269" s="145"/>
      <c r="W269" s="145"/>
      <c r="X269" s="145"/>
      <c r="Z269" s="145"/>
      <c r="AA269" s="145"/>
      <c r="AB269" s="145"/>
      <c r="AC269" s="145"/>
      <c r="AD269" s="145"/>
      <c r="AE269" s="145"/>
      <c r="AF269" s="145"/>
    </row>
    <row r="270" spans="2:32" x14ac:dyDescent="0.25">
      <c r="B270" s="145"/>
      <c r="C270" s="145"/>
      <c r="D270" s="145"/>
      <c r="E270" s="145"/>
      <c r="F270" s="145"/>
      <c r="G270" s="145"/>
      <c r="H270" s="145"/>
      <c r="J270" s="145"/>
      <c r="K270" s="145"/>
      <c r="L270" s="145"/>
      <c r="M270" s="145"/>
      <c r="N270" s="145"/>
      <c r="O270" s="145"/>
      <c r="P270" s="145"/>
      <c r="R270" s="145"/>
      <c r="S270" s="145"/>
      <c r="T270" s="145"/>
      <c r="U270" s="145"/>
      <c r="V270" s="145"/>
      <c r="W270" s="145"/>
      <c r="X270" s="145"/>
      <c r="Z270" s="145"/>
      <c r="AA270" s="145"/>
      <c r="AB270" s="145"/>
      <c r="AC270" s="145"/>
      <c r="AD270" s="145"/>
      <c r="AE270" s="145"/>
      <c r="AF270" s="145"/>
    </row>
    <row r="271" spans="2:32" x14ac:dyDescent="0.25">
      <c r="B271" s="145"/>
      <c r="C271" s="145"/>
      <c r="D271" s="145"/>
      <c r="E271" s="145"/>
      <c r="F271" s="145"/>
      <c r="G271" s="145"/>
      <c r="H271" s="145"/>
      <c r="J271" s="145"/>
      <c r="K271" s="145"/>
      <c r="L271" s="145"/>
      <c r="M271" s="145"/>
      <c r="N271" s="145"/>
      <c r="O271" s="145"/>
      <c r="P271" s="145"/>
      <c r="R271" s="145"/>
      <c r="S271" s="145"/>
      <c r="T271" s="145"/>
      <c r="U271" s="145"/>
      <c r="V271" s="145"/>
      <c r="W271" s="145"/>
      <c r="X271" s="145"/>
      <c r="Z271" s="145"/>
      <c r="AA271" s="145"/>
      <c r="AB271" s="145"/>
      <c r="AC271" s="145"/>
      <c r="AD271" s="145"/>
      <c r="AE271" s="145"/>
      <c r="AF271" s="145"/>
    </row>
    <row r="272" spans="2:32" x14ac:dyDescent="0.25">
      <c r="B272" s="145"/>
      <c r="C272" s="145"/>
      <c r="D272" s="145"/>
      <c r="E272" s="145"/>
      <c r="F272" s="145"/>
      <c r="G272" s="145"/>
      <c r="H272" s="145"/>
      <c r="J272" s="145"/>
      <c r="K272" s="145"/>
      <c r="L272" s="145"/>
      <c r="M272" s="145"/>
      <c r="N272" s="145"/>
      <c r="O272" s="145"/>
      <c r="P272" s="145"/>
      <c r="R272" s="145"/>
      <c r="S272" s="145"/>
      <c r="T272" s="145"/>
      <c r="U272" s="145"/>
      <c r="V272" s="145"/>
      <c r="W272" s="145"/>
      <c r="X272" s="145"/>
      <c r="Z272" s="145"/>
      <c r="AA272" s="145"/>
      <c r="AB272" s="145"/>
      <c r="AC272" s="145"/>
      <c r="AD272" s="145"/>
      <c r="AE272" s="145"/>
      <c r="AF272" s="145"/>
    </row>
    <row r="273" spans="2:32" x14ac:dyDescent="0.25">
      <c r="B273" s="145"/>
      <c r="C273" s="145"/>
      <c r="D273" s="145"/>
      <c r="E273" s="145"/>
      <c r="F273" s="145"/>
      <c r="G273" s="145"/>
      <c r="H273" s="145"/>
      <c r="J273" s="145"/>
      <c r="K273" s="145"/>
      <c r="L273" s="145"/>
      <c r="M273" s="145"/>
      <c r="N273" s="145"/>
      <c r="O273" s="145"/>
      <c r="P273" s="145"/>
      <c r="R273" s="145"/>
      <c r="S273" s="145"/>
      <c r="T273" s="145"/>
      <c r="U273" s="145"/>
      <c r="V273" s="145"/>
      <c r="W273" s="145"/>
      <c r="X273" s="145"/>
      <c r="Z273" s="145"/>
      <c r="AA273" s="145"/>
      <c r="AB273" s="145"/>
      <c r="AC273" s="145"/>
      <c r="AD273" s="145"/>
      <c r="AE273" s="145"/>
      <c r="AF273" s="145"/>
    </row>
    <row r="274" spans="2:32" x14ac:dyDescent="0.25">
      <c r="B274" s="145"/>
      <c r="C274" s="145"/>
      <c r="D274" s="145"/>
      <c r="E274" s="145"/>
      <c r="F274" s="145"/>
      <c r="G274" s="145"/>
      <c r="H274" s="145"/>
      <c r="J274" s="145"/>
      <c r="K274" s="145"/>
      <c r="L274" s="145"/>
      <c r="M274" s="145"/>
      <c r="N274" s="145"/>
      <c r="O274" s="145"/>
      <c r="P274" s="145"/>
      <c r="R274" s="145"/>
      <c r="S274" s="145"/>
      <c r="T274" s="145"/>
      <c r="U274" s="145"/>
      <c r="V274" s="145"/>
      <c r="W274" s="145"/>
      <c r="X274" s="145"/>
      <c r="Z274" s="145"/>
      <c r="AA274" s="145"/>
      <c r="AB274" s="145"/>
      <c r="AC274" s="145"/>
      <c r="AD274" s="145"/>
      <c r="AE274" s="145"/>
      <c r="AF274" s="145"/>
    </row>
    <row r="275" spans="2:32" x14ac:dyDescent="0.25">
      <c r="B275" s="145"/>
      <c r="C275" s="145"/>
      <c r="D275" s="145"/>
      <c r="E275" s="145"/>
      <c r="F275" s="145"/>
      <c r="G275" s="145"/>
      <c r="H275" s="145"/>
      <c r="J275" s="145"/>
      <c r="K275" s="145"/>
      <c r="L275" s="145"/>
      <c r="M275" s="145"/>
      <c r="N275" s="145"/>
      <c r="O275" s="145"/>
      <c r="P275" s="145"/>
      <c r="R275" s="145"/>
      <c r="S275" s="145"/>
      <c r="T275" s="145"/>
      <c r="U275" s="145"/>
      <c r="V275" s="145"/>
      <c r="W275" s="145"/>
      <c r="X275" s="145"/>
      <c r="Z275" s="145"/>
      <c r="AA275" s="145"/>
      <c r="AB275" s="145"/>
      <c r="AC275" s="145"/>
      <c r="AD275" s="145"/>
      <c r="AE275" s="145"/>
      <c r="AF275" s="145"/>
    </row>
    <row r="276" spans="2:32" x14ac:dyDescent="0.25">
      <c r="B276" s="145"/>
      <c r="C276" s="145"/>
      <c r="D276" s="145"/>
      <c r="E276" s="145"/>
      <c r="F276" s="145"/>
      <c r="G276" s="145"/>
      <c r="H276" s="145"/>
      <c r="J276" s="145"/>
      <c r="K276" s="145"/>
      <c r="L276" s="145"/>
      <c r="M276" s="145"/>
      <c r="N276" s="145"/>
      <c r="O276" s="145"/>
      <c r="P276" s="145"/>
      <c r="R276" s="145"/>
      <c r="S276" s="145"/>
      <c r="T276" s="145"/>
      <c r="U276" s="145"/>
      <c r="V276" s="145"/>
      <c r="W276" s="145"/>
      <c r="X276" s="145"/>
      <c r="Z276" s="145"/>
      <c r="AA276" s="145"/>
      <c r="AB276" s="145"/>
      <c r="AC276" s="145"/>
      <c r="AD276" s="145"/>
      <c r="AE276" s="145"/>
      <c r="AF276" s="145"/>
    </row>
    <row r="277" spans="2:32" x14ac:dyDescent="0.25">
      <c r="B277" s="145"/>
      <c r="C277" s="145"/>
      <c r="D277" s="145"/>
      <c r="E277" s="145"/>
      <c r="F277" s="145"/>
      <c r="G277" s="145"/>
      <c r="H277" s="145"/>
      <c r="J277" s="145"/>
      <c r="K277" s="145"/>
      <c r="L277" s="145"/>
      <c r="M277" s="145"/>
      <c r="N277" s="145"/>
      <c r="O277" s="145"/>
      <c r="P277" s="145"/>
      <c r="R277" s="145"/>
      <c r="S277" s="145"/>
      <c r="T277" s="145"/>
      <c r="U277" s="145"/>
      <c r="V277" s="145"/>
      <c r="W277" s="145"/>
      <c r="X277" s="145"/>
      <c r="Z277" s="145"/>
      <c r="AA277" s="145"/>
      <c r="AB277" s="145"/>
      <c r="AC277" s="145"/>
      <c r="AD277" s="145"/>
      <c r="AE277" s="145"/>
      <c r="AF277" s="145"/>
    </row>
    <row r="278" spans="2:32" x14ac:dyDescent="0.25">
      <c r="B278" s="145"/>
      <c r="C278" s="145"/>
      <c r="D278" s="145"/>
      <c r="E278" s="145"/>
      <c r="F278" s="145"/>
      <c r="G278" s="145"/>
      <c r="H278" s="145"/>
      <c r="J278" s="145"/>
      <c r="K278" s="145"/>
      <c r="L278" s="145"/>
      <c r="M278" s="145"/>
      <c r="N278" s="145"/>
      <c r="O278" s="145"/>
      <c r="P278" s="145"/>
      <c r="R278" s="145"/>
      <c r="S278" s="145"/>
      <c r="T278" s="145"/>
      <c r="U278" s="145"/>
      <c r="V278" s="145"/>
      <c r="W278" s="145"/>
      <c r="X278" s="145"/>
      <c r="Z278" s="145"/>
      <c r="AA278" s="145"/>
      <c r="AB278" s="145"/>
      <c r="AC278" s="145"/>
      <c r="AD278" s="145"/>
      <c r="AE278" s="145"/>
      <c r="AF278" s="145"/>
    </row>
    <row r="279" spans="2:32" x14ac:dyDescent="0.25">
      <c r="B279" s="145"/>
      <c r="C279" s="145"/>
      <c r="D279" s="145"/>
      <c r="E279" s="145"/>
      <c r="F279" s="145"/>
      <c r="G279" s="145"/>
      <c r="H279" s="145"/>
      <c r="J279" s="145"/>
      <c r="K279" s="145"/>
      <c r="L279" s="145"/>
      <c r="M279" s="145"/>
      <c r="N279" s="145"/>
      <c r="O279" s="145"/>
      <c r="P279" s="145"/>
      <c r="R279" s="145"/>
      <c r="S279" s="145"/>
      <c r="T279" s="145"/>
      <c r="U279" s="145"/>
      <c r="V279" s="145"/>
      <c r="W279" s="145"/>
      <c r="X279" s="145"/>
      <c r="Z279" s="145"/>
      <c r="AA279" s="145"/>
      <c r="AB279" s="145"/>
      <c r="AC279" s="145"/>
      <c r="AD279" s="145"/>
      <c r="AE279" s="145"/>
      <c r="AF279" s="145"/>
    </row>
    <row r="280" spans="2:32" x14ac:dyDescent="0.25">
      <c r="B280" s="145"/>
      <c r="C280" s="145"/>
      <c r="D280" s="145"/>
      <c r="E280" s="145"/>
      <c r="F280" s="145"/>
      <c r="G280" s="145"/>
      <c r="H280" s="145"/>
      <c r="J280" s="145"/>
      <c r="K280" s="145"/>
      <c r="L280" s="145"/>
      <c r="M280" s="145"/>
      <c r="N280" s="145"/>
      <c r="O280" s="145"/>
      <c r="P280" s="145"/>
      <c r="R280" s="145"/>
      <c r="S280" s="145"/>
      <c r="T280" s="145"/>
      <c r="U280" s="145"/>
      <c r="V280" s="145"/>
      <c r="W280" s="145"/>
      <c r="X280" s="145"/>
      <c r="Z280" s="145"/>
      <c r="AA280" s="145"/>
      <c r="AB280" s="145"/>
      <c r="AC280" s="145"/>
      <c r="AD280" s="145"/>
      <c r="AE280" s="145"/>
      <c r="AF280" s="145"/>
    </row>
    <row r="281" spans="2:32" x14ac:dyDescent="0.25">
      <c r="B281" s="145"/>
      <c r="C281" s="145"/>
      <c r="D281" s="145"/>
      <c r="E281" s="145"/>
      <c r="F281" s="145"/>
      <c r="G281" s="145"/>
      <c r="H281" s="145"/>
      <c r="J281" s="145"/>
      <c r="K281" s="145"/>
      <c r="L281" s="145"/>
      <c r="M281" s="145"/>
      <c r="N281" s="145"/>
      <c r="O281" s="145"/>
      <c r="P281" s="145"/>
      <c r="R281" s="145"/>
      <c r="S281" s="145"/>
      <c r="T281" s="145"/>
      <c r="U281" s="145"/>
      <c r="V281" s="145"/>
      <c r="W281" s="145"/>
      <c r="X281" s="145"/>
      <c r="Z281" s="145"/>
      <c r="AA281" s="145"/>
      <c r="AB281" s="145"/>
      <c r="AC281" s="145"/>
      <c r="AD281" s="145"/>
      <c r="AE281" s="145"/>
      <c r="AF281" s="145"/>
    </row>
    <row r="282" spans="2:32" x14ac:dyDescent="0.25">
      <c r="B282" s="145"/>
      <c r="C282" s="145"/>
      <c r="D282" s="145"/>
      <c r="E282" s="145"/>
      <c r="F282" s="145"/>
      <c r="G282" s="145"/>
      <c r="H282" s="145"/>
      <c r="J282" s="145"/>
      <c r="K282" s="145"/>
      <c r="L282" s="145"/>
      <c r="M282" s="145"/>
      <c r="N282" s="145"/>
      <c r="O282" s="145"/>
      <c r="P282" s="145"/>
      <c r="R282" s="145"/>
      <c r="S282" s="145"/>
      <c r="T282" s="145"/>
      <c r="U282" s="145"/>
      <c r="V282" s="145"/>
      <c r="W282" s="145"/>
      <c r="X282" s="145"/>
      <c r="Z282" s="145"/>
      <c r="AA282" s="145"/>
      <c r="AB282" s="145"/>
      <c r="AC282" s="145"/>
      <c r="AD282" s="145"/>
      <c r="AE282" s="145"/>
      <c r="AF282" s="145"/>
    </row>
    <row r="283" spans="2:32" x14ac:dyDescent="0.25">
      <c r="B283" s="145"/>
      <c r="C283" s="145"/>
      <c r="D283" s="145"/>
      <c r="E283" s="145"/>
      <c r="F283" s="145"/>
      <c r="G283" s="145"/>
      <c r="H283" s="145"/>
      <c r="J283" s="145"/>
      <c r="K283" s="145"/>
      <c r="L283" s="145"/>
      <c r="M283" s="145"/>
      <c r="N283" s="145"/>
      <c r="O283" s="145"/>
      <c r="P283" s="145"/>
      <c r="R283" s="145"/>
      <c r="S283" s="145"/>
      <c r="T283" s="145"/>
      <c r="U283" s="145"/>
      <c r="V283" s="145"/>
      <c r="W283" s="145"/>
      <c r="X283" s="145"/>
      <c r="Z283" s="145"/>
      <c r="AA283" s="145"/>
      <c r="AB283" s="145"/>
      <c r="AC283" s="145"/>
      <c r="AD283" s="145"/>
      <c r="AE283" s="145"/>
      <c r="AF283" s="145"/>
    </row>
    <row r="284" spans="2:32" x14ac:dyDescent="0.25">
      <c r="B284" s="145"/>
      <c r="C284" s="145"/>
      <c r="D284" s="145"/>
      <c r="E284" s="145"/>
      <c r="F284" s="145"/>
      <c r="G284" s="145"/>
      <c r="H284" s="145"/>
      <c r="J284" s="145"/>
      <c r="K284" s="145"/>
      <c r="L284" s="145"/>
      <c r="M284" s="145"/>
      <c r="N284" s="145"/>
      <c r="O284" s="145"/>
      <c r="P284" s="145"/>
      <c r="R284" s="145"/>
      <c r="S284" s="145"/>
      <c r="T284" s="145"/>
      <c r="U284" s="145"/>
      <c r="V284" s="145"/>
      <c r="W284" s="145"/>
      <c r="X284" s="145"/>
      <c r="Z284" s="145"/>
      <c r="AA284" s="145"/>
      <c r="AB284" s="145"/>
      <c r="AC284" s="145"/>
      <c r="AD284" s="145"/>
      <c r="AE284" s="145"/>
      <c r="AF284" s="145"/>
    </row>
    <row r="285" spans="2:32" x14ac:dyDescent="0.25">
      <c r="B285" s="145"/>
      <c r="C285" s="145"/>
      <c r="D285" s="145"/>
      <c r="E285" s="145"/>
      <c r="F285" s="145"/>
      <c r="G285" s="145"/>
      <c r="H285" s="145"/>
      <c r="J285" s="145"/>
      <c r="K285" s="145"/>
      <c r="L285" s="145"/>
      <c r="M285" s="145"/>
      <c r="N285" s="145"/>
      <c r="O285" s="145"/>
      <c r="P285" s="145"/>
      <c r="R285" s="145"/>
      <c r="S285" s="145"/>
      <c r="T285" s="145"/>
      <c r="U285" s="145"/>
      <c r="V285" s="145"/>
      <c r="W285" s="145"/>
      <c r="X285" s="145"/>
      <c r="Z285" s="145"/>
      <c r="AA285" s="145"/>
      <c r="AB285" s="145"/>
      <c r="AC285" s="145"/>
      <c r="AD285" s="145"/>
      <c r="AE285" s="145"/>
      <c r="AF285" s="145"/>
    </row>
    <row r="286" spans="2:32" x14ac:dyDescent="0.25">
      <c r="B286" s="145"/>
      <c r="C286" s="145"/>
      <c r="D286" s="145"/>
      <c r="E286" s="145"/>
      <c r="F286" s="145"/>
      <c r="G286" s="145"/>
      <c r="H286" s="145"/>
      <c r="J286" s="145"/>
      <c r="K286" s="145"/>
      <c r="L286" s="145"/>
      <c r="M286" s="145"/>
      <c r="N286" s="145"/>
      <c r="O286" s="145"/>
      <c r="P286" s="145"/>
      <c r="R286" s="145"/>
      <c r="S286" s="145"/>
      <c r="T286" s="145"/>
      <c r="U286" s="145"/>
      <c r="V286" s="145"/>
      <c r="W286" s="145"/>
      <c r="X286" s="145"/>
      <c r="Z286" s="145"/>
      <c r="AA286" s="145"/>
      <c r="AB286" s="145"/>
      <c r="AC286" s="145"/>
      <c r="AD286" s="145"/>
      <c r="AE286" s="145"/>
      <c r="AF286" s="145"/>
    </row>
    <row r="287" spans="2:32" x14ac:dyDescent="0.25">
      <c r="B287" s="145"/>
      <c r="C287" s="145"/>
      <c r="D287" s="145"/>
      <c r="E287" s="145"/>
      <c r="F287" s="145"/>
      <c r="G287" s="145"/>
      <c r="H287" s="145"/>
      <c r="J287" s="145"/>
      <c r="K287" s="145"/>
      <c r="L287" s="145"/>
      <c r="M287" s="145"/>
      <c r="N287" s="145"/>
      <c r="O287" s="145"/>
      <c r="P287" s="145"/>
      <c r="R287" s="145"/>
      <c r="S287" s="145"/>
      <c r="T287" s="145"/>
      <c r="U287" s="145"/>
      <c r="V287" s="145"/>
      <c r="W287" s="145"/>
      <c r="X287" s="145"/>
      <c r="Z287" s="145"/>
      <c r="AA287" s="145"/>
      <c r="AB287" s="145"/>
      <c r="AC287" s="145"/>
      <c r="AD287" s="145"/>
      <c r="AE287" s="145"/>
      <c r="AF287" s="145"/>
    </row>
    <row r="288" spans="2:32" x14ac:dyDescent="0.25">
      <c r="B288" s="145"/>
      <c r="C288" s="145"/>
      <c r="D288" s="145"/>
      <c r="E288" s="145"/>
      <c r="F288" s="145"/>
      <c r="G288" s="145"/>
      <c r="H288" s="145"/>
      <c r="J288" s="145"/>
      <c r="K288" s="145"/>
      <c r="L288" s="145"/>
      <c r="M288" s="145"/>
      <c r="N288" s="145"/>
      <c r="O288" s="145"/>
      <c r="P288" s="145"/>
      <c r="R288" s="145"/>
      <c r="S288" s="145"/>
      <c r="T288" s="145"/>
      <c r="U288" s="145"/>
      <c r="V288" s="145"/>
      <c r="W288" s="145"/>
      <c r="X288" s="145"/>
      <c r="Z288" s="145"/>
      <c r="AA288" s="145"/>
      <c r="AB288" s="145"/>
      <c r="AC288" s="145"/>
      <c r="AD288" s="145"/>
      <c r="AE288" s="145"/>
      <c r="AF288" s="145"/>
    </row>
    <row r="289" spans="2:32" x14ac:dyDescent="0.25">
      <c r="B289" s="145"/>
      <c r="C289" s="145"/>
      <c r="D289" s="145"/>
      <c r="E289" s="145"/>
      <c r="F289" s="145"/>
      <c r="G289" s="145"/>
      <c r="H289" s="145"/>
      <c r="J289" s="145"/>
      <c r="K289" s="145"/>
      <c r="L289" s="145"/>
      <c r="M289" s="145"/>
      <c r="N289" s="145"/>
      <c r="O289" s="145"/>
      <c r="P289" s="145"/>
      <c r="R289" s="145"/>
      <c r="S289" s="145"/>
      <c r="T289" s="145"/>
      <c r="U289" s="145"/>
      <c r="V289" s="145"/>
      <c r="W289" s="145"/>
      <c r="X289" s="145"/>
      <c r="Z289" s="145"/>
      <c r="AA289" s="145"/>
      <c r="AB289" s="145"/>
      <c r="AC289" s="145"/>
      <c r="AD289" s="145"/>
      <c r="AE289" s="145"/>
      <c r="AF289" s="145"/>
    </row>
    <row r="290" spans="2:32" x14ac:dyDescent="0.25">
      <c r="B290" s="145"/>
      <c r="C290" s="145"/>
      <c r="D290" s="145"/>
      <c r="E290" s="145"/>
      <c r="F290" s="145"/>
      <c r="G290" s="145"/>
      <c r="H290" s="145"/>
      <c r="J290" s="145"/>
      <c r="K290" s="145"/>
      <c r="L290" s="145"/>
      <c r="M290" s="145"/>
      <c r="N290" s="145"/>
      <c r="O290" s="145"/>
      <c r="P290" s="145"/>
      <c r="R290" s="145"/>
      <c r="S290" s="145"/>
      <c r="T290" s="145"/>
      <c r="U290" s="145"/>
      <c r="V290" s="145"/>
      <c r="W290" s="145"/>
      <c r="X290" s="145"/>
      <c r="Z290" s="145"/>
      <c r="AA290" s="145"/>
      <c r="AB290" s="145"/>
      <c r="AC290" s="145"/>
      <c r="AD290" s="145"/>
      <c r="AE290" s="145"/>
      <c r="AF290" s="145"/>
    </row>
    <row r="291" spans="2:32" x14ac:dyDescent="0.25">
      <c r="B291" s="145"/>
      <c r="C291" s="145"/>
      <c r="D291" s="145"/>
      <c r="E291" s="145"/>
      <c r="F291" s="145"/>
      <c r="G291" s="145"/>
      <c r="H291" s="145"/>
      <c r="J291" s="145"/>
      <c r="K291" s="145"/>
      <c r="L291" s="145"/>
      <c r="M291" s="145"/>
      <c r="N291" s="145"/>
      <c r="O291" s="145"/>
      <c r="P291" s="145"/>
      <c r="R291" s="145"/>
      <c r="S291" s="145"/>
      <c r="T291" s="145"/>
      <c r="U291" s="145"/>
      <c r="V291" s="145"/>
      <c r="W291" s="145"/>
      <c r="X291" s="145"/>
      <c r="Z291" s="145"/>
      <c r="AA291" s="145"/>
      <c r="AB291" s="145"/>
      <c r="AC291" s="145"/>
      <c r="AD291" s="145"/>
      <c r="AE291" s="145"/>
      <c r="AF291" s="145"/>
    </row>
    <row r="292" spans="2:32" x14ac:dyDescent="0.25">
      <c r="B292" s="145"/>
      <c r="C292" s="145"/>
      <c r="D292" s="145"/>
      <c r="E292" s="145"/>
      <c r="F292" s="145"/>
      <c r="G292" s="145"/>
      <c r="H292" s="145"/>
      <c r="J292" s="145"/>
      <c r="K292" s="145"/>
      <c r="L292" s="145"/>
      <c r="M292" s="145"/>
      <c r="N292" s="145"/>
      <c r="O292" s="145"/>
      <c r="P292" s="145"/>
      <c r="R292" s="145"/>
      <c r="S292" s="145"/>
      <c r="T292" s="145"/>
      <c r="U292" s="145"/>
      <c r="V292" s="145"/>
      <c r="W292" s="145"/>
      <c r="X292" s="145"/>
      <c r="Z292" s="145"/>
      <c r="AA292" s="145"/>
      <c r="AB292" s="145"/>
      <c r="AC292" s="145"/>
      <c r="AD292" s="145"/>
      <c r="AE292" s="145"/>
      <c r="AF292" s="145"/>
    </row>
    <row r="293" spans="2:32" x14ac:dyDescent="0.25">
      <c r="B293" s="145"/>
      <c r="C293" s="145"/>
      <c r="D293" s="145"/>
      <c r="E293" s="145"/>
      <c r="F293" s="145"/>
      <c r="G293" s="145"/>
      <c r="H293" s="145"/>
      <c r="J293" s="145"/>
      <c r="K293" s="145"/>
      <c r="L293" s="145"/>
      <c r="M293" s="145"/>
      <c r="N293" s="145"/>
      <c r="O293" s="145"/>
      <c r="P293" s="145"/>
      <c r="R293" s="145"/>
      <c r="S293" s="145"/>
      <c r="T293" s="145"/>
      <c r="U293" s="145"/>
      <c r="V293" s="145"/>
      <c r="W293" s="145"/>
      <c r="X293" s="145"/>
      <c r="Z293" s="145"/>
      <c r="AA293" s="145"/>
      <c r="AB293" s="145"/>
      <c r="AC293" s="145"/>
      <c r="AD293" s="145"/>
      <c r="AE293" s="145"/>
      <c r="AF293" s="145"/>
    </row>
    <row r="294" spans="2:32" x14ac:dyDescent="0.25">
      <c r="B294" s="145"/>
      <c r="C294" s="145"/>
      <c r="D294" s="145"/>
      <c r="E294" s="145"/>
      <c r="F294" s="145"/>
      <c r="G294" s="145"/>
      <c r="H294" s="145"/>
      <c r="J294" s="145"/>
      <c r="K294" s="145"/>
      <c r="L294" s="145"/>
      <c r="M294" s="145"/>
      <c r="N294" s="145"/>
      <c r="O294" s="145"/>
      <c r="P294" s="145"/>
      <c r="R294" s="145"/>
      <c r="S294" s="145"/>
      <c r="T294" s="145"/>
      <c r="U294" s="145"/>
      <c r="V294" s="145"/>
      <c r="W294" s="145"/>
      <c r="X294" s="145"/>
      <c r="Z294" s="145"/>
      <c r="AA294" s="145"/>
      <c r="AB294" s="145"/>
      <c r="AC294" s="145"/>
      <c r="AD294" s="145"/>
      <c r="AE294" s="145"/>
      <c r="AF294" s="145"/>
    </row>
    <row r="295" spans="2:32" x14ac:dyDescent="0.25">
      <c r="B295" s="145"/>
      <c r="C295" s="145"/>
      <c r="D295" s="145"/>
      <c r="E295" s="145"/>
      <c r="F295" s="145"/>
      <c r="G295" s="145"/>
      <c r="H295" s="145"/>
      <c r="J295" s="145"/>
      <c r="K295" s="145"/>
      <c r="L295" s="145"/>
      <c r="M295" s="145"/>
      <c r="N295" s="145"/>
      <c r="O295" s="145"/>
      <c r="P295" s="145"/>
      <c r="R295" s="145"/>
      <c r="S295" s="145"/>
      <c r="T295" s="145"/>
      <c r="U295" s="145"/>
      <c r="V295" s="145"/>
      <c r="W295" s="145"/>
      <c r="X295" s="145"/>
      <c r="Z295" s="145"/>
      <c r="AA295" s="145"/>
      <c r="AB295" s="145"/>
      <c r="AC295" s="145"/>
      <c r="AD295" s="145"/>
      <c r="AE295" s="145"/>
      <c r="AF295" s="145"/>
    </row>
    <row r="296" spans="2:32" x14ac:dyDescent="0.25">
      <c r="B296" s="145"/>
      <c r="C296" s="145"/>
      <c r="D296" s="145"/>
      <c r="E296" s="145"/>
      <c r="F296" s="145"/>
      <c r="G296" s="145"/>
      <c r="H296" s="145"/>
      <c r="J296" s="145"/>
      <c r="K296" s="145"/>
      <c r="L296" s="145"/>
      <c r="M296" s="145"/>
      <c r="N296" s="145"/>
      <c r="O296" s="145"/>
      <c r="P296" s="145"/>
      <c r="R296" s="145"/>
      <c r="S296" s="145"/>
      <c r="T296" s="145"/>
      <c r="U296" s="145"/>
      <c r="V296" s="145"/>
      <c r="W296" s="145"/>
      <c r="X296" s="145"/>
      <c r="Z296" s="145"/>
      <c r="AA296" s="145"/>
      <c r="AB296" s="145"/>
      <c r="AC296" s="145"/>
      <c r="AD296" s="145"/>
      <c r="AE296" s="145"/>
      <c r="AF296" s="145"/>
    </row>
    <row r="297" spans="2:32" x14ac:dyDescent="0.25">
      <c r="B297" s="145"/>
      <c r="C297" s="145"/>
      <c r="D297" s="145"/>
      <c r="E297" s="145"/>
      <c r="F297" s="145"/>
      <c r="G297" s="145"/>
      <c r="H297" s="145"/>
      <c r="J297" s="145"/>
      <c r="K297" s="145"/>
      <c r="L297" s="145"/>
      <c r="M297" s="145"/>
      <c r="N297" s="145"/>
      <c r="O297" s="145"/>
      <c r="P297" s="145"/>
      <c r="R297" s="145"/>
      <c r="S297" s="145"/>
      <c r="T297" s="145"/>
      <c r="U297" s="145"/>
      <c r="V297" s="145"/>
      <c r="W297" s="145"/>
      <c r="X297" s="145"/>
      <c r="Z297" s="145"/>
      <c r="AA297" s="145"/>
      <c r="AB297" s="145"/>
      <c r="AC297" s="145"/>
      <c r="AD297" s="145"/>
      <c r="AE297" s="145"/>
      <c r="AF297" s="145"/>
    </row>
    <row r="298" spans="2:32" x14ac:dyDescent="0.25">
      <c r="B298" s="145"/>
      <c r="C298" s="145"/>
      <c r="D298" s="145"/>
      <c r="E298" s="145"/>
      <c r="F298" s="145"/>
      <c r="G298" s="145"/>
      <c r="H298" s="145"/>
      <c r="J298" s="145"/>
      <c r="K298" s="145"/>
      <c r="L298" s="145"/>
      <c r="M298" s="145"/>
      <c r="N298" s="145"/>
      <c r="O298" s="145"/>
      <c r="P298" s="145"/>
      <c r="R298" s="145"/>
      <c r="S298" s="145"/>
      <c r="T298" s="145"/>
      <c r="U298" s="145"/>
      <c r="V298" s="145"/>
      <c r="W298" s="145"/>
      <c r="X298" s="145"/>
      <c r="Z298" s="145"/>
      <c r="AA298" s="145"/>
      <c r="AB298" s="145"/>
      <c r="AC298" s="145"/>
      <c r="AD298" s="145"/>
      <c r="AE298" s="145"/>
      <c r="AF298" s="145"/>
    </row>
    <row r="299" spans="2:32" x14ac:dyDescent="0.25">
      <c r="B299" s="145"/>
      <c r="C299" s="145"/>
      <c r="D299" s="145"/>
      <c r="E299" s="145"/>
      <c r="F299" s="145"/>
      <c r="G299" s="145"/>
      <c r="H299" s="145"/>
      <c r="J299" s="145"/>
      <c r="K299" s="145"/>
      <c r="L299" s="145"/>
      <c r="M299" s="145"/>
      <c r="N299" s="145"/>
      <c r="O299" s="145"/>
      <c r="P299" s="145"/>
      <c r="R299" s="145"/>
      <c r="S299" s="145"/>
      <c r="T299" s="145"/>
      <c r="U299" s="145"/>
      <c r="V299" s="145"/>
      <c r="W299" s="145"/>
      <c r="X299" s="145"/>
      <c r="Z299" s="145"/>
      <c r="AA299" s="145"/>
      <c r="AB299" s="145"/>
      <c r="AC299" s="145"/>
      <c r="AD299" s="145"/>
      <c r="AE299" s="145"/>
      <c r="AF299" s="145"/>
    </row>
    <row r="300" spans="2:32" x14ac:dyDescent="0.25">
      <c r="B300" s="145"/>
      <c r="C300" s="145"/>
      <c r="D300" s="145"/>
      <c r="E300" s="145"/>
      <c r="F300" s="145"/>
      <c r="G300" s="145"/>
      <c r="H300" s="145"/>
      <c r="J300" s="145"/>
      <c r="K300" s="145"/>
      <c r="L300" s="145"/>
      <c r="M300" s="145"/>
      <c r="N300" s="145"/>
      <c r="O300" s="145"/>
      <c r="P300" s="145"/>
      <c r="R300" s="145"/>
      <c r="S300" s="145"/>
      <c r="T300" s="145"/>
      <c r="U300" s="145"/>
      <c r="V300" s="145"/>
      <c r="W300" s="145"/>
      <c r="X300" s="145"/>
      <c r="Z300" s="145"/>
      <c r="AA300" s="145"/>
      <c r="AB300" s="145"/>
      <c r="AC300" s="145"/>
      <c r="AD300" s="145"/>
      <c r="AE300" s="145"/>
      <c r="AF300" s="145"/>
    </row>
    <row r="301" spans="2:32" x14ac:dyDescent="0.25">
      <c r="B301" s="145"/>
      <c r="C301" s="145"/>
      <c r="D301" s="145"/>
      <c r="E301" s="145"/>
      <c r="F301" s="145"/>
      <c r="G301" s="145"/>
      <c r="H301" s="145"/>
      <c r="J301" s="145"/>
      <c r="K301" s="145"/>
      <c r="L301" s="145"/>
      <c r="M301" s="145"/>
      <c r="N301" s="145"/>
      <c r="O301" s="145"/>
      <c r="P301" s="145"/>
      <c r="R301" s="145"/>
      <c r="S301" s="145"/>
      <c r="T301" s="145"/>
      <c r="U301" s="145"/>
      <c r="V301" s="145"/>
      <c r="W301" s="145"/>
      <c r="X301" s="145"/>
      <c r="Z301" s="145"/>
      <c r="AA301" s="145"/>
      <c r="AB301" s="145"/>
      <c r="AC301" s="145"/>
      <c r="AD301" s="145"/>
      <c r="AE301" s="145"/>
      <c r="AF301" s="145"/>
    </row>
    <row r="302" spans="2:32" x14ac:dyDescent="0.25">
      <c r="B302" s="145"/>
      <c r="C302" s="145"/>
      <c r="D302" s="145"/>
      <c r="E302" s="145"/>
      <c r="F302" s="145"/>
      <c r="G302" s="145"/>
      <c r="H302" s="145"/>
      <c r="J302" s="145"/>
      <c r="K302" s="145"/>
      <c r="L302" s="145"/>
      <c r="M302" s="145"/>
      <c r="N302" s="145"/>
      <c r="O302" s="145"/>
      <c r="P302" s="145"/>
      <c r="R302" s="145"/>
      <c r="S302" s="145"/>
      <c r="T302" s="145"/>
      <c r="U302" s="145"/>
      <c r="V302" s="145"/>
      <c r="W302" s="145"/>
      <c r="X302" s="145"/>
      <c r="Z302" s="145"/>
      <c r="AA302" s="145"/>
      <c r="AB302" s="145"/>
      <c r="AC302" s="145"/>
      <c r="AD302" s="145"/>
      <c r="AE302" s="145"/>
      <c r="AF302" s="145"/>
    </row>
    <row r="303" spans="2:32" x14ac:dyDescent="0.25">
      <c r="B303" s="145"/>
      <c r="C303" s="145"/>
      <c r="D303" s="145"/>
      <c r="E303" s="145"/>
      <c r="F303" s="145"/>
      <c r="G303" s="145"/>
      <c r="H303" s="145"/>
      <c r="J303" s="145"/>
      <c r="K303" s="145"/>
      <c r="L303" s="145"/>
      <c r="M303" s="145"/>
      <c r="N303" s="145"/>
      <c r="O303" s="145"/>
      <c r="P303" s="145"/>
      <c r="R303" s="145"/>
      <c r="S303" s="145"/>
      <c r="T303" s="145"/>
      <c r="U303" s="145"/>
      <c r="V303" s="145"/>
      <c r="W303" s="145"/>
      <c r="X303" s="145"/>
      <c r="Z303" s="145"/>
      <c r="AA303" s="145"/>
      <c r="AB303" s="145"/>
      <c r="AC303" s="145"/>
      <c r="AD303" s="145"/>
      <c r="AE303" s="145"/>
      <c r="AF303" s="145"/>
    </row>
    <row r="304" spans="2:32" x14ac:dyDescent="0.25">
      <c r="B304" s="145"/>
      <c r="C304" s="145"/>
      <c r="D304" s="145"/>
      <c r="E304" s="145"/>
      <c r="F304" s="145"/>
      <c r="G304" s="145"/>
      <c r="H304" s="145"/>
      <c r="J304" s="145"/>
      <c r="K304" s="145"/>
      <c r="L304" s="145"/>
      <c r="M304" s="145"/>
      <c r="N304" s="145"/>
      <c r="O304" s="145"/>
      <c r="P304" s="145"/>
      <c r="R304" s="145"/>
      <c r="S304" s="145"/>
      <c r="T304" s="145"/>
      <c r="U304" s="145"/>
      <c r="V304" s="145"/>
      <c r="W304" s="145"/>
      <c r="X304" s="145"/>
      <c r="Z304" s="145"/>
      <c r="AA304" s="145"/>
      <c r="AB304" s="145"/>
      <c r="AC304" s="145"/>
      <c r="AD304" s="145"/>
      <c r="AE304" s="145"/>
      <c r="AF304" s="145"/>
    </row>
    <row r="305" spans="2:32" x14ac:dyDescent="0.25">
      <c r="B305" s="145"/>
      <c r="C305" s="145"/>
      <c r="D305" s="145"/>
      <c r="E305" s="145"/>
      <c r="F305" s="145"/>
      <c r="G305" s="145"/>
      <c r="H305" s="145"/>
      <c r="J305" s="145"/>
      <c r="K305" s="145"/>
      <c r="L305" s="145"/>
      <c r="M305" s="145"/>
      <c r="N305" s="145"/>
      <c r="O305" s="145"/>
      <c r="P305" s="145"/>
      <c r="R305" s="145"/>
      <c r="S305" s="145"/>
      <c r="T305" s="145"/>
      <c r="U305" s="145"/>
      <c r="V305" s="145"/>
      <c r="W305" s="145"/>
      <c r="X305" s="145"/>
      <c r="Z305" s="145"/>
      <c r="AA305" s="145"/>
      <c r="AB305" s="145"/>
      <c r="AC305" s="145"/>
      <c r="AD305" s="145"/>
      <c r="AE305" s="145"/>
      <c r="AF305" s="145"/>
    </row>
    <row r="306" spans="2:32" x14ac:dyDescent="0.25">
      <c r="B306" s="145"/>
      <c r="C306" s="145"/>
      <c r="D306" s="145"/>
      <c r="E306" s="145"/>
      <c r="F306" s="145"/>
      <c r="G306" s="145"/>
      <c r="H306" s="145"/>
      <c r="J306" s="145"/>
      <c r="K306" s="145"/>
      <c r="L306" s="145"/>
      <c r="M306" s="145"/>
      <c r="N306" s="145"/>
      <c r="O306" s="145"/>
      <c r="P306" s="145"/>
      <c r="R306" s="145"/>
      <c r="S306" s="145"/>
      <c r="T306" s="145"/>
      <c r="U306" s="145"/>
      <c r="V306" s="145"/>
      <c r="W306" s="145"/>
      <c r="X306" s="145"/>
      <c r="Z306" s="145"/>
      <c r="AA306" s="145"/>
      <c r="AB306" s="145"/>
      <c r="AC306" s="145"/>
      <c r="AD306" s="145"/>
      <c r="AE306" s="145"/>
      <c r="AF306" s="145"/>
    </row>
    <row r="307" spans="2:32" x14ac:dyDescent="0.25">
      <c r="B307" s="145"/>
      <c r="C307" s="145"/>
      <c r="D307" s="145"/>
      <c r="E307" s="145"/>
      <c r="F307" s="145"/>
      <c r="G307" s="145"/>
      <c r="H307" s="145"/>
      <c r="J307" s="145"/>
      <c r="K307" s="145"/>
      <c r="L307" s="145"/>
      <c r="M307" s="145"/>
      <c r="N307" s="145"/>
      <c r="O307" s="145"/>
      <c r="P307" s="145"/>
      <c r="R307" s="145"/>
      <c r="S307" s="145"/>
      <c r="T307" s="145"/>
      <c r="U307" s="145"/>
      <c r="V307" s="145"/>
      <c r="W307" s="145"/>
      <c r="X307" s="145"/>
      <c r="Z307" s="145"/>
      <c r="AA307" s="145"/>
      <c r="AB307" s="145"/>
      <c r="AC307" s="145"/>
      <c r="AD307" s="145"/>
      <c r="AE307" s="145"/>
      <c r="AF307" s="145"/>
    </row>
    <row r="308" spans="2:32" x14ac:dyDescent="0.25">
      <c r="B308" s="145"/>
      <c r="C308" s="145"/>
      <c r="D308" s="145"/>
      <c r="E308" s="145"/>
      <c r="F308" s="145"/>
      <c r="G308" s="145"/>
      <c r="H308" s="145"/>
      <c r="J308" s="145"/>
      <c r="K308" s="145"/>
      <c r="L308" s="145"/>
      <c r="M308" s="145"/>
      <c r="N308" s="145"/>
      <c r="O308" s="145"/>
      <c r="P308" s="145"/>
      <c r="R308" s="145"/>
      <c r="S308" s="145"/>
      <c r="T308" s="145"/>
      <c r="U308" s="145"/>
      <c r="V308" s="145"/>
      <c r="W308" s="145"/>
      <c r="X308" s="145"/>
      <c r="Z308" s="145"/>
      <c r="AA308" s="145"/>
      <c r="AB308" s="145"/>
      <c r="AC308" s="145"/>
      <c r="AD308" s="145"/>
      <c r="AE308" s="145"/>
      <c r="AF308" s="145"/>
    </row>
    <row r="309" spans="2:32" x14ac:dyDescent="0.25">
      <c r="B309" s="145"/>
      <c r="C309" s="145"/>
      <c r="D309" s="145"/>
      <c r="E309" s="145"/>
      <c r="F309" s="145"/>
      <c r="G309" s="145"/>
      <c r="H309" s="145"/>
      <c r="J309" s="145"/>
      <c r="K309" s="145"/>
      <c r="L309" s="145"/>
      <c r="M309" s="145"/>
      <c r="N309" s="145"/>
      <c r="O309" s="145"/>
      <c r="P309" s="145"/>
      <c r="R309" s="145"/>
      <c r="S309" s="145"/>
      <c r="T309" s="145"/>
      <c r="U309" s="145"/>
      <c r="V309" s="145"/>
      <c r="W309" s="145"/>
      <c r="X309" s="145"/>
      <c r="Z309" s="145"/>
      <c r="AA309" s="145"/>
      <c r="AB309" s="145"/>
      <c r="AC309" s="145"/>
      <c r="AD309" s="145"/>
      <c r="AE309" s="145"/>
      <c r="AF309" s="145"/>
    </row>
    <row r="310" spans="2:32" x14ac:dyDescent="0.25">
      <c r="B310" s="145"/>
      <c r="C310" s="145"/>
      <c r="D310" s="145"/>
      <c r="E310" s="145"/>
      <c r="F310" s="145"/>
      <c r="G310" s="145"/>
      <c r="H310" s="145"/>
      <c r="J310" s="145"/>
      <c r="K310" s="145"/>
      <c r="L310" s="145"/>
      <c r="M310" s="145"/>
      <c r="N310" s="145"/>
      <c r="O310" s="145"/>
      <c r="P310" s="145"/>
      <c r="R310" s="145"/>
      <c r="S310" s="145"/>
      <c r="T310" s="145"/>
      <c r="U310" s="145"/>
      <c r="V310" s="145"/>
      <c r="W310" s="145"/>
      <c r="X310" s="145"/>
      <c r="Z310" s="145"/>
      <c r="AA310" s="145"/>
      <c r="AB310" s="145"/>
      <c r="AC310" s="145"/>
      <c r="AD310" s="145"/>
      <c r="AE310" s="145"/>
      <c r="AF310" s="145"/>
    </row>
    <row r="311" spans="2:32" x14ac:dyDescent="0.25">
      <c r="B311" s="145"/>
      <c r="C311" s="145"/>
      <c r="D311" s="145"/>
      <c r="E311" s="145"/>
      <c r="F311" s="145"/>
      <c r="G311" s="145"/>
      <c r="H311" s="145"/>
      <c r="J311" s="145"/>
      <c r="K311" s="145"/>
      <c r="L311" s="145"/>
      <c r="M311" s="145"/>
      <c r="N311" s="145"/>
      <c r="O311" s="145"/>
      <c r="P311" s="145"/>
      <c r="R311" s="145"/>
      <c r="S311" s="145"/>
      <c r="T311" s="145"/>
      <c r="U311" s="145"/>
      <c r="V311" s="145"/>
      <c r="W311" s="145"/>
      <c r="X311" s="145"/>
      <c r="Z311" s="145"/>
      <c r="AA311" s="145"/>
      <c r="AB311" s="145"/>
      <c r="AC311" s="145"/>
      <c r="AD311" s="145"/>
      <c r="AE311" s="145"/>
      <c r="AF311" s="145"/>
    </row>
    <row r="312" spans="2:32" x14ac:dyDescent="0.25">
      <c r="B312" s="145"/>
      <c r="C312" s="145"/>
      <c r="D312" s="145"/>
      <c r="E312" s="145"/>
      <c r="F312" s="145"/>
      <c r="G312" s="145"/>
      <c r="H312" s="145"/>
      <c r="J312" s="145"/>
      <c r="K312" s="145"/>
      <c r="L312" s="145"/>
      <c r="M312" s="145"/>
      <c r="N312" s="145"/>
      <c r="O312" s="145"/>
      <c r="P312" s="145"/>
      <c r="R312" s="145"/>
      <c r="S312" s="145"/>
      <c r="T312" s="145"/>
      <c r="U312" s="145"/>
      <c r="V312" s="145"/>
      <c r="W312" s="145"/>
      <c r="X312" s="145"/>
      <c r="Z312" s="145"/>
      <c r="AA312" s="145"/>
      <c r="AB312" s="145"/>
      <c r="AC312" s="145"/>
      <c r="AD312" s="145"/>
      <c r="AE312" s="145"/>
      <c r="AF312" s="145"/>
    </row>
    <row r="313" spans="2:32" x14ac:dyDescent="0.25">
      <c r="B313" s="145"/>
      <c r="C313" s="145"/>
      <c r="D313" s="145"/>
      <c r="E313" s="145"/>
      <c r="F313" s="145"/>
      <c r="G313" s="145"/>
      <c r="H313" s="145"/>
      <c r="J313" s="145"/>
      <c r="K313" s="145"/>
      <c r="L313" s="145"/>
      <c r="M313" s="145"/>
      <c r="N313" s="145"/>
      <c r="O313" s="145"/>
      <c r="P313" s="145"/>
      <c r="R313" s="145"/>
      <c r="S313" s="145"/>
      <c r="T313" s="145"/>
      <c r="U313" s="145"/>
      <c r="V313" s="145"/>
      <c r="W313" s="145"/>
      <c r="X313" s="145"/>
      <c r="Z313" s="145"/>
      <c r="AA313" s="145"/>
      <c r="AB313" s="145"/>
      <c r="AC313" s="145"/>
      <c r="AD313" s="145"/>
      <c r="AE313" s="145"/>
      <c r="AF313" s="145"/>
    </row>
    <row r="314" spans="2:32" x14ac:dyDescent="0.25">
      <c r="B314" s="145"/>
      <c r="C314" s="145"/>
      <c r="D314" s="145"/>
      <c r="E314" s="145"/>
      <c r="F314" s="145"/>
      <c r="G314" s="145"/>
      <c r="H314" s="145"/>
      <c r="J314" s="145"/>
      <c r="K314" s="145"/>
      <c r="L314" s="145"/>
      <c r="M314" s="145"/>
      <c r="N314" s="145"/>
      <c r="O314" s="145"/>
      <c r="P314" s="145"/>
      <c r="R314" s="145"/>
      <c r="S314" s="145"/>
      <c r="T314" s="145"/>
      <c r="U314" s="145"/>
      <c r="V314" s="145"/>
      <c r="W314" s="145"/>
      <c r="X314" s="145"/>
      <c r="Z314" s="145"/>
      <c r="AA314" s="145"/>
      <c r="AB314" s="145"/>
      <c r="AC314" s="145"/>
      <c r="AD314" s="145"/>
      <c r="AE314" s="145"/>
      <c r="AF314" s="145"/>
    </row>
    <row r="315" spans="2:32" x14ac:dyDescent="0.25">
      <c r="B315" s="145"/>
      <c r="C315" s="145"/>
      <c r="D315" s="145"/>
      <c r="E315" s="145"/>
      <c r="F315" s="145"/>
      <c r="G315" s="145"/>
      <c r="H315" s="145"/>
      <c r="J315" s="145"/>
      <c r="K315" s="145"/>
      <c r="L315" s="145"/>
      <c r="M315" s="145"/>
      <c r="N315" s="145"/>
      <c r="O315" s="145"/>
      <c r="P315" s="145"/>
      <c r="R315" s="145"/>
      <c r="S315" s="145"/>
      <c r="T315" s="145"/>
      <c r="U315" s="145"/>
      <c r="V315" s="145"/>
      <c r="W315" s="145"/>
      <c r="X315" s="145"/>
      <c r="Z315" s="145"/>
      <c r="AA315" s="145"/>
      <c r="AB315" s="145"/>
      <c r="AC315" s="145"/>
      <c r="AD315" s="145"/>
      <c r="AE315" s="145"/>
      <c r="AF315" s="145"/>
    </row>
    <row r="316" spans="2:32" x14ac:dyDescent="0.25">
      <c r="B316" s="145"/>
      <c r="C316" s="145"/>
      <c r="D316" s="145"/>
      <c r="E316" s="145"/>
      <c r="F316" s="145"/>
      <c r="G316" s="145"/>
      <c r="H316" s="145"/>
      <c r="J316" s="145"/>
      <c r="K316" s="145"/>
      <c r="L316" s="145"/>
      <c r="M316" s="145"/>
      <c r="N316" s="145"/>
      <c r="O316" s="145"/>
      <c r="P316" s="145"/>
      <c r="R316" s="145"/>
      <c r="S316" s="145"/>
      <c r="T316" s="145"/>
      <c r="U316" s="145"/>
      <c r="V316" s="145"/>
      <c r="W316" s="145"/>
      <c r="X316" s="145"/>
      <c r="Z316" s="145"/>
      <c r="AA316" s="145"/>
      <c r="AB316" s="145"/>
      <c r="AC316" s="145"/>
      <c r="AD316" s="145"/>
      <c r="AE316" s="145"/>
      <c r="AF316" s="145"/>
    </row>
    <row r="317" spans="2:32" x14ac:dyDescent="0.25">
      <c r="B317" s="145"/>
      <c r="C317" s="145"/>
      <c r="D317" s="145"/>
      <c r="E317" s="145"/>
      <c r="F317" s="145"/>
      <c r="G317" s="145"/>
      <c r="H317" s="145"/>
      <c r="J317" s="145"/>
      <c r="K317" s="145"/>
      <c r="L317" s="145"/>
      <c r="M317" s="145"/>
      <c r="N317" s="145"/>
      <c r="O317" s="145"/>
      <c r="P317" s="145"/>
      <c r="R317" s="145"/>
      <c r="S317" s="145"/>
      <c r="T317" s="145"/>
      <c r="U317" s="145"/>
      <c r="V317" s="145"/>
      <c r="W317" s="145"/>
      <c r="X317" s="145"/>
      <c r="Z317" s="145"/>
      <c r="AA317" s="145"/>
      <c r="AB317" s="145"/>
      <c r="AC317" s="145"/>
      <c r="AD317" s="145"/>
      <c r="AE317" s="145"/>
      <c r="AF317" s="145"/>
    </row>
    <row r="318" spans="2:32" x14ac:dyDescent="0.25">
      <c r="B318" s="145"/>
      <c r="C318" s="145"/>
      <c r="D318" s="145"/>
      <c r="E318" s="145"/>
      <c r="F318" s="145"/>
      <c r="G318" s="145"/>
      <c r="H318" s="145"/>
      <c r="J318" s="145"/>
      <c r="K318" s="145"/>
      <c r="L318" s="145"/>
      <c r="M318" s="145"/>
      <c r="N318" s="145"/>
      <c r="O318" s="145"/>
      <c r="P318" s="145"/>
      <c r="R318" s="145"/>
      <c r="S318" s="145"/>
      <c r="T318" s="145"/>
      <c r="U318" s="145"/>
      <c r="V318" s="145"/>
      <c r="W318" s="145"/>
      <c r="X318" s="145"/>
      <c r="Z318" s="145"/>
      <c r="AA318" s="145"/>
      <c r="AB318" s="145"/>
      <c r="AC318" s="145"/>
      <c r="AD318" s="145"/>
      <c r="AE318" s="145"/>
      <c r="AF318" s="145"/>
    </row>
    <row r="319" spans="2:32" x14ac:dyDescent="0.25">
      <c r="B319" s="145"/>
      <c r="C319" s="145"/>
      <c r="D319" s="145"/>
      <c r="E319" s="145"/>
      <c r="F319" s="145"/>
      <c r="G319" s="145"/>
      <c r="H319" s="145"/>
      <c r="J319" s="145"/>
      <c r="K319" s="145"/>
      <c r="L319" s="145"/>
      <c r="M319" s="145"/>
      <c r="N319" s="145"/>
      <c r="O319" s="145"/>
      <c r="P319" s="145"/>
      <c r="R319" s="145"/>
      <c r="S319" s="145"/>
      <c r="T319" s="145"/>
      <c r="U319" s="145"/>
      <c r="V319" s="145"/>
      <c r="W319" s="145"/>
      <c r="X319" s="145"/>
      <c r="Z319" s="145"/>
      <c r="AA319" s="145"/>
      <c r="AB319" s="145"/>
      <c r="AC319" s="145"/>
      <c r="AD319" s="145"/>
      <c r="AE319" s="145"/>
      <c r="AF319" s="145"/>
    </row>
    <row r="320" spans="2:32" x14ac:dyDescent="0.25">
      <c r="B320" s="145"/>
      <c r="C320" s="145"/>
      <c r="D320" s="145"/>
      <c r="E320" s="145"/>
      <c r="F320" s="145"/>
      <c r="G320" s="145"/>
      <c r="H320" s="145"/>
      <c r="J320" s="145"/>
      <c r="K320" s="145"/>
      <c r="L320" s="145"/>
      <c r="M320" s="145"/>
      <c r="N320" s="145"/>
      <c r="O320" s="145"/>
      <c r="P320" s="145"/>
      <c r="R320" s="145"/>
      <c r="S320" s="145"/>
      <c r="T320" s="145"/>
      <c r="U320" s="145"/>
      <c r="V320" s="145"/>
      <c r="W320" s="145"/>
      <c r="X320" s="145"/>
      <c r="Z320" s="145"/>
      <c r="AA320" s="145"/>
      <c r="AB320" s="145"/>
      <c r="AC320" s="145"/>
      <c r="AD320" s="145"/>
      <c r="AE320" s="145"/>
      <c r="AF320" s="145"/>
    </row>
    <row r="321" spans="2:32" x14ac:dyDescent="0.25">
      <c r="B321" s="145"/>
      <c r="C321" s="145"/>
      <c r="D321" s="145"/>
      <c r="E321" s="145"/>
      <c r="F321" s="145"/>
      <c r="G321" s="145"/>
      <c r="H321" s="145"/>
      <c r="J321" s="145"/>
      <c r="K321" s="145"/>
      <c r="L321" s="145"/>
      <c r="M321" s="145"/>
      <c r="N321" s="145"/>
      <c r="O321" s="145"/>
      <c r="P321" s="145"/>
      <c r="R321" s="145"/>
      <c r="S321" s="145"/>
      <c r="T321" s="145"/>
      <c r="U321" s="145"/>
      <c r="V321" s="145"/>
      <c r="W321" s="145"/>
      <c r="X321" s="145"/>
      <c r="Z321" s="145"/>
      <c r="AA321" s="145"/>
      <c r="AB321" s="145"/>
      <c r="AC321" s="145"/>
      <c r="AD321" s="145"/>
      <c r="AE321" s="145"/>
      <c r="AF321" s="145"/>
    </row>
    <row r="322" spans="2:32" x14ac:dyDescent="0.25">
      <c r="B322" s="145"/>
      <c r="C322" s="145"/>
      <c r="D322" s="145"/>
      <c r="E322" s="145"/>
      <c r="F322" s="145"/>
      <c r="G322" s="145"/>
      <c r="H322" s="145"/>
      <c r="J322" s="145"/>
      <c r="K322" s="145"/>
      <c r="L322" s="145"/>
      <c r="M322" s="145"/>
      <c r="N322" s="145"/>
      <c r="O322" s="145"/>
      <c r="P322" s="145"/>
      <c r="R322" s="145"/>
      <c r="S322" s="145"/>
      <c r="T322" s="145"/>
      <c r="U322" s="145"/>
      <c r="V322" s="145"/>
      <c r="W322" s="145"/>
      <c r="X322" s="145"/>
      <c r="Z322" s="145"/>
      <c r="AA322" s="145"/>
      <c r="AB322" s="145"/>
      <c r="AC322" s="145"/>
      <c r="AD322" s="145"/>
      <c r="AE322" s="145"/>
      <c r="AF322" s="145"/>
    </row>
    <row r="323" spans="2:32" x14ac:dyDescent="0.25">
      <c r="B323" s="145"/>
      <c r="C323" s="145"/>
      <c r="D323" s="145"/>
      <c r="E323" s="145"/>
      <c r="F323" s="145"/>
      <c r="G323" s="145"/>
      <c r="H323" s="145"/>
      <c r="J323" s="145"/>
      <c r="K323" s="145"/>
      <c r="L323" s="145"/>
      <c r="M323" s="145"/>
      <c r="N323" s="145"/>
      <c r="O323" s="145"/>
      <c r="P323" s="145"/>
      <c r="R323" s="145"/>
      <c r="S323" s="145"/>
      <c r="T323" s="145"/>
      <c r="U323" s="145"/>
      <c r="V323" s="145"/>
      <c r="W323" s="145"/>
      <c r="X323" s="145"/>
      <c r="Z323" s="145"/>
      <c r="AA323" s="145"/>
      <c r="AB323" s="145"/>
      <c r="AC323" s="145"/>
      <c r="AD323" s="145"/>
      <c r="AE323" s="145"/>
      <c r="AF323" s="145"/>
    </row>
    <row r="324" spans="2:32" x14ac:dyDescent="0.25">
      <c r="B324" s="145"/>
      <c r="C324" s="145"/>
      <c r="D324" s="145"/>
      <c r="E324" s="145"/>
      <c r="F324" s="145"/>
      <c r="G324" s="145"/>
      <c r="H324" s="145"/>
      <c r="J324" s="145"/>
      <c r="K324" s="145"/>
      <c r="L324" s="145"/>
      <c r="M324" s="145"/>
      <c r="N324" s="145"/>
      <c r="O324" s="145"/>
      <c r="P324" s="145"/>
      <c r="R324" s="145"/>
      <c r="S324" s="145"/>
      <c r="T324" s="145"/>
      <c r="U324" s="145"/>
      <c r="V324" s="145"/>
      <c r="W324" s="145"/>
      <c r="X324" s="145"/>
      <c r="Z324" s="145"/>
      <c r="AA324" s="145"/>
      <c r="AB324" s="145"/>
      <c r="AC324" s="145"/>
      <c r="AD324" s="145"/>
      <c r="AE324" s="145"/>
      <c r="AF324" s="145"/>
    </row>
    <row r="325" spans="2:32" x14ac:dyDescent="0.25">
      <c r="B325" s="145"/>
      <c r="C325" s="145"/>
      <c r="D325" s="145"/>
      <c r="E325" s="145"/>
      <c r="F325" s="145"/>
      <c r="G325" s="145"/>
      <c r="H325" s="145"/>
      <c r="J325" s="145"/>
      <c r="K325" s="145"/>
      <c r="L325" s="145"/>
      <c r="M325" s="145"/>
      <c r="N325" s="145"/>
      <c r="O325" s="145"/>
      <c r="P325" s="145"/>
      <c r="R325" s="145"/>
      <c r="S325" s="145"/>
      <c r="T325" s="145"/>
      <c r="U325" s="145"/>
      <c r="V325" s="145"/>
      <c r="W325" s="145"/>
      <c r="X325" s="145"/>
      <c r="Z325" s="145"/>
      <c r="AA325" s="145"/>
      <c r="AB325" s="145"/>
      <c r="AC325" s="145"/>
      <c r="AD325" s="145"/>
      <c r="AE325" s="145"/>
      <c r="AF325" s="145"/>
    </row>
    <row r="326" spans="2:32" x14ac:dyDescent="0.25">
      <c r="B326" s="145"/>
      <c r="C326" s="145"/>
      <c r="D326" s="145"/>
      <c r="E326" s="145"/>
      <c r="F326" s="145"/>
      <c r="G326" s="145"/>
      <c r="H326" s="145"/>
      <c r="J326" s="145"/>
      <c r="K326" s="145"/>
      <c r="L326" s="145"/>
      <c r="M326" s="145"/>
      <c r="N326" s="145"/>
      <c r="O326" s="145"/>
      <c r="P326" s="145"/>
      <c r="R326" s="145"/>
      <c r="S326" s="145"/>
      <c r="T326" s="145"/>
      <c r="U326" s="145"/>
      <c r="V326" s="145"/>
      <c r="W326" s="145"/>
      <c r="X326" s="145"/>
      <c r="Z326" s="145"/>
      <c r="AA326" s="145"/>
      <c r="AB326" s="145"/>
      <c r="AC326" s="145"/>
      <c r="AD326" s="145"/>
      <c r="AE326" s="145"/>
      <c r="AF326" s="145"/>
    </row>
    <row r="327" spans="2:32" x14ac:dyDescent="0.25">
      <c r="B327" s="145"/>
      <c r="C327" s="145"/>
      <c r="D327" s="145"/>
      <c r="E327" s="145"/>
      <c r="F327" s="145"/>
      <c r="G327" s="145"/>
      <c r="H327" s="145"/>
      <c r="J327" s="145"/>
      <c r="K327" s="145"/>
      <c r="L327" s="145"/>
      <c r="M327" s="145"/>
      <c r="N327" s="145"/>
      <c r="O327" s="145"/>
      <c r="P327" s="145"/>
      <c r="R327" s="145"/>
      <c r="S327" s="145"/>
      <c r="T327" s="145"/>
      <c r="U327" s="145"/>
      <c r="V327" s="145"/>
      <c r="W327" s="145"/>
      <c r="X327" s="145"/>
      <c r="Z327" s="145"/>
      <c r="AA327" s="145"/>
      <c r="AB327" s="145"/>
      <c r="AC327" s="145"/>
      <c r="AD327" s="145"/>
      <c r="AE327" s="145"/>
      <c r="AF327" s="145"/>
    </row>
    <row r="328" spans="2:32" x14ac:dyDescent="0.25">
      <c r="B328" s="145"/>
      <c r="C328" s="145"/>
      <c r="D328" s="145"/>
      <c r="E328" s="145"/>
      <c r="F328" s="145"/>
      <c r="G328" s="145"/>
      <c r="H328" s="145"/>
      <c r="J328" s="145"/>
      <c r="K328" s="145"/>
      <c r="L328" s="145"/>
      <c r="M328" s="145"/>
      <c r="N328" s="145"/>
      <c r="O328" s="145"/>
      <c r="P328" s="145"/>
      <c r="R328" s="145"/>
      <c r="S328" s="145"/>
      <c r="T328" s="145"/>
      <c r="U328" s="145"/>
      <c r="V328" s="145"/>
      <c r="W328" s="145"/>
      <c r="X328" s="145"/>
      <c r="Z328" s="145"/>
      <c r="AA328" s="145"/>
      <c r="AB328" s="145"/>
      <c r="AC328" s="145"/>
      <c r="AD328" s="145"/>
      <c r="AE328" s="145"/>
      <c r="AF328" s="145"/>
    </row>
    <row r="329" spans="2:32" x14ac:dyDescent="0.25">
      <c r="B329" s="145"/>
      <c r="C329" s="145"/>
      <c r="D329" s="145"/>
      <c r="E329" s="145"/>
      <c r="F329" s="145"/>
      <c r="G329" s="145"/>
      <c r="H329" s="145"/>
      <c r="J329" s="145"/>
      <c r="K329" s="145"/>
      <c r="L329" s="145"/>
      <c r="M329" s="145"/>
      <c r="N329" s="145"/>
      <c r="O329" s="145"/>
      <c r="P329" s="145"/>
      <c r="R329" s="145"/>
      <c r="S329" s="145"/>
      <c r="T329" s="145"/>
      <c r="U329" s="145"/>
      <c r="V329" s="145"/>
      <c r="W329" s="145"/>
      <c r="X329" s="145"/>
      <c r="Z329" s="145"/>
      <c r="AA329" s="145"/>
      <c r="AB329" s="145"/>
      <c r="AC329" s="145"/>
      <c r="AD329" s="145"/>
      <c r="AE329" s="145"/>
      <c r="AF329" s="145"/>
    </row>
    <row r="330" spans="2:32" x14ac:dyDescent="0.25">
      <c r="B330" s="145"/>
      <c r="C330" s="145"/>
      <c r="D330" s="145"/>
      <c r="E330" s="145"/>
      <c r="F330" s="145"/>
      <c r="G330" s="145"/>
      <c r="H330" s="145"/>
      <c r="J330" s="145"/>
      <c r="K330" s="145"/>
      <c r="L330" s="145"/>
      <c r="M330" s="145"/>
      <c r="N330" s="145"/>
      <c r="O330" s="145"/>
      <c r="P330" s="145"/>
      <c r="R330" s="145"/>
      <c r="S330" s="145"/>
      <c r="T330" s="145"/>
      <c r="U330" s="145"/>
      <c r="V330" s="145"/>
      <c r="W330" s="145"/>
      <c r="X330" s="145"/>
      <c r="Z330" s="145"/>
      <c r="AA330" s="145"/>
      <c r="AB330" s="145"/>
      <c r="AC330" s="145"/>
      <c r="AD330" s="145"/>
      <c r="AE330" s="145"/>
      <c r="AF330" s="145"/>
    </row>
    <row r="331" spans="2:32" x14ac:dyDescent="0.25">
      <c r="B331" s="145"/>
      <c r="C331" s="145"/>
      <c r="D331" s="145"/>
      <c r="E331" s="145"/>
      <c r="F331" s="145"/>
      <c r="G331" s="145"/>
      <c r="H331" s="145"/>
      <c r="J331" s="145"/>
      <c r="K331" s="145"/>
      <c r="L331" s="145"/>
      <c r="M331" s="145"/>
      <c r="N331" s="145"/>
      <c r="O331" s="145"/>
      <c r="P331" s="145"/>
      <c r="R331" s="145"/>
      <c r="S331" s="145"/>
      <c r="T331" s="145"/>
      <c r="U331" s="145"/>
      <c r="V331" s="145"/>
      <c r="W331" s="145"/>
      <c r="X331" s="145"/>
      <c r="Z331" s="145"/>
      <c r="AA331" s="145"/>
      <c r="AB331" s="145"/>
      <c r="AC331" s="145"/>
      <c r="AD331" s="145"/>
      <c r="AE331" s="145"/>
      <c r="AF331" s="145"/>
    </row>
    <row r="332" spans="2:32" x14ac:dyDescent="0.25">
      <c r="B332" s="145"/>
      <c r="C332" s="145"/>
      <c r="D332" s="145"/>
      <c r="E332" s="145"/>
      <c r="F332" s="145"/>
      <c r="G332" s="145"/>
      <c r="H332" s="145"/>
      <c r="J332" s="145"/>
      <c r="K332" s="145"/>
      <c r="L332" s="145"/>
      <c r="M332" s="145"/>
      <c r="N332" s="145"/>
      <c r="O332" s="145"/>
      <c r="P332" s="145"/>
      <c r="R332" s="145"/>
      <c r="S332" s="145"/>
      <c r="T332" s="145"/>
      <c r="U332" s="145"/>
      <c r="V332" s="145"/>
      <c r="W332" s="145"/>
      <c r="X332" s="145"/>
      <c r="Z332" s="145"/>
      <c r="AA332" s="145"/>
      <c r="AB332" s="145"/>
      <c r="AC332" s="145"/>
      <c r="AD332" s="145"/>
      <c r="AE332" s="145"/>
      <c r="AF332" s="145"/>
    </row>
    <row r="333" spans="2:32" x14ac:dyDescent="0.25">
      <c r="B333" s="145"/>
      <c r="C333" s="145"/>
      <c r="D333" s="145"/>
      <c r="E333" s="145"/>
      <c r="F333" s="145"/>
      <c r="G333" s="145"/>
      <c r="H333" s="145"/>
      <c r="J333" s="145"/>
      <c r="K333" s="145"/>
      <c r="L333" s="145"/>
      <c r="M333" s="145"/>
      <c r="N333" s="145"/>
      <c r="O333" s="145"/>
      <c r="P333" s="145"/>
      <c r="R333" s="145"/>
      <c r="S333" s="145"/>
      <c r="T333" s="145"/>
      <c r="U333" s="145"/>
      <c r="V333" s="145"/>
      <c r="W333" s="145"/>
      <c r="X333" s="145"/>
      <c r="Z333" s="145"/>
      <c r="AA333" s="145"/>
      <c r="AB333" s="145"/>
      <c r="AC333" s="145"/>
      <c r="AD333" s="145"/>
      <c r="AE333" s="145"/>
      <c r="AF333" s="145"/>
    </row>
    <row r="334" spans="2:32" x14ac:dyDescent="0.25">
      <c r="B334" s="145"/>
      <c r="C334" s="145"/>
      <c r="D334" s="145"/>
      <c r="E334" s="145"/>
      <c r="F334" s="145"/>
      <c r="G334" s="145"/>
      <c r="H334" s="145"/>
      <c r="J334" s="145"/>
      <c r="K334" s="145"/>
      <c r="L334" s="145"/>
      <c r="M334" s="145"/>
      <c r="N334" s="145"/>
      <c r="O334" s="145"/>
      <c r="P334" s="145"/>
      <c r="R334" s="145"/>
      <c r="S334" s="145"/>
      <c r="T334" s="145"/>
      <c r="U334" s="145"/>
      <c r="V334" s="145"/>
      <c r="W334" s="145"/>
      <c r="X334" s="145"/>
      <c r="Z334" s="145"/>
      <c r="AA334" s="145"/>
      <c r="AB334" s="145"/>
      <c r="AC334" s="145"/>
      <c r="AD334" s="145"/>
      <c r="AE334" s="145"/>
      <c r="AF334" s="145"/>
    </row>
    <row r="335" spans="2:32" x14ac:dyDescent="0.25">
      <c r="B335" s="145"/>
      <c r="C335" s="145"/>
      <c r="D335" s="145"/>
      <c r="E335" s="145"/>
      <c r="F335" s="145"/>
      <c r="G335" s="145"/>
      <c r="H335" s="145"/>
      <c r="J335" s="145"/>
      <c r="K335" s="145"/>
      <c r="L335" s="145"/>
      <c r="M335" s="145"/>
      <c r="N335" s="145"/>
      <c r="O335" s="145"/>
      <c r="P335" s="145"/>
      <c r="R335" s="145"/>
      <c r="S335" s="145"/>
      <c r="T335" s="145"/>
      <c r="U335" s="145"/>
      <c r="V335" s="145"/>
      <c r="W335" s="145"/>
      <c r="X335" s="145"/>
      <c r="Z335" s="145"/>
      <c r="AA335" s="145"/>
      <c r="AB335" s="145"/>
      <c r="AC335" s="145"/>
      <c r="AD335" s="145"/>
      <c r="AE335" s="145"/>
      <c r="AF335" s="145"/>
    </row>
    <row r="336" spans="2:32" x14ac:dyDescent="0.25">
      <c r="B336" s="145"/>
      <c r="C336" s="145"/>
      <c r="D336" s="145"/>
      <c r="E336" s="145"/>
      <c r="F336" s="145"/>
      <c r="G336" s="145"/>
      <c r="H336" s="145"/>
      <c r="J336" s="145"/>
      <c r="K336" s="145"/>
      <c r="L336" s="145"/>
      <c r="M336" s="145"/>
      <c r="N336" s="145"/>
      <c r="O336" s="145"/>
      <c r="P336" s="145"/>
      <c r="R336" s="145"/>
      <c r="S336" s="145"/>
      <c r="T336" s="145"/>
      <c r="U336" s="145"/>
      <c r="V336" s="145"/>
      <c r="W336" s="145"/>
      <c r="X336" s="145"/>
      <c r="Z336" s="145"/>
      <c r="AA336" s="145"/>
      <c r="AB336" s="145"/>
      <c r="AC336" s="145"/>
      <c r="AD336" s="145"/>
      <c r="AE336" s="145"/>
      <c r="AF336" s="145"/>
    </row>
    <row r="337" spans="2:32" x14ac:dyDescent="0.25">
      <c r="B337" s="145"/>
      <c r="C337" s="145"/>
      <c r="D337" s="145"/>
      <c r="E337" s="145"/>
      <c r="F337" s="145"/>
      <c r="G337" s="145"/>
      <c r="H337" s="145"/>
      <c r="J337" s="145"/>
      <c r="K337" s="145"/>
      <c r="L337" s="145"/>
      <c r="M337" s="145"/>
      <c r="N337" s="145"/>
      <c r="O337" s="145"/>
      <c r="P337" s="145"/>
      <c r="R337" s="145"/>
      <c r="S337" s="145"/>
      <c r="T337" s="145"/>
      <c r="U337" s="145"/>
      <c r="V337" s="145"/>
      <c r="W337" s="145"/>
      <c r="X337" s="145"/>
      <c r="Z337" s="145"/>
      <c r="AA337" s="145"/>
      <c r="AB337" s="145"/>
      <c r="AC337" s="145"/>
      <c r="AD337" s="145"/>
      <c r="AE337" s="145"/>
      <c r="AF337" s="145"/>
    </row>
    <row r="338" spans="2:32" x14ac:dyDescent="0.25">
      <c r="B338" s="145"/>
      <c r="C338" s="145"/>
      <c r="D338" s="145"/>
      <c r="E338" s="145"/>
      <c r="F338" s="145"/>
      <c r="G338" s="145"/>
      <c r="H338" s="145"/>
      <c r="J338" s="145"/>
      <c r="K338" s="145"/>
      <c r="L338" s="145"/>
      <c r="M338" s="145"/>
      <c r="N338" s="145"/>
      <c r="O338" s="145"/>
      <c r="P338" s="145"/>
      <c r="R338" s="145"/>
      <c r="S338" s="145"/>
      <c r="T338" s="145"/>
      <c r="U338" s="145"/>
      <c r="V338" s="145"/>
      <c r="W338" s="145"/>
      <c r="X338" s="145"/>
      <c r="Z338" s="145"/>
      <c r="AA338" s="145"/>
      <c r="AB338" s="145"/>
      <c r="AC338" s="145"/>
      <c r="AD338" s="145"/>
      <c r="AE338" s="145"/>
      <c r="AF338" s="145"/>
    </row>
    <row r="339" spans="2:32" x14ac:dyDescent="0.25">
      <c r="B339" s="145"/>
      <c r="C339" s="145"/>
      <c r="D339" s="145"/>
      <c r="E339" s="145"/>
      <c r="F339" s="145"/>
      <c r="G339" s="145"/>
      <c r="H339" s="145"/>
      <c r="J339" s="145"/>
      <c r="K339" s="145"/>
      <c r="L339" s="145"/>
      <c r="M339" s="145"/>
      <c r="N339" s="145"/>
      <c r="O339" s="145"/>
      <c r="P339" s="145"/>
      <c r="R339" s="145"/>
      <c r="S339" s="145"/>
      <c r="T339" s="145"/>
      <c r="U339" s="145"/>
      <c r="V339" s="145"/>
      <c r="W339" s="145"/>
      <c r="X339" s="145"/>
      <c r="Z339" s="145"/>
      <c r="AA339" s="145"/>
      <c r="AB339" s="145"/>
      <c r="AC339" s="145"/>
      <c r="AD339" s="145"/>
      <c r="AE339" s="145"/>
      <c r="AF339" s="145"/>
    </row>
    <row r="340" spans="2:32" x14ac:dyDescent="0.25">
      <c r="B340" s="145"/>
      <c r="C340" s="145"/>
      <c r="D340" s="145"/>
      <c r="E340" s="145"/>
      <c r="F340" s="145"/>
      <c r="G340" s="145"/>
      <c r="H340" s="145"/>
      <c r="J340" s="145"/>
      <c r="K340" s="145"/>
      <c r="L340" s="145"/>
      <c r="M340" s="145"/>
      <c r="N340" s="145"/>
      <c r="O340" s="145"/>
      <c r="P340" s="145"/>
      <c r="R340" s="145"/>
      <c r="S340" s="145"/>
      <c r="T340" s="145"/>
      <c r="U340" s="145"/>
      <c r="V340" s="145"/>
      <c r="W340" s="145"/>
      <c r="X340" s="145"/>
      <c r="Z340" s="145"/>
      <c r="AA340" s="145"/>
      <c r="AB340" s="145"/>
      <c r="AC340" s="145"/>
      <c r="AD340" s="145"/>
      <c r="AE340" s="145"/>
      <c r="AF340" s="145"/>
    </row>
    <row r="341" spans="2:32" x14ac:dyDescent="0.25">
      <c r="B341" s="145"/>
      <c r="C341" s="145"/>
      <c r="D341" s="145"/>
      <c r="E341" s="145"/>
      <c r="F341" s="145"/>
      <c r="G341" s="145"/>
      <c r="H341" s="145"/>
      <c r="J341" s="145"/>
      <c r="K341" s="145"/>
      <c r="L341" s="145"/>
      <c r="M341" s="145"/>
      <c r="N341" s="145"/>
      <c r="O341" s="145"/>
      <c r="P341" s="145"/>
      <c r="R341" s="145"/>
      <c r="S341" s="145"/>
      <c r="T341" s="145"/>
      <c r="U341" s="145"/>
      <c r="V341" s="145"/>
      <c r="W341" s="145"/>
      <c r="X341" s="145"/>
      <c r="Z341" s="145"/>
      <c r="AA341" s="145"/>
      <c r="AB341" s="145"/>
      <c r="AC341" s="145"/>
      <c r="AD341" s="145"/>
      <c r="AE341" s="145"/>
      <c r="AF341" s="145"/>
    </row>
    <row r="342" spans="2:32" x14ac:dyDescent="0.25">
      <c r="B342" s="145"/>
      <c r="C342" s="145"/>
      <c r="D342" s="145"/>
      <c r="E342" s="145"/>
      <c r="F342" s="145"/>
      <c r="G342" s="145"/>
      <c r="H342" s="145"/>
      <c r="J342" s="145"/>
      <c r="K342" s="145"/>
      <c r="L342" s="145"/>
      <c r="M342" s="145"/>
      <c r="N342" s="145"/>
      <c r="O342" s="145"/>
      <c r="P342" s="145"/>
      <c r="R342" s="145"/>
      <c r="S342" s="145"/>
      <c r="T342" s="145"/>
      <c r="U342" s="145"/>
      <c r="V342" s="145"/>
      <c r="W342" s="145"/>
      <c r="X342" s="145"/>
      <c r="Z342" s="145"/>
      <c r="AA342" s="145"/>
      <c r="AB342" s="145"/>
      <c r="AC342" s="145"/>
      <c r="AD342" s="145"/>
      <c r="AE342" s="145"/>
      <c r="AF342" s="145"/>
    </row>
    <row r="343" spans="2:32" x14ac:dyDescent="0.25">
      <c r="B343" s="145"/>
      <c r="C343" s="145"/>
      <c r="D343" s="145"/>
      <c r="E343" s="145"/>
      <c r="F343" s="145"/>
      <c r="G343" s="145"/>
      <c r="H343" s="145"/>
      <c r="J343" s="145"/>
      <c r="K343" s="145"/>
      <c r="L343" s="145"/>
      <c r="M343" s="145"/>
      <c r="N343" s="145"/>
      <c r="O343" s="145"/>
      <c r="P343" s="145"/>
      <c r="R343" s="145"/>
      <c r="S343" s="145"/>
      <c r="T343" s="145"/>
      <c r="U343" s="145"/>
      <c r="V343" s="145"/>
      <c r="W343" s="145"/>
      <c r="X343" s="145"/>
      <c r="Z343" s="145"/>
      <c r="AA343" s="145"/>
      <c r="AB343" s="145"/>
      <c r="AC343" s="145"/>
      <c r="AD343" s="145"/>
      <c r="AE343" s="145"/>
      <c r="AF343" s="145"/>
    </row>
    <row r="344" spans="2:32" x14ac:dyDescent="0.25">
      <c r="B344" s="145"/>
      <c r="C344" s="145"/>
      <c r="D344" s="145"/>
      <c r="E344" s="145"/>
      <c r="F344" s="145"/>
      <c r="G344" s="145"/>
      <c r="H344" s="145"/>
      <c r="J344" s="145"/>
      <c r="K344" s="145"/>
      <c r="L344" s="145"/>
      <c r="M344" s="145"/>
      <c r="N344" s="145"/>
      <c r="O344" s="145"/>
      <c r="P344" s="145"/>
      <c r="R344" s="145"/>
      <c r="S344" s="145"/>
      <c r="T344" s="145"/>
      <c r="U344" s="145"/>
      <c r="V344" s="145"/>
      <c r="W344" s="145"/>
      <c r="X344" s="145"/>
      <c r="Z344" s="145"/>
      <c r="AA344" s="145"/>
      <c r="AB344" s="145"/>
      <c r="AC344" s="145"/>
      <c r="AD344" s="145"/>
      <c r="AE344" s="145"/>
      <c r="AF344" s="145"/>
    </row>
    <row r="345" spans="2:32" x14ac:dyDescent="0.25">
      <c r="B345" s="145"/>
      <c r="C345" s="145"/>
      <c r="D345" s="145"/>
      <c r="E345" s="145"/>
      <c r="F345" s="145"/>
      <c r="G345" s="145"/>
      <c r="H345" s="145"/>
      <c r="J345" s="145"/>
      <c r="K345" s="145"/>
      <c r="L345" s="145"/>
      <c r="M345" s="145"/>
      <c r="N345" s="145"/>
      <c r="O345" s="145"/>
      <c r="P345" s="145"/>
      <c r="R345" s="145"/>
      <c r="S345" s="145"/>
      <c r="T345" s="145"/>
      <c r="U345" s="145"/>
      <c r="V345" s="145"/>
      <c r="W345" s="145"/>
      <c r="X345" s="145"/>
      <c r="Z345" s="145"/>
      <c r="AA345" s="145"/>
      <c r="AB345" s="145"/>
      <c r="AC345" s="145"/>
      <c r="AD345" s="145"/>
      <c r="AE345" s="145"/>
      <c r="AF345" s="145"/>
    </row>
    <row r="346" spans="2:32" x14ac:dyDescent="0.25">
      <c r="B346" s="145"/>
      <c r="C346" s="145"/>
      <c r="D346" s="145"/>
      <c r="E346" s="145"/>
      <c r="F346" s="145"/>
      <c r="G346" s="145"/>
      <c r="H346" s="145"/>
      <c r="J346" s="145"/>
      <c r="K346" s="145"/>
      <c r="L346" s="145"/>
      <c r="M346" s="145"/>
      <c r="N346" s="145"/>
      <c r="O346" s="145"/>
      <c r="P346" s="145"/>
      <c r="R346" s="145"/>
      <c r="S346" s="145"/>
      <c r="T346" s="145"/>
      <c r="U346" s="145"/>
      <c r="V346" s="145"/>
      <c r="W346" s="145"/>
      <c r="X346" s="145"/>
      <c r="Z346" s="145"/>
      <c r="AA346" s="145"/>
      <c r="AB346" s="145"/>
      <c r="AC346" s="145"/>
      <c r="AD346" s="145"/>
      <c r="AE346" s="145"/>
      <c r="AF346" s="145"/>
    </row>
    <row r="347" spans="2:32" x14ac:dyDescent="0.25">
      <c r="B347" s="145"/>
      <c r="C347" s="145"/>
      <c r="D347" s="145"/>
      <c r="E347" s="145"/>
      <c r="F347" s="145"/>
      <c r="G347" s="145"/>
      <c r="H347" s="145"/>
      <c r="J347" s="145"/>
      <c r="K347" s="145"/>
      <c r="L347" s="145"/>
      <c r="M347" s="145"/>
      <c r="N347" s="145"/>
      <c r="O347" s="145"/>
      <c r="P347" s="145"/>
      <c r="R347" s="145"/>
      <c r="S347" s="145"/>
      <c r="T347" s="145"/>
      <c r="U347" s="145"/>
      <c r="V347" s="145"/>
      <c r="W347" s="145"/>
      <c r="X347" s="145"/>
      <c r="Z347" s="145"/>
      <c r="AA347" s="145"/>
      <c r="AB347" s="145"/>
      <c r="AC347" s="145"/>
      <c r="AD347" s="145"/>
      <c r="AE347" s="145"/>
      <c r="AF347" s="145"/>
    </row>
    <row r="348" spans="2:32" x14ac:dyDescent="0.25">
      <c r="B348" s="145"/>
      <c r="C348" s="145"/>
      <c r="D348" s="145"/>
      <c r="E348" s="145"/>
      <c r="F348" s="145"/>
      <c r="G348" s="145"/>
      <c r="H348" s="145"/>
      <c r="J348" s="145"/>
      <c r="K348" s="145"/>
      <c r="L348" s="145"/>
      <c r="M348" s="145"/>
      <c r="N348" s="145"/>
      <c r="O348" s="145"/>
      <c r="P348" s="145"/>
      <c r="R348" s="145"/>
      <c r="S348" s="145"/>
      <c r="T348" s="145"/>
      <c r="U348" s="145"/>
      <c r="V348" s="145"/>
      <c r="W348" s="145"/>
      <c r="X348" s="145"/>
      <c r="Z348" s="145"/>
      <c r="AA348" s="145"/>
      <c r="AB348" s="145"/>
      <c r="AC348" s="145"/>
      <c r="AD348" s="145"/>
      <c r="AE348" s="145"/>
      <c r="AF348" s="145"/>
    </row>
    <row r="349" spans="2:32" x14ac:dyDescent="0.25">
      <c r="B349" s="145"/>
      <c r="C349" s="145"/>
      <c r="D349" s="145"/>
      <c r="E349" s="145"/>
      <c r="F349" s="145"/>
      <c r="G349" s="145"/>
      <c r="H349" s="145"/>
      <c r="J349" s="145"/>
      <c r="K349" s="145"/>
      <c r="L349" s="145"/>
      <c r="M349" s="145"/>
      <c r="N349" s="145"/>
      <c r="O349" s="145"/>
      <c r="P349" s="145"/>
      <c r="R349" s="145"/>
      <c r="S349" s="145"/>
      <c r="T349" s="145"/>
      <c r="U349" s="145"/>
      <c r="V349" s="145"/>
      <c r="W349" s="145"/>
      <c r="X349" s="145"/>
      <c r="Z349" s="145"/>
      <c r="AA349" s="145"/>
      <c r="AB349" s="145"/>
      <c r="AC349" s="145"/>
      <c r="AD349" s="145"/>
      <c r="AE349" s="145"/>
      <c r="AF349" s="145"/>
    </row>
    <row r="350" spans="2:32" x14ac:dyDescent="0.25">
      <c r="B350" s="145"/>
      <c r="C350" s="145"/>
      <c r="D350" s="145"/>
      <c r="E350" s="145"/>
      <c r="F350" s="145"/>
      <c r="G350" s="145"/>
      <c r="H350" s="145"/>
      <c r="J350" s="145"/>
      <c r="K350" s="145"/>
      <c r="L350" s="145"/>
      <c r="M350" s="145"/>
      <c r="N350" s="145"/>
      <c r="O350" s="145"/>
      <c r="P350" s="145"/>
      <c r="R350" s="145"/>
      <c r="S350" s="145"/>
      <c r="T350" s="145"/>
      <c r="U350" s="145"/>
      <c r="V350" s="145"/>
      <c r="W350" s="145"/>
      <c r="X350" s="145"/>
      <c r="Z350" s="145"/>
      <c r="AA350" s="145"/>
      <c r="AB350" s="145"/>
      <c r="AC350" s="145"/>
      <c r="AD350" s="145"/>
      <c r="AE350" s="145"/>
      <c r="AF350" s="145"/>
    </row>
    <row r="351" spans="2:32" x14ac:dyDescent="0.25">
      <c r="B351" s="145"/>
      <c r="C351" s="145"/>
      <c r="D351" s="145"/>
      <c r="E351" s="145"/>
      <c r="F351" s="145"/>
      <c r="G351" s="145"/>
      <c r="H351" s="145"/>
      <c r="J351" s="145"/>
      <c r="K351" s="145"/>
      <c r="L351" s="145"/>
      <c r="M351" s="145"/>
      <c r="N351" s="145"/>
      <c r="O351" s="145"/>
      <c r="P351" s="145"/>
      <c r="R351" s="145"/>
      <c r="S351" s="145"/>
      <c r="T351" s="145"/>
      <c r="U351" s="145"/>
      <c r="V351" s="145"/>
      <c r="W351" s="145"/>
      <c r="X351" s="145"/>
      <c r="Z351" s="145"/>
      <c r="AA351" s="145"/>
      <c r="AB351" s="145"/>
      <c r="AC351" s="145"/>
      <c r="AD351" s="145"/>
      <c r="AE351" s="145"/>
      <c r="AF351" s="145"/>
    </row>
    <row r="352" spans="2:32" x14ac:dyDescent="0.25">
      <c r="B352" s="145"/>
      <c r="C352" s="145"/>
      <c r="D352" s="145"/>
      <c r="E352" s="145"/>
      <c r="F352" s="145"/>
      <c r="G352" s="145"/>
      <c r="H352" s="145"/>
      <c r="J352" s="145"/>
      <c r="K352" s="145"/>
      <c r="L352" s="145"/>
      <c r="M352" s="145"/>
      <c r="N352" s="145"/>
      <c r="O352" s="145"/>
      <c r="P352" s="145"/>
      <c r="R352" s="145"/>
      <c r="S352" s="145"/>
      <c r="T352" s="145"/>
      <c r="U352" s="145"/>
      <c r="V352" s="145"/>
      <c r="W352" s="145"/>
      <c r="X352" s="145"/>
      <c r="Z352" s="145"/>
      <c r="AA352" s="145"/>
      <c r="AB352" s="145"/>
      <c r="AC352" s="145"/>
      <c r="AD352" s="145"/>
      <c r="AE352" s="145"/>
      <c r="AF352" s="145"/>
    </row>
    <row r="353" spans="2:32" x14ac:dyDescent="0.25">
      <c r="B353" s="145"/>
      <c r="C353" s="145"/>
      <c r="D353" s="145"/>
      <c r="E353" s="145"/>
      <c r="F353" s="145"/>
      <c r="G353" s="145"/>
      <c r="H353" s="145"/>
      <c r="J353" s="145"/>
      <c r="K353" s="145"/>
      <c r="L353" s="145"/>
      <c r="M353" s="145"/>
      <c r="N353" s="145"/>
      <c r="O353" s="145"/>
      <c r="P353" s="145"/>
      <c r="R353" s="145"/>
      <c r="S353" s="145"/>
      <c r="T353" s="145"/>
      <c r="U353" s="145"/>
      <c r="V353" s="145"/>
      <c r="W353" s="145"/>
      <c r="X353" s="145"/>
      <c r="Z353" s="145"/>
      <c r="AA353" s="145"/>
      <c r="AB353" s="145"/>
      <c r="AC353" s="145"/>
      <c r="AD353" s="145"/>
      <c r="AE353" s="145"/>
      <c r="AF353" s="145"/>
    </row>
    <row r="354" spans="2:32" x14ac:dyDescent="0.25">
      <c r="B354" s="145"/>
      <c r="C354" s="145"/>
      <c r="D354" s="145"/>
      <c r="E354" s="145"/>
      <c r="F354" s="145"/>
      <c r="G354" s="145"/>
      <c r="H354" s="145"/>
      <c r="J354" s="145"/>
      <c r="K354" s="145"/>
      <c r="L354" s="145"/>
      <c r="M354" s="145"/>
      <c r="N354" s="145"/>
      <c r="O354" s="145"/>
      <c r="P354" s="145"/>
      <c r="R354" s="145"/>
      <c r="S354" s="145"/>
      <c r="T354" s="145"/>
      <c r="U354" s="145"/>
      <c r="V354" s="145"/>
      <c r="W354" s="145"/>
      <c r="X354" s="145"/>
      <c r="Z354" s="145"/>
      <c r="AA354" s="145"/>
      <c r="AB354" s="145"/>
      <c r="AC354" s="145"/>
      <c r="AD354" s="145"/>
      <c r="AE354" s="145"/>
      <c r="AF354" s="145"/>
    </row>
    <row r="355" spans="2:32" x14ac:dyDescent="0.25">
      <c r="B355" s="145"/>
      <c r="C355" s="145"/>
      <c r="D355" s="145"/>
      <c r="E355" s="145"/>
      <c r="F355" s="145"/>
      <c r="G355" s="145"/>
      <c r="H355" s="145"/>
      <c r="J355" s="145"/>
      <c r="K355" s="145"/>
      <c r="L355" s="145"/>
      <c r="M355" s="145"/>
      <c r="N355" s="145"/>
      <c r="O355" s="145"/>
      <c r="P355" s="145"/>
      <c r="R355" s="145"/>
      <c r="S355" s="145"/>
      <c r="T355" s="145"/>
      <c r="U355" s="145"/>
      <c r="V355" s="145"/>
      <c r="W355" s="145"/>
      <c r="X355" s="145"/>
      <c r="Z355" s="145"/>
      <c r="AA355" s="145"/>
      <c r="AB355" s="145"/>
      <c r="AC355" s="145"/>
      <c r="AD355" s="145"/>
      <c r="AE355" s="145"/>
      <c r="AF355" s="145"/>
    </row>
    <row r="356" spans="2:32" x14ac:dyDescent="0.25">
      <c r="B356" s="145"/>
      <c r="C356" s="145"/>
      <c r="D356" s="145"/>
      <c r="E356" s="145"/>
      <c r="F356" s="145"/>
      <c r="G356" s="145"/>
      <c r="H356" s="145"/>
      <c r="J356" s="145"/>
      <c r="K356" s="145"/>
      <c r="L356" s="145"/>
      <c r="M356" s="145"/>
      <c r="N356" s="145"/>
      <c r="O356" s="145"/>
      <c r="P356" s="145"/>
      <c r="R356" s="145"/>
      <c r="S356" s="145"/>
      <c r="T356" s="145"/>
      <c r="U356" s="145"/>
      <c r="V356" s="145"/>
      <c r="W356" s="145"/>
      <c r="X356" s="145"/>
      <c r="Z356" s="145"/>
      <c r="AA356" s="145"/>
      <c r="AB356" s="145"/>
      <c r="AC356" s="145"/>
      <c r="AD356" s="145"/>
      <c r="AE356" s="145"/>
      <c r="AF356" s="145"/>
    </row>
    <row r="357" spans="2:32" x14ac:dyDescent="0.25">
      <c r="B357" s="145"/>
      <c r="C357" s="145"/>
      <c r="D357" s="145"/>
      <c r="E357" s="145"/>
      <c r="F357" s="145"/>
      <c r="G357" s="145"/>
      <c r="H357" s="145"/>
      <c r="J357" s="145"/>
      <c r="K357" s="145"/>
      <c r="L357" s="145"/>
      <c r="M357" s="145"/>
      <c r="N357" s="145"/>
      <c r="O357" s="145"/>
      <c r="P357" s="145"/>
      <c r="R357" s="145"/>
      <c r="S357" s="145"/>
      <c r="T357" s="145"/>
      <c r="U357" s="145"/>
      <c r="V357" s="145"/>
      <c r="W357" s="145"/>
      <c r="X357" s="145"/>
      <c r="Z357" s="145"/>
      <c r="AA357" s="145"/>
      <c r="AB357" s="145"/>
      <c r="AC357" s="145"/>
      <c r="AD357" s="145"/>
      <c r="AE357" s="145"/>
      <c r="AF357" s="145"/>
    </row>
    <row r="358" spans="2:32" x14ac:dyDescent="0.25">
      <c r="B358" s="145"/>
      <c r="C358" s="145"/>
      <c r="D358" s="145"/>
      <c r="E358" s="145"/>
      <c r="F358" s="145"/>
      <c r="G358" s="145"/>
      <c r="H358" s="145"/>
      <c r="J358" s="145"/>
      <c r="K358" s="145"/>
      <c r="L358" s="145"/>
      <c r="M358" s="145"/>
      <c r="N358" s="145"/>
      <c r="O358" s="145"/>
      <c r="P358" s="145"/>
      <c r="R358" s="145"/>
      <c r="S358" s="145"/>
      <c r="T358" s="145"/>
      <c r="U358" s="145"/>
      <c r="V358" s="145"/>
      <c r="W358" s="145"/>
      <c r="X358" s="145"/>
      <c r="Z358" s="145"/>
      <c r="AA358" s="145"/>
      <c r="AB358" s="145"/>
      <c r="AC358" s="145"/>
      <c r="AD358" s="145"/>
      <c r="AE358" s="145"/>
      <c r="AF358" s="145"/>
    </row>
    <row r="359" spans="2:32" x14ac:dyDescent="0.25">
      <c r="B359" s="145"/>
      <c r="C359" s="145"/>
      <c r="D359" s="145"/>
      <c r="E359" s="145"/>
      <c r="F359" s="145"/>
      <c r="G359" s="145"/>
      <c r="H359" s="145"/>
      <c r="J359" s="145"/>
      <c r="K359" s="145"/>
      <c r="L359" s="145"/>
      <c r="M359" s="145"/>
      <c r="N359" s="145"/>
      <c r="O359" s="145"/>
      <c r="P359" s="145"/>
      <c r="R359" s="145"/>
      <c r="S359" s="145"/>
      <c r="T359" s="145"/>
      <c r="U359" s="145"/>
      <c r="V359" s="145"/>
      <c r="W359" s="145"/>
      <c r="X359" s="145"/>
      <c r="Z359" s="145"/>
      <c r="AA359" s="145"/>
      <c r="AB359" s="145"/>
      <c r="AC359" s="145"/>
      <c r="AD359" s="145"/>
      <c r="AE359" s="145"/>
      <c r="AF359" s="145"/>
    </row>
    <row r="360" spans="2:32" x14ac:dyDescent="0.25">
      <c r="B360" s="145"/>
      <c r="C360" s="145"/>
      <c r="D360" s="145"/>
      <c r="E360" s="145"/>
      <c r="F360" s="145"/>
      <c r="G360" s="145"/>
      <c r="H360" s="145"/>
      <c r="J360" s="145"/>
      <c r="K360" s="145"/>
      <c r="L360" s="145"/>
      <c r="M360" s="145"/>
      <c r="N360" s="145"/>
      <c r="O360" s="145"/>
      <c r="P360" s="145"/>
      <c r="R360" s="145"/>
      <c r="S360" s="145"/>
      <c r="T360" s="145"/>
      <c r="U360" s="145"/>
      <c r="V360" s="145"/>
      <c r="W360" s="145"/>
      <c r="X360" s="145"/>
      <c r="Z360" s="145"/>
      <c r="AA360" s="145"/>
      <c r="AB360" s="145"/>
      <c r="AC360" s="145"/>
      <c r="AD360" s="145"/>
      <c r="AE360" s="145"/>
      <c r="AF360" s="145"/>
    </row>
    <row r="361" spans="2:32" x14ac:dyDescent="0.25">
      <c r="B361" s="145"/>
      <c r="C361" s="145"/>
      <c r="D361" s="145"/>
      <c r="E361" s="145"/>
      <c r="F361" s="145"/>
      <c r="G361" s="145"/>
      <c r="H361" s="145"/>
      <c r="J361" s="145"/>
      <c r="K361" s="145"/>
      <c r="L361" s="145"/>
      <c r="M361" s="145"/>
      <c r="N361" s="145"/>
      <c r="O361" s="145"/>
      <c r="P361" s="145"/>
      <c r="R361" s="145"/>
      <c r="S361" s="145"/>
      <c r="T361" s="145"/>
      <c r="U361" s="145"/>
      <c r="V361" s="145"/>
      <c r="W361" s="145"/>
      <c r="X361" s="145"/>
      <c r="Z361" s="145"/>
      <c r="AA361" s="145"/>
      <c r="AB361" s="145"/>
      <c r="AC361" s="145"/>
      <c r="AD361" s="145"/>
      <c r="AE361" s="145"/>
      <c r="AF361" s="145"/>
    </row>
    <row r="362" spans="2:32" x14ac:dyDescent="0.25">
      <c r="B362" s="145"/>
      <c r="C362" s="145"/>
      <c r="D362" s="145"/>
      <c r="E362" s="145"/>
      <c r="F362" s="145"/>
      <c r="G362" s="145"/>
      <c r="H362" s="145"/>
      <c r="J362" s="145"/>
      <c r="K362" s="145"/>
      <c r="L362" s="145"/>
      <c r="M362" s="145"/>
      <c r="N362" s="145"/>
      <c r="O362" s="145"/>
      <c r="P362" s="145"/>
      <c r="R362" s="145"/>
      <c r="S362" s="145"/>
      <c r="T362" s="145"/>
      <c r="U362" s="145"/>
      <c r="V362" s="145"/>
      <c r="W362" s="145"/>
      <c r="X362" s="145"/>
      <c r="Z362" s="145"/>
      <c r="AA362" s="145"/>
      <c r="AB362" s="145"/>
      <c r="AC362" s="145"/>
      <c r="AD362" s="145"/>
      <c r="AE362" s="145"/>
      <c r="AF362" s="145"/>
    </row>
    <row r="363" spans="2:32" x14ac:dyDescent="0.25">
      <c r="B363" s="145"/>
      <c r="C363" s="145"/>
      <c r="D363" s="145"/>
      <c r="E363" s="145"/>
      <c r="F363" s="145"/>
      <c r="G363" s="145"/>
      <c r="H363" s="145"/>
      <c r="J363" s="145"/>
      <c r="K363" s="145"/>
      <c r="L363" s="145"/>
      <c r="M363" s="145"/>
      <c r="N363" s="145"/>
      <c r="O363" s="145"/>
      <c r="P363" s="145"/>
      <c r="R363" s="145"/>
      <c r="S363" s="145"/>
      <c r="T363" s="145"/>
      <c r="U363" s="145"/>
      <c r="V363" s="145"/>
      <c r="W363" s="145"/>
      <c r="X363" s="145"/>
      <c r="Z363" s="145"/>
      <c r="AA363" s="145"/>
      <c r="AB363" s="145"/>
      <c r="AC363" s="145"/>
      <c r="AD363" s="145"/>
      <c r="AE363" s="145"/>
      <c r="AF363" s="145"/>
    </row>
    <row r="364" spans="2:32" x14ac:dyDescent="0.25">
      <c r="B364" s="145"/>
      <c r="C364" s="145"/>
      <c r="D364" s="145"/>
      <c r="E364" s="145"/>
      <c r="F364" s="145"/>
      <c r="G364" s="145"/>
      <c r="H364" s="145"/>
      <c r="J364" s="145"/>
      <c r="K364" s="145"/>
      <c r="L364" s="145"/>
      <c r="M364" s="145"/>
      <c r="N364" s="145"/>
      <c r="O364" s="145"/>
      <c r="P364" s="145"/>
      <c r="R364" s="145"/>
      <c r="S364" s="145"/>
      <c r="T364" s="145"/>
      <c r="U364" s="145"/>
      <c r="V364" s="145"/>
      <c r="W364" s="145"/>
      <c r="X364" s="145"/>
      <c r="Z364" s="145"/>
      <c r="AA364" s="145"/>
      <c r="AB364" s="145"/>
      <c r="AC364" s="145"/>
      <c r="AD364" s="145"/>
      <c r="AE364" s="145"/>
      <c r="AF364" s="145"/>
    </row>
    <row r="365" spans="2:32" x14ac:dyDescent="0.25">
      <c r="B365" s="145"/>
      <c r="C365" s="145"/>
      <c r="D365" s="145"/>
      <c r="E365" s="145"/>
      <c r="F365" s="145"/>
      <c r="G365" s="145"/>
      <c r="H365" s="145"/>
      <c r="J365" s="145"/>
      <c r="K365" s="145"/>
      <c r="L365" s="145"/>
      <c r="M365" s="145"/>
      <c r="N365" s="145"/>
      <c r="O365" s="145"/>
      <c r="P365" s="145"/>
      <c r="R365" s="145"/>
      <c r="S365" s="145"/>
      <c r="T365" s="145"/>
      <c r="U365" s="145"/>
      <c r="V365" s="145"/>
      <c r="W365" s="145"/>
      <c r="X365" s="145"/>
      <c r="Z365" s="145"/>
      <c r="AA365" s="145"/>
      <c r="AB365" s="145"/>
      <c r="AC365" s="145"/>
      <c r="AD365" s="145"/>
      <c r="AE365" s="145"/>
      <c r="AF365" s="145"/>
    </row>
    <row r="366" spans="2:32" x14ac:dyDescent="0.25">
      <c r="B366" s="145"/>
      <c r="C366" s="145"/>
      <c r="D366" s="145"/>
      <c r="E366" s="145"/>
      <c r="F366" s="145"/>
      <c r="G366" s="145"/>
      <c r="H366" s="145"/>
      <c r="J366" s="145"/>
      <c r="K366" s="145"/>
      <c r="L366" s="145"/>
      <c r="M366" s="145"/>
      <c r="N366" s="145"/>
      <c r="O366" s="145"/>
      <c r="P366" s="145"/>
      <c r="R366" s="145"/>
      <c r="S366" s="145"/>
      <c r="T366" s="145"/>
      <c r="U366" s="145"/>
      <c r="V366" s="145"/>
      <c r="W366" s="145"/>
      <c r="X366" s="145"/>
      <c r="Z366" s="145"/>
      <c r="AA366" s="145"/>
      <c r="AB366" s="145"/>
      <c r="AC366" s="145"/>
      <c r="AD366" s="145"/>
      <c r="AE366" s="145"/>
      <c r="AF366" s="145"/>
    </row>
    <row r="367" spans="2:32" x14ac:dyDescent="0.25">
      <c r="B367" s="145"/>
      <c r="C367" s="145"/>
      <c r="D367" s="145"/>
      <c r="E367" s="145"/>
      <c r="F367" s="145"/>
      <c r="G367" s="145"/>
      <c r="H367" s="145"/>
      <c r="J367" s="145"/>
      <c r="K367" s="145"/>
      <c r="L367" s="145"/>
      <c r="M367" s="145"/>
      <c r="N367" s="145"/>
      <c r="O367" s="145"/>
      <c r="P367" s="145"/>
      <c r="R367" s="145"/>
      <c r="S367" s="145"/>
      <c r="T367" s="145"/>
      <c r="U367" s="145"/>
      <c r="V367" s="145"/>
      <c r="W367" s="145"/>
      <c r="X367" s="145"/>
      <c r="Z367" s="145"/>
      <c r="AA367" s="145"/>
      <c r="AB367" s="145"/>
      <c r="AC367" s="145"/>
      <c r="AD367" s="145"/>
      <c r="AE367" s="145"/>
      <c r="AF367" s="145"/>
    </row>
    <row r="368" spans="2:32" x14ac:dyDescent="0.25">
      <c r="B368" s="145"/>
      <c r="C368" s="145"/>
      <c r="D368" s="145"/>
      <c r="E368" s="145"/>
      <c r="F368" s="145"/>
      <c r="G368" s="145"/>
      <c r="H368" s="145"/>
      <c r="J368" s="145"/>
      <c r="K368" s="145"/>
      <c r="L368" s="145"/>
      <c r="M368" s="145"/>
      <c r="N368" s="145"/>
      <c r="O368" s="145"/>
      <c r="P368" s="145"/>
      <c r="R368" s="145"/>
      <c r="S368" s="145"/>
      <c r="T368" s="145"/>
      <c r="U368" s="145"/>
      <c r="V368" s="145"/>
      <c r="W368" s="145"/>
      <c r="X368" s="145"/>
      <c r="Z368" s="145"/>
      <c r="AA368" s="145"/>
      <c r="AB368" s="145"/>
      <c r="AC368" s="145"/>
      <c r="AD368" s="145"/>
      <c r="AE368" s="145"/>
      <c r="AF368" s="145"/>
    </row>
    <row r="369" spans="2:32" x14ac:dyDescent="0.25">
      <c r="B369" s="145"/>
      <c r="C369" s="145"/>
      <c r="D369" s="145"/>
      <c r="E369" s="145"/>
      <c r="F369" s="145"/>
      <c r="G369" s="145"/>
      <c r="H369" s="145"/>
      <c r="J369" s="145"/>
      <c r="K369" s="145"/>
      <c r="L369" s="145"/>
      <c r="M369" s="145"/>
      <c r="N369" s="145"/>
      <c r="O369" s="145"/>
      <c r="P369" s="145"/>
      <c r="R369" s="145"/>
      <c r="S369" s="145"/>
      <c r="T369" s="145"/>
      <c r="U369" s="145"/>
      <c r="V369" s="145"/>
      <c r="W369" s="145"/>
      <c r="X369" s="145"/>
      <c r="Z369" s="145"/>
      <c r="AA369" s="145"/>
      <c r="AB369" s="145"/>
      <c r="AC369" s="145"/>
      <c r="AD369" s="145"/>
      <c r="AE369" s="145"/>
      <c r="AF369" s="145"/>
    </row>
    <row r="370" spans="2:32" x14ac:dyDescent="0.25">
      <c r="B370" s="145"/>
      <c r="C370" s="145"/>
      <c r="D370" s="145"/>
      <c r="E370" s="145"/>
      <c r="F370" s="145"/>
      <c r="G370" s="145"/>
      <c r="H370" s="145"/>
      <c r="J370" s="145"/>
      <c r="K370" s="145"/>
      <c r="L370" s="145"/>
      <c r="M370" s="145"/>
      <c r="N370" s="145"/>
      <c r="O370" s="145"/>
      <c r="P370" s="145"/>
      <c r="R370" s="145"/>
      <c r="S370" s="145"/>
      <c r="T370" s="145"/>
      <c r="U370" s="145"/>
      <c r="V370" s="145"/>
      <c r="W370" s="145"/>
      <c r="X370" s="145"/>
      <c r="Z370" s="145"/>
      <c r="AA370" s="145"/>
      <c r="AB370" s="145"/>
      <c r="AC370" s="145"/>
      <c r="AD370" s="145"/>
      <c r="AE370" s="145"/>
      <c r="AF370" s="145"/>
    </row>
    <row r="371" spans="2:32" x14ac:dyDescent="0.25">
      <c r="B371" s="145"/>
      <c r="C371" s="145"/>
      <c r="D371" s="145"/>
      <c r="E371" s="145"/>
      <c r="F371" s="145"/>
      <c r="G371" s="145"/>
      <c r="H371" s="145"/>
      <c r="J371" s="145"/>
      <c r="K371" s="145"/>
      <c r="L371" s="145"/>
      <c r="M371" s="145"/>
      <c r="N371" s="145"/>
      <c r="O371" s="145"/>
      <c r="P371" s="145"/>
      <c r="R371" s="145"/>
      <c r="S371" s="145"/>
      <c r="T371" s="145"/>
      <c r="U371" s="145"/>
      <c r="V371" s="145"/>
      <c r="W371" s="145"/>
      <c r="X371" s="145"/>
      <c r="Z371" s="145"/>
      <c r="AA371" s="145"/>
      <c r="AB371" s="145"/>
      <c r="AC371" s="145"/>
      <c r="AD371" s="145"/>
      <c r="AE371" s="145"/>
      <c r="AF371" s="145"/>
    </row>
    <row r="372" spans="2:32" x14ac:dyDescent="0.25">
      <c r="B372" s="145"/>
      <c r="C372" s="145"/>
      <c r="D372" s="145"/>
      <c r="E372" s="145"/>
      <c r="F372" s="145"/>
      <c r="G372" s="145"/>
      <c r="H372" s="145"/>
      <c r="J372" s="145"/>
      <c r="K372" s="145"/>
      <c r="L372" s="145"/>
      <c r="M372" s="145"/>
      <c r="N372" s="145"/>
      <c r="O372" s="145"/>
      <c r="P372" s="145"/>
      <c r="R372" s="145"/>
      <c r="S372" s="145"/>
      <c r="T372" s="145"/>
      <c r="U372" s="145"/>
      <c r="V372" s="145"/>
      <c r="W372" s="145"/>
      <c r="X372" s="145"/>
      <c r="Z372" s="145"/>
      <c r="AA372" s="145"/>
      <c r="AB372" s="145"/>
      <c r="AC372" s="145"/>
      <c r="AD372" s="145"/>
      <c r="AE372" s="145"/>
      <c r="AF372" s="145"/>
    </row>
    <row r="373" spans="2:32" x14ac:dyDescent="0.25">
      <c r="B373" s="145"/>
      <c r="C373" s="145"/>
      <c r="D373" s="145"/>
      <c r="E373" s="145"/>
      <c r="F373" s="145"/>
      <c r="G373" s="145"/>
      <c r="H373" s="145"/>
      <c r="J373" s="145"/>
      <c r="K373" s="145"/>
      <c r="L373" s="145"/>
      <c r="M373" s="145"/>
      <c r="N373" s="145"/>
      <c r="O373" s="145"/>
      <c r="P373" s="145"/>
      <c r="R373" s="145"/>
      <c r="S373" s="145"/>
      <c r="T373" s="145"/>
      <c r="U373" s="145"/>
      <c r="V373" s="145"/>
      <c r="W373" s="145"/>
      <c r="X373" s="145"/>
      <c r="Z373" s="145"/>
      <c r="AA373" s="145"/>
      <c r="AB373" s="145"/>
      <c r="AC373" s="145"/>
      <c r="AD373" s="145"/>
      <c r="AE373" s="145"/>
      <c r="AF373" s="145"/>
    </row>
    <row r="374" spans="2:32" x14ac:dyDescent="0.25">
      <c r="B374" s="145"/>
      <c r="C374" s="145"/>
      <c r="D374" s="145"/>
      <c r="E374" s="145"/>
      <c r="F374" s="145"/>
      <c r="G374" s="145"/>
      <c r="H374" s="145"/>
      <c r="J374" s="145"/>
      <c r="K374" s="145"/>
      <c r="L374" s="145"/>
      <c r="M374" s="145"/>
      <c r="N374" s="145"/>
      <c r="O374" s="145"/>
      <c r="P374" s="145"/>
      <c r="R374" s="145"/>
      <c r="S374" s="145"/>
      <c r="T374" s="145"/>
      <c r="U374" s="145"/>
      <c r="V374" s="145"/>
      <c r="W374" s="145"/>
      <c r="X374" s="145"/>
      <c r="Z374" s="145"/>
      <c r="AA374" s="145"/>
      <c r="AB374" s="145"/>
      <c r="AC374" s="145"/>
      <c r="AD374" s="145"/>
      <c r="AE374" s="145"/>
      <c r="AF374" s="145"/>
    </row>
    <row r="375" spans="2:32" x14ac:dyDescent="0.25">
      <c r="B375" s="145"/>
      <c r="C375" s="145"/>
      <c r="D375" s="145"/>
      <c r="E375" s="145"/>
      <c r="F375" s="145"/>
      <c r="G375" s="145"/>
      <c r="H375" s="145"/>
      <c r="J375" s="145"/>
      <c r="K375" s="145"/>
      <c r="L375" s="145"/>
      <c r="M375" s="145"/>
      <c r="N375" s="145"/>
      <c r="O375" s="145"/>
      <c r="P375" s="145"/>
      <c r="R375" s="145"/>
      <c r="S375" s="145"/>
      <c r="T375" s="145"/>
      <c r="U375" s="145"/>
      <c r="V375" s="145"/>
      <c r="W375" s="145"/>
      <c r="X375" s="145"/>
      <c r="Z375" s="145"/>
      <c r="AA375" s="145"/>
      <c r="AB375" s="145"/>
      <c r="AC375" s="145"/>
      <c r="AD375" s="145"/>
      <c r="AE375" s="145"/>
      <c r="AF375" s="145"/>
    </row>
    <row r="376" spans="2:32" x14ac:dyDescent="0.25">
      <c r="B376" s="145"/>
      <c r="C376" s="145"/>
      <c r="D376" s="145"/>
      <c r="E376" s="145"/>
      <c r="F376" s="145"/>
      <c r="G376" s="145"/>
      <c r="H376" s="145"/>
      <c r="J376" s="145"/>
      <c r="K376" s="145"/>
      <c r="L376" s="145"/>
      <c r="M376" s="145"/>
      <c r="N376" s="145"/>
      <c r="O376" s="145"/>
      <c r="P376" s="145"/>
      <c r="R376" s="145"/>
      <c r="S376" s="145"/>
      <c r="T376" s="145"/>
      <c r="U376" s="145"/>
      <c r="V376" s="145"/>
      <c r="W376" s="145"/>
      <c r="X376" s="145"/>
      <c r="Z376" s="145"/>
      <c r="AA376" s="145"/>
      <c r="AB376" s="145"/>
      <c r="AC376" s="145"/>
      <c r="AD376" s="145"/>
      <c r="AE376" s="145"/>
      <c r="AF376" s="145"/>
    </row>
    <row r="377" spans="2:32" x14ac:dyDescent="0.25">
      <c r="B377" s="145"/>
      <c r="C377" s="145"/>
      <c r="D377" s="145"/>
      <c r="E377" s="145"/>
      <c r="F377" s="145"/>
      <c r="G377" s="145"/>
      <c r="H377" s="145"/>
      <c r="J377" s="145"/>
      <c r="K377" s="145"/>
      <c r="L377" s="145"/>
      <c r="M377" s="145"/>
      <c r="N377" s="145"/>
      <c r="O377" s="145"/>
      <c r="P377" s="145"/>
      <c r="R377" s="145"/>
      <c r="S377" s="145"/>
      <c r="T377" s="145"/>
      <c r="U377" s="145"/>
      <c r="V377" s="145"/>
      <c r="W377" s="145"/>
      <c r="X377" s="145"/>
      <c r="Z377" s="145"/>
      <c r="AA377" s="145"/>
      <c r="AB377" s="145"/>
      <c r="AC377" s="145"/>
      <c r="AD377" s="145"/>
      <c r="AE377" s="145"/>
      <c r="AF377" s="145"/>
    </row>
    <row r="378" spans="2:32" x14ac:dyDescent="0.25">
      <c r="B378" s="145"/>
      <c r="C378" s="145"/>
      <c r="D378" s="145"/>
      <c r="E378" s="145"/>
      <c r="F378" s="145"/>
      <c r="G378" s="145"/>
      <c r="H378" s="145"/>
      <c r="J378" s="145"/>
      <c r="K378" s="145"/>
      <c r="L378" s="145"/>
      <c r="M378" s="145"/>
      <c r="N378" s="145"/>
      <c r="O378" s="145"/>
      <c r="P378" s="145"/>
      <c r="R378" s="145"/>
      <c r="S378" s="145"/>
      <c r="T378" s="145"/>
      <c r="U378" s="145"/>
      <c r="V378" s="145"/>
      <c r="W378" s="145"/>
      <c r="X378" s="145"/>
      <c r="Z378" s="145"/>
      <c r="AA378" s="145"/>
      <c r="AB378" s="145"/>
      <c r="AC378" s="145"/>
      <c r="AD378" s="145"/>
      <c r="AE378" s="145"/>
      <c r="AF378" s="145"/>
    </row>
    <row r="379" spans="2:32" x14ac:dyDescent="0.25">
      <c r="B379" s="145"/>
      <c r="C379" s="145"/>
      <c r="D379" s="145"/>
      <c r="E379" s="145"/>
      <c r="F379" s="145"/>
      <c r="G379" s="145"/>
      <c r="H379" s="145"/>
      <c r="J379" s="145"/>
      <c r="K379" s="145"/>
      <c r="L379" s="145"/>
      <c r="M379" s="145"/>
      <c r="N379" s="145"/>
      <c r="O379" s="145"/>
      <c r="P379" s="145"/>
      <c r="R379" s="145"/>
      <c r="S379" s="145"/>
      <c r="T379" s="145"/>
      <c r="U379" s="145"/>
      <c r="V379" s="145"/>
      <c r="W379" s="145"/>
      <c r="X379" s="145"/>
      <c r="Z379" s="145"/>
      <c r="AA379" s="145"/>
      <c r="AB379" s="145"/>
      <c r="AC379" s="145"/>
      <c r="AD379" s="145"/>
      <c r="AE379" s="145"/>
      <c r="AF379" s="145"/>
    </row>
    <row r="380" spans="2:32" x14ac:dyDescent="0.25">
      <c r="B380" s="145"/>
      <c r="C380" s="145"/>
      <c r="D380" s="145"/>
      <c r="E380" s="145"/>
      <c r="F380" s="145"/>
      <c r="G380" s="145"/>
      <c r="H380" s="145"/>
      <c r="J380" s="145"/>
      <c r="K380" s="145"/>
      <c r="L380" s="145"/>
      <c r="M380" s="145"/>
      <c r="N380" s="145"/>
      <c r="O380" s="145"/>
      <c r="P380" s="145"/>
      <c r="R380" s="145"/>
      <c r="S380" s="145"/>
      <c r="T380" s="145"/>
      <c r="U380" s="145"/>
      <c r="V380" s="145"/>
      <c r="W380" s="145"/>
      <c r="X380" s="145"/>
      <c r="Z380" s="145"/>
      <c r="AA380" s="145"/>
      <c r="AB380" s="145"/>
      <c r="AC380" s="145"/>
      <c r="AD380" s="145"/>
      <c r="AE380" s="145"/>
      <c r="AF380" s="145"/>
    </row>
    <row r="381" spans="2:32" x14ac:dyDescent="0.25">
      <c r="B381" s="145"/>
      <c r="C381" s="145"/>
      <c r="D381" s="145"/>
      <c r="E381" s="145"/>
      <c r="F381" s="145"/>
      <c r="G381" s="145"/>
      <c r="H381" s="145"/>
      <c r="J381" s="145"/>
      <c r="K381" s="145"/>
      <c r="L381" s="145"/>
      <c r="M381" s="145"/>
      <c r="N381" s="145"/>
      <c r="O381" s="145"/>
      <c r="P381" s="145"/>
      <c r="R381" s="145"/>
      <c r="S381" s="145"/>
      <c r="T381" s="145"/>
      <c r="U381" s="145"/>
      <c r="V381" s="145"/>
      <c r="W381" s="145"/>
      <c r="X381" s="145"/>
      <c r="Z381" s="145"/>
      <c r="AA381" s="145"/>
      <c r="AB381" s="145"/>
      <c r="AC381" s="145"/>
      <c r="AD381" s="145"/>
      <c r="AE381" s="145"/>
      <c r="AF381" s="145"/>
    </row>
    <row r="382" spans="2:32" x14ac:dyDescent="0.25">
      <c r="B382" s="145"/>
      <c r="C382" s="145"/>
      <c r="D382" s="145"/>
      <c r="E382" s="145"/>
      <c r="F382" s="145"/>
      <c r="G382" s="145"/>
      <c r="H382" s="145"/>
      <c r="J382" s="145"/>
      <c r="K382" s="145"/>
      <c r="L382" s="145"/>
      <c r="M382" s="145"/>
      <c r="N382" s="145"/>
      <c r="O382" s="145"/>
      <c r="P382" s="145"/>
      <c r="R382" s="145"/>
      <c r="S382" s="145"/>
      <c r="T382" s="145"/>
      <c r="U382" s="145"/>
      <c r="V382" s="145"/>
      <c r="W382" s="145"/>
      <c r="X382" s="145"/>
      <c r="Z382" s="145"/>
      <c r="AA382" s="145"/>
      <c r="AB382" s="145"/>
      <c r="AC382" s="145"/>
      <c r="AD382" s="145"/>
      <c r="AE382" s="145"/>
      <c r="AF382" s="145"/>
    </row>
    <row r="383" spans="2:32" x14ac:dyDescent="0.25">
      <c r="B383" s="145"/>
      <c r="C383" s="145"/>
      <c r="D383" s="145"/>
      <c r="E383" s="145"/>
      <c r="F383" s="145"/>
      <c r="G383" s="145"/>
      <c r="H383" s="145"/>
      <c r="J383" s="145"/>
      <c r="K383" s="145"/>
      <c r="L383" s="145"/>
      <c r="M383" s="145"/>
      <c r="N383" s="145"/>
      <c r="O383" s="145"/>
      <c r="P383" s="145"/>
      <c r="R383" s="145"/>
      <c r="S383" s="145"/>
      <c r="T383" s="145"/>
      <c r="U383" s="145"/>
      <c r="V383" s="145"/>
      <c r="W383" s="145"/>
      <c r="X383" s="145"/>
      <c r="Z383" s="145"/>
      <c r="AA383" s="145"/>
      <c r="AB383" s="145"/>
      <c r="AC383" s="145"/>
      <c r="AD383" s="145"/>
      <c r="AE383" s="145"/>
      <c r="AF383" s="145"/>
    </row>
    <row r="384" spans="2:32" x14ac:dyDescent="0.25">
      <c r="B384" s="145"/>
      <c r="C384" s="145"/>
      <c r="D384" s="145"/>
      <c r="E384" s="145"/>
      <c r="F384" s="145"/>
      <c r="G384" s="145"/>
      <c r="H384" s="145"/>
      <c r="J384" s="145"/>
      <c r="K384" s="145"/>
      <c r="L384" s="145"/>
      <c r="M384" s="145"/>
      <c r="N384" s="145"/>
      <c r="O384" s="145"/>
      <c r="P384" s="145"/>
      <c r="R384" s="145"/>
      <c r="S384" s="145"/>
      <c r="T384" s="145"/>
      <c r="U384" s="145"/>
      <c r="V384" s="145"/>
      <c r="W384" s="145"/>
      <c r="X384" s="145"/>
      <c r="Z384" s="145"/>
      <c r="AA384" s="145"/>
      <c r="AB384" s="145"/>
      <c r="AC384" s="145"/>
      <c r="AD384" s="145"/>
      <c r="AE384" s="145"/>
      <c r="AF384" s="145"/>
    </row>
    <row r="385" spans="2:32" x14ac:dyDescent="0.25">
      <c r="B385" s="145"/>
      <c r="C385" s="145"/>
      <c r="D385" s="145"/>
      <c r="E385" s="145"/>
      <c r="F385" s="145"/>
      <c r="G385" s="145"/>
      <c r="H385" s="145"/>
      <c r="J385" s="145"/>
      <c r="K385" s="145"/>
      <c r="L385" s="145"/>
      <c r="M385" s="145"/>
      <c r="N385" s="145"/>
      <c r="O385" s="145"/>
      <c r="P385" s="145"/>
      <c r="R385" s="145"/>
      <c r="S385" s="145"/>
      <c r="T385" s="145"/>
      <c r="U385" s="145"/>
      <c r="V385" s="145"/>
      <c r="W385" s="145"/>
      <c r="X385" s="145"/>
      <c r="Z385" s="145"/>
      <c r="AA385" s="145"/>
      <c r="AB385" s="145"/>
      <c r="AC385" s="145"/>
      <c r="AD385" s="145"/>
      <c r="AE385" s="145"/>
      <c r="AF385" s="145"/>
    </row>
    <row r="386" spans="2:32" x14ac:dyDescent="0.25">
      <c r="B386" s="145"/>
      <c r="C386" s="145"/>
      <c r="D386" s="145"/>
      <c r="E386" s="145"/>
      <c r="F386" s="145"/>
      <c r="G386" s="145"/>
      <c r="H386" s="145"/>
      <c r="J386" s="145"/>
      <c r="K386" s="145"/>
      <c r="L386" s="145"/>
      <c r="M386" s="145"/>
      <c r="N386" s="145"/>
      <c r="O386" s="145"/>
      <c r="P386" s="145"/>
      <c r="R386" s="145"/>
      <c r="S386" s="145"/>
      <c r="T386" s="145"/>
      <c r="U386" s="145"/>
      <c r="V386" s="145"/>
      <c r="W386" s="145"/>
      <c r="X386" s="145"/>
      <c r="Z386" s="145"/>
      <c r="AA386" s="145"/>
      <c r="AB386" s="145"/>
      <c r="AC386" s="145"/>
      <c r="AD386" s="145"/>
      <c r="AE386" s="145"/>
      <c r="AF386" s="145"/>
    </row>
    <row r="387" spans="2:32" x14ac:dyDescent="0.25">
      <c r="B387" s="145"/>
      <c r="C387" s="145"/>
      <c r="D387" s="145"/>
      <c r="E387" s="145"/>
      <c r="F387" s="145"/>
      <c r="G387" s="145"/>
      <c r="H387" s="145"/>
      <c r="J387" s="145"/>
      <c r="K387" s="145"/>
      <c r="L387" s="145"/>
      <c r="M387" s="145"/>
      <c r="N387" s="145"/>
      <c r="O387" s="145"/>
      <c r="P387" s="145"/>
      <c r="R387" s="145"/>
      <c r="S387" s="145"/>
      <c r="T387" s="145"/>
      <c r="U387" s="145"/>
      <c r="V387" s="145"/>
      <c r="W387" s="145"/>
      <c r="X387" s="145"/>
      <c r="Z387" s="145"/>
      <c r="AA387" s="145"/>
      <c r="AB387" s="145"/>
      <c r="AC387" s="145"/>
      <c r="AD387" s="145"/>
      <c r="AE387" s="145"/>
      <c r="AF387" s="145"/>
    </row>
    <row r="388" spans="2:32" x14ac:dyDescent="0.25">
      <c r="B388" s="145"/>
      <c r="C388" s="145"/>
      <c r="D388" s="145"/>
      <c r="E388" s="145"/>
      <c r="F388" s="145"/>
      <c r="G388" s="145"/>
      <c r="H388" s="145"/>
      <c r="J388" s="145"/>
      <c r="K388" s="145"/>
      <c r="L388" s="145"/>
      <c r="M388" s="145"/>
      <c r="N388" s="145"/>
      <c r="O388" s="145"/>
      <c r="P388" s="145"/>
      <c r="R388" s="145"/>
      <c r="S388" s="145"/>
      <c r="T388" s="145"/>
      <c r="U388" s="145"/>
      <c r="V388" s="145"/>
      <c r="W388" s="145"/>
      <c r="X388" s="145"/>
      <c r="Z388" s="145"/>
      <c r="AA388" s="145"/>
      <c r="AB388" s="145"/>
      <c r="AC388" s="145"/>
      <c r="AD388" s="145"/>
      <c r="AE388" s="145"/>
      <c r="AF388" s="145"/>
    </row>
    <row r="389" spans="2:32" x14ac:dyDescent="0.25">
      <c r="B389" s="145"/>
      <c r="C389" s="145"/>
      <c r="D389" s="145"/>
      <c r="E389" s="145"/>
      <c r="F389" s="145"/>
      <c r="G389" s="145"/>
      <c r="H389" s="145"/>
      <c r="J389" s="145"/>
      <c r="K389" s="145"/>
      <c r="L389" s="145"/>
      <c r="M389" s="145"/>
      <c r="N389" s="145"/>
      <c r="O389" s="145"/>
      <c r="P389" s="145"/>
      <c r="R389" s="145"/>
      <c r="S389" s="145"/>
      <c r="T389" s="145"/>
      <c r="U389" s="145"/>
      <c r="V389" s="145"/>
      <c r="W389" s="145"/>
      <c r="X389" s="145"/>
      <c r="Z389" s="145"/>
      <c r="AA389" s="145"/>
      <c r="AB389" s="145"/>
      <c r="AC389" s="145"/>
      <c r="AD389" s="145"/>
      <c r="AE389" s="145"/>
      <c r="AF389" s="145"/>
    </row>
    <row r="390" spans="2:32" x14ac:dyDescent="0.25">
      <c r="B390" s="145"/>
      <c r="C390" s="145"/>
      <c r="D390" s="145"/>
      <c r="E390" s="145"/>
      <c r="F390" s="145"/>
      <c r="G390" s="145"/>
      <c r="H390" s="145"/>
      <c r="J390" s="145"/>
      <c r="K390" s="145"/>
      <c r="L390" s="145"/>
      <c r="M390" s="145"/>
      <c r="N390" s="145"/>
      <c r="O390" s="145"/>
      <c r="P390" s="145"/>
      <c r="R390" s="145"/>
      <c r="S390" s="145"/>
      <c r="T390" s="145"/>
      <c r="U390" s="145"/>
      <c r="V390" s="145"/>
      <c r="W390" s="145"/>
      <c r="X390" s="145"/>
      <c r="Z390" s="145"/>
      <c r="AA390" s="145"/>
      <c r="AB390" s="145"/>
      <c r="AC390" s="145"/>
      <c r="AD390" s="145"/>
      <c r="AE390" s="145"/>
      <c r="AF390" s="145"/>
    </row>
    <row r="391" spans="2:32" x14ac:dyDescent="0.25">
      <c r="B391" s="145"/>
      <c r="C391" s="145"/>
      <c r="D391" s="145"/>
      <c r="E391" s="145"/>
      <c r="F391" s="145"/>
      <c r="G391" s="145"/>
      <c r="H391" s="145"/>
      <c r="J391" s="145"/>
      <c r="K391" s="145"/>
      <c r="L391" s="145"/>
      <c r="M391" s="145"/>
      <c r="N391" s="145"/>
      <c r="O391" s="145"/>
      <c r="P391" s="145"/>
      <c r="R391" s="145"/>
      <c r="S391" s="145"/>
      <c r="T391" s="145"/>
      <c r="U391" s="145"/>
      <c r="V391" s="145"/>
      <c r="W391" s="145"/>
      <c r="X391" s="145"/>
      <c r="Z391" s="145"/>
      <c r="AA391" s="145"/>
      <c r="AB391" s="145"/>
      <c r="AC391" s="145"/>
      <c r="AD391" s="145"/>
      <c r="AE391" s="145"/>
      <c r="AF391" s="145"/>
    </row>
    <row r="392" spans="2:32" x14ac:dyDescent="0.25">
      <c r="B392" s="145"/>
      <c r="C392" s="145"/>
      <c r="D392" s="145"/>
      <c r="E392" s="145"/>
      <c r="F392" s="145"/>
      <c r="G392" s="145"/>
      <c r="H392" s="145"/>
      <c r="J392" s="145"/>
      <c r="K392" s="145"/>
      <c r="L392" s="145"/>
      <c r="M392" s="145"/>
      <c r="N392" s="145"/>
      <c r="O392" s="145"/>
      <c r="P392" s="145"/>
      <c r="R392" s="145"/>
      <c r="S392" s="145"/>
      <c r="T392" s="145"/>
      <c r="U392" s="145"/>
      <c r="V392" s="145"/>
      <c r="W392" s="145"/>
      <c r="X392" s="145"/>
      <c r="Z392" s="145"/>
      <c r="AA392" s="145"/>
      <c r="AB392" s="145"/>
      <c r="AC392" s="145"/>
      <c r="AD392" s="145"/>
      <c r="AE392" s="145"/>
      <c r="AF392" s="145"/>
    </row>
    <row r="393" spans="2:32" x14ac:dyDescent="0.25">
      <c r="B393" s="145"/>
      <c r="C393" s="145"/>
      <c r="D393" s="145"/>
      <c r="E393" s="145"/>
      <c r="F393" s="145"/>
      <c r="G393" s="145"/>
      <c r="H393" s="145"/>
      <c r="J393" s="145"/>
      <c r="K393" s="145"/>
      <c r="L393" s="145"/>
      <c r="M393" s="145"/>
      <c r="N393" s="145"/>
      <c r="O393" s="145"/>
      <c r="P393" s="145"/>
      <c r="R393" s="145"/>
      <c r="S393" s="145"/>
      <c r="T393" s="145"/>
      <c r="U393" s="145"/>
      <c r="V393" s="145"/>
      <c r="W393" s="145"/>
      <c r="X393" s="145"/>
      <c r="Z393" s="145"/>
      <c r="AA393" s="145"/>
      <c r="AB393" s="145"/>
      <c r="AC393" s="145"/>
      <c r="AD393" s="145"/>
      <c r="AE393" s="145"/>
      <c r="AF393" s="145"/>
    </row>
    <row r="394" spans="2:32" x14ac:dyDescent="0.25">
      <c r="B394" s="145"/>
      <c r="C394" s="145"/>
      <c r="D394" s="145"/>
      <c r="E394" s="145"/>
      <c r="F394" s="145"/>
      <c r="G394" s="145"/>
      <c r="H394" s="145"/>
      <c r="J394" s="145"/>
      <c r="K394" s="145"/>
      <c r="L394" s="145"/>
      <c r="M394" s="145"/>
      <c r="N394" s="145"/>
      <c r="O394" s="145"/>
      <c r="P394" s="145"/>
      <c r="R394" s="145"/>
      <c r="S394" s="145"/>
      <c r="T394" s="145"/>
      <c r="U394" s="145"/>
      <c r="V394" s="145"/>
      <c r="W394" s="145"/>
      <c r="X394" s="145"/>
      <c r="Z394" s="145"/>
      <c r="AA394" s="145"/>
      <c r="AB394" s="145"/>
      <c r="AC394" s="145"/>
      <c r="AD394" s="145"/>
      <c r="AE394" s="145"/>
      <c r="AF394" s="145"/>
    </row>
    <row r="395" spans="2:32" x14ac:dyDescent="0.25">
      <c r="B395" s="145"/>
      <c r="C395" s="145"/>
      <c r="D395" s="145"/>
      <c r="E395" s="145"/>
      <c r="F395" s="145"/>
      <c r="G395" s="145"/>
      <c r="H395" s="145"/>
      <c r="J395" s="145"/>
      <c r="K395" s="145"/>
      <c r="L395" s="145"/>
      <c r="M395" s="145"/>
      <c r="N395" s="145"/>
      <c r="O395" s="145"/>
      <c r="P395" s="145"/>
      <c r="R395" s="145"/>
      <c r="S395" s="145"/>
      <c r="T395" s="145"/>
      <c r="U395" s="145"/>
      <c r="V395" s="145"/>
      <c r="W395" s="145"/>
      <c r="X395" s="145"/>
      <c r="Z395" s="145"/>
      <c r="AA395" s="145"/>
      <c r="AB395" s="145"/>
      <c r="AC395" s="145"/>
      <c r="AD395" s="145"/>
      <c r="AE395" s="145"/>
      <c r="AF395" s="145"/>
    </row>
    <row r="396" spans="2:32" x14ac:dyDescent="0.25">
      <c r="B396" s="145"/>
      <c r="C396" s="145"/>
      <c r="D396" s="145"/>
      <c r="E396" s="145"/>
      <c r="F396" s="145"/>
      <c r="G396" s="145"/>
      <c r="H396" s="145"/>
      <c r="J396" s="145"/>
      <c r="K396" s="145"/>
      <c r="L396" s="145"/>
      <c r="M396" s="145"/>
      <c r="N396" s="145"/>
      <c r="O396" s="145"/>
      <c r="P396" s="145"/>
      <c r="R396" s="145"/>
      <c r="S396" s="145"/>
      <c r="T396" s="145"/>
      <c r="U396" s="145"/>
      <c r="V396" s="145"/>
      <c r="W396" s="145"/>
      <c r="X396" s="145"/>
      <c r="Z396" s="145"/>
      <c r="AA396" s="145"/>
      <c r="AB396" s="145"/>
      <c r="AC396" s="145"/>
      <c r="AD396" s="145"/>
      <c r="AE396" s="145"/>
      <c r="AF396" s="145"/>
    </row>
    <row r="397" spans="2:32" x14ac:dyDescent="0.25">
      <c r="B397" s="145"/>
      <c r="C397" s="145"/>
      <c r="D397" s="145"/>
      <c r="E397" s="145"/>
      <c r="F397" s="145"/>
      <c r="G397" s="145"/>
      <c r="H397" s="145"/>
      <c r="J397" s="145"/>
      <c r="K397" s="145"/>
      <c r="L397" s="145"/>
      <c r="M397" s="145"/>
      <c r="N397" s="145"/>
      <c r="O397" s="145"/>
      <c r="P397" s="145"/>
      <c r="R397" s="145"/>
      <c r="S397" s="145"/>
      <c r="T397" s="145"/>
      <c r="U397" s="145"/>
      <c r="V397" s="145"/>
      <c r="W397" s="145"/>
      <c r="X397" s="145"/>
      <c r="Z397" s="145"/>
      <c r="AA397" s="145"/>
      <c r="AB397" s="145"/>
      <c r="AC397" s="145"/>
      <c r="AD397" s="145"/>
      <c r="AE397" s="145"/>
      <c r="AF397" s="145"/>
    </row>
    <row r="398" spans="2:32" x14ac:dyDescent="0.25">
      <c r="B398" s="145"/>
      <c r="C398" s="145"/>
      <c r="D398" s="145"/>
      <c r="E398" s="145"/>
      <c r="F398" s="145"/>
      <c r="G398" s="145"/>
      <c r="H398" s="145"/>
      <c r="J398" s="145"/>
      <c r="K398" s="145"/>
      <c r="L398" s="145"/>
      <c r="M398" s="145"/>
      <c r="N398" s="145"/>
      <c r="O398" s="145"/>
      <c r="P398" s="145"/>
      <c r="R398" s="145"/>
      <c r="S398" s="145"/>
      <c r="T398" s="145"/>
      <c r="U398" s="145"/>
      <c r="V398" s="145"/>
      <c r="W398" s="145"/>
      <c r="X398" s="145"/>
      <c r="Z398" s="145"/>
      <c r="AA398" s="145"/>
      <c r="AB398" s="145"/>
      <c r="AC398" s="145"/>
      <c r="AD398" s="145"/>
      <c r="AE398" s="145"/>
      <c r="AF398" s="145"/>
    </row>
    <row r="399" spans="2:32" x14ac:dyDescent="0.25">
      <c r="B399" s="145"/>
      <c r="C399" s="145"/>
      <c r="D399" s="145"/>
      <c r="E399" s="145"/>
      <c r="F399" s="145"/>
      <c r="G399" s="145"/>
      <c r="H399" s="145"/>
      <c r="J399" s="145"/>
      <c r="K399" s="145"/>
      <c r="L399" s="145"/>
      <c r="M399" s="145"/>
      <c r="N399" s="145"/>
      <c r="O399" s="145"/>
      <c r="P399" s="145"/>
      <c r="R399" s="145"/>
      <c r="S399" s="145"/>
      <c r="T399" s="145"/>
      <c r="U399" s="145"/>
      <c r="V399" s="145"/>
      <c r="W399" s="145"/>
      <c r="X399" s="145"/>
      <c r="Z399" s="145"/>
      <c r="AA399" s="145"/>
      <c r="AB399" s="145"/>
      <c r="AC399" s="145"/>
      <c r="AD399" s="145"/>
      <c r="AE399" s="145"/>
      <c r="AF399" s="145"/>
    </row>
    <row r="400" spans="2:32" x14ac:dyDescent="0.25">
      <c r="B400" s="145"/>
      <c r="C400" s="145"/>
      <c r="D400" s="145"/>
      <c r="E400" s="145"/>
      <c r="F400" s="145"/>
      <c r="G400" s="145"/>
      <c r="H400" s="145"/>
      <c r="J400" s="145"/>
      <c r="K400" s="145"/>
      <c r="L400" s="145"/>
      <c r="M400" s="145"/>
      <c r="N400" s="145"/>
      <c r="O400" s="145"/>
      <c r="P400" s="145"/>
      <c r="R400" s="145"/>
      <c r="S400" s="145"/>
      <c r="T400" s="145"/>
      <c r="U400" s="145"/>
      <c r="V400" s="145"/>
      <c r="W400" s="145"/>
      <c r="X400" s="145"/>
      <c r="Z400" s="145"/>
      <c r="AA400" s="145"/>
      <c r="AB400" s="145"/>
      <c r="AC400" s="145"/>
      <c r="AD400" s="145"/>
      <c r="AE400" s="145"/>
      <c r="AF400" s="145"/>
    </row>
    <row r="401" spans="2:32" x14ac:dyDescent="0.25">
      <c r="B401" s="145"/>
      <c r="C401" s="145"/>
      <c r="D401" s="145"/>
      <c r="E401" s="145"/>
      <c r="F401" s="145"/>
      <c r="G401" s="145"/>
      <c r="H401" s="145"/>
      <c r="J401" s="145"/>
      <c r="K401" s="145"/>
      <c r="L401" s="145"/>
      <c r="M401" s="145"/>
      <c r="N401" s="145"/>
      <c r="O401" s="145"/>
      <c r="P401" s="145"/>
      <c r="R401" s="145"/>
      <c r="S401" s="145"/>
      <c r="T401" s="145"/>
      <c r="U401" s="145"/>
      <c r="V401" s="145"/>
      <c r="W401" s="145"/>
      <c r="X401" s="145"/>
      <c r="Z401" s="145"/>
      <c r="AA401" s="145"/>
      <c r="AB401" s="145"/>
      <c r="AC401" s="145"/>
      <c r="AD401" s="145"/>
      <c r="AE401" s="145"/>
      <c r="AF401" s="145"/>
    </row>
    <row r="402" spans="2:32" x14ac:dyDescent="0.25">
      <c r="B402" s="145"/>
      <c r="C402" s="145"/>
      <c r="D402" s="145"/>
      <c r="E402" s="145"/>
      <c r="F402" s="145"/>
      <c r="G402" s="145"/>
      <c r="H402" s="145"/>
      <c r="J402" s="145"/>
      <c r="K402" s="145"/>
      <c r="L402" s="145"/>
      <c r="M402" s="145"/>
      <c r="N402" s="145"/>
      <c r="O402" s="145"/>
      <c r="P402" s="145"/>
      <c r="R402" s="145"/>
      <c r="S402" s="145"/>
      <c r="T402" s="145"/>
      <c r="U402" s="145"/>
      <c r="V402" s="145"/>
      <c r="W402" s="145"/>
      <c r="X402" s="145"/>
      <c r="Z402" s="145"/>
      <c r="AA402" s="145"/>
      <c r="AB402" s="145"/>
      <c r="AC402" s="145"/>
      <c r="AD402" s="145"/>
      <c r="AE402" s="145"/>
      <c r="AF402" s="145"/>
    </row>
    <row r="403" spans="2:32" x14ac:dyDescent="0.25">
      <c r="B403" s="145"/>
      <c r="C403" s="145"/>
      <c r="D403" s="145"/>
      <c r="E403" s="145"/>
      <c r="F403" s="145"/>
      <c r="G403" s="145"/>
      <c r="H403" s="145"/>
      <c r="J403" s="145"/>
      <c r="K403" s="145"/>
      <c r="L403" s="145"/>
      <c r="M403" s="145"/>
      <c r="N403" s="145"/>
      <c r="O403" s="145"/>
      <c r="P403" s="145"/>
      <c r="R403" s="145"/>
      <c r="S403" s="145"/>
      <c r="T403" s="145"/>
      <c r="U403" s="145"/>
      <c r="V403" s="145"/>
      <c r="W403" s="145"/>
      <c r="X403" s="145"/>
      <c r="Z403" s="145"/>
      <c r="AA403" s="145"/>
      <c r="AB403" s="145"/>
      <c r="AC403" s="145"/>
      <c r="AD403" s="145"/>
      <c r="AE403" s="145"/>
      <c r="AF403" s="145"/>
    </row>
    <row r="404" spans="2:32" x14ac:dyDescent="0.25">
      <c r="B404" s="145"/>
      <c r="C404" s="145"/>
      <c r="D404" s="145"/>
      <c r="E404" s="145"/>
      <c r="F404" s="145"/>
      <c r="G404" s="145"/>
      <c r="H404" s="145"/>
      <c r="J404" s="145"/>
      <c r="K404" s="145"/>
      <c r="L404" s="145"/>
      <c r="M404" s="145"/>
      <c r="N404" s="145"/>
      <c r="O404" s="145"/>
      <c r="P404" s="145"/>
      <c r="R404" s="145"/>
      <c r="S404" s="145"/>
      <c r="T404" s="145"/>
      <c r="U404" s="145"/>
      <c r="V404" s="145"/>
      <c r="W404" s="145"/>
      <c r="X404" s="145"/>
      <c r="Z404" s="145"/>
      <c r="AA404" s="145"/>
      <c r="AB404" s="145"/>
      <c r="AC404" s="145"/>
      <c r="AD404" s="145"/>
      <c r="AE404" s="145"/>
      <c r="AF404" s="145"/>
    </row>
    <row r="405" spans="2:32" x14ac:dyDescent="0.25">
      <c r="B405" s="145"/>
      <c r="C405" s="145"/>
      <c r="D405" s="145"/>
      <c r="E405" s="145"/>
      <c r="F405" s="145"/>
      <c r="G405" s="145"/>
      <c r="H405" s="145"/>
      <c r="J405" s="145"/>
      <c r="K405" s="145"/>
      <c r="L405" s="145"/>
      <c r="M405" s="145"/>
      <c r="N405" s="145"/>
      <c r="O405" s="145"/>
      <c r="P405" s="145"/>
      <c r="R405" s="145"/>
      <c r="S405" s="145"/>
      <c r="T405" s="145"/>
      <c r="U405" s="145"/>
      <c r="V405" s="145"/>
      <c r="W405" s="145"/>
      <c r="X405" s="145"/>
      <c r="Z405" s="145"/>
      <c r="AA405" s="145"/>
      <c r="AB405" s="145"/>
      <c r="AC405" s="145"/>
      <c r="AD405" s="145"/>
      <c r="AE405" s="145"/>
      <c r="AF405" s="145"/>
    </row>
    <row r="406" spans="2:32" x14ac:dyDescent="0.25">
      <c r="B406" s="145"/>
      <c r="C406" s="145"/>
      <c r="D406" s="145"/>
      <c r="E406" s="145"/>
      <c r="F406" s="145"/>
      <c r="G406" s="145"/>
      <c r="H406" s="145"/>
      <c r="J406" s="145"/>
      <c r="K406" s="145"/>
      <c r="L406" s="145"/>
      <c r="M406" s="145"/>
      <c r="N406" s="145"/>
      <c r="O406" s="145"/>
      <c r="P406" s="145"/>
      <c r="R406" s="145"/>
      <c r="S406" s="145"/>
      <c r="T406" s="145"/>
      <c r="U406" s="145"/>
      <c r="V406" s="145"/>
      <c r="W406" s="145"/>
      <c r="X406" s="145"/>
      <c r="Z406" s="145"/>
      <c r="AA406" s="145"/>
      <c r="AB406" s="145"/>
      <c r="AC406" s="145"/>
      <c r="AD406" s="145"/>
      <c r="AE406" s="145"/>
      <c r="AF406" s="145"/>
    </row>
    <row r="407" spans="2:32" x14ac:dyDescent="0.25">
      <c r="B407" s="145"/>
      <c r="C407" s="145"/>
      <c r="D407" s="145"/>
      <c r="E407" s="145"/>
      <c r="F407" s="145"/>
      <c r="G407" s="145"/>
      <c r="H407" s="145"/>
      <c r="J407" s="145"/>
      <c r="K407" s="145"/>
      <c r="L407" s="145"/>
      <c r="M407" s="145"/>
      <c r="N407" s="145"/>
      <c r="O407" s="145"/>
      <c r="P407" s="145"/>
      <c r="R407" s="145"/>
      <c r="S407" s="145"/>
      <c r="T407" s="145"/>
      <c r="U407" s="145"/>
      <c r="V407" s="145"/>
      <c r="W407" s="145"/>
      <c r="X407" s="145"/>
      <c r="Z407" s="145"/>
      <c r="AA407" s="145"/>
      <c r="AB407" s="145"/>
      <c r="AC407" s="145"/>
      <c r="AD407" s="145"/>
      <c r="AE407" s="145"/>
      <c r="AF407" s="145"/>
    </row>
    <row r="408" spans="2:32" x14ac:dyDescent="0.25">
      <c r="B408" s="145"/>
      <c r="C408" s="145"/>
      <c r="D408" s="145"/>
      <c r="E408" s="145"/>
      <c r="F408" s="145"/>
      <c r="G408" s="145"/>
      <c r="H408" s="145"/>
      <c r="J408" s="145"/>
      <c r="K408" s="145"/>
      <c r="L408" s="145"/>
      <c r="M408" s="145"/>
      <c r="N408" s="145"/>
      <c r="O408" s="145"/>
      <c r="P408" s="145"/>
      <c r="R408" s="145"/>
      <c r="S408" s="145"/>
      <c r="T408" s="145"/>
      <c r="U408" s="145"/>
      <c r="V408" s="145"/>
      <c r="W408" s="145"/>
      <c r="X408" s="145"/>
      <c r="Z408" s="145"/>
      <c r="AA408" s="145"/>
      <c r="AB408" s="145"/>
      <c r="AC408" s="145"/>
      <c r="AD408" s="145"/>
      <c r="AE408" s="145"/>
      <c r="AF408" s="145"/>
    </row>
    <row r="409" spans="2:32" x14ac:dyDescent="0.25">
      <c r="B409" s="145"/>
      <c r="C409" s="145"/>
      <c r="D409" s="145"/>
      <c r="E409" s="145"/>
      <c r="F409" s="145"/>
      <c r="G409" s="145"/>
      <c r="H409" s="145"/>
      <c r="J409" s="145"/>
      <c r="K409" s="145"/>
      <c r="L409" s="145"/>
      <c r="M409" s="145"/>
      <c r="N409" s="145"/>
      <c r="O409" s="145"/>
      <c r="P409" s="145"/>
      <c r="R409" s="145"/>
      <c r="S409" s="145"/>
      <c r="T409" s="145"/>
      <c r="U409" s="145"/>
      <c r="V409" s="145"/>
      <c r="W409" s="145"/>
      <c r="X409" s="145"/>
      <c r="Z409" s="145"/>
      <c r="AA409" s="145"/>
      <c r="AB409" s="145"/>
      <c r="AC409" s="145"/>
      <c r="AD409" s="145"/>
      <c r="AE409" s="145"/>
      <c r="AF409" s="145"/>
    </row>
    <row r="410" spans="2:32" x14ac:dyDescent="0.25">
      <c r="B410" s="145"/>
      <c r="C410" s="145"/>
      <c r="D410" s="145"/>
      <c r="E410" s="145"/>
      <c r="F410" s="145"/>
      <c r="G410" s="145"/>
      <c r="H410" s="145"/>
      <c r="J410" s="145"/>
      <c r="K410" s="145"/>
      <c r="L410" s="145"/>
      <c r="M410" s="145"/>
      <c r="N410" s="145"/>
      <c r="O410" s="145"/>
      <c r="P410" s="145"/>
      <c r="R410" s="145"/>
      <c r="S410" s="145"/>
      <c r="T410" s="145"/>
      <c r="U410" s="145"/>
      <c r="V410" s="145"/>
      <c r="W410" s="145"/>
      <c r="X410" s="145"/>
      <c r="Z410" s="145"/>
      <c r="AA410" s="145"/>
      <c r="AB410" s="145"/>
      <c r="AC410" s="145"/>
      <c r="AD410" s="145"/>
      <c r="AE410" s="145"/>
      <c r="AF410" s="145"/>
    </row>
    <row r="411" spans="2:32" x14ac:dyDescent="0.25">
      <c r="B411" s="145"/>
      <c r="C411" s="145"/>
      <c r="D411" s="145"/>
      <c r="E411" s="145"/>
      <c r="F411" s="145"/>
      <c r="G411" s="145"/>
      <c r="H411" s="145"/>
      <c r="J411" s="145"/>
      <c r="K411" s="145"/>
      <c r="L411" s="145"/>
      <c r="M411" s="145"/>
      <c r="N411" s="145"/>
      <c r="O411" s="145"/>
      <c r="P411" s="145"/>
      <c r="R411" s="145"/>
      <c r="S411" s="145"/>
      <c r="T411" s="145"/>
      <c r="U411" s="145"/>
      <c r="V411" s="145"/>
      <c r="W411" s="145"/>
      <c r="X411" s="145"/>
      <c r="Z411" s="145"/>
      <c r="AA411" s="145"/>
      <c r="AB411" s="145"/>
      <c r="AC411" s="145"/>
      <c r="AD411" s="145"/>
      <c r="AE411" s="145"/>
      <c r="AF411" s="145"/>
    </row>
    <row r="412" spans="2:32" x14ac:dyDescent="0.25">
      <c r="B412" s="145"/>
      <c r="C412" s="145"/>
      <c r="D412" s="145"/>
      <c r="E412" s="145"/>
      <c r="F412" s="145"/>
      <c r="G412" s="145"/>
      <c r="H412" s="145"/>
      <c r="J412" s="145"/>
      <c r="K412" s="145"/>
      <c r="L412" s="145"/>
      <c r="M412" s="145"/>
      <c r="N412" s="145"/>
      <c r="O412" s="145"/>
      <c r="P412" s="145"/>
      <c r="R412" s="145"/>
      <c r="S412" s="145"/>
      <c r="T412" s="145"/>
      <c r="U412" s="145"/>
      <c r="V412" s="145"/>
      <c r="W412" s="145"/>
      <c r="X412" s="145"/>
      <c r="Z412" s="145"/>
      <c r="AA412" s="145"/>
      <c r="AB412" s="145"/>
      <c r="AC412" s="145"/>
      <c r="AD412" s="145"/>
      <c r="AE412" s="145"/>
      <c r="AF412" s="145"/>
    </row>
    <row r="413" spans="2:32" x14ac:dyDescent="0.25">
      <c r="B413" s="145"/>
      <c r="C413" s="145"/>
      <c r="D413" s="145"/>
      <c r="E413" s="145"/>
      <c r="F413" s="145"/>
      <c r="G413" s="145"/>
      <c r="H413" s="145"/>
      <c r="J413" s="145"/>
      <c r="K413" s="145"/>
      <c r="L413" s="145"/>
      <c r="M413" s="145"/>
      <c r="N413" s="145"/>
      <c r="O413" s="145"/>
      <c r="P413" s="145"/>
      <c r="R413" s="145"/>
      <c r="S413" s="145"/>
      <c r="T413" s="145"/>
      <c r="U413" s="145"/>
      <c r="V413" s="145"/>
      <c r="W413" s="145"/>
      <c r="X413" s="145"/>
      <c r="Z413" s="145"/>
      <c r="AA413" s="145"/>
      <c r="AB413" s="145"/>
      <c r="AC413" s="145"/>
      <c r="AD413" s="145"/>
      <c r="AE413" s="145"/>
      <c r="AF413" s="145"/>
    </row>
    <row r="414" spans="2:32" x14ac:dyDescent="0.25">
      <c r="B414" s="145"/>
      <c r="C414" s="145"/>
      <c r="D414" s="145"/>
      <c r="E414" s="145"/>
      <c r="F414" s="145"/>
      <c r="G414" s="145"/>
      <c r="H414" s="145"/>
      <c r="J414" s="145"/>
      <c r="K414" s="145"/>
      <c r="L414" s="145"/>
      <c r="M414" s="145"/>
      <c r="N414" s="145"/>
      <c r="O414" s="145"/>
      <c r="P414" s="145"/>
      <c r="R414" s="145"/>
      <c r="S414" s="145"/>
      <c r="T414" s="145"/>
      <c r="U414" s="145"/>
      <c r="V414" s="145"/>
      <c r="W414" s="145"/>
      <c r="X414" s="145"/>
      <c r="Z414" s="145"/>
      <c r="AA414" s="145"/>
      <c r="AB414" s="145"/>
      <c r="AC414" s="145"/>
      <c r="AD414" s="145"/>
      <c r="AE414" s="145"/>
      <c r="AF414" s="145"/>
    </row>
    <row r="415" spans="2:32" x14ac:dyDescent="0.25">
      <c r="B415" s="145"/>
      <c r="C415" s="145"/>
      <c r="D415" s="145"/>
      <c r="E415" s="145"/>
      <c r="F415" s="145"/>
      <c r="G415" s="145"/>
      <c r="H415" s="145"/>
      <c r="J415" s="145"/>
      <c r="K415" s="145"/>
      <c r="L415" s="145"/>
      <c r="M415" s="145"/>
      <c r="N415" s="145"/>
      <c r="O415" s="145"/>
      <c r="P415" s="145"/>
      <c r="R415" s="145"/>
      <c r="S415" s="145"/>
      <c r="T415" s="145"/>
      <c r="U415" s="145"/>
      <c r="V415" s="145"/>
      <c r="W415" s="145"/>
      <c r="X415" s="145"/>
      <c r="Z415" s="145"/>
      <c r="AA415" s="145"/>
      <c r="AB415" s="145"/>
      <c r="AC415" s="145"/>
      <c r="AD415" s="145"/>
      <c r="AE415" s="145"/>
      <c r="AF415" s="145"/>
    </row>
    <row r="416" spans="2:32" x14ac:dyDescent="0.25">
      <c r="B416" s="145"/>
      <c r="C416" s="145"/>
      <c r="D416" s="145"/>
      <c r="E416" s="145"/>
      <c r="F416" s="145"/>
      <c r="G416" s="145"/>
      <c r="H416" s="145"/>
      <c r="J416" s="145"/>
      <c r="K416" s="145"/>
      <c r="L416" s="145"/>
      <c r="M416" s="145"/>
      <c r="N416" s="145"/>
      <c r="O416" s="145"/>
      <c r="P416" s="145"/>
      <c r="R416" s="145"/>
      <c r="S416" s="145"/>
      <c r="T416" s="145"/>
      <c r="U416" s="145"/>
      <c r="V416" s="145"/>
      <c r="W416" s="145"/>
      <c r="X416" s="145"/>
      <c r="Z416" s="145"/>
      <c r="AA416" s="145"/>
      <c r="AB416" s="145"/>
      <c r="AC416" s="145"/>
      <c r="AD416" s="145"/>
      <c r="AE416" s="145"/>
      <c r="AF416" s="145"/>
    </row>
    <row r="417" spans="2:32" x14ac:dyDescent="0.25">
      <c r="B417" s="145"/>
      <c r="C417" s="145"/>
      <c r="D417" s="145"/>
      <c r="E417" s="145"/>
      <c r="F417" s="145"/>
      <c r="G417" s="145"/>
      <c r="H417" s="145"/>
      <c r="J417" s="145"/>
      <c r="K417" s="145"/>
      <c r="L417" s="145"/>
      <c r="M417" s="145"/>
      <c r="N417" s="145"/>
      <c r="O417" s="145"/>
      <c r="P417" s="145"/>
      <c r="R417" s="145"/>
      <c r="S417" s="145"/>
      <c r="T417" s="145"/>
      <c r="U417" s="145"/>
      <c r="V417" s="145"/>
      <c r="W417" s="145"/>
      <c r="X417" s="145"/>
      <c r="Z417" s="145"/>
      <c r="AA417" s="145"/>
      <c r="AB417" s="145"/>
      <c r="AC417" s="145"/>
      <c r="AD417" s="145"/>
      <c r="AE417" s="145"/>
      <c r="AF417" s="145"/>
    </row>
    <row r="418" spans="2:32" x14ac:dyDescent="0.25">
      <c r="B418" s="145"/>
      <c r="C418" s="145"/>
      <c r="D418" s="145"/>
      <c r="E418" s="145"/>
      <c r="F418" s="145"/>
      <c r="G418" s="145"/>
      <c r="H418" s="145"/>
      <c r="J418" s="145"/>
      <c r="K418" s="145"/>
      <c r="L418" s="145"/>
      <c r="M418" s="145"/>
      <c r="N418" s="145"/>
      <c r="O418" s="145"/>
      <c r="P418" s="145"/>
      <c r="R418" s="145"/>
      <c r="S418" s="145"/>
      <c r="T418" s="145"/>
      <c r="U418" s="145"/>
      <c r="V418" s="145"/>
      <c r="W418" s="145"/>
      <c r="X418" s="145"/>
      <c r="Z418" s="145"/>
      <c r="AA418" s="145"/>
      <c r="AB418" s="145"/>
      <c r="AC418" s="145"/>
      <c r="AD418" s="145"/>
      <c r="AE418" s="145"/>
      <c r="AF418" s="145"/>
    </row>
    <row r="419" spans="2:32" x14ac:dyDescent="0.25">
      <c r="B419" s="145"/>
      <c r="C419" s="145"/>
      <c r="D419" s="145"/>
      <c r="E419" s="145"/>
      <c r="F419" s="145"/>
      <c r="G419" s="145"/>
      <c r="H419" s="145"/>
      <c r="J419" s="145"/>
      <c r="K419" s="145"/>
      <c r="L419" s="145"/>
      <c r="M419" s="145"/>
      <c r="N419" s="145"/>
      <c r="O419" s="145"/>
      <c r="P419" s="145"/>
      <c r="R419" s="145"/>
      <c r="S419" s="145"/>
      <c r="T419" s="145"/>
      <c r="U419" s="145"/>
      <c r="V419" s="145"/>
      <c r="W419" s="145"/>
      <c r="X419" s="145"/>
      <c r="Z419" s="145"/>
      <c r="AA419" s="145"/>
      <c r="AB419" s="145"/>
      <c r="AC419" s="145"/>
      <c r="AD419" s="145"/>
      <c r="AE419" s="145"/>
      <c r="AF419" s="145"/>
    </row>
    <row r="420" spans="2:32" x14ac:dyDescent="0.25">
      <c r="B420" s="145"/>
      <c r="C420" s="145"/>
      <c r="D420" s="145"/>
      <c r="E420" s="145"/>
      <c r="F420" s="145"/>
      <c r="G420" s="145"/>
      <c r="H420" s="145"/>
      <c r="J420" s="145"/>
      <c r="K420" s="145"/>
      <c r="L420" s="145"/>
      <c r="M420" s="145"/>
      <c r="N420" s="145"/>
      <c r="O420" s="145"/>
      <c r="P420" s="145"/>
      <c r="R420" s="145"/>
      <c r="S420" s="145"/>
      <c r="T420" s="145"/>
      <c r="U420" s="145"/>
      <c r="V420" s="145"/>
      <c r="W420" s="145"/>
      <c r="X420" s="145"/>
      <c r="Z420" s="145"/>
      <c r="AA420" s="145"/>
      <c r="AB420" s="145"/>
      <c r="AC420" s="145"/>
      <c r="AD420" s="145"/>
      <c r="AE420" s="145"/>
      <c r="AF420" s="145"/>
    </row>
    <row r="421" spans="2:32" x14ac:dyDescent="0.25">
      <c r="B421" s="145"/>
      <c r="C421" s="145"/>
      <c r="D421" s="145"/>
      <c r="E421" s="145"/>
      <c r="F421" s="145"/>
      <c r="G421" s="145"/>
      <c r="H421" s="145"/>
      <c r="J421" s="145"/>
      <c r="K421" s="145"/>
      <c r="L421" s="145"/>
      <c r="M421" s="145"/>
      <c r="N421" s="145"/>
      <c r="O421" s="145"/>
      <c r="P421" s="145"/>
      <c r="R421" s="145"/>
      <c r="S421" s="145"/>
      <c r="T421" s="145"/>
      <c r="U421" s="145"/>
      <c r="V421" s="145"/>
      <c r="W421" s="145"/>
      <c r="X421" s="145"/>
      <c r="Z421" s="145"/>
      <c r="AA421" s="145"/>
      <c r="AB421" s="145"/>
      <c r="AC421" s="145"/>
      <c r="AD421" s="145"/>
      <c r="AE421" s="145"/>
      <c r="AF421" s="145"/>
    </row>
    <row r="422" spans="2:32" x14ac:dyDescent="0.25">
      <c r="B422" s="145"/>
      <c r="C422" s="145"/>
      <c r="D422" s="145"/>
      <c r="E422" s="145"/>
      <c r="F422" s="145"/>
      <c r="G422" s="145"/>
      <c r="H422" s="145"/>
      <c r="J422" s="145"/>
      <c r="K422" s="145"/>
      <c r="L422" s="145"/>
      <c r="M422" s="145"/>
      <c r="N422" s="145"/>
      <c r="O422" s="145"/>
      <c r="P422" s="145"/>
      <c r="R422" s="145"/>
      <c r="S422" s="145"/>
      <c r="T422" s="145"/>
      <c r="U422" s="145"/>
      <c r="V422" s="145"/>
      <c r="W422" s="145"/>
      <c r="X422" s="145"/>
      <c r="Z422" s="145"/>
      <c r="AA422" s="145"/>
      <c r="AB422" s="145"/>
      <c r="AC422" s="145"/>
      <c r="AD422" s="145"/>
      <c r="AE422" s="145"/>
      <c r="AF422" s="145"/>
    </row>
    <row r="423" spans="2:32" x14ac:dyDescent="0.25">
      <c r="B423" s="145"/>
      <c r="C423" s="145"/>
      <c r="D423" s="145"/>
      <c r="E423" s="145"/>
      <c r="F423" s="145"/>
      <c r="G423" s="145"/>
      <c r="H423" s="145"/>
      <c r="J423" s="145"/>
      <c r="K423" s="145"/>
      <c r="L423" s="145"/>
      <c r="M423" s="145"/>
      <c r="N423" s="145"/>
      <c r="O423" s="145"/>
      <c r="P423" s="145"/>
      <c r="R423" s="145"/>
      <c r="S423" s="145"/>
      <c r="T423" s="145"/>
      <c r="U423" s="145"/>
      <c r="V423" s="145"/>
      <c r="W423" s="145"/>
      <c r="X423" s="145"/>
      <c r="Z423" s="145"/>
      <c r="AA423" s="145"/>
      <c r="AB423" s="145"/>
      <c r="AC423" s="145"/>
      <c r="AD423" s="145"/>
      <c r="AE423" s="145"/>
      <c r="AF423" s="145"/>
    </row>
    <row r="424" spans="2:32" x14ac:dyDescent="0.25">
      <c r="B424" s="145"/>
      <c r="C424" s="145"/>
      <c r="D424" s="145"/>
      <c r="E424" s="145"/>
      <c r="F424" s="145"/>
      <c r="G424" s="145"/>
      <c r="H424" s="145"/>
      <c r="J424" s="145"/>
      <c r="K424" s="145"/>
      <c r="L424" s="145"/>
      <c r="M424" s="145"/>
      <c r="N424" s="145"/>
      <c r="O424" s="145"/>
      <c r="P424" s="145"/>
      <c r="R424" s="145"/>
      <c r="S424" s="145"/>
      <c r="T424" s="145"/>
      <c r="U424" s="145"/>
      <c r="V424" s="145"/>
      <c r="W424" s="145"/>
      <c r="X424" s="145"/>
      <c r="Z424" s="145"/>
      <c r="AA424" s="145"/>
      <c r="AB424" s="145"/>
      <c r="AC424" s="145"/>
      <c r="AD424" s="145"/>
      <c r="AE424" s="145"/>
      <c r="AF424" s="145"/>
    </row>
    <row r="425" spans="2:32" x14ac:dyDescent="0.25">
      <c r="B425" s="145"/>
      <c r="C425" s="145"/>
      <c r="D425" s="145"/>
      <c r="E425" s="145"/>
      <c r="F425" s="145"/>
      <c r="G425" s="145"/>
      <c r="H425" s="145"/>
      <c r="J425" s="145"/>
      <c r="K425" s="145"/>
      <c r="L425" s="145"/>
      <c r="M425" s="145"/>
      <c r="N425" s="145"/>
      <c r="O425" s="145"/>
      <c r="P425" s="145"/>
      <c r="R425" s="145"/>
      <c r="S425" s="145"/>
      <c r="T425" s="145"/>
      <c r="U425" s="145"/>
      <c r="V425" s="145"/>
      <c r="W425" s="145"/>
      <c r="X425" s="145"/>
      <c r="Z425" s="145"/>
      <c r="AA425" s="145"/>
      <c r="AB425" s="145"/>
      <c r="AC425" s="145"/>
      <c r="AD425" s="145"/>
      <c r="AE425" s="145"/>
      <c r="AF425" s="145"/>
    </row>
    <row r="426" spans="2:32" x14ac:dyDescent="0.25">
      <c r="B426" s="145"/>
      <c r="C426" s="145"/>
      <c r="D426" s="145"/>
      <c r="E426" s="145"/>
      <c r="F426" s="145"/>
      <c r="G426" s="145"/>
      <c r="H426" s="145"/>
      <c r="J426" s="145"/>
      <c r="K426" s="145"/>
      <c r="L426" s="145"/>
      <c r="M426" s="145"/>
      <c r="N426" s="145"/>
      <c r="O426" s="145"/>
      <c r="P426" s="145"/>
      <c r="R426" s="145"/>
      <c r="S426" s="145"/>
      <c r="T426" s="145"/>
      <c r="U426" s="145"/>
      <c r="V426" s="145"/>
      <c r="W426" s="145"/>
      <c r="X426" s="145"/>
      <c r="Z426" s="145"/>
      <c r="AA426" s="145"/>
      <c r="AB426" s="145"/>
      <c r="AC426" s="145"/>
      <c r="AD426" s="145"/>
      <c r="AE426" s="145"/>
      <c r="AF426" s="145"/>
    </row>
    <row r="427" spans="2:32" x14ac:dyDescent="0.25">
      <c r="B427" s="145"/>
      <c r="C427" s="145"/>
      <c r="D427" s="145"/>
      <c r="E427" s="145"/>
      <c r="F427" s="145"/>
      <c r="G427" s="145"/>
      <c r="H427" s="145"/>
      <c r="J427" s="145"/>
      <c r="K427" s="145"/>
      <c r="L427" s="145"/>
      <c r="M427" s="145"/>
      <c r="N427" s="145"/>
      <c r="O427" s="145"/>
      <c r="P427" s="145"/>
      <c r="R427" s="145"/>
      <c r="S427" s="145"/>
      <c r="T427" s="145"/>
      <c r="U427" s="145"/>
      <c r="V427" s="145"/>
      <c r="W427" s="145"/>
      <c r="X427" s="145"/>
      <c r="Z427" s="145"/>
      <c r="AA427" s="145"/>
      <c r="AB427" s="145"/>
      <c r="AC427" s="145"/>
      <c r="AD427" s="145"/>
      <c r="AE427" s="145"/>
      <c r="AF427" s="145"/>
    </row>
    <row r="428" spans="2:32" x14ac:dyDescent="0.25">
      <c r="B428" s="145"/>
      <c r="C428" s="145"/>
      <c r="D428" s="145"/>
      <c r="E428" s="145"/>
      <c r="F428" s="145"/>
      <c r="G428" s="145"/>
      <c r="H428" s="145"/>
      <c r="J428" s="145"/>
      <c r="K428" s="145"/>
      <c r="L428" s="145"/>
      <c r="M428" s="145"/>
      <c r="N428" s="145"/>
      <c r="O428" s="145"/>
      <c r="P428" s="145"/>
      <c r="R428" s="145"/>
      <c r="S428" s="145"/>
      <c r="T428" s="145"/>
      <c r="U428" s="145"/>
      <c r="V428" s="145"/>
      <c r="W428" s="145"/>
      <c r="X428" s="145"/>
      <c r="Z428" s="145"/>
      <c r="AA428" s="145"/>
      <c r="AB428" s="145"/>
      <c r="AC428" s="145"/>
      <c r="AD428" s="145"/>
      <c r="AE428" s="145"/>
      <c r="AF428" s="145"/>
    </row>
    <row r="429" spans="2:32" x14ac:dyDescent="0.25">
      <c r="B429" s="145"/>
      <c r="C429" s="145"/>
      <c r="D429" s="145"/>
      <c r="E429" s="145"/>
      <c r="F429" s="145"/>
      <c r="G429" s="145"/>
      <c r="H429" s="145"/>
      <c r="J429" s="145"/>
      <c r="K429" s="145"/>
      <c r="L429" s="145"/>
      <c r="M429" s="145"/>
      <c r="N429" s="145"/>
      <c r="O429" s="145"/>
      <c r="P429" s="145"/>
      <c r="R429" s="145"/>
      <c r="S429" s="145"/>
      <c r="T429" s="145"/>
      <c r="U429" s="145"/>
      <c r="V429" s="145"/>
      <c r="W429" s="145"/>
      <c r="X429" s="145"/>
      <c r="Z429" s="145"/>
      <c r="AA429" s="145"/>
      <c r="AB429" s="145"/>
      <c r="AC429" s="145"/>
      <c r="AD429" s="145"/>
      <c r="AE429" s="145"/>
      <c r="AF429" s="145"/>
    </row>
    <row r="430" spans="2:32" x14ac:dyDescent="0.25">
      <c r="B430" s="145"/>
      <c r="C430" s="145"/>
      <c r="D430" s="145"/>
      <c r="E430" s="145"/>
      <c r="F430" s="145"/>
      <c r="G430" s="145"/>
      <c r="H430" s="145"/>
      <c r="J430" s="145"/>
      <c r="K430" s="145"/>
      <c r="L430" s="145"/>
      <c r="M430" s="145"/>
      <c r="N430" s="145"/>
      <c r="O430" s="145"/>
      <c r="P430" s="145"/>
      <c r="R430" s="145"/>
      <c r="S430" s="145"/>
      <c r="T430" s="145"/>
      <c r="U430" s="145"/>
      <c r="V430" s="145"/>
      <c r="W430" s="145"/>
      <c r="X430" s="145"/>
      <c r="Z430" s="145"/>
      <c r="AA430" s="145"/>
      <c r="AB430" s="145"/>
      <c r="AC430" s="145"/>
      <c r="AD430" s="145"/>
      <c r="AE430" s="145"/>
      <c r="AF430" s="145"/>
    </row>
    <row r="431" spans="2:32" x14ac:dyDescent="0.25">
      <c r="B431" s="145"/>
      <c r="C431" s="145"/>
      <c r="D431" s="145"/>
      <c r="E431" s="145"/>
      <c r="F431" s="145"/>
      <c r="G431" s="145"/>
      <c r="H431" s="145"/>
      <c r="J431" s="145"/>
      <c r="K431" s="145"/>
      <c r="L431" s="145"/>
      <c r="M431" s="145"/>
      <c r="N431" s="145"/>
      <c r="O431" s="145"/>
      <c r="P431" s="145"/>
      <c r="R431" s="145"/>
      <c r="S431" s="145"/>
      <c r="T431" s="145"/>
      <c r="U431" s="145"/>
      <c r="V431" s="145"/>
      <c r="W431" s="145"/>
      <c r="X431" s="145"/>
      <c r="Z431" s="145"/>
      <c r="AA431" s="145"/>
      <c r="AB431" s="145"/>
      <c r="AC431" s="145"/>
      <c r="AD431" s="145"/>
      <c r="AE431" s="145"/>
      <c r="AF431" s="145"/>
    </row>
    <row r="432" spans="2:32" x14ac:dyDescent="0.25">
      <c r="B432" s="145"/>
      <c r="C432" s="145"/>
      <c r="D432" s="145"/>
      <c r="E432" s="145"/>
      <c r="F432" s="145"/>
      <c r="G432" s="145"/>
      <c r="H432" s="145"/>
      <c r="J432" s="145"/>
      <c r="K432" s="145"/>
      <c r="L432" s="145"/>
      <c r="M432" s="145"/>
      <c r="N432" s="145"/>
      <c r="O432" s="145"/>
      <c r="P432" s="145"/>
      <c r="R432" s="145"/>
      <c r="S432" s="145"/>
      <c r="T432" s="145"/>
      <c r="U432" s="145"/>
      <c r="V432" s="145"/>
      <c r="W432" s="145"/>
      <c r="X432" s="145"/>
      <c r="Z432" s="145"/>
      <c r="AA432" s="145"/>
      <c r="AB432" s="145"/>
      <c r="AC432" s="145"/>
      <c r="AD432" s="145"/>
      <c r="AE432" s="145"/>
      <c r="AF432" s="145"/>
    </row>
    <row r="433" spans="2:32" x14ac:dyDescent="0.25">
      <c r="B433" s="145"/>
      <c r="C433" s="145"/>
      <c r="D433" s="145"/>
      <c r="E433" s="145"/>
      <c r="F433" s="145"/>
      <c r="G433" s="145"/>
      <c r="H433" s="145"/>
      <c r="J433" s="145"/>
      <c r="K433" s="145"/>
      <c r="L433" s="145"/>
      <c r="M433" s="145"/>
      <c r="N433" s="145"/>
      <c r="O433" s="145"/>
      <c r="P433" s="145"/>
      <c r="R433" s="145"/>
      <c r="S433" s="145"/>
      <c r="T433" s="145"/>
      <c r="U433" s="145"/>
      <c r="V433" s="145"/>
      <c r="W433" s="145"/>
      <c r="X433" s="145"/>
      <c r="Z433" s="145"/>
      <c r="AA433" s="145"/>
      <c r="AB433" s="145"/>
      <c r="AC433" s="145"/>
      <c r="AD433" s="145"/>
      <c r="AE433" s="145"/>
      <c r="AF433" s="145"/>
    </row>
    <row r="434" spans="2:32" x14ac:dyDescent="0.25">
      <c r="B434" s="145"/>
      <c r="C434" s="145"/>
      <c r="D434" s="145"/>
      <c r="E434" s="145"/>
      <c r="F434" s="145"/>
      <c r="G434" s="145"/>
      <c r="H434" s="145"/>
      <c r="J434" s="145"/>
      <c r="K434" s="145"/>
      <c r="L434" s="145"/>
      <c r="M434" s="145"/>
      <c r="N434" s="145"/>
      <c r="O434" s="145"/>
      <c r="P434" s="145"/>
      <c r="R434" s="145"/>
      <c r="S434" s="145"/>
      <c r="T434" s="145"/>
      <c r="U434" s="145"/>
      <c r="V434" s="145"/>
      <c r="W434" s="145"/>
      <c r="X434" s="145"/>
      <c r="Z434" s="145"/>
      <c r="AA434" s="145"/>
      <c r="AB434" s="145"/>
      <c r="AC434" s="145"/>
      <c r="AD434" s="145"/>
      <c r="AE434" s="145"/>
      <c r="AF434" s="145"/>
    </row>
    <row r="435" spans="2:32" x14ac:dyDescent="0.25">
      <c r="B435" s="145"/>
      <c r="C435" s="145"/>
      <c r="D435" s="145"/>
      <c r="E435" s="145"/>
      <c r="F435" s="145"/>
      <c r="G435" s="145"/>
      <c r="H435" s="145"/>
      <c r="J435" s="145"/>
      <c r="K435" s="145"/>
      <c r="L435" s="145"/>
      <c r="M435" s="145"/>
      <c r="N435" s="145"/>
      <c r="O435" s="145"/>
      <c r="P435" s="145"/>
      <c r="R435" s="145"/>
      <c r="S435" s="145"/>
      <c r="T435" s="145"/>
      <c r="U435" s="145"/>
      <c r="V435" s="145"/>
      <c r="W435" s="145"/>
      <c r="X435" s="145"/>
      <c r="Z435" s="145"/>
      <c r="AA435" s="145"/>
      <c r="AB435" s="145"/>
      <c r="AC435" s="145"/>
      <c r="AD435" s="145"/>
      <c r="AE435" s="145"/>
      <c r="AF435" s="145"/>
    </row>
    <row r="436" spans="2:32" x14ac:dyDescent="0.25">
      <c r="B436" s="145"/>
      <c r="C436" s="145"/>
      <c r="D436" s="145"/>
      <c r="E436" s="145"/>
      <c r="F436" s="145"/>
      <c r="G436" s="145"/>
      <c r="H436" s="145"/>
      <c r="J436" s="145"/>
      <c r="K436" s="145"/>
      <c r="L436" s="145"/>
      <c r="M436" s="145"/>
      <c r="N436" s="145"/>
      <c r="O436" s="145"/>
      <c r="P436" s="145"/>
      <c r="R436" s="145"/>
      <c r="S436" s="145"/>
      <c r="T436" s="145"/>
      <c r="U436" s="145"/>
      <c r="V436" s="145"/>
      <c r="W436" s="145"/>
      <c r="X436" s="145"/>
      <c r="Z436" s="145"/>
      <c r="AA436" s="145"/>
      <c r="AB436" s="145"/>
      <c r="AC436" s="145"/>
      <c r="AD436" s="145"/>
      <c r="AE436" s="145"/>
      <c r="AF436" s="145"/>
    </row>
    <row r="437" spans="2:32" x14ac:dyDescent="0.25">
      <c r="B437" s="145"/>
      <c r="C437" s="145"/>
      <c r="D437" s="145"/>
      <c r="E437" s="145"/>
      <c r="F437" s="145"/>
      <c r="G437" s="145"/>
      <c r="H437" s="145"/>
      <c r="J437" s="145"/>
      <c r="K437" s="145"/>
      <c r="L437" s="145"/>
      <c r="M437" s="145"/>
      <c r="N437" s="145"/>
      <c r="O437" s="145"/>
      <c r="P437" s="145"/>
      <c r="R437" s="145"/>
      <c r="S437" s="145"/>
      <c r="T437" s="145"/>
      <c r="U437" s="145"/>
      <c r="V437" s="145"/>
      <c r="W437" s="145"/>
      <c r="X437" s="145"/>
      <c r="Z437" s="145"/>
      <c r="AA437" s="145"/>
      <c r="AB437" s="145"/>
      <c r="AC437" s="145"/>
      <c r="AD437" s="145"/>
      <c r="AE437" s="145"/>
      <c r="AF437" s="145"/>
    </row>
    <row r="438" spans="2:32" x14ac:dyDescent="0.25">
      <c r="B438" s="145"/>
      <c r="C438" s="145"/>
      <c r="D438" s="145"/>
      <c r="E438" s="145"/>
      <c r="F438" s="145"/>
      <c r="G438" s="145"/>
      <c r="H438" s="145"/>
      <c r="J438" s="145"/>
      <c r="K438" s="145"/>
      <c r="L438" s="145"/>
      <c r="M438" s="145"/>
      <c r="N438" s="145"/>
      <c r="O438" s="145"/>
      <c r="P438" s="145"/>
      <c r="R438" s="145"/>
      <c r="S438" s="145"/>
      <c r="T438" s="145"/>
      <c r="U438" s="145"/>
      <c r="V438" s="145"/>
      <c r="W438" s="145"/>
      <c r="X438" s="145"/>
      <c r="Z438" s="145"/>
      <c r="AA438" s="145"/>
      <c r="AB438" s="145"/>
      <c r="AC438" s="145"/>
      <c r="AD438" s="145"/>
      <c r="AE438" s="145"/>
      <c r="AF438" s="145"/>
    </row>
    <row r="439" spans="2:32" x14ac:dyDescent="0.25">
      <c r="B439" s="145"/>
      <c r="C439" s="145"/>
      <c r="D439" s="145"/>
      <c r="E439" s="145"/>
      <c r="F439" s="145"/>
      <c r="G439" s="145"/>
      <c r="H439" s="145"/>
      <c r="J439" s="145"/>
      <c r="K439" s="145"/>
      <c r="L439" s="145"/>
      <c r="M439" s="145"/>
      <c r="N439" s="145"/>
      <c r="O439" s="145"/>
      <c r="P439" s="145"/>
      <c r="R439" s="145"/>
      <c r="S439" s="145"/>
      <c r="T439" s="145"/>
      <c r="U439" s="145"/>
      <c r="V439" s="145"/>
      <c r="W439" s="145"/>
      <c r="X439" s="145"/>
      <c r="Z439" s="145"/>
      <c r="AA439" s="145"/>
      <c r="AB439" s="145"/>
      <c r="AC439" s="145"/>
      <c r="AD439" s="145"/>
      <c r="AE439" s="145"/>
      <c r="AF439" s="145"/>
    </row>
    <row r="440" spans="2:32" x14ac:dyDescent="0.25">
      <c r="B440" s="145"/>
      <c r="C440" s="145"/>
      <c r="D440" s="145"/>
      <c r="E440" s="145"/>
      <c r="F440" s="145"/>
      <c r="G440" s="145"/>
      <c r="H440" s="145"/>
      <c r="J440" s="145"/>
      <c r="K440" s="145"/>
      <c r="L440" s="145"/>
      <c r="M440" s="145"/>
      <c r="N440" s="145"/>
      <c r="O440" s="145"/>
      <c r="P440" s="145"/>
      <c r="R440" s="145"/>
      <c r="S440" s="145"/>
      <c r="T440" s="145"/>
      <c r="U440" s="145"/>
      <c r="V440" s="145"/>
      <c r="W440" s="145"/>
      <c r="X440" s="145"/>
      <c r="Z440" s="145"/>
      <c r="AA440" s="145"/>
      <c r="AB440" s="145"/>
      <c r="AC440" s="145"/>
      <c r="AD440" s="145"/>
      <c r="AE440" s="145"/>
      <c r="AF440" s="145"/>
    </row>
    <row r="441" spans="2:32" x14ac:dyDescent="0.25">
      <c r="B441" s="145"/>
      <c r="C441" s="145"/>
      <c r="D441" s="145"/>
      <c r="E441" s="145"/>
      <c r="F441" s="145"/>
      <c r="G441" s="145"/>
      <c r="H441" s="145"/>
      <c r="J441" s="145"/>
      <c r="K441" s="145"/>
      <c r="L441" s="145"/>
      <c r="M441" s="145"/>
      <c r="N441" s="145"/>
      <c r="O441" s="145"/>
      <c r="P441" s="145"/>
      <c r="R441" s="145"/>
      <c r="S441" s="145"/>
      <c r="T441" s="145"/>
      <c r="U441" s="145"/>
      <c r="V441" s="145"/>
      <c r="W441" s="145"/>
      <c r="X441" s="145"/>
      <c r="Z441" s="145"/>
      <c r="AA441" s="145"/>
      <c r="AB441" s="145"/>
      <c r="AC441" s="145"/>
      <c r="AD441" s="145"/>
      <c r="AE441" s="145"/>
      <c r="AF441" s="145"/>
    </row>
    <row r="442" spans="2:32" x14ac:dyDescent="0.25">
      <c r="B442" s="145"/>
      <c r="C442" s="145"/>
      <c r="D442" s="145"/>
      <c r="E442" s="145"/>
      <c r="F442" s="145"/>
      <c r="G442" s="145"/>
      <c r="H442" s="145"/>
      <c r="J442" s="145"/>
      <c r="K442" s="145"/>
      <c r="L442" s="145"/>
      <c r="M442" s="145"/>
      <c r="N442" s="145"/>
      <c r="O442" s="145"/>
      <c r="P442" s="145"/>
      <c r="R442" s="145"/>
      <c r="S442" s="145"/>
      <c r="T442" s="145"/>
      <c r="U442" s="145"/>
      <c r="V442" s="145"/>
      <c r="W442" s="145"/>
      <c r="X442" s="145"/>
      <c r="Z442" s="145"/>
      <c r="AA442" s="145"/>
      <c r="AB442" s="145"/>
      <c r="AC442" s="145"/>
      <c r="AD442" s="145"/>
      <c r="AE442" s="145"/>
      <c r="AF442" s="145"/>
    </row>
    <row r="443" spans="2:32" x14ac:dyDescent="0.25">
      <c r="B443" s="145"/>
      <c r="C443" s="145"/>
      <c r="D443" s="145"/>
      <c r="E443" s="145"/>
      <c r="F443" s="145"/>
      <c r="G443" s="145"/>
      <c r="H443" s="145"/>
      <c r="J443" s="145"/>
      <c r="K443" s="145"/>
      <c r="L443" s="145"/>
      <c r="M443" s="145"/>
      <c r="N443" s="145"/>
      <c r="O443" s="145"/>
      <c r="P443" s="145"/>
      <c r="R443" s="145"/>
      <c r="S443" s="145"/>
      <c r="T443" s="145"/>
      <c r="U443" s="145"/>
      <c r="V443" s="145"/>
      <c r="W443" s="145"/>
      <c r="X443" s="145"/>
      <c r="Z443" s="145"/>
      <c r="AA443" s="145"/>
      <c r="AB443" s="145"/>
      <c r="AC443" s="145"/>
      <c r="AD443" s="145"/>
      <c r="AE443" s="145"/>
      <c r="AF443" s="145"/>
    </row>
    <row r="444" spans="2:32" x14ac:dyDescent="0.25">
      <c r="B444" s="145"/>
      <c r="C444" s="145"/>
      <c r="D444" s="145"/>
      <c r="E444" s="145"/>
      <c r="F444" s="145"/>
      <c r="G444" s="145"/>
      <c r="H444" s="145"/>
      <c r="J444" s="145"/>
      <c r="K444" s="145"/>
      <c r="L444" s="145"/>
      <c r="M444" s="145"/>
      <c r="N444" s="145"/>
      <c r="O444" s="145"/>
      <c r="P444" s="145"/>
      <c r="R444" s="145"/>
      <c r="S444" s="145"/>
      <c r="T444" s="145"/>
      <c r="U444" s="145"/>
      <c r="V444" s="145"/>
      <c r="W444" s="145"/>
      <c r="X444" s="145"/>
      <c r="Z444" s="145"/>
      <c r="AA444" s="145"/>
      <c r="AB444" s="145"/>
      <c r="AC444" s="145"/>
      <c r="AD444" s="145"/>
      <c r="AE444" s="145"/>
      <c r="AF444" s="145"/>
    </row>
    <row r="445" spans="2:32" x14ac:dyDescent="0.25">
      <c r="B445" s="145"/>
      <c r="C445" s="145"/>
      <c r="D445" s="145"/>
      <c r="E445" s="145"/>
      <c r="F445" s="145"/>
      <c r="G445" s="145"/>
      <c r="H445" s="145"/>
      <c r="J445" s="145"/>
      <c r="K445" s="145"/>
      <c r="L445" s="145"/>
      <c r="M445" s="145"/>
      <c r="N445" s="145"/>
      <c r="O445" s="145"/>
      <c r="P445" s="145"/>
      <c r="R445" s="145"/>
      <c r="S445" s="145"/>
      <c r="T445" s="145"/>
      <c r="U445" s="145"/>
      <c r="V445" s="145"/>
      <c r="W445" s="145"/>
      <c r="X445" s="145"/>
      <c r="Z445" s="145"/>
      <c r="AA445" s="145"/>
      <c r="AB445" s="145"/>
      <c r="AC445" s="145"/>
      <c r="AD445" s="145"/>
      <c r="AE445" s="145"/>
      <c r="AF445" s="145"/>
    </row>
    <row r="446" spans="2:32" x14ac:dyDescent="0.25">
      <c r="B446" s="145"/>
      <c r="C446" s="145"/>
      <c r="D446" s="145"/>
      <c r="E446" s="145"/>
      <c r="F446" s="145"/>
      <c r="G446" s="145"/>
      <c r="H446" s="145"/>
      <c r="J446" s="145"/>
      <c r="K446" s="145"/>
      <c r="L446" s="145"/>
      <c r="M446" s="145"/>
      <c r="N446" s="145"/>
      <c r="O446" s="145"/>
      <c r="P446" s="145"/>
      <c r="R446" s="145"/>
      <c r="S446" s="145"/>
      <c r="T446" s="145"/>
      <c r="U446" s="145"/>
      <c r="V446" s="145"/>
      <c r="W446" s="145"/>
      <c r="X446" s="145"/>
      <c r="Z446" s="145"/>
      <c r="AA446" s="145"/>
      <c r="AB446" s="145"/>
      <c r="AC446" s="145"/>
      <c r="AD446" s="145"/>
      <c r="AE446" s="145"/>
      <c r="AF446" s="145"/>
    </row>
    <row r="447" spans="2:32" x14ac:dyDescent="0.25">
      <c r="B447" s="145"/>
      <c r="C447" s="145"/>
      <c r="D447" s="145"/>
      <c r="E447" s="145"/>
      <c r="F447" s="145"/>
      <c r="G447" s="145"/>
      <c r="H447" s="145"/>
      <c r="J447" s="145"/>
      <c r="K447" s="145"/>
      <c r="L447" s="145"/>
      <c r="M447" s="145"/>
      <c r="N447" s="145"/>
      <c r="O447" s="145"/>
      <c r="P447" s="145"/>
      <c r="R447" s="145"/>
      <c r="S447" s="145"/>
      <c r="T447" s="145"/>
      <c r="U447" s="145"/>
      <c r="V447" s="145"/>
      <c r="W447" s="145"/>
      <c r="X447" s="145"/>
      <c r="Z447" s="145"/>
      <c r="AA447" s="145"/>
      <c r="AB447" s="145"/>
      <c r="AC447" s="145"/>
      <c r="AD447" s="145"/>
      <c r="AE447" s="145"/>
      <c r="AF447" s="145"/>
    </row>
    <row r="448" spans="2:32" x14ac:dyDescent="0.25">
      <c r="B448" s="145"/>
      <c r="C448" s="145"/>
      <c r="D448" s="145"/>
      <c r="E448" s="145"/>
      <c r="F448" s="145"/>
      <c r="G448" s="145"/>
      <c r="H448" s="145"/>
      <c r="J448" s="145"/>
      <c r="K448" s="145"/>
      <c r="L448" s="145"/>
      <c r="M448" s="145"/>
      <c r="N448" s="145"/>
      <c r="O448" s="145"/>
      <c r="P448" s="145"/>
      <c r="R448" s="145"/>
      <c r="S448" s="145"/>
      <c r="T448" s="145"/>
      <c r="U448" s="145"/>
      <c r="V448" s="145"/>
      <c r="W448" s="145"/>
      <c r="X448" s="145"/>
      <c r="Z448" s="145"/>
      <c r="AA448" s="145"/>
      <c r="AB448" s="145"/>
      <c r="AC448" s="145"/>
      <c r="AD448" s="145"/>
      <c r="AE448" s="145"/>
      <c r="AF448" s="145"/>
    </row>
    <row r="449" spans="2:32" x14ac:dyDescent="0.25">
      <c r="B449" s="145"/>
      <c r="C449" s="145"/>
      <c r="D449" s="145"/>
      <c r="E449" s="145"/>
      <c r="F449" s="145"/>
      <c r="G449" s="145"/>
      <c r="H449" s="145"/>
      <c r="J449" s="145"/>
      <c r="K449" s="145"/>
      <c r="L449" s="145"/>
      <c r="M449" s="145"/>
      <c r="N449" s="145"/>
      <c r="O449" s="145"/>
      <c r="P449" s="145"/>
      <c r="R449" s="145"/>
      <c r="S449" s="145"/>
      <c r="T449" s="145"/>
      <c r="U449" s="145"/>
      <c r="V449" s="145"/>
      <c r="W449" s="145"/>
      <c r="X449" s="145"/>
      <c r="Z449" s="145"/>
      <c r="AA449" s="145"/>
      <c r="AB449" s="145"/>
      <c r="AC449" s="145"/>
      <c r="AD449" s="145"/>
      <c r="AE449" s="145"/>
      <c r="AF449" s="145"/>
    </row>
    <row r="450" spans="2:32" x14ac:dyDescent="0.25">
      <c r="B450" s="145"/>
      <c r="C450" s="145"/>
      <c r="D450" s="145"/>
      <c r="E450" s="145"/>
      <c r="F450" s="145"/>
      <c r="G450" s="145"/>
      <c r="H450" s="145"/>
      <c r="J450" s="145"/>
      <c r="K450" s="145"/>
      <c r="L450" s="145"/>
      <c r="M450" s="145"/>
      <c r="N450" s="145"/>
      <c r="O450" s="145"/>
      <c r="P450" s="145"/>
      <c r="R450" s="145"/>
      <c r="S450" s="145"/>
      <c r="T450" s="145"/>
      <c r="U450" s="145"/>
      <c r="V450" s="145"/>
      <c r="W450" s="145"/>
      <c r="X450" s="145"/>
      <c r="Z450" s="145"/>
      <c r="AA450" s="145"/>
      <c r="AB450" s="145"/>
      <c r="AC450" s="145"/>
      <c r="AD450" s="145"/>
      <c r="AE450" s="145"/>
      <c r="AF450" s="145"/>
    </row>
    <row r="451" spans="2:32" x14ac:dyDescent="0.25">
      <c r="B451" s="145"/>
      <c r="C451" s="145"/>
      <c r="D451" s="145"/>
      <c r="E451" s="145"/>
      <c r="F451" s="145"/>
      <c r="G451" s="145"/>
      <c r="H451" s="145"/>
      <c r="J451" s="145"/>
      <c r="K451" s="145"/>
      <c r="L451" s="145"/>
      <c r="M451" s="145"/>
      <c r="N451" s="145"/>
      <c r="O451" s="145"/>
      <c r="P451" s="145"/>
      <c r="R451" s="145"/>
      <c r="S451" s="145"/>
      <c r="T451" s="145"/>
      <c r="U451" s="145"/>
      <c r="V451" s="145"/>
      <c r="W451" s="145"/>
      <c r="X451" s="145"/>
      <c r="Z451" s="145"/>
      <c r="AA451" s="145"/>
      <c r="AB451" s="145"/>
      <c r="AC451" s="145"/>
      <c r="AD451" s="145"/>
      <c r="AE451" s="145"/>
      <c r="AF451" s="145"/>
    </row>
    <row r="452" spans="2:32" x14ac:dyDescent="0.25">
      <c r="B452" s="145"/>
      <c r="C452" s="145"/>
      <c r="D452" s="145"/>
      <c r="E452" s="145"/>
      <c r="F452" s="145"/>
      <c r="G452" s="145"/>
      <c r="H452" s="145"/>
      <c r="J452" s="145"/>
      <c r="K452" s="145"/>
      <c r="L452" s="145"/>
      <c r="M452" s="145"/>
      <c r="N452" s="145"/>
      <c r="O452" s="145"/>
      <c r="P452" s="145"/>
      <c r="R452" s="145"/>
      <c r="S452" s="145"/>
      <c r="T452" s="145"/>
      <c r="U452" s="145"/>
      <c r="V452" s="145"/>
      <c r="W452" s="145"/>
      <c r="X452" s="145"/>
      <c r="Z452" s="145"/>
      <c r="AA452" s="145"/>
      <c r="AB452" s="145"/>
      <c r="AC452" s="145"/>
      <c r="AD452" s="145"/>
      <c r="AE452" s="145"/>
      <c r="AF452" s="145"/>
    </row>
    <row r="453" spans="2:32" x14ac:dyDescent="0.25">
      <c r="B453" s="145"/>
      <c r="C453" s="145"/>
      <c r="D453" s="145"/>
      <c r="E453" s="145"/>
      <c r="F453" s="145"/>
      <c r="G453" s="145"/>
      <c r="H453" s="145"/>
      <c r="J453" s="145"/>
      <c r="K453" s="145"/>
      <c r="L453" s="145"/>
      <c r="M453" s="145"/>
      <c r="N453" s="145"/>
      <c r="O453" s="145"/>
      <c r="P453" s="145"/>
      <c r="R453" s="145"/>
      <c r="S453" s="145"/>
      <c r="T453" s="145"/>
      <c r="U453" s="145"/>
      <c r="V453" s="145"/>
      <c r="W453" s="145"/>
      <c r="X453" s="145"/>
      <c r="Z453" s="145"/>
      <c r="AA453" s="145"/>
      <c r="AB453" s="145"/>
      <c r="AC453" s="145"/>
      <c r="AD453" s="145"/>
      <c r="AE453" s="145"/>
      <c r="AF453" s="145"/>
    </row>
    <row r="454" spans="2:32" x14ac:dyDescent="0.25">
      <c r="B454" s="145"/>
      <c r="C454" s="145"/>
      <c r="D454" s="145"/>
      <c r="E454" s="145"/>
      <c r="F454" s="145"/>
      <c r="G454" s="145"/>
      <c r="H454" s="145"/>
      <c r="J454" s="145"/>
      <c r="K454" s="145"/>
      <c r="L454" s="145"/>
      <c r="M454" s="145"/>
      <c r="N454" s="145"/>
      <c r="O454" s="145"/>
      <c r="P454" s="145"/>
      <c r="R454" s="145"/>
      <c r="S454" s="145"/>
      <c r="T454" s="145"/>
      <c r="U454" s="145"/>
      <c r="V454" s="145"/>
      <c r="W454" s="145"/>
      <c r="X454" s="145"/>
      <c r="Z454" s="145"/>
      <c r="AA454" s="145"/>
      <c r="AB454" s="145"/>
      <c r="AC454" s="145"/>
      <c r="AD454" s="145"/>
      <c r="AE454" s="145"/>
      <c r="AF454" s="145"/>
    </row>
    <row r="455" spans="2:32" x14ac:dyDescent="0.25">
      <c r="B455" s="145"/>
      <c r="C455" s="145"/>
      <c r="D455" s="145"/>
      <c r="E455" s="145"/>
      <c r="F455" s="145"/>
      <c r="G455" s="145"/>
      <c r="H455" s="145"/>
      <c r="J455" s="145"/>
      <c r="K455" s="145"/>
      <c r="L455" s="145"/>
      <c r="M455" s="145"/>
      <c r="N455" s="145"/>
      <c r="O455" s="145"/>
      <c r="P455" s="145"/>
      <c r="R455" s="145"/>
      <c r="S455" s="145"/>
      <c r="T455" s="145"/>
      <c r="U455" s="145"/>
      <c r="V455" s="145"/>
      <c r="W455" s="145"/>
      <c r="X455" s="145"/>
      <c r="Z455" s="145"/>
      <c r="AA455" s="145"/>
      <c r="AB455" s="145"/>
      <c r="AC455" s="145"/>
      <c r="AD455" s="145"/>
      <c r="AE455" s="145"/>
      <c r="AF455" s="145"/>
    </row>
    <row r="456" spans="2:32" x14ac:dyDescent="0.25">
      <c r="B456" s="145"/>
      <c r="C456" s="145"/>
      <c r="D456" s="145"/>
      <c r="E456" s="145"/>
      <c r="F456" s="145"/>
      <c r="G456" s="145"/>
      <c r="H456" s="145"/>
      <c r="J456" s="145"/>
      <c r="K456" s="145"/>
      <c r="L456" s="145"/>
      <c r="M456" s="145"/>
      <c r="N456" s="145"/>
      <c r="O456" s="145"/>
      <c r="P456" s="145"/>
      <c r="R456" s="145"/>
      <c r="S456" s="145"/>
      <c r="T456" s="145"/>
      <c r="U456" s="145"/>
      <c r="V456" s="145"/>
      <c r="W456" s="145"/>
      <c r="X456" s="145"/>
      <c r="Z456" s="145"/>
      <c r="AA456" s="145"/>
      <c r="AB456" s="145"/>
      <c r="AC456" s="145"/>
      <c r="AD456" s="145"/>
      <c r="AE456" s="145"/>
      <c r="AF456" s="145"/>
    </row>
    <row r="457" spans="2:32" x14ac:dyDescent="0.25">
      <c r="B457" s="145"/>
      <c r="C457" s="145"/>
      <c r="D457" s="145"/>
      <c r="E457" s="145"/>
      <c r="F457" s="145"/>
      <c r="G457" s="145"/>
      <c r="H457" s="145"/>
      <c r="J457" s="145"/>
      <c r="K457" s="145"/>
      <c r="L457" s="145"/>
      <c r="M457" s="145"/>
      <c r="N457" s="145"/>
      <c r="O457" s="145"/>
      <c r="P457" s="145"/>
      <c r="R457" s="145"/>
      <c r="S457" s="145"/>
      <c r="T457" s="145"/>
      <c r="U457" s="145"/>
      <c r="V457" s="145"/>
      <c r="W457" s="145"/>
      <c r="X457" s="145"/>
      <c r="Z457" s="145"/>
      <c r="AA457" s="145"/>
      <c r="AB457" s="145"/>
      <c r="AC457" s="145"/>
      <c r="AD457" s="145"/>
      <c r="AE457" s="145"/>
      <c r="AF457" s="145"/>
    </row>
    <row r="458" spans="2:32" x14ac:dyDescent="0.25">
      <c r="B458" s="145"/>
      <c r="C458" s="145"/>
      <c r="D458" s="145"/>
      <c r="E458" s="145"/>
      <c r="F458" s="145"/>
      <c r="G458" s="145"/>
      <c r="H458" s="145"/>
      <c r="J458" s="145"/>
      <c r="K458" s="145"/>
      <c r="L458" s="145"/>
      <c r="M458" s="145"/>
      <c r="N458" s="145"/>
      <c r="O458" s="145"/>
      <c r="P458" s="145"/>
      <c r="R458" s="145"/>
      <c r="S458" s="145"/>
      <c r="T458" s="145"/>
      <c r="U458" s="145"/>
      <c r="V458" s="145"/>
      <c r="W458" s="145"/>
      <c r="X458" s="145"/>
      <c r="Z458" s="145"/>
      <c r="AA458" s="145"/>
      <c r="AB458" s="145"/>
      <c r="AC458" s="145"/>
      <c r="AD458" s="145"/>
      <c r="AE458" s="145"/>
      <c r="AF458" s="145"/>
    </row>
    <row r="459" spans="2:32" x14ac:dyDescent="0.25">
      <c r="B459" s="145"/>
      <c r="C459" s="145"/>
      <c r="D459" s="145"/>
      <c r="E459" s="145"/>
      <c r="F459" s="145"/>
      <c r="G459" s="145"/>
      <c r="H459" s="145"/>
      <c r="J459" s="145"/>
      <c r="K459" s="145"/>
      <c r="L459" s="145"/>
      <c r="M459" s="145"/>
      <c r="N459" s="145"/>
      <c r="O459" s="145"/>
      <c r="P459" s="145"/>
      <c r="R459" s="145"/>
      <c r="S459" s="145"/>
      <c r="T459" s="145"/>
      <c r="U459" s="145"/>
      <c r="V459" s="145"/>
      <c r="W459" s="145"/>
      <c r="X459" s="145"/>
      <c r="Z459" s="145"/>
      <c r="AA459" s="145"/>
      <c r="AB459" s="145"/>
      <c r="AC459" s="145"/>
      <c r="AD459" s="145"/>
      <c r="AE459" s="145"/>
      <c r="AF459" s="145"/>
    </row>
    <row r="460" spans="2:32" x14ac:dyDescent="0.25">
      <c r="B460" s="145"/>
      <c r="C460" s="145"/>
      <c r="D460" s="145"/>
      <c r="E460" s="145"/>
      <c r="F460" s="145"/>
      <c r="G460" s="145"/>
      <c r="H460" s="145"/>
      <c r="J460" s="145"/>
      <c r="K460" s="145"/>
      <c r="L460" s="145"/>
      <c r="M460" s="145"/>
      <c r="N460" s="145"/>
      <c r="O460" s="145"/>
      <c r="P460" s="145"/>
      <c r="R460" s="145"/>
      <c r="S460" s="145"/>
      <c r="T460" s="145"/>
      <c r="U460" s="145"/>
      <c r="V460" s="145"/>
      <c r="W460" s="145"/>
      <c r="X460" s="145"/>
      <c r="Z460" s="145"/>
      <c r="AA460" s="145"/>
      <c r="AB460" s="145"/>
      <c r="AC460" s="145"/>
      <c r="AD460" s="145"/>
      <c r="AE460" s="145"/>
      <c r="AF460" s="145"/>
    </row>
    <row r="461" spans="2:32" x14ac:dyDescent="0.25">
      <c r="B461" s="145"/>
      <c r="C461" s="145"/>
      <c r="D461" s="145"/>
      <c r="E461" s="145"/>
      <c r="F461" s="145"/>
      <c r="G461" s="145"/>
      <c r="H461" s="145"/>
      <c r="J461" s="145"/>
      <c r="K461" s="145"/>
      <c r="L461" s="145"/>
      <c r="M461" s="145"/>
      <c r="N461" s="145"/>
      <c r="O461" s="145"/>
      <c r="P461" s="145"/>
      <c r="R461" s="145"/>
      <c r="S461" s="145"/>
      <c r="T461" s="145"/>
      <c r="U461" s="145"/>
      <c r="V461" s="145"/>
      <c r="W461" s="145"/>
      <c r="X461" s="145"/>
      <c r="Z461" s="145"/>
      <c r="AA461" s="145"/>
      <c r="AB461" s="145"/>
      <c r="AC461" s="145"/>
      <c r="AD461" s="145"/>
      <c r="AE461" s="145"/>
      <c r="AF461" s="145"/>
    </row>
    <row r="462" spans="2:32" x14ac:dyDescent="0.25">
      <c r="B462" s="145"/>
      <c r="C462" s="145"/>
      <c r="D462" s="145"/>
      <c r="E462" s="145"/>
      <c r="F462" s="145"/>
      <c r="G462" s="145"/>
      <c r="H462" s="145"/>
      <c r="J462" s="145"/>
      <c r="K462" s="145"/>
      <c r="L462" s="145"/>
      <c r="M462" s="145"/>
      <c r="N462" s="145"/>
      <c r="O462" s="145"/>
      <c r="P462" s="145"/>
      <c r="R462" s="145"/>
      <c r="S462" s="145"/>
      <c r="T462" s="145"/>
      <c r="U462" s="145"/>
      <c r="V462" s="145"/>
      <c r="W462" s="145"/>
      <c r="X462" s="145"/>
      <c r="Z462" s="145"/>
      <c r="AA462" s="145"/>
      <c r="AB462" s="145"/>
      <c r="AC462" s="145"/>
      <c r="AD462" s="145"/>
      <c r="AE462" s="145"/>
      <c r="AF462" s="145"/>
    </row>
    <row r="463" spans="2:32" x14ac:dyDescent="0.25">
      <c r="B463" s="145"/>
      <c r="C463" s="145"/>
      <c r="D463" s="145"/>
      <c r="E463" s="145"/>
      <c r="F463" s="145"/>
      <c r="G463" s="145"/>
      <c r="H463" s="145"/>
      <c r="J463" s="145"/>
      <c r="K463" s="145"/>
      <c r="L463" s="145"/>
      <c r="M463" s="145"/>
      <c r="N463" s="145"/>
      <c r="O463" s="145"/>
      <c r="P463" s="145"/>
      <c r="R463" s="145"/>
      <c r="S463" s="145"/>
      <c r="T463" s="145"/>
      <c r="U463" s="145"/>
      <c r="V463" s="145"/>
      <c r="W463" s="145"/>
      <c r="X463" s="145"/>
      <c r="Z463" s="145"/>
      <c r="AA463" s="145"/>
      <c r="AB463" s="145"/>
      <c r="AC463" s="145"/>
      <c r="AD463" s="145"/>
      <c r="AE463" s="145"/>
      <c r="AF463" s="145"/>
    </row>
    <row r="464" spans="2:32" x14ac:dyDescent="0.25">
      <c r="B464" s="145"/>
      <c r="C464" s="145"/>
      <c r="D464" s="145"/>
      <c r="E464" s="145"/>
      <c r="F464" s="145"/>
      <c r="G464" s="145"/>
      <c r="H464" s="145"/>
      <c r="J464" s="145"/>
      <c r="K464" s="145"/>
      <c r="L464" s="145"/>
      <c r="M464" s="145"/>
      <c r="N464" s="145"/>
      <c r="O464" s="145"/>
      <c r="P464" s="145"/>
      <c r="R464" s="145"/>
      <c r="S464" s="145"/>
      <c r="T464" s="145"/>
      <c r="U464" s="145"/>
      <c r="V464" s="145"/>
      <c r="W464" s="145"/>
      <c r="X464" s="145"/>
      <c r="Z464" s="145"/>
      <c r="AA464" s="145"/>
      <c r="AB464" s="145"/>
      <c r="AC464" s="145"/>
      <c r="AD464" s="145"/>
      <c r="AE464" s="145"/>
      <c r="AF464" s="145"/>
    </row>
    <row r="465" spans="2:32" x14ac:dyDescent="0.25">
      <c r="B465" s="145"/>
      <c r="C465" s="145"/>
      <c r="D465" s="145"/>
      <c r="E465" s="145"/>
      <c r="F465" s="145"/>
      <c r="G465" s="145"/>
      <c r="H465" s="145"/>
      <c r="J465" s="145"/>
      <c r="K465" s="145"/>
      <c r="L465" s="145"/>
      <c r="M465" s="145"/>
      <c r="N465" s="145"/>
      <c r="O465" s="145"/>
      <c r="P465" s="145"/>
      <c r="R465" s="145"/>
      <c r="S465" s="145"/>
      <c r="T465" s="145"/>
      <c r="U465" s="145"/>
      <c r="V465" s="145"/>
      <c r="W465" s="145"/>
      <c r="X465" s="145"/>
      <c r="Z465" s="145"/>
      <c r="AA465" s="145"/>
      <c r="AB465" s="145"/>
      <c r="AC465" s="145"/>
      <c r="AD465" s="145"/>
      <c r="AE465" s="145"/>
      <c r="AF465" s="145"/>
    </row>
    <row r="466" spans="2:32" x14ac:dyDescent="0.25">
      <c r="B466" s="145"/>
      <c r="C466" s="145"/>
      <c r="D466" s="145"/>
      <c r="E466" s="145"/>
      <c r="F466" s="145"/>
      <c r="G466" s="145"/>
      <c r="H466" s="145"/>
      <c r="J466" s="145"/>
      <c r="K466" s="145"/>
      <c r="L466" s="145"/>
      <c r="M466" s="145"/>
      <c r="N466" s="145"/>
      <c r="O466" s="145"/>
      <c r="P466" s="145"/>
      <c r="R466" s="145"/>
      <c r="S466" s="145"/>
      <c r="T466" s="145"/>
      <c r="U466" s="145"/>
      <c r="V466" s="145"/>
      <c r="W466" s="145"/>
      <c r="X466" s="145"/>
      <c r="Z466" s="145"/>
      <c r="AA466" s="145"/>
      <c r="AB466" s="145"/>
      <c r="AC466" s="145"/>
      <c r="AD466" s="145"/>
      <c r="AE466" s="145"/>
      <c r="AF466" s="145"/>
    </row>
    <row r="467" spans="2:32" x14ac:dyDescent="0.25">
      <c r="B467" s="145"/>
      <c r="C467" s="145"/>
      <c r="D467" s="145"/>
      <c r="E467" s="145"/>
      <c r="F467" s="145"/>
      <c r="G467" s="145"/>
      <c r="H467" s="145"/>
      <c r="J467" s="145"/>
      <c r="K467" s="145"/>
      <c r="L467" s="145"/>
      <c r="M467" s="145"/>
      <c r="N467" s="145"/>
      <c r="O467" s="145"/>
      <c r="P467" s="145"/>
      <c r="R467" s="145"/>
      <c r="S467" s="145"/>
      <c r="T467" s="145"/>
      <c r="U467" s="145"/>
      <c r="V467" s="145"/>
      <c r="W467" s="145"/>
      <c r="X467" s="145"/>
      <c r="Z467" s="145"/>
      <c r="AA467" s="145"/>
      <c r="AB467" s="145"/>
      <c r="AC467" s="145"/>
      <c r="AD467" s="145"/>
      <c r="AE467" s="145"/>
      <c r="AF467" s="145"/>
    </row>
    <row r="468" spans="2:32" x14ac:dyDescent="0.25">
      <c r="B468" s="145"/>
      <c r="C468" s="145"/>
      <c r="D468" s="145"/>
      <c r="E468" s="145"/>
      <c r="F468" s="145"/>
      <c r="G468" s="145"/>
      <c r="H468" s="145"/>
      <c r="J468" s="145"/>
      <c r="K468" s="145"/>
      <c r="L468" s="145"/>
      <c r="M468" s="145"/>
      <c r="N468" s="145"/>
      <c r="O468" s="145"/>
      <c r="P468" s="145"/>
      <c r="R468" s="145"/>
      <c r="S468" s="145"/>
      <c r="T468" s="145"/>
      <c r="U468" s="145"/>
      <c r="V468" s="145"/>
      <c r="W468" s="145"/>
      <c r="X468" s="145"/>
      <c r="Z468" s="145"/>
      <c r="AA468" s="145"/>
      <c r="AB468" s="145"/>
      <c r="AC468" s="145"/>
      <c r="AD468" s="145"/>
      <c r="AE468" s="145"/>
      <c r="AF468" s="145"/>
    </row>
    <row r="469" spans="2:32" x14ac:dyDescent="0.25">
      <c r="B469" s="145"/>
      <c r="C469" s="145"/>
      <c r="D469" s="145"/>
      <c r="E469" s="145"/>
      <c r="F469" s="145"/>
      <c r="G469" s="145"/>
      <c r="H469" s="145"/>
      <c r="J469" s="145"/>
      <c r="K469" s="145"/>
      <c r="L469" s="145"/>
      <c r="M469" s="145"/>
      <c r="N469" s="145"/>
      <c r="O469" s="145"/>
      <c r="P469" s="145"/>
      <c r="R469" s="145"/>
      <c r="S469" s="145"/>
      <c r="T469" s="145"/>
      <c r="U469" s="145"/>
      <c r="V469" s="145"/>
      <c r="W469" s="145"/>
      <c r="X469" s="145"/>
      <c r="Z469" s="145"/>
      <c r="AA469" s="145"/>
      <c r="AB469" s="145"/>
      <c r="AC469" s="145"/>
      <c r="AD469" s="145"/>
      <c r="AE469" s="145"/>
      <c r="AF469" s="145"/>
    </row>
    <row r="470" spans="2:32" x14ac:dyDescent="0.25">
      <c r="B470" s="145"/>
      <c r="C470" s="145"/>
      <c r="D470" s="145"/>
      <c r="E470" s="145"/>
      <c r="F470" s="145"/>
      <c r="G470" s="145"/>
      <c r="H470" s="145"/>
      <c r="J470" s="145"/>
      <c r="K470" s="145"/>
      <c r="L470" s="145"/>
      <c r="M470" s="145"/>
      <c r="N470" s="145"/>
      <c r="O470" s="145"/>
      <c r="P470" s="145"/>
      <c r="R470" s="145"/>
      <c r="S470" s="145"/>
      <c r="T470" s="145"/>
      <c r="U470" s="145"/>
      <c r="V470" s="145"/>
      <c r="W470" s="145"/>
      <c r="X470" s="145"/>
      <c r="Z470" s="145"/>
      <c r="AA470" s="145"/>
      <c r="AB470" s="145"/>
      <c r="AC470" s="145"/>
      <c r="AD470" s="145"/>
      <c r="AE470" s="145"/>
      <c r="AF470" s="145"/>
    </row>
    <row r="471" spans="2:32" x14ac:dyDescent="0.25">
      <c r="B471" s="145"/>
      <c r="C471" s="145"/>
      <c r="D471" s="145"/>
      <c r="E471" s="145"/>
      <c r="F471" s="145"/>
      <c r="G471" s="145"/>
      <c r="H471" s="145"/>
      <c r="J471" s="145"/>
      <c r="K471" s="145"/>
      <c r="L471" s="145"/>
      <c r="M471" s="145"/>
      <c r="N471" s="145"/>
      <c r="O471" s="145"/>
      <c r="P471" s="145"/>
      <c r="R471" s="145"/>
      <c r="S471" s="145"/>
      <c r="T471" s="145"/>
      <c r="U471" s="145"/>
      <c r="V471" s="145"/>
      <c r="W471" s="145"/>
      <c r="X471" s="145"/>
      <c r="Z471" s="145"/>
      <c r="AA471" s="145"/>
      <c r="AB471" s="145"/>
      <c r="AC471" s="145"/>
      <c r="AD471" s="145"/>
      <c r="AE471" s="145"/>
      <c r="AF471" s="145"/>
    </row>
    <row r="472" spans="2:32" x14ac:dyDescent="0.25">
      <c r="B472" s="145"/>
      <c r="C472" s="145"/>
      <c r="D472" s="145"/>
      <c r="E472" s="145"/>
      <c r="F472" s="145"/>
      <c r="G472" s="145"/>
      <c r="H472" s="145"/>
      <c r="J472" s="145"/>
      <c r="K472" s="145"/>
      <c r="L472" s="145"/>
      <c r="M472" s="145"/>
      <c r="N472" s="145"/>
      <c r="O472" s="145"/>
      <c r="P472" s="145"/>
      <c r="R472" s="145"/>
      <c r="S472" s="145"/>
      <c r="T472" s="145"/>
      <c r="U472" s="145"/>
      <c r="V472" s="145"/>
      <c r="W472" s="145"/>
      <c r="X472" s="145"/>
      <c r="Z472" s="145"/>
      <c r="AA472" s="145"/>
      <c r="AB472" s="145"/>
      <c r="AC472" s="145"/>
      <c r="AD472" s="145"/>
      <c r="AE472" s="145"/>
      <c r="AF472" s="145"/>
    </row>
    <row r="473" spans="2:32" x14ac:dyDescent="0.25">
      <c r="B473" s="145"/>
      <c r="C473" s="145"/>
      <c r="D473" s="145"/>
      <c r="E473" s="145"/>
      <c r="F473" s="145"/>
      <c r="G473" s="145"/>
      <c r="H473" s="145"/>
      <c r="J473" s="145"/>
      <c r="K473" s="145"/>
      <c r="L473" s="145"/>
      <c r="M473" s="145"/>
      <c r="N473" s="145"/>
      <c r="O473" s="145"/>
      <c r="P473" s="145"/>
      <c r="R473" s="145"/>
      <c r="S473" s="145"/>
      <c r="T473" s="145"/>
      <c r="U473" s="145"/>
      <c r="V473" s="145"/>
      <c r="W473" s="145"/>
      <c r="X473" s="145"/>
      <c r="Z473" s="145"/>
      <c r="AA473" s="145"/>
      <c r="AB473" s="145"/>
      <c r="AC473" s="145"/>
      <c r="AD473" s="145"/>
      <c r="AE473" s="145"/>
      <c r="AF473" s="145"/>
    </row>
    <row r="474" spans="2:32" x14ac:dyDescent="0.25">
      <c r="B474" s="145"/>
      <c r="C474" s="145"/>
      <c r="D474" s="145"/>
      <c r="E474" s="145"/>
      <c r="F474" s="145"/>
      <c r="G474" s="145"/>
      <c r="H474" s="145"/>
      <c r="J474" s="145"/>
      <c r="K474" s="145"/>
      <c r="L474" s="145"/>
      <c r="M474" s="145"/>
      <c r="N474" s="145"/>
      <c r="O474" s="145"/>
      <c r="P474" s="145"/>
      <c r="R474" s="145"/>
      <c r="S474" s="145"/>
      <c r="T474" s="145"/>
      <c r="U474" s="145"/>
      <c r="V474" s="145"/>
      <c r="W474" s="145"/>
      <c r="X474" s="145"/>
      <c r="Z474" s="145"/>
      <c r="AA474" s="145"/>
      <c r="AB474" s="145"/>
      <c r="AC474" s="145"/>
      <c r="AD474" s="145"/>
      <c r="AE474" s="145"/>
      <c r="AF474" s="145"/>
    </row>
    <row r="475" spans="2:32" x14ac:dyDescent="0.25">
      <c r="B475" s="145"/>
      <c r="C475" s="145"/>
      <c r="D475" s="145"/>
      <c r="E475" s="145"/>
      <c r="F475" s="145"/>
      <c r="G475" s="145"/>
      <c r="H475" s="145"/>
      <c r="J475" s="145"/>
      <c r="K475" s="145"/>
      <c r="L475" s="145"/>
      <c r="M475" s="145"/>
      <c r="N475" s="145"/>
      <c r="O475" s="145"/>
      <c r="P475" s="145"/>
      <c r="R475" s="145"/>
      <c r="S475" s="145"/>
      <c r="T475" s="145"/>
      <c r="U475" s="145"/>
      <c r="V475" s="145"/>
      <c r="W475" s="145"/>
      <c r="X475" s="145"/>
      <c r="Z475" s="145"/>
      <c r="AA475" s="145"/>
      <c r="AB475" s="145"/>
      <c r="AC475" s="145"/>
      <c r="AD475" s="145"/>
      <c r="AE475" s="145"/>
      <c r="AF475" s="145"/>
    </row>
    <row r="476" spans="2:32" x14ac:dyDescent="0.25">
      <c r="B476" s="145"/>
      <c r="C476" s="145"/>
      <c r="D476" s="145"/>
      <c r="E476" s="145"/>
      <c r="F476" s="145"/>
      <c r="G476" s="145"/>
      <c r="H476" s="145"/>
      <c r="J476" s="145"/>
      <c r="K476" s="145"/>
      <c r="L476" s="145"/>
      <c r="M476" s="145"/>
      <c r="N476" s="145"/>
      <c r="O476" s="145"/>
      <c r="P476" s="145"/>
      <c r="R476" s="145"/>
      <c r="S476" s="145"/>
      <c r="T476" s="145"/>
      <c r="U476" s="145"/>
      <c r="V476" s="145"/>
      <c r="W476" s="145"/>
      <c r="X476" s="145"/>
      <c r="Z476" s="145"/>
      <c r="AA476" s="145"/>
      <c r="AB476" s="145"/>
      <c r="AC476" s="145"/>
      <c r="AD476" s="145"/>
      <c r="AE476" s="145"/>
      <c r="AF476" s="145"/>
    </row>
    <row r="477" spans="2:32" x14ac:dyDescent="0.25">
      <c r="B477" s="145"/>
      <c r="C477" s="145"/>
      <c r="D477" s="145"/>
      <c r="E477" s="145"/>
      <c r="F477" s="145"/>
      <c r="G477" s="145"/>
      <c r="H477" s="145"/>
      <c r="J477" s="145"/>
      <c r="K477" s="145"/>
      <c r="L477" s="145"/>
      <c r="M477" s="145"/>
      <c r="N477" s="145"/>
      <c r="O477" s="145"/>
      <c r="P477" s="145"/>
      <c r="R477" s="145"/>
      <c r="S477" s="145"/>
      <c r="T477" s="145"/>
      <c r="U477" s="145"/>
      <c r="V477" s="145"/>
      <c r="W477" s="145"/>
      <c r="X477" s="145"/>
      <c r="Z477" s="145"/>
      <c r="AA477" s="145"/>
      <c r="AB477" s="145"/>
      <c r="AC477" s="145"/>
      <c r="AD477" s="145"/>
      <c r="AE477" s="145"/>
      <c r="AF477" s="145"/>
    </row>
    <row r="478" spans="2:32" x14ac:dyDescent="0.25">
      <c r="B478" s="145"/>
      <c r="C478" s="145"/>
      <c r="D478" s="145"/>
      <c r="E478" s="145"/>
      <c r="F478" s="145"/>
      <c r="G478" s="145"/>
      <c r="H478" s="145"/>
      <c r="J478" s="145"/>
      <c r="K478" s="145"/>
      <c r="L478" s="145"/>
      <c r="M478" s="145"/>
      <c r="N478" s="145"/>
      <c r="O478" s="145"/>
      <c r="P478" s="145"/>
      <c r="R478" s="145"/>
      <c r="S478" s="145"/>
      <c r="T478" s="145"/>
      <c r="U478" s="145"/>
      <c r="V478" s="145"/>
      <c r="W478" s="145"/>
      <c r="X478" s="145"/>
      <c r="Z478" s="145"/>
      <c r="AA478" s="145"/>
      <c r="AB478" s="145"/>
      <c r="AC478" s="145"/>
      <c r="AD478" s="145"/>
      <c r="AE478" s="145"/>
      <c r="AF478" s="145"/>
    </row>
    <row r="479" spans="2:32" x14ac:dyDescent="0.25">
      <c r="B479" s="145"/>
      <c r="C479" s="145"/>
      <c r="D479" s="145"/>
      <c r="E479" s="145"/>
      <c r="F479" s="145"/>
      <c r="G479" s="145"/>
      <c r="H479" s="145"/>
      <c r="J479" s="145"/>
      <c r="K479" s="145"/>
      <c r="L479" s="145"/>
      <c r="M479" s="145"/>
      <c r="N479" s="145"/>
      <c r="O479" s="145"/>
      <c r="P479" s="145"/>
      <c r="R479" s="145"/>
      <c r="S479" s="145"/>
      <c r="T479" s="145"/>
      <c r="U479" s="145"/>
      <c r="V479" s="145"/>
      <c r="W479" s="145"/>
      <c r="X479" s="145"/>
      <c r="Z479" s="145"/>
      <c r="AA479" s="145"/>
      <c r="AB479" s="145"/>
      <c r="AC479" s="145"/>
      <c r="AD479" s="145"/>
      <c r="AE479" s="145"/>
      <c r="AF479" s="145"/>
    </row>
    <row r="480" spans="2:32" x14ac:dyDescent="0.25">
      <c r="B480" s="145"/>
      <c r="C480" s="145"/>
      <c r="D480" s="145"/>
      <c r="E480" s="145"/>
      <c r="F480" s="145"/>
      <c r="G480" s="145"/>
      <c r="H480" s="145"/>
      <c r="J480" s="145"/>
      <c r="K480" s="145"/>
      <c r="L480" s="145"/>
      <c r="M480" s="145"/>
      <c r="N480" s="145"/>
      <c r="O480" s="145"/>
      <c r="P480" s="145"/>
      <c r="R480" s="145"/>
      <c r="S480" s="145"/>
      <c r="T480" s="145"/>
      <c r="U480" s="145"/>
      <c r="V480" s="145"/>
      <c r="W480" s="145"/>
      <c r="X480" s="145"/>
      <c r="Z480" s="145"/>
      <c r="AA480" s="145"/>
      <c r="AB480" s="145"/>
      <c r="AC480" s="145"/>
      <c r="AD480" s="145"/>
      <c r="AE480" s="145"/>
      <c r="AF480" s="145"/>
    </row>
    <row r="481" spans="2:32" x14ac:dyDescent="0.25">
      <c r="B481" s="145"/>
      <c r="C481" s="145"/>
      <c r="D481" s="145"/>
      <c r="E481" s="145"/>
      <c r="F481" s="145"/>
      <c r="G481" s="145"/>
      <c r="H481" s="145"/>
      <c r="J481" s="145"/>
      <c r="K481" s="145"/>
      <c r="L481" s="145"/>
      <c r="M481" s="145"/>
      <c r="N481" s="145"/>
      <c r="O481" s="145"/>
      <c r="P481" s="145"/>
      <c r="R481" s="145"/>
      <c r="S481" s="145"/>
      <c r="T481" s="145"/>
      <c r="U481" s="145"/>
      <c r="V481" s="145"/>
      <c r="W481" s="145"/>
      <c r="X481" s="145"/>
      <c r="Z481" s="145"/>
      <c r="AA481" s="145"/>
      <c r="AB481" s="145"/>
      <c r="AC481" s="145"/>
      <c r="AD481" s="145"/>
      <c r="AE481" s="145"/>
      <c r="AF481" s="145"/>
    </row>
    <row r="482" spans="2:32" x14ac:dyDescent="0.25">
      <c r="B482" s="145"/>
      <c r="C482" s="145"/>
      <c r="D482" s="145"/>
      <c r="E482" s="145"/>
      <c r="F482" s="145"/>
      <c r="G482" s="145"/>
      <c r="H482" s="145"/>
      <c r="J482" s="145"/>
      <c r="K482" s="145"/>
      <c r="L482" s="145"/>
      <c r="M482" s="145"/>
      <c r="N482" s="145"/>
      <c r="O482" s="145"/>
      <c r="P482" s="145"/>
      <c r="R482" s="145"/>
      <c r="S482" s="145"/>
      <c r="T482" s="145"/>
      <c r="U482" s="145"/>
      <c r="V482" s="145"/>
      <c r="W482" s="145"/>
      <c r="X482" s="145"/>
      <c r="Z482" s="145"/>
      <c r="AA482" s="145"/>
      <c r="AB482" s="145"/>
      <c r="AC482" s="145"/>
      <c r="AD482" s="145"/>
      <c r="AE482" s="145"/>
      <c r="AF482" s="145"/>
    </row>
    <row r="483" spans="2:32" x14ac:dyDescent="0.25">
      <c r="B483" s="145"/>
      <c r="C483" s="145"/>
      <c r="D483" s="145"/>
      <c r="E483" s="145"/>
      <c r="F483" s="145"/>
      <c r="G483" s="145"/>
      <c r="H483" s="145"/>
      <c r="J483" s="145"/>
      <c r="K483" s="145"/>
      <c r="L483" s="145"/>
      <c r="M483" s="145"/>
      <c r="N483" s="145"/>
      <c r="O483" s="145"/>
      <c r="P483" s="145"/>
      <c r="R483" s="145"/>
      <c r="S483" s="145"/>
      <c r="T483" s="145"/>
      <c r="U483" s="145"/>
      <c r="V483" s="145"/>
      <c r="W483" s="145"/>
      <c r="X483" s="145"/>
      <c r="Z483" s="145"/>
      <c r="AA483" s="145"/>
      <c r="AB483" s="145"/>
      <c r="AC483" s="145"/>
      <c r="AD483" s="145"/>
      <c r="AE483" s="145"/>
      <c r="AF483" s="145"/>
    </row>
    <row r="484" spans="2:32" x14ac:dyDescent="0.25">
      <c r="B484" s="145"/>
      <c r="C484" s="145"/>
      <c r="D484" s="145"/>
      <c r="E484" s="145"/>
      <c r="F484" s="145"/>
      <c r="G484" s="145"/>
      <c r="H484" s="145"/>
      <c r="J484" s="145"/>
      <c r="K484" s="145"/>
      <c r="L484" s="145"/>
      <c r="M484" s="145"/>
      <c r="N484" s="145"/>
      <c r="O484" s="145"/>
      <c r="P484" s="145"/>
      <c r="R484" s="145"/>
      <c r="S484" s="145"/>
      <c r="T484" s="145"/>
      <c r="U484" s="145"/>
      <c r="V484" s="145"/>
      <c r="W484" s="145"/>
      <c r="X484" s="145"/>
      <c r="Z484" s="145"/>
      <c r="AA484" s="145"/>
      <c r="AB484" s="145"/>
      <c r="AC484" s="145"/>
      <c r="AD484" s="145"/>
      <c r="AE484" s="145"/>
      <c r="AF484" s="145"/>
    </row>
    <row r="485" spans="2:32" x14ac:dyDescent="0.25">
      <c r="B485" s="145"/>
      <c r="C485" s="145"/>
      <c r="D485" s="145"/>
      <c r="E485" s="145"/>
      <c r="F485" s="145"/>
      <c r="G485" s="145"/>
      <c r="H485" s="145"/>
      <c r="J485" s="145"/>
      <c r="K485" s="145"/>
      <c r="L485" s="145"/>
      <c r="M485" s="145"/>
      <c r="N485" s="145"/>
      <c r="O485" s="145"/>
      <c r="P485" s="145"/>
      <c r="R485" s="145"/>
      <c r="S485" s="145"/>
      <c r="T485" s="145"/>
      <c r="U485" s="145"/>
      <c r="V485" s="145"/>
      <c r="W485" s="145"/>
      <c r="X485" s="145"/>
      <c r="Z485" s="145"/>
      <c r="AA485" s="145"/>
      <c r="AB485" s="145"/>
      <c r="AC485" s="145"/>
      <c r="AD485" s="145"/>
      <c r="AE485" s="145"/>
      <c r="AF485" s="145"/>
    </row>
    <row r="486" spans="2:32" x14ac:dyDescent="0.25">
      <c r="B486" s="145"/>
      <c r="C486" s="145"/>
      <c r="D486" s="145"/>
      <c r="E486" s="145"/>
      <c r="F486" s="145"/>
      <c r="G486" s="145"/>
      <c r="H486" s="145"/>
      <c r="J486" s="145"/>
      <c r="K486" s="145"/>
      <c r="L486" s="145"/>
      <c r="M486" s="145"/>
      <c r="N486" s="145"/>
      <c r="O486" s="145"/>
      <c r="P486" s="145"/>
      <c r="R486" s="145"/>
      <c r="S486" s="145"/>
      <c r="T486" s="145"/>
      <c r="U486" s="145"/>
      <c r="V486" s="145"/>
      <c r="W486" s="145"/>
      <c r="X486" s="145"/>
      <c r="Z486" s="145"/>
      <c r="AA486" s="145"/>
      <c r="AB486" s="145"/>
      <c r="AC486" s="145"/>
      <c r="AD486" s="145"/>
      <c r="AE486" s="145"/>
      <c r="AF486" s="145"/>
    </row>
    <row r="487" spans="2:32" x14ac:dyDescent="0.25">
      <c r="B487" s="145"/>
      <c r="C487" s="145"/>
      <c r="D487" s="145"/>
      <c r="E487" s="145"/>
      <c r="F487" s="145"/>
      <c r="G487" s="145"/>
      <c r="H487" s="145"/>
      <c r="J487" s="145"/>
      <c r="K487" s="145"/>
      <c r="L487" s="145"/>
      <c r="M487" s="145"/>
      <c r="N487" s="145"/>
      <c r="O487" s="145"/>
      <c r="P487" s="145"/>
      <c r="R487" s="145"/>
      <c r="S487" s="145"/>
      <c r="T487" s="145"/>
      <c r="U487" s="145"/>
      <c r="V487" s="145"/>
      <c r="W487" s="145"/>
      <c r="X487" s="145"/>
      <c r="Z487" s="145"/>
      <c r="AA487" s="145"/>
      <c r="AB487" s="145"/>
      <c r="AC487" s="145"/>
      <c r="AD487" s="145"/>
      <c r="AE487" s="145"/>
      <c r="AF487" s="145"/>
    </row>
    <row r="488" spans="2:32" x14ac:dyDescent="0.25">
      <c r="B488" s="145"/>
      <c r="C488" s="145"/>
      <c r="D488" s="145"/>
      <c r="E488" s="145"/>
      <c r="F488" s="145"/>
      <c r="G488" s="145"/>
      <c r="H488" s="145"/>
      <c r="J488" s="145"/>
      <c r="K488" s="145"/>
      <c r="L488" s="145"/>
      <c r="M488" s="145"/>
      <c r="N488" s="145"/>
      <c r="O488" s="145"/>
      <c r="P488" s="145"/>
      <c r="R488" s="145"/>
      <c r="S488" s="145"/>
      <c r="T488" s="145"/>
      <c r="U488" s="145"/>
      <c r="V488" s="145"/>
      <c r="W488" s="145"/>
      <c r="X488" s="145"/>
      <c r="Z488" s="145"/>
      <c r="AA488" s="145"/>
      <c r="AB488" s="145"/>
      <c r="AC488" s="145"/>
      <c r="AD488" s="145"/>
      <c r="AE488" s="145"/>
      <c r="AF488" s="145"/>
    </row>
    <row r="489" spans="2:32" x14ac:dyDescent="0.25">
      <c r="B489" s="145"/>
      <c r="C489" s="145"/>
      <c r="D489" s="145"/>
      <c r="E489" s="145"/>
      <c r="F489" s="145"/>
      <c r="G489" s="145"/>
      <c r="H489" s="145"/>
      <c r="J489" s="145"/>
      <c r="K489" s="145"/>
      <c r="L489" s="145"/>
      <c r="M489" s="145"/>
      <c r="N489" s="145"/>
      <c r="O489" s="145"/>
      <c r="P489" s="145"/>
      <c r="R489" s="145"/>
      <c r="S489" s="145"/>
      <c r="T489" s="145"/>
      <c r="U489" s="145"/>
      <c r="V489" s="145"/>
      <c r="W489" s="145"/>
      <c r="X489" s="145"/>
      <c r="Z489" s="145"/>
      <c r="AA489" s="145"/>
      <c r="AB489" s="145"/>
      <c r="AC489" s="145"/>
      <c r="AD489" s="145"/>
      <c r="AE489" s="145"/>
      <c r="AF489" s="145"/>
    </row>
    <row r="490" spans="2:32" x14ac:dyDescent="0.25">
      <c r="B490" s="145"/>
      <c r="C490" s="145"/>
      <c r="D490" s="145"/>
      <c r="E490" s="145"/>
      <c r="F490" s="145"/>
      <c r="G490" s="145"/>
      <c r="H490" s="145"/>
      <c r="J490" s="145"/>
      <c r="K490" s="145"/>
      <c r="L490" s="145"/>
      <c r="M490" s="145"/>
      <c r="N490" s="145"/>
      <c r="O490" s="145"/>
      <c r="P490" s="145"/>
      <c r="R490" s="145"/>
      <c r="S490" s="145"/>
      <c r="T490" s="145"/>
      <c r="U490" s="145"/>
      <c r="V490" s="145"/>
      <c r="W490" s="145"/>
      <c r="X490" s="145"/>
      <c r="Z490" s="145"/>
      <c r="AA490" s="145"/>
      <c r="AB490" s="145"/>
      <c r="AC490" s="145"/>
      <c r="AD490" s="145"/>
      <c r="AE490" s="145"/>
      <c r="AF490" s="145"/>
    </row>
    <row r="491" spans="2:32" x14ac:dyDescent="0.25">
      <c r="B491" s="145"/>
      <c r="C491" s="145"/>
      <c r="D491" s="145"/>
      <c r="E491" s="145"/>
      <c r="F491" s="145"/>
      <c r="G491" s="145"/>
      <c r="H491" s="145"/>
      <c r="J491" s="145"/>
      <c r="K491" s="145"/>
      <c r="L491" s="145"/>
      <c r="M491" s="145"/>
      <c r="N491" s="145"/>
      <c r="O491" s="145"/>
      <c r="P491" s="145"/>
      <c r="R491" s="145"/>
      <c r="S491" s="145"/>
      <c r="T491" s="145"/>
      <c r="U491" s="145"/>
      <c r="V491" s="145"/>
      <c r="W491" s="145"/>
      <c r="X491" s="145"/>
      <c r="Z491" s="145"/>
      <c r="AA491" s="145"/>
      <c r="AB491" s="145"/>
      <c r="AC491" s="145"/>
      <c r="AD491" s="145"/>
      <c r="AE491" s="145"/>
      <c r="AF491" s="145"/>
    </row>
    <row r="492" spans="2:32" x14ac:dyDescent="0.25">
      <c r="B492" s="145"/>
      <c r="C492" s="145"/>
      <c r="D492" s="145"/>
      <c r="E492" s="145"/>
      <c r="F492" s="145"/>
      <c r="G492" s="145"/>
      <c r="H492" s="145"/>
      <c r="J492" s="145"/>
      <c r="K492" s="145"/>
      <c r="L492" s="145"/>
      <c r="M492" s="145"/>
      <c r="N492" s="145"/>
      <c r="O492" s="145"/>
      <c r="P492" s="145"/>
      <c r="R492" s="145"/>
      <c r="S492" s="145"/>
      <c r="T492" s="145"/>
      <c r="U492" s="145"/>
      <c r="V492" s="145"/>
      <c r="W492" s="145"/>
      <c r="X492" s="145"/>
      <c r="Z492" s="145"/>
      <c r="AA492" s="145"/>
      <c r="AB492" s="145"/>
      <c r="AC492" s="145"/>
      <c r="AD492" s="145"/>
      <c r="AE492" s="145"/>
      <c r="AF492" s="145"/>
    </row>
    <row r="493" spans="2:32" x14ac:dyDescent="0.25">
      <c r="B493" s="145"/>
      <c r="C493" s="145"/>
      <c r="D493" s="145"/>
      <c r="E493" s="145"/>
      <c r="F493" s="145"/>
      <c r="G493" s="145"/>
      <c r="H493" s="145"/>
      <c r="J493" s="145"/>
      <c r="K493" s="145"/>
      <c r="L493" s="145"/>
      <c r="M493" s="145"/>
      <c r="N493" s="145"/>
      <c r="O493" s="145"/>
      <c r="P493" s="145"/>
      <c r="R493" s="145"/>
      <c r="S493" s="145"/>
      <c r="T493" s="145"/>
      <c r="U493" s="145"/>
      <c r="V493" s="145"/>
      <c r="W493" s="145"/>
      <c r="X493" s="145"/>
      <c r="Z493" s="145"/>
      <c r="AA493" s="145"/>
      <c r="AB493" s="145"/>
      <c r="AC493" s="145"/>
      <c r="AD493" s="145"/>
      <c r="AE493" s="145"/>
      <c r="AF493" s="145"/>
    </row>
    <row r="494" spans="2:32" x14ac:dyDescent="0.25">
      <c r="B494" s="145"/>
      <c r="C494" s="145"/>
      <c r="D494" s="145"/>
      <c r="E494" s="145"/>
      <c r="F494" s="145"/>
      <c r="G494" s="145"/>
      <c r="H494" s="145"/>
      <c r="J494" s="145"/>
      <c r="K494" s="145"/>
      <c r="L494" s="145"/>
      <c r="M494" s="145"/>
      <c r="N494" s="145"/>
      <c r="O494" s="145"/>
      <c r="P494" s="145"/>
      <c r="R494" s="145"/>
      <c r="S494" s="145"/>
      <c r="T494" s="145"/>
      <c r="U494" s="145"/>
      <c r="V494" s="145"/>
      <c r="W494" s="145"/>
      <c r="X494" s="145"/>
      <c r="Z494" s="145"/>
      <c r="AA494" s="145"/>
      <c r="AB494" s="145"/>
      <c r="AC494" s="145"/>
      <c r="AD494" s="145"/>
      <c r="AE494" s="145"/>
      <c r="AF494" s="145"/>
    </row>
    <row r="495" spans="2:32" x14ac:dyDescent="0.25">
      <c r="B495" s="145"/>
      <c r="C495" s="145"/>
      <c r="D495" s="145"/>
      <c r="E495" s="145"/>
      <c r="F495" s="145"/>
      <c r="G495" s="145"/>
      <c r="H495" s="145"/>
      <c r="J495" s="145"/>
      <c r="K495" s="145"/>
      <c r="L495" s="145"/>
      <c r="M495" s="145"/>
      <c r="N495" s="145"/>
      <c r="O495" s="145"/>
      <c r="P495" s="145"/>
      <c r="R495" s="145"/>
      <c r="S495" s="145"/>
      <c r="T495" s="145"/>
      <c r="U495" s="145"/>
      <c r="V495" s="145"/>
      <c r="W495" s="145"/>
      <c r="X495" s="145"/>
      <c r="Z495" s="145"/>
      <c r="AA495" s="145"/>
      <c r="AB495" s="145"/>
      <c r="AC495" s="145"/>
      <c r="AD495" s="145"/>
      <c r="AE495" s="145"/>
      <c r="AF495" s="145"/>
    </row>
    <row r="496" spans="2:32" x14ac:dyDescent="0.25">
      <c r="B496" s="145"/>
      <c r="C496" s="145"/>
      <c r="D496" s="145"/>
      <c r="E496" s="145"/>
      <c r="F496" s="145"/>
      <c r="G496" s="145"/>
      <c r="H496" s="145"/>
      <c r="J496" s="145"/>
      <c r="K496" s="145"/>
      <c r="L496" s="145"/>
      <c r="M496" s="145"/>
      <c r="N496" s="145"/>
      <c r="O496" s="145"/>
      <c r="P496" s="145"/>
      <c r="R496" s="145"/>
      <c r="S496" s="145"/>
      <c r="T496" s="145"/>
      <c r="U496" s="145"/>
      <c r="V496" s="145"/>
      <c r="W496" s="145"/>
      <c r="X496" s="145"/>
      <c r="Z496" s="145"/>
      <c r="AA496" s="145"/>
      <c r="AB496" s="145"/>
      <c r="AC496" s="145"/>
      <c r="AD496" s="145"/>
      <c r="AE496" s="145"/>
      <c r="AF496" s="145"/>
    </row>
    <row r="497" spans="2:32" x14ac:dyDescent="0.25">
      <c r="B497" s="145"/>
      <c r="C497" s="145"/>
      <c r="D497" s="145"/>
      <c r="E497" s="145"/>
      <c r="F497" s="145"/>
      <c r="G497" s="145"/>
      <c r="H497" s="145"/>
      <c r="J497" s="145"/>
      <c r="K497" s="145"/>
      <c r="L497" s="145"/>
      <c r="M497" s="145"/>
      <c r="N497" s="145"/>
      <c r="O497" s="145"/>
      <c r="P497" s="145"/>
      <c r="R497" s="145"/>
      <c r="S497" s="145"/>
      <c r="T497" s="145"/>
      <c r="U497" s="145"/>
      <c r="V497" s="145"/>
      <c r="W497" s="145"/>
      <c r="X497" s="145"/>
      <c r="Z497" s="145"/>
      <c r="AA497" s="145"/>
      <c r="AB497" s="145"/>
      <c r="AC497" s="145"/>
      <c r="AD497" s="145"/>
      <c r="AE497" s="145"/>
      <c r="AF497" s="145"/>
    </row>
    <row r="498" spans="2:32" x14ac:dyDescent="0.25">
      <c r="B498" s="145"/>
      <c r="C498" s="145"/>
      <c r="D498" s="145"/>
      <c r="E498" s="145"/>
      <c r="F498" s="145"/>
      <c r="G498" s="145"/>
      <c r="H498" s="145"/>
      <c r="J498" s="145"/>
      <c r="K498" s="145"/>
      <c r="L498" s="145"/>
      <c r="M498" s="145"/>
      <c r="N498" s="145"/>
      <c r="O498" s="145"/>
      <c r="P498" s="145"/>
      <c r="R498" s="145"/>
      <c r="S498" s="145"/>
      <c r="T498" s="145"/>
      <c r="U498" s="145"/>
      <c r="V498" s="145"/>
      <c r="W498" s="145"/>
      <c r="X498" s="145"/>
      <c r="Z498" s="145"/>
      <c r="AA498" s="145"/>
      <c r="AB498" s="145"/>
      <c r="AC498" s="145"/>
      <c r="AD498" s="145"/>
      <c r="AE498" s="145"/>
      <c r="AF498" s="145"/>
    </row>
    <row r="499" spans="2:32" x14ac:dyDescent="0.25">
      <c r="B499" s="145"/>
      <c r="C499" s="145"/>
      <c r="D499" s="145"/>
      <c r="E499" s="145"/>
      <c r="F499" s="145"/>
      <c r="G499" s="145"/>
      <c r="H499" s="145"/>
      <c r="J499" s="145"/>
      <c r="K499" s="145"/>
      <c r="L499" s="145"/>
      <c r="M499" s="145"/>
      <c r="N499" s="145"/>
      <c r="O499" s="145"/>
      <c r="P499" s="145"/>
      <c r="R499" s="145"/>
      <c r="S499" s="145"/>
      <c r="T499" s="145"/>
      <c r="U499" s="145"/>
      <c r="V499" s="145"/>
      <c r="W499" s="145"/>
      <c r="X499" s="145"/>
      <c r="Z499" s="145"/>
      <c r="AA499" s="145"/>
      <c r="AB499" s="145"/>
      <c r="AC499" s="145"/>
      <c r="AD499" s="145"/>
      <c r="AE499" s="145"/>
      <c r="AF499" s="145"/>
    </row>
    <row r="500" spans="2:32" x14ac:dyDescent="0.25">
      <c r="B500" s="145"/>
      <c r="C500" s="145"/>
      <c r="D500" s="145"/>
      <c r="E500" s="145"/>
      <c r="F500" s="145"/>
      <c r="G500" s="145"/>
      <c r="H500" s="145"/>
      <c r="J500" s="145"/>
      <c r="K500" s="145"/>
      <c r="L500" s="145"/>
      <c r="M500" s="145"/>
      <c r="N500" s="145"/>
      <c r="O500" s="145"/>
      <c r="P500" s="145"/>
      <c r="R500" s="145"/>
      <c r="S500" s="145"/>
      <c r="T500" s="145"/>
      <c r="U500" s="145"/>
      <c r="V500" s="145"/>
      <c r="W500" s="145"/>
      <c r="X500" s="145"/>
      <c r="Z500" s="145"/>
      <c r="AA500" s="145"/>
      <c r="AB500" s="145"/>
      <c r="AC500" s="145"/>
      <c r="AD500" s="145"/>
      <c r="AE500" s="145"/>
      <c r="AF500" s="145"/>
    </row>
    <row r="501" spans="2:32" x14ac:dyDescent="0.25">
      <c r="B501" s="145"/>
      <c r="C501" s="145"/>
      <c r="D501" s="145"/>
      <c r="E501" s="145"/>
      <c r="F501" s="145"/>
      <c r="G501" s="145"/>
      <c r="H501" s="145"/>
      <c r="J501" s="145"/>
      <c r="K501" s="145"/>
      <c r="L501" s="145"/>
      <c r="M501" s="145"/>
      <c r="N501" s="145"/>
      <c r="O501" s="145"/>
      <c r="P501" s="145"/>
      <c r="R501" s="145"/>
      <c r="S501" s="145"/>
      <c r="T501" s="145"/>
      <c r="U501" s="145"/>
      <c r="V501" s="145"/>
      <c r="W501" s="145"/>
      <c r="X501" s="145"/>
      <c r="Z501" s="145"/>
      <c r="AA501" s="145"/>
      <c r="AB501" s="145"/>
      <c r="AC501" s="145"/>
      <c r="AD501" s="145"/>
      <c r="AE501" s="145"/>
      <c r="AF501" s="145"/>
    </row>
    <row r="502" spans="2:32" x14ac:dyDescent="0.25">
      <c r="B502" s="145"/>
      <c r="C502" s="145"/>
      <c r="D502" s="145"/>
      <c r="E502" s="145"/>
      <c r="F502" s="145"/>
      <c r="G502" s="145"/>
      <c r="H502" s="145"/>
      <c r="J502" s="145"/>
      <c r="K502" s="145"/>
      <c r="L502" s="145"/>
      <c r="M502" s="145"/>
      <c r="N502" s="145"/>
      <c r="O502" s="145"/>
      <c r="P502" s="145"/>
      <c r="R502" s="145"/>
      <c r="S502" s="145"/>
      <c r="T502" s="145"/>
      <c r="U502" s="145"/>
      <c r="V502" s="145"/>
      <c r="W502" s="145"/>
      <c r="X502" s="145"/>
      <c r="Z502" s="145"/>
      <c r="AA502" s="145"/>
      <c r="AB502" s="145"/>
      <c r="AC502" s="145"/>
      <c r="AD502" s="145"/>
      <c r="AE502" s="145"/>
      <c r="AF502" s="145"/>
    </row>
    <row r="503" spans="2:32" x14ac:dyDescent="0.25">
      <c r="B503" s="145"/>
      <c r="C503" s="145"/>
      <c r="D503" s="145"/>
      <c r="E503" s="145"/>
      <c r="F503" s="145"/>
      <c r="G503" s="145"/>
      <c r="H503" s="145"/>
      <c r="J503" s="145"/>
      <c r="K503" s="145"/>
      <c r="L503" s="145"/>
      <c r="M503" s="145"/>
      <c r="N503" s="145"/>
      <c r="O503" s="145"/>
      <c r="P503" s="145"/>
      <c r="R503" s="145"/>
      <c r="S503" s="145"/>
      <c r="T503" s="145"/>
      <c r="U503" s="145"/>
      <c r="V503" s="145"/>
      <c r="W503" s="145"/>
      <c r="X503" s="145"/>
      <c r="Z503" s="145"/>
      <c r="AA503" s="145"/>
      <c r="AB503" s="145"/>
      <c r="AC503" s="145"/>
      <c r="AD503" s="145"/>
      <c r="AE503" s="145"/>
      <c r="AF503" s="145"/>
    </row>
    <row r="504" spans="2:32" x14ac:dyDescent="0.25">
      <c r="B504" s="145"/>
      <c r="C504" s="145"/>
      <c r="D504" s="145"/>
      <c r="E504" s="145"/>
      <c r="F504" s="145"/>
      <c r="G504" s="145"/>
      <c r="H504" s="145"/>
      <c r="J504" s="145"/>
      <c r="K504" s="145"/>
      <c r="L504" s="145"/>
      <c r="M504" s="145"/>
      <c r="N504" s="145"/>
      <c r="O504" s="145"/>
      <c r="P504" s="145"/>
      <c r="R504" s="145"/>
      <c r="S504" s="145"/>
      <c r="T504" s="145"/>
      <c r="U504" s="145"/>
      <c r="V504" s="145"/>
      <c r="W504" s="145"/>
      <c r="X504" s="145"/>
      <c r="Z504" s="145"/>
      <c r="AA504" s="145"/>
      <c r="AB504" s="145"/>
      <c r="AC504" s="145"/>
      <c r="AD504" s="145"/>
      <c r="AE504" s="145"/>
      <c r="AF504" s="145"/>
    </row>
    <row r="505" spans="2:32" x14ac:dyDescent="0.25">
      <c r="B505" s="145"/>
      <c r="C505" s="145"/>
      <c r="D505" s="145"/>
      <c r="E505" s="145"/>
      <c r="F505" s="145"/>
      <c r="G505" s="145"/>
      <c r="H505" s="145"/>
      <c r="J505" s="145"/>
      <c r="K505" s="145"/>
      <c r="L505" s="145"/>
      <c r="M505" s="145"/>
      <c r="N505" s="145"/>
      <c r="O505" s="145"/>
      <c r="P505" s="145"/>
      <c r="R505" s="145"/>
      <c r="S505" s="145"/>
      <c r="T505" s="145"/>
      <c r="U505" s="145"/>
      <c r="V505" s="145"/>
      <c r="W505" s="145"/>
      <c r="X505" s="145"/>
      <c r="Z505" s="145"/>
      <c r="AA505" s="145"/>
      <c r="AB505" s="145"/>
      <c r="AC505" s="145"/>
      <c r="AD505" s="145"/>
      <c r="AE505" s="145"/>
      <c r="AF505" s="145"/>
    </row>
    <row r="506" spans="2:32" x14ac:dyDescent="0.25">
      <c r="B506" s="145"/>
      <c r="C506" s="145"/>
      <c r="D506" s="145"/>
      <c r="E506" s="145"/>
      <c r="F506" s="145"/>
      <c r="G506" s="145"/>
      <c r="H506" s="145"/>
      <c r="J506" s="145"/>
      <c r="K506" s="145"/>
      <c r="L506" s="145"/>
      <c r="M506" s="145"/>
      <c r="N506" s="145"/>
      <c r="O506" s="145"/>
      <c r="P506" s="145"/>
      <c r="R506" s="145"/>
      <c r="S506" s="145"/>
      <c r="T506" s="145"/>
      <c r="U506" s="145"/>
      <c r="V506" s="145"/>
      <c r="W506" s="145"/>
      <c r="X506" s="145"/>
      <c r="Z506" s="145"/>
      <c r="AA506" s="145"/>
      <c r="AB506" s="145"/>
      <c r="AC506" s="145"/>
      <c r="AD506" s="145"/>
      <c r="AE506" s="145"/>
      <c r="AF506" s="145"/>
    </row>
    <row r="507" spans="2:32" x14ac:dyDescent="0.25">
      <c r="B507" s="145"/>
      <c r="C507" s="145"/>
      <c r="D507" s="145"/>
      <c r="E507" s="145"/>
      <c r="F507" s="145"/>
      <c r="G507" s="145"/>
      <c r="H507" s="145"/>
      <c r="J507" s="145"/>
      <c r="K507" s="145"/>
      <c r="L507" s="145"/>
      <c r="M507" s="145"/>
      <c r="N507" s="145"/>
      <c r="O507" s="145"/>
      <c r="P507" s="145"/>
      <c r="R507" s="145"/>
      <c r="S507" s="145"/>
      <c r="T507" s="145"/>
      <c r="U507" s="145"/>
      <c r="V507" s="145"/>
      <c r="W507" s="145"/>
      <c r="X507" s="145"/>
      <c r="Z507" s="145"/>
      <c r="AA507" s="145"/>
      <c r="AB507" s="145"/>
      <c r="AC507" s="145"/>
      <c r="AD507" s="145"/>
      <c r="AE507" s="145"/>
      <c r="AF507" s="145"/>
    </row>
    <row r="508" spans="2:32" x14ac:dyDescent="0.25">
      <c r="B508" s="145"/>
      <c r="C508" s="145"/>
      <c r="D508" s="145"/>
      <c r="E508" s="145"/>
      <c r="F508" s="145"/>
      <c r="G508" s="145"/>
      <c r="H508" s="145"/>
      <c r="J508" s="145"/>
      <c r="K508" s="145"/>
      <c r="L508" s="145"/>
      <c r="M508" s="145"/>
      <c r="N508" s="145"/>
      <c r="O508" s="145"/>
      <c r="P508" s="145"/>
      <c r="R508" s="145"/>
      <c r="S508" s="145"/>
      <c r="T508" s="145"/>
      <c r="U508" s="145"/>
      <c r="V508" s="145"/>
      <c r="W508" s="145"/>
      <c r="X508" s="145"/>
      <c r="Z508" s="145"/>
      <c r="AA508" s="145"/>
      <c r="AB508" s="145"/>
      <c r="AC508" s="145"/>
      <c r="AD508" s="145"/>
      <c r="AE508" s="145"/>
      <c r="AF508" s="145"/>
    </row>
    <row r="509" spans="2:32" x14ac:dyDescent="0.25">
      <c r="B509" s="145"/>
      <c r="C509" s="145"/>
      <c r="D509" s="145"/>
      <c r="E509" s="145"/>
      <c r="F509" s="145"/>
      <c r="G509" s="145"/>
      <c r="H509" s="145"/>
      <c r="J509" s="145"/>
      <c r="K509" s="145"/>
      <c r="L509" s="145"/>
      <c r="M509" s="145"/>
      <c r="N509" s="145"/>
      <c r="O509" s="145"/>
      <c r="P509" s="145"/>
      <c r="R509" s="145"/>
      <c r="S509" s="145"/>
      <c r="T509" s="145"/>
      <c r="U509" s="145"/>
      <c r="V509" s="145"/>
      <c r="W509" s="145"/>
      <c r="X509" s="145"/>
      <c r="Z509" s="145"/>
      <c r="AA509" s="145"/>
      <c r="AB509" s="145"/>
      <c r="AC509" s="145"/>
      <c r="AD509" s="145"/>
      <c r="AE509" s="145"/>
      <c r="AF509" s="145"/>
    </row>
    <row r="510" spans="2:32" x14ac:dyDescent="0.25">
      <c r="B510" s="145"/>
      <c r="C510" s="145"/>
      <c r="D510" s="145"/>
      <c r="E510" s="145"/>
      <c r="F510" s="145"/>
      <c r="G510" s="145"/>
      <c r="H510" s="145"/>
      <c r="J510" s="145"/>
      <c r="K510" s="145"/>
      <c r="L510" s="145"/>
      <c r="M510" s="145"/>
      <c r="N510" s="145"/>
      <c r="O510" s="145"/>
      <c r="P510" s="145"/>
      <c r="R510" s="145"/>
      <c r="S510" s="145"/>
      <c r="T510" s="145"/>
      <c r="U510" s="145"/>
      <c r="V510" s="145"/>
      <c r="W510" s="145"/>
      <c r="X510" s="145"/>
      <c r="Z510" s="145"/>
      <c r="AA510" s="145"/>
      <c r="AB510" s="145"/>
      <c r="AC510" s="145"/>
      <c r="AD510" s="145"/>
      <c r="AE510" s="145"/>
      <c r="AF510" s="145"/>
    </row>
    <row r="511" spans="2:32" x14ac:dyDescent="0.25">
      <c r="B511" s="145"/>
      <c r="C511" s="145"/>
      <c r="D511" s="145"/>
      <c r="E511" s="145"/>
      <c r="F511" s="145"/>
      <c r="G511" s="145"/>
      <c r="H511" s="145"/>
      <c r="J511" s="145"/>
      <c r="K511" s="145"/>
      <c r="L511" s="145"/>
      <c r="M511" s="145"/>
      <c r="N511" s="145"/>
      <c r="O511" s="145"/>
      <c r="P511" s="145"/>
      <c r="R511" s="145"/>
      <c r="S511" s="145"/>
      <c r="T511" s="145"/>
      <c r="U511" s="145"/>
      <c r="V511" s="145"/>
      <c r="W511" s="145"/>
      <c r="X511" s="145"/>
      <c r="Z511" s="145"/>
      <c r="AA511" s="145"/>
      <c r="AB511" s="145"/>
      <c r="AC511" s="145"/>
      <c r="AD511" s="145"/>
      <c r="AE511" s="145"/>
      <c r="AF511" s="145"/>
    </row>
    <row r="512" spans="2:32" x14ac:dyDescent="0.25">
      <c r="B512" s="145"/>
      <c r="C512" s="145"/>
      <c r="D512" s="145"/>
      <c r="E512" s="145"/>
      <c r="F512" s="145"/>
      <c r="G512" s="145"/>
      <c r="H512" s="145"/>
      <c r="J512" s="145"/>
      <c r="K512" s="145"/>
      <c r="L512" s="145"/>
      <c r="M512" s="145"/>
      <c r="N512" s="145"/>
      <c r="O512" s="145"/>
      <c r="P512" s="145"/>
      <c r="R512" s="145"/>
      <c r="S512" s="145"/>
      <c r="T512" s="145"/>
      <c r="U512" s="145"/>
      <c r="V512" s="145"/>
      <c r="W512" s="145"/>
      <c r="X512" s="145"/>
      <c r="Z512" s="145"/>
      <c r="AA512" s="145"/>
      <c r="AB512" s="145"/>
      <c r="AC512" s="145"/>
      <c r="AD512" s="145"/>
      <c r="AE512" s="145"/>
      <c r="AF512" s="145"/>
    </row>
    <row r="513" spans="2:32" x14ac:dyDescent="0.25">
      <c r="B513" s="145"/>
      <c r="C513" s="145"/>
      <c r="D513" s="145"/>
      <c r="E513" s="145"/>
      <c r="F513" s="145"/>
      <c r="G513" s="145"/>
      <c r="H513" s="145"/>
      <c r="J513" s="145"/>
      <c r="K513" s="145"/>
      <c r="L513" s="145"/>
      <c r="M513" s="145"/>
      <c r="N513" s="145"/>
      <c r="O513" s="145"/>
      <c r="P513" s="145"/>
      <c r="R513" s="145"/>
      <c r="S513" s="145"/>
      <c r="T513" s="145"/>
      <c r="U513" s="145"/>
      <c r="V513" s="145"/>
      <c r="W513" s="145"/>
      <c r="X513" s="145"/>
      <c r="Z513" s="145"/>
      <c r="AA513" s="145"/>
      <c r="AB513" s="145"/>
      <c r="AC513" s="145"/>
      <c r="AD513" s="145"/>
      <c r="AE513" s="145"/>
      <c r="AF513" s="145"/>
    </row>
    <row r="514" spans="2:32" x14ac:dyDescent="0.25">
      <c r="B514" s="145"/>
      <c r="C514" s="145"/>
      <c r="D514" s="145"/>
      <c r="E514" s="145"/>
      <c r="F514" s="145"/>
      <c r="G514" s="145"/>
      <c r="H514" s="145"/>
      <c r="J514" s="145"/>
      <c r="K514" s="145"/>
      <c r="L514" s="145"/>
      <c r="M514" s="145"/>
      <c r="N514" s="145"/>
      <c r="O514" s="145"/>
      <c r="P514" s="145"/>
      <c r="R514" s="145"/>
      <c r="S514" s="145"/>
      <c r="T514" s="145"/>
      <c r="U514" s="145"/>
      <c r="V514" s="145"/>
      <c r="W514" s="145"/>
      <c r="X514" s="145"/>
      <c r="Z514" s="145"/>
      <c r="AA514" s="145"/>
      <c r="AB514" s="145"/>
      <c r="AC514" s="145"/>
      <c r="AD514" s="145"/>
      <c r="AE514" s="145"/>
      <c r="AF514" s="145"/>
    </row>
    <row r="515" spans="2:32" x14ac:dyDescent="0.25">
      <c r="B515" s="145"/>
      <c r="C515" s="145"/>
      <c r="D515" s="145"/>
      <c r="E515" s="145"/>
      <c r="F515" s="145"/>
      <c r="G515" s="145"/>
      <c r="H515" s="145"/>
      <c r="J515" s="145"/>
      <c r="K515" s="145"/>
      <c r="L515" s="145"/>
      <c r="M515" s="145"/>
      <c r="N515" s="145"/>
      <c r="O515" s="145"/>
      <c r="P515" s="145"/>
      <c r="R515" s="145"/>
      <c r="S515" s="145"/>
      <c r="T515" s="145"/>
      <c r="U515" s="145"/>
      <c r="V515" s="145"/>
      <c r="W515" s="145"/>
      <c r="X515" s="145"/>
      <c r="Z515" s="145"/>
      <c r="AA515" s="145"/>
      <c r="AB515" s="145"/>
      <c r="AC515" s="145"/>
      <c r="AD515" s="145"/>
      <c r="AE515" s="145"/>
      <c r="AF515" s="145"/>
    </row>
    <row r="516" spans="2:32" x14ac:dyDescent="0.25">
      <c r="B516" s="145"/>
      <c r="C516" s="145"/>
      <c r="D516" s="145"/>
      <c r="E516" s="145"/>
      <c r="F516" s="145"/>
      <c r="G516" s="145"/>
      <c r="H516" s="145"/>
      <c r="J516" s="145"/>
      <c r="K516" s="145"/>
      <c r="L516" s="145"/>
      <c r="M516" s="145"/>
      <c r="N516" s="145"/>
      <c r="O516" s="145"/>
      <c r="P516" s="145"/>
      <c r="R516" s="145"/>
      <c r="S516" s="145"/>
      <c r="T516" s="145"/>
      <c r="U516" s="145"/>
      <c r="V516" s="145"/>
      <c r="W516" s="145"/>
      <c r="X516" s="145"/>
      <c r="Z516" s="145"/>
      <c r="AA516" s="145"/>
      <c r="AB516" s="145"/>
      <c r="AC516" s="145"/>
      <c r="AD516" s="145"/>
      <c r="AE516" s="145"/>
      <c r="AF516" s="145"/>
    </row>
    <row r="517" spans="2:32" x14ac:dyDescent="0.25">
      <c r="B517" s="145"/>
      <c r="C517" s="145"/>
      <c r="D517" s="145"/>
      <c r="E517" s="145"/>
      <c r="F517" s="145"/>
      <c r="G517" s="145"/>
      <c r="H517" s="145"/>
      <c r="J517" s="145"/>
      <c r="K517" s="145"/>
      <c r="L517" s="145"/>
      <c r="M517" s="145"/>
      <c r="N517" s="145"/>
      <c r="O517" s="145"/>
      <c r="P517" s="145"/>
      <c r="R517" s="145"/>
      <c r="S517" s="145"/>
      <c r="T517" s="145"/>
      <c r="U517" s="145"/>
      <c r="V517" s="145"/>
      <c r="W517" s="145"/>
      <c r="X517" s="145"/>
      <c r="Z517" s="145"/>
      <c r="AA517" s="145"/>
      <c r="AB517" s="145"/>
      <c r="AC517" s="145"/>
      <c r="AD517" s="145"/>
      <c r="AE517" s="145"/>
      <c r="AF517" s="145"/>
    </row>
    <row r="518" spans="2:32" x14ac:dyDescent="0.25">
      <c r="B518" s="145"/>
      <c r="C518" s="145"/>
      <c r="D518" s="145"/>
      <c r="E518" s="145"/>
      <c r="F518" s="145"/>
      <c r="G518" s="145"/>
      <c r="H518" s="145"/>
      <c r="J518" s="145"/>
      <c r="K518" s="145"/>
      <c r="L518" s="145"/>
      <c r="M518" s="145"/>
      <c r="N518" s="145"/>
      <c r="O518" s="145"/>
      <c r="P518" s="145"/>
      <c r="R518" s="145"/>
      <c r="S518" s="145"/>
      <c r="T518" s="145"/>
      <c r="U518" s="145"/>
      <c r="V518" s="145"/>
      <c r="W518" s="145"/>
      <c r="X518" s="145"/>
      <c r="Z518" s="145"/>
      <c r="AA518" s="145"/>
      <c r="AB518" s="145"/>
      <c r="AC518" s="145"/>
      <c r="AD518" s="145"/>
      <c r="AE518" s="145"/>
      <c r="AF518" s="145"/>
    </row>
    <row r="519" spans="2:32" x14ac:dyDescent="0.25">
      <c r="B519" s="145"/>
      <c r="C519" s="145"/>
      <c r="D519" s="145"/>
      <c r="E519" s="145"/>
      <c r="F519" s="145"/>
      <c r="G519" s="145"/>
      <c r="H519" s="145"/>
      <c r="J519" s="145"/>
      <c r="K519" s="145"/>
      <c r="L519" s="145"/>
      <c r="M519" s="145"/>
      <c r="N519" s="145"/>
      <c r="O519" s="145"/>
      <c r="P519" s="145"/>
      <c r="R519" s="145"/>
      <c r="S519" s="145"/>
      <c r="T519" s="145"/>
      <c r="U519" s="145"/>
      <c r="V519" s="145"/>
      <c r="W519" s="145"/>
      <c r="X519" s="145"/>
      <c r="Z519" s="145"/>
      <c r="AA519" s="145"/>
      <c r="AB519" s="145"/>
      <c r="AC519" s="145"/>
      <c r="AD519" s="145"/>
      <c r="AE519" s="145"/>
      <c r="AF519" s="145"/>
    </row>
    <row r="520" spans="2:32" x14ac:dyDescent="0.25">
      <c r="B520" s="145"/>
      <c r="C520" s="145"/>
      <c r="D520" s="145"/>
      <c r="E520" s="145"/>
      <c r="F520" s="145"/>
      <c r="G520" s="145"/>
      <c r="H520" s="145"/>
      <c r="J520" s="145"/>
      <c r="K520" s="145"/>
      <c r="L520" s="145"/>
      <c r="M520" s="145"/>
      <c r="N520" s="145"/>
      <c r="O520" s="145"/>
      <c r="P520" s="145"/>
      <c r="R520" s="145"/>
      <c r="S520" s="145"/>
      <c r="T520" s="145"/>
      <c r="U520" s="145"/>
      <c r="V520" s="145"/>
      <c r="W520" s="145"/>
      <c r="X520" s="145"/>
      <c r="Z520" s="145"/>
      <c r="AA520" s="145"/>
      <c r="AB520" s="145"/>
      <c r="AC520" s="145"/>
      <c r="AD520" s="145"/>
      <c r="AE520" s="145"/>
      <c r="AF520" s="145"/>
    </row>
    <row r="521" spans="2:32" x14ac:dyDescent="0.25">
      <c r="B521" s="145"/>
      <c r="C521" s="145"/>
      <c r="D521" s="145"/>
      <c r="E521" s="145"/>
      <c r="F521" s="145"/>
      <c r="G521" s="145"/>
      <c r="H521" s="145"/>
      <c r="J521" s="145"/>
      <c r="K521" s="145"/>
      <c r="L521" s="145"/>
      <c r="M521" s="145"/>
      <c r="N521" s="145"/>
      <c r="O521" s="145"/>
      <c r="P521" s="145"/>
      <c r="R521" s="145"/>
      <c r="S521" s="145"/>
      <c r="T521" s="145"/>
      <c r="U521" s="145"/>
      <c r="V521" s="145"/>
      <c r="W521" s="145"/>
      <c r="X521" s="145"/>
      <c r="Z521" s="145"/>
      <c r="AA521" s="145"/>
      <c r="AB521" s="145"/>
      <c r="AC521" s="145"/>
      <c r="AD521" s="145"/>
      <c r="AE521" s="145"/>
      <c r="AF521" s="145"/>
    </row>
    <row r="522" spans="2:32" x14ac:dyDescent="0.25">
      <c r="B522" s="145"/>
      <c r="C522" s="145"/>
      <c r="D522" s="145"/>
      <c r="E522" s="145"/>
      <c r="F522" s="145"/>
      <c r="G522" s="145"/>
      <c r="H522" s="145"/>
      <c r="J522" s="145"/>
      <c r="K522" s="145"/>
      <c r="L522" s="145"/>
      <c r="M522" s="145"/>
      <c r="N522" s="145"/>
      <c r="O522" s="145"/>
      <c r="P522" s="145"/>
      <c r="R522" s="145"/>
      <c r="S522" s="145"/>
      <c r="T522" s="145"/>
      <c r="U522" s="145"/>
      <c r="V522" s="145"/>
      <c r="W522" s="145"/>
      <c r="X522" s="145"/>
      <c r="Z522" s="145"/>
      <c r="AA522" s="145"/>
      <c r="AB522" s="145"/>
      <c r="AC522" s="145"/>
      <c r="AD522" s="145"/>
      <c r="AE522" s="145"/>
      <c r="AF522" s="145"/>
    </row>
    <row r="523" spans="2:32" x14ac:dyDescent="0.25">
      <c r="B523" s="145"/>
      <c r="C523" s="145"/>
      <c r="D523" s="145"/>
      <c r="E523" s="145"/>
      <c r="F523" s="145"/>
      <c r="G523" s="145"/>
      <c r="H523" s="145"/>
      <c r="J523" s="145"/>
      <c r="K523" s="145"/>
      <c r="L523" s="145"/>
      <c r="M523" s="145"/>
      <c r="N523" s="145"/>
      <c r="O523" s="145"/>
      <c r="P523" s="145"/>
      <c r="R523" s="145"/>
      <c r="S523" s="145"/>
      <c r="T523" s="145"/>
      <c r="U523" s="145"/>
      <c r="V523" s="145"/>
      <c r="W523" s="145"/>
      <c r="X523" s="145"/>
      <c r="Z523" s="145"/>
      <c r="AA523" s="145"/>
      <c r="AB523" s="145"/>
      <c r="AC523" s="145"/>
      <c r="AD523" s="145"/>
      <c r="AE523" s="145"/>
      <c r="AF523" s="145"/>
    </row>
    <row r="524" spans="2:32" x14ac:dyDescent="0.25">
      <c r="B524" s="145"/>
      <c r="C524" s="145"/>
      <c r="D524" s="145"/>
      <c r="E524" s="145"/>
      <c r="F524" s="145"/>
      <c r="G524" s="145"/>
      <c r="H524" s="145"/>
      <c r="J524" s="145"/>
      <c r="K524" s="145"/>
      <c r="L524" s="145"/>
      <c r="M524" s="145"/>
      <c r="N524" s="145"/>
      <c r="O524" s="145"/>
      <c r="P524" s="145"/>
      <c r="R524" s="145"/>
      <c r="S524" s="145"/>
      <c r="T524" s="145"/>
      <c r="U524" s="145"/>
      <c r="V524" s="145"/>
      <c r="W524" s="145"/>
      <c r="X524" s="145"/>
      <c r="Z524" s="145"/>
      <c r="AA524" s="145"/>
      <c r="AB524" s="145"/>
      <c r="AC524" s="145"/>
      <c r="AD524" s="145"/>
      <c r="AE524" s="145"/>
      <c r="AF524" s="145"/>
    </row>
    <row r="525" spans="2:32" x14ac:dyDescent="0.25">
      <c r="B525" s="145"/>
      <c r="C525" s="145"/>
      <c r="D525" s="145"/>
      <c r="E525" s="145"/>
      <c r="F525" s="145"/>
      <c r="G525" s="145"/>
      <c r="H525" s="145"/>
      <c r="J525" s="145"/>
      <c r="K525" s="145"/>
      <c r="L525" s="145"/>
      <c r="M525" s="145"/>
      <c r="N525" s="145"/>
      <c r="O525" s="145"/>
      <c r="P525" s="145"/>
      <c r="R525" s="145"/>
      <c r="S525" s="145"/>
      <c r="T525" s="145"/>
      <c r="U525" s="145"/>
      <c r="V525" s="145"/>
      <c r="W525" s="145"/>
      <c r="X525" s="145"/>
      <c r="Z525" s="145"/>
      <c r="AA525" s="145"/>
      <c r="AB525" s="145"/>
      <c r="AC525" s="145"/>
      <c r="AD525" s="145"/>
      <c r="AE525" s="145"/>
      <c r="AF525" s="145"/>
    </row>
    <row r="526" spans="2:32" x14ac:dyDescent="0.25">
      <c r="B526" s="145"/>
      <c r="C526" s="145"/>
      <c r="D526" s="145"/>
      <c r="E526" s="145"/>
      <c r="F526" s="145"/>
      <c r="G526" s="145"/>
      <c r="H526" s="145"/>
      <c r="J526" s="145"/>
      <c r="K526" s="145"/>
      <c r="L526" s="145"/>
      <c r="M526" s="145"/>
      <c r="N526" s="145"/>
      <c r="O526" s="145"/>
      <c r="P526" s="145"/>
      <c r="R526" s="145"/>
      <c r="S526" s="145"/>
      <c r="T526" s="145"/>
      <c r="U526" s="145"/>
      <c r="V526" s="145"/>
      <c r="W526" s="145"/>
      <c r="X526" s="145"/>
      <c r="Z526" s="145"/>
      <c r="AA526" s="145"/>
      <c r="AB526" s="145"/>
      <c r="AC526" s="145"/>
      <c r="AD526" s="145"/>
      <c r="AE526" s="145"/>
      <c r="AF526" s="145"/>
    </row>
    <row r="527" spans="2:32" x14ac:dyDescent="0.25">
      <c r="B527" s="145"/>
      <c r="C527" s="145"/>
      <c r="D527" s="145"/>
      <c r="E527" s="145"/>
      <c r="F527" s="145"/>
      <c r="G527" s="145"/>
      <c r="H527" s="145"/>
      <c r="J527" s="145"/>
      <c r="K527" s="145"/>
      <c r="L527" s="145"/>
      <c r="M527" s="145"/>
      <c r="N527" s="145"/>
      <c r="O527" s="145"/>
      <c r="P527" s="145"/>
      <c r="R527" s="145"/>
      <c r="S527" s="145"/>
      <c r="T527" s="145"/>
      <c r="U527" s="145"/>
      <c r="V527" s="145"/>
      <c r="W527" s="145"/>
      <c r="X527" s="145"/>
      <c r="Z527" s="145"/>
      <c r="AA527" s="145"/>
      <c r="AB527" s="145"/>
      <c r="AC527" s="145"/>
      <c r="AD527" s="145"/>
      <c r="AE527" s="145"/>
      <c r="AF527" s="145"/>
    </row>
    <row r="528" spans="2:32" x14ac:dyDescent="0.25">
      <c r="B528" s="145"/>
      <c r="C528" s="145"/>
      <c r="D528" s="145"/>
      <c r="E528" s="145"/>
      <c r="F528" s="145"/>
      <c r="G528" s="145"/>
      <c r="H528" s="145"/>
      <c r="J528" s="145"/>
      <c r="K528" s="145"/>
      <c r="L528" s="145"/>
      <c r="M528" s="145"/>
      <c r="N528" s="145"/>
      <c r="O528" s="145"/>
      <c r="P528" s="145"/>
      <c r="R528" s="145"/>
      <c r="S528" s="145"/>
      <c r="T528" s="145"/>
      <c r="U528" s="145"/>
      <c r="V528" s="145"/>
      <c r="W528" s="145"/>
      <c r="X528" s="145"/>
      <c r="Z528" s="145"/>
      <c r="AA528" s="145"/>
      <c r="AB528" s="145"/>
      <c r="AC528" s="145"/>
      <c r="AD528" s="145"/>
      <c r="AE528" s="145"/>
      <c r="AF528" s="145"/>
    </row>
    <row r="529" spans="2:32" x14ac:dyDescent="0.25">
      <c r="B529" s="145"/>
      <c r="C529" s="145"/>
      <c r="D529" s="145"/>
      <c r="E529" s="145"/>
      <c r="F529" s="145"/>
      <c r="G529" s="145"/>
      <c r="H529" s="145"/>
      <c r="J529" s="145"/>
      <c r="K529" s="145"/>
      <c r="L529" s="145"/>
      <c r="M529" s="145"/>
      <c r="N529" s="145"/>
      <c r="O529" s="145"/>
      <c r="P529" s="145"/>
      <c r="R529" s="145"/>
      <c r="S529" s="145"/>
      <c r="T529" s="145"/>
      <c r="U529" s="145"/>
      <c r="V529" s="145"/>
      <c r="W529" s="145"/>
      <c r="X529" s="145"/>
      <c r="Z529" s="145"/>
      <c r="AA529" s="145"/>
      <c r="AB529" s="145"/>
      <c r="AC529" s="145"/>
      <c r="AD529" s="145"/>
      <c r="AE529" s="145"/>
      <c r="AF529" s="145"/>
    </row>
  </sheetData>
  <mergeCells count="33">
    <mergeCell ref="K20:O21"/>
    <mergeCell ref="K22:O26"/>
    <mergeCell ref="K15:O16"/>
    <mergeCell ref="K13:O14"/>
    <mergeCell ref="C35:G36"/>
    <mergeCell ref="C26:G27"/>
    <mergeCell ref="C28:G32"/>
    <mergeCell ref="C33:G34"/>
    <mergeCell ref="K27:O28"/>
    <mergeCell ref="K29:O30"/>
    <mergeCell ref="K31:O32"/>
    <mergeCell ref="K33:O34"/>
    <mergeCell ref="K3:O4"/>
    <mergeCell ref="K5:O9"/>
    <mergeCell ref="K11:O12"/>
    <mergeCell ref="AA13:AE13"/>
    <mergeCell ref="AA15:AE19"/>
    <mergeCell ref="C52:G52"/>
    <mergeCell ref="C50:G50"/>
    <mergeCell ref="C48:G48"/>
    <mergeCell ref="C42:G46"/>
    <mergeCell ref="AA3:AE4"/>
    <mergeCell ref="AA5:AE9"/>
    <mergeCell ref="AA26:AE27"/>
    <mergeCell ref="AA28:AE32"/>
    <mergeCell ref="AA35:AE36"/>
    <mergeCell ref="AA37:AE41"/>
    <mergeCell ref="C40:G41"/>
    <mergeCell ref="S3:W4"/>
    <mergeCell ref="S5:W9"/>
    <mergeCell ref="S26:W27"/>
    <mergeCell ref="C3:G4"/>
    <mergeCell ref="C5:G9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rgb="FFC00000"/>
    <pageSetUpPr fitToPage="1"/>
  </sheetPr>
  <dimension ref="A1:Q56"/>
  <sheetViews>
    <sheetView showGridLines="0" zoomScaleNormal="100" workbookViewId="0">
      <selection activeCell="K4" sqref="K4"/>
    </sheetView>
  </sheetViews>
  <sheetFormatPr defaultColWidth="8.85546875" defaultRowHeight="15" x14ac:dyDescent="0.25"/>
  <cols>
    <col min="1" max="1" width="1" style="12" customWidth="1"/>
    <col min="2" max="4" width="8.42578125" style="12" customWidth="1"/>
    <col min="5" max="5" width="5.5703125" style="12" customWidth="1"/>
    <col min="6" max="6" width="8.42578125" style="12" customWidth="1"/>
    <col min="7" max="7" width="14.140625" style="12" customWidth="1"/>
    <col min="8" max="8" width="9" style="13" customWidth="1"/>
    <col min="9" max="9" width="12.140625" style="14" customWidth="1"/>
    <col min="10" max="10" width="14.7109375" style="12" customWidth="1"/>
    <col min="11" max="11" width="20.28515625" style="15" customWidth="1"/>
    <col min="12" max="13" width="1" style="12" customWidth="1"/>
    <col min="14" max="14" width="15.42578125" style="12" customWidth="1"/>
    <col min="15" max="15" width="8.42578125" style="12" customWidth="1"/>
    <col min="16" max="16" width="10.140625" style="12" customWidth="1"/>
    <col min="17" max="17" width="8.42578125" style="12" customWidth="1"/>
    <col min="18" max="18" width="1" style="12" customWidth="1"/>
    <col min="19" max="29" width="8.42578125" style="12" customWidth="1"/>
    <col min="30" max="16384" width="8.85546875" style="12"/>
  </cols>
  <sheetData>
    <row r="1" spans="2:12" ht="6" customHeight="1" x14ac:dyDescent="0.25"/>
    <row r="2" spans="2:12" s="17" customFormat="1" ht="28.5" customHeight="1" x14ac:dyDescent="0.25">
      <c r="B2" s="79" t="s">
        <v>104</v>
      </c>
      <c r="C2" s="80"/>
      <c r="D2" s="80"/>
      <c r="E2" s="80"/>
      <c r="F2" s="80"/>
      <c r="G2" s="80"/>
      <c r="H2" s="81"/>
      <c r="I2" s="82"/>
      <c r="J2" s="83"/>
      <c r="K2" s="252">
        <v>43686</v>
      </c>
      <c r="L2" s="22"/>
    </row>
    <row r="3" spans="2:12" s="17" customFormat="1" ht="4.9000000000000004" customHeight="1" x14ac:dyDescent="0.25">
      <c r="B3" s="79"/>
      <c r="C3" s="80"/>
      <c r="D3" s="80"/>
      <c r="E3" s="80"/>
      <c r="F3" s="80"/>
      <c r="G3" s="80"/>
      <c r="H3" s="81"/>
      <c r="I3" s="82"/>
      <c r="J3" s="83"/>
      <c r="K3" s="252"/>
      <c r="L3" s="22"/>
    </row>
    <row r="4" spans="2:12" s="17" customFormat="1" ht="24.6" customHeight="1" x14ac:dyDescent="0.25">
      <c r="B4" s="255" t="s">
        <v>160</v>
      </c>
      <c r="C4" s="80"/>
      <c r="D4" s="80"/>
      <c r="E4" s="80"/>
      <c r="F4" s="80"/>
      <c r="G4" s="80"/>
      <c r="H4" s="81"/>
      <c r="I4" s="82"/>
      <c r="J4" s="83"/>
      <c r="K4" s="262">
        <f>VLOOKUP(Day_Lookup,Dailies[],MATCH("Total Net Worth",Daily_Cols,EXACT_MATCH),EXACT_MATCH)</f>
        <v>1118440.395917</v>
      </c>
      <c r="L4" s="22"/>
    </row>
    <row r="5" spans="2:12" s="17" customFormat="1" ht="14.45" customHeight="1" x14ac:dyDescent="0.25">
      <c r="B5" s="255"/>
      <c r="C5" s="80"/>
      <c r="D5" s="80"/>
      <c r="E5" s="80"/>
      <c r="F5" s="80"/>
      <c r="G5" s="80"/>
      <c r="H5" s="81"/>
      <c r="I5" s="82"/>
      <c r="J5" s="83"/>
      <c r="K5" s="262"/>
      <c r="L5" s="22"/>
    </row>
    <row r="6" spans="2:12" s="26" customFormat="1" ht="25.15" customHeight="1" x14ac:dyDescent="0.25">
      <c r="B6" s="84" t="s">
        <v>141</v>
      </c>
      <c r="C6" s="84"/>
      <c r="D6" s="84"/>
      <c r="E6" s="28"/>
      <c r="H6" s="84"/>
      <c r="I6" s="84"/>
      <c r="K6" s="263" t="e">
        <f>VLOOKUP(Day_Lookup,Dailies[],MATCH("Exchange Rate",Daily_Cols,EXACT_MATCH),EXACT_MATCH)</f>
        <v>#N/A</v>
      </c>
    </row>
    <row r="7" spans="2:12" s="17" customFormat="1" ht="14.45" customHeight="1" x14ac:dyDescent="0.25">
      <c r="B7" s="16"/>
      <c r="H7" s="18"/>
      <c r="I7" s="19"/>
      <c r="J7" s="20"/>
      <c r="K7" s="21"/>
      <c r="L7" s="22"/>
    </row>
    <row r="8" spans="2:12" s="17" customFormat="1" ht="22.35" customHeight="1" x14ac:dyDescent="0.5">
      <c r="B8" s="256" t="s">
        <v>165</v>
      </c>
      <c r="C8" s="257"/>
      <c r="D8" s="257"/>
      <c r="E8" s="257"/>
      <c r="F8" s="257"/>
      <c r="G8" s="257"/>
      <c r="H8" s="258"/>
      <c r="I8" s="259"/>
      <c r="J8" s="260"/>
      <c r="K8" s="261" t="e">
        <f>VLOOKUP(Day_Lookup,Dailies[],MATCH("All Other Assets",Daily_Cols,EXACT_MATCH),EXACT_MATCH)</f>
        <v>#N/A</v>
      </c>
      <c r="L8" s="22"/>
    </row>
    <row r="9" spans="2:12" s="26" customFormat="1" ht="25.15" customHeight="1" x14ac:dyDescent="0.25">
      <c r="B9" s="219" t="s">
        <v>158</v>
      </c>
      <c r="C9" s="219"/>
      <c r="D9" s="219"/>
      <c r="E9" s="215"/>
      <c r="F9" s="215"/>
      <c r="G9" s="215"/>
      <c r="H9" s="219"/>
      <c r="I9" s="219"/>
      <c r="J9" s="215"/>
      <c r="K9" s="253">
        <f>VLOOKUP(Day_Lookup,Dailies[],MATCH("Home Equity",Daily_Cols,EXACT_MATCH),EXACT_MATCH)</f>
        <v>650000</v>
      </c>
    </row>
    <row r="10" spans="2:12" s="26" customFormat="1" ht="25.15" customHeight="1" x14ac:dyDescent="0.25">
      <c r="B10" s="219" t="s">
        <v>159</v>
      </c>
      <c r="C10" s="219"/>
      <c r="D10" s="219"/>
      <c r="E10" s="215"/>
      <c r="F10" s="215"/>
      <c r="G10" s="215"/>
      <c r="H10" s="219"/>
      <c r="I10" s="219"/>
      <c r="J10" s="215"/>
      <c r="K10" s="253">
        <f>VLOOKUP(Day_Lookup,Dailies[],MATCH("Home Loan",Daily_Cols,EXACT_MATCH),EXACT_MATCH)</f>
        <v>-23450.339999999997</v>
      </c>
    </row>
    <row r="11" spans="2:12" s="26" customFormat="1" ht="25.15" customHeight="1" x14ac:dyDescent="0.25">
      <c r="B11" s="220" t="s">
        <v>163</v>
      </c>
      <c r="C11" s="220"/>
      <c r="D11" s="220"/>
      <c r="E11" s="214"/>
      <c r="F11" s="214"/>
      <c r="G11" s="214"/>
      <c r="H11" s="220"/>
      <c r="I11" s="220"/>
      <c r="J11" s="214"/>
      <c r="K11" s="254" t="e">
        <f>VLOOKUP(Day_Lookup,Dailies[],MATCH("SunLife Balance",Daily_Cols,EXACT_MATCH),EXACT_MATCH)</f>
        <v>#N/A</v>
      </c>
    </row>
    <row r="12" spans="2:12" s="26" customFormat="1" ht="25.15" customHeight="1" x14ac:dyDescent="0.25">
      <c r="B12" s="221" t="s">
        <v>149</v>
      </c>
      <c r="C12" s="221"/>
      <c r="D12" s="221"/>
      <c r="E12" s="216"/>
      <c r="F12" s="217"/>
      <c r="G12" s="217"/>
      <c r="H12" s="221"/>
      <c r="I12" s="221"/>
      <c r="J12" s="217"/>
      <c r="K12" s="254">
        <f>VLOOKUP(Day_Lookup,Dailies[],MATCH("Car Equity",Daily_Cols,EXACT_MATCH),EXACT_MATCH)</f>
        <v>20850</v>
      </c>
    </row>
    <row r="13" spans="2:12" s="26" customFormat="1" ht="25.15" customHeight="1" x14ac:dyDescent="0.25">
      <c r="B13" s="221" t="s">
        <v>161</v>
      </c>
      <c r="C13" s="221"/>
      <c r="D13" s="221"/>
      <c r="E13" s="216"/>
      <c r="F13" s="217"/>
      <c r="G13" s="217"/>
      <c r="H13" s="221"/>
      <c r="I13" s="221"/>
      <c r="J13" s="217"/>
      <c r="K13" s="254">
        <f>VLOOKUP(Day_Lookup,Dailies[],MATCH("Valuables Equity",Daily_Cols,EXACT_MATCH),EXACT_MATCH)</f>
        <v>1600</v>
      </c>
    </row>
    <row r="14" spans="2:12" s="26" customFormat="1" ht="25.15" customHeight="1" x14ac:dyDescent="0.25">
      <c r="B14" s="221" t="s">
        <v>164</v>
      </c>
      <c r="C14" s="221"/>
      <c r="D14" s="221"/>
      <c r="E14" s="216"/>
      <c r="F14" s="217"/>
      <c r="G14" s="217"/>
      <c r="H14" s="221"/>
      <c r="I14" s="221"/>
      <c r="J14" s="217"/>
      <c r="K14" s="254">
        <f>VLOOKUP(Day_Lookup,Dailies[],MATCH("GSK Pension",Daily_Cols,EXACT_MATCH),EXACT_MATCH)</f>
        <v>91683</v>
      </c>
    </row>
    <row r="15" spans="2:12" s="26" customFormat="1" ht="25.15" customHeight="1" x14ac:dyDescent="0.25">
      <c r="B15" s="221" t="s">
        <v>162</v>
      </c>
      <c r="C15" s="221"/>
      <c r="D15" s="221"/>
      <c r="E15" s="216"/>
      <c r="F15" s="217"/>
      <c r="G15" s="217"/>
      <c r="H15" s="221"/>
      <c r="I15" s="221"/>
      <c r="J15" s="217"/>
      <c r="K15" s="254" t="e">
        <f>VLOOKUP(Day_Lookup,Dailies[],MATCH("Other Assets",Daily_Cols,EXACT_MATCH),EXACT_MATCH)</f>
        <v>#N/A</v>
      </c>
    </row>
    <row r="16" spans="2:12" s="26" customFormat="1" ht="25.15" customHeight="1" x14ac:dyDescent="0.25">
      <c r="B16" s="27"/>
      <c r="C16" s="27"/>
      <c r="D16" s="27"/>
      <c r="E16" s="28"/>
      <c r="F16" s="29"/>
      <c r="G16" s="28"/>
      <c r="H16" s="30"/>
      <c r="I16" s="31"/>
      <c r="K16" s="32"/>
    </row>
    <row r="17" spans="1:17" s="34" customFormat="1" ht="25.5" x14ac:dyDescent="0.5">
      <c r="B17" s="201" t="s">
        <v>105</v>
      </c>
      <c r="C17" s="202"/>
      <c r="D17" s="202"/>
      <c r="E17" s="202"/>
      <c r="F17" s="203"/>
      <c r="G17" s="202"/>
      <c r="H17" s="202"/>
      <c r="I17" s="202"/>
      <c r="J17" s="202"/>
      <c r="K17" s="261" t="e">
        <f>VLOOKUP(Day_Lookup,Dailies[],MATCH("Portfolio Actual",Daily_Cols,EXACT_MATCH),EXACT_MATCH)</f>
        <v>#N/A</v>
      </c>
      <c r="L17" s="33"/>
      <c r="M17" s="33"/>
      <c r="N17" s="265"/>
      <c r="O17" s="33"/>
      <c r="P17" s="33"/>
      <c r="Q17" s="33"/>
    </row>
    <row r="18" spans="1:17" s="34" customFormat="1" ht="4.5" customHeight="1" x14ac:dyDescent="0.3">
      <c r="B18" s="33"/>
      <c r="C18" s="33"/>
      <c r="D18" s="33"/>
      <c r="E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</row>
    <row r="19" spans="1:17" s="26" customFormat="1" ht="25.15" customHeight="1" x14ac:dyDescent="0.25">
      <c r="B19" s="86" t="s">
        <v>25</v>
      </c>
      <c r="C19" s="204"/>
      <c r="D19" s="204"/>
      <c r="E19" s="204"/>
      <c r="F19" s="222"/>
      <c r="G19" s="222"/>
      <c r="H19" s="223"/>
      <c r="I19" s="205"/>
      <c r="J19" s="206"/>
      <c r="K19" s="254" t="e">
        <f>VLOOKUP(Day_Lookup,Dailies[],MATCH("RRSP CAD Actual",Daily_Cols,EXACT_MATCH),EXACT_MATCH)</f>
        <v>#N/A</v>
      </c>
    </row>
    <row r="20" spans="1:17" s="26" customFormat="1" ht="25.15" customHeight="1" x14ac:dyDescent="0.25">
      <c r="B20" s="86"/>
      <c r="C20" s="224" t="s">
        <v>166</v>
      </c>
      <c r="D20" s="207"/>
      <c r="E20" s="207"/>
      <c r="F20" s="225"/>
      <c r="G20" s="225"/>
      <c r="H20" s="226"/>
      <c r="I20" s="208"/>
      <c r="J20" s="254" t="e">
        <f>VLOOKUP(Day_Lookup,Dailies[],MATCH("RRSP CAD Equities",Daily_Cols,EXACT_MATCH),EXACT_MATCH)</f>
        <v>#N/A</v>
      </c>
      <c r="K20" s="209"/>
    </row>
    <row r="21" spans="1:17" s="26" customFormat="1" ht="25.15" customHeight="1" x14ac:dyDescent="0.25">
      <c r="B21" s="86"/>
      <c r="C21" s="227" t="s">
        <v>106</v>
      </c>
      <c r="D21" s="207"/>
      <c r="E21" s="207"/>
      <c r="F21" s="225"/>
      <c r="G21" s="225"/>
      <c r="H21" s="226"/>
      <c r="I21" s="208"/>
      <c r="J21" s="254" t="e">
        <f>VLOOKUP(Day_Lookup,Dailies[],MATCH("RRSP CAD Cash",Daily_Cols,EXACT_MATCH),EXACT_MATCH)</f>
        <v>#N/A</v>
      </c>
      <c r="K21" s="209"/>
    </row>
    <row r="22" spans="1:17" s="26" customFormat="1" ht="25.15" customHeight="1" x14ac:dyDescent="0.25">
      <c r="B22" s="86"/>
      <c r="C22" s="224" t="s">
        <v>48</v>
      </c>
      <c r="D22" s="207"/>
      <c r="E22" s="207"/>
      <c r="F22" s="225"/>
      <c r="G22" s="225"/>
      <c r="H22" s="226"/>
      <c r="I22" s="208"/>
      <c r="J22" s="254" t="e">
        <f>VLOOKUP(Day_Lookup,Dailies[],MATCH("RRSP CAD Principal",Daily_Cols,EXACT_MATCH),EXACT_MATCH)</f>
        <v>#N/A</v>
      </c>
      <c r="K22" s="209"/>
    </row>
    <row r="23" spans="1:17" s="26" customFormat="1" ht="25.15" customHeight="1" x14ac:dyDescent="0.25">
      <c r="B23" s="86"/>
      <c r="C23" s="224" t="s">
        <v>0</v>
      </c>
      <c r="D23" s="207"/>
      <c r="E23" s="207"/>
      <c r="F23" s="225"/>
      <c r="G23" s="225"/>
      <c r="H23" s="226"/>
      <c r="I23" s="208"/>
      <c r="J23" s="254" t="e">
        <f>VLOOKUP(Day_Lookup,Dailies[],MATCH("RRSP CAD G/L $",Daily_Cols,EXACT_MATCH),EXACT_MATCH)</f>
        <v>#N/A</v>
      </c>
      <c r="K23" s="209"/>
    </row>
    <row r="24" spans="1:17" s="26" customFormat="1" ht="25.15" customHeight="1" x14ac:dyDescent="0.25">
      <c r="B24" s="86"/>
      <c r="C24" s="229" t="s">
        <v>1</v>
      </c>
      <c r="D24" s="210"/>
      <c r="E24" s="210"/>
      <c r="F24" s="230"/>
      <c r="G24" s="230"/>
      <c r="H24" s="231"/>
      <c r="I24" s="211"/>
      <c r="J24" s="264" t="e">
        <f>VLOOKUP(Day_Lookup,Dailies[],MATCH("RRSP CAD G/L %",Daily_Cols,EXACT_MATCH),EXACT_MATCH)</f>
        <v>#N/A</v>
      </c>
      <c r="K24" s="212"/>
    </row>
    <row r="25" spans="1:17" s="26" customFormat="1" ht="25.15" customHeight="1" x14ac:dyDescent="0.25">
      <c r="B25" s="179" t="s">
        <v>26</v>
      </c>
      <c r="C25" s="204"/>
      <c r="D25" s="204"/>
      <c r="E25" s="204"/>
      <c r="F25" s="222"/>
      <c r="G25" s="222"/>
      <c r="H25" s="223"/>
      <c r="I25" s="205"/>
      <c r="J25" s="206"/>
      <c r="K25" s="254" t="e">
        <f>VLOOKUP(Day_Lookup,Dailies[],MATCH("RRSP USD Actual",Daily_Cols,EXACT_MATCH),EXACT_MATCH)</f>
        <v>#N/A</v>
      </c>
    </row>
    <row r="26" spans="1:17" s="26" customFormat="1" ht="25.15" customHeight="1" x14ac:dyDescent="0.25">
      <c r="C26" s="224" t="s">
        <v>167</v>
      </c>
      <c r="D26" s="207"/>
      <c r="E26" s="207"/>
      <c r="F26" s="232"/>
      <c r="G26" s="228"/>
      <c r="H26" s="228"/>
      <c r="I26" s="233"/>
      <c r="J26" s="254" t="e">
        <f>VLOOKUP(Day_Lookup,Dailies[],MATCH("RRSP USD Equities",Daily_Cols,EXACT_MATCH),EXACT_MATCH)</f>
        <v>#N/A</v>
      </c>
      <c r="K26" s="213"/>
    </row>
    <row r="27" spans="1:17" s="26" customFormat="1" ht="25.15" customHeight="1" x14ac:dyDescent="0.25">
      <c r="A27" s="26">
        <v>60000</v>
      </c>
      <c r="C27" s="224" t="s">
        <v>140</v>
      </c>
      <c r="D27" s="207"/>
      <c r="E27" s="207"/>
      <c r="F27" s="232"/>
      <c r="G27" s="228"/>
      <c r="H27" s="228"/>
      <c r="I27" s="233"/>
      <c r="J27" s="254" t="e">
        <f>VLOOKUP(Day_Lookup,Dailies[],MATCH("RRSP USD Cash",Daily_Cols,EXACT_MATCH),EXACT_MATCH)</f>
        <v>#N/A</v>
      </c>
      <c r="K27" s="213"/>
    </row>
    <row r="28" spans="1:17" s="26" customFormat="1" ht="25.15" customHeight="1" x14ac:dyDescent="0.25">
      <c r="C28" s="224" t="s">
        <v>139</v>
      </c>
      <c r="D28" s="207"/>
      <c r="E28" s="207"/>
      <c r="F28" s="232"/>
      <c r="G28" s="228"/>
      <c r="H28" s="228"/>
      <c r="I28" s="233"/>
      <c r="J28" s="254" t="e">
        <f>VLOOKUP(Day_Lookup,Dailies[],MATCH("RRSP USD Actual Unconverted",Daily_Cols,EXACT_MATCH),EXACT_MATCH)</f>
        <v>#N/A</v>
      </c>
      <c r="K28" s="213"/>
    </row>
    <row r="29" spans="1:17" s="26" customFormat="1" ht="25.15" customHeight="1" x14ac:dyDescent="0.25">
      <c r="C29" s="224" t="s">
        <v>48</v>
      </c>
      <c r="D29" s="207"/>
      <c r="E29" s="207"/>
      <c r="F29" s="232"/>
      <c r="G29" s="234"/>
      <c r="H29" s="235"/>
      <c r="I29" s="213"/>
      <c r="J29" s="254" t="e">
        <f>VLOOKUP(Day_Lookup,Dailies[],MATCH("RRSP USD Principal",Daily_Cols,EXACT_MATCH),EXACT_MATCH)</f>
        <v>#N/A</v>
      </c>
      <c r="K29" s="213"/>
    </row>
    <row r="30" spans="1:17" s="26" customFormat="1" ht="25.15" customHeight="1" x14ac:dyDescent="0.25">
      <c r="C30" s="224" t="s">
        <v>0</v>
      </c>
      <c r="D30" s="207"/>
      <c r="E30" s="207"/>
      <c r="F30" s="232"/>
      <c r="G30" s="234"/>
      <c r="H30" s="235"/>
      <c r="I30" s="213"/>
      <c r="J30" s="254" t="e">
        <f>VLOOKUP(Day_Lookup,Dailies[],MATCH("RRSP USD G/L $",Daily_Cols,EXACT_MATCH),EXACT_MATCH)</f>
        <v>#N/A</v>
      </c>
      <c r="K30" s="213"/>
      <c r="P30" s="236"/>
    </row>
    <row r="31" spans="1:17" s="26" customFormat="1" ht="25.15" customHeight="1" x14ac:dyDescent="0.25">
      <c r="C31" s="224" t="s">
        <v>1</v>
      </c>
      <c r="D31" s="207"/>
      <c r="E31" s="207"/>
      <c r="F31" s="232"/>
      <c r="G31" s="234"/>
      <c r="H31" s="235"/>
      <c r="I31" s="237"/>
      <c r="J31" s="264" t="e">
        <f>VLOOKUP(Day_Lookup,Dailies[],MATCH("RRSP USD G/L %",Daily_Cols,EXACT_MATCH),EXACT_MATCH)</f>
        <v>#N/A</v>
      </c>
      <c r="K31" s="213"/>
    </row>
    <row r="32" spans="1:17" s="26" customFormat="1" ht="25.15" customHeight="1" x14ac:dyDescent="0.25">
      <c r="C32" s="224" t="s">
        <v>125</v>
      </c>
      <c r="D32" s="207"/>
      <c r="E32" s="207"/>
      <c r="F32" s="232"/>
      <c r="G32" s="234"/>
      <c r="H32" s="235"/>
      <c r="I32" s="237"/>
      <c r="J32" s="266" t="e">
        <f ca="1">USRRSP_GainLossPct/(ABS(_xlfn.DAYS(TODAY(),VLOOKUP(B25,Accounts[#All],3,EXACT_MATCH))))*365</f>
        <v>#N/A</v>
      </c>
      <c r="K32" s="213"/>
    </row>
    <row r="33" spans="2:12" s="26" customFormat="1" ht="25.15" customHeight="1" x14ac:dyDescent="0.25">
      <c r="B33" s="86" t="s">
        <v>127</v>
      </c>
      <c r="C33" s="207"/>
      <c r="D33" s="207"/>
      <c r="E33" s="207"/>
      <c r="F33" s="214"/>
      <c r="G33" s="214"/>
      <c r="H33" s="225"/>
      <c r="I33" s="238"/>
      <c r="J33" s="239"/>
      <c r="K33" s="254" t="e">
        <f>VLOOKUP(Day_Lookup,Dailies[],MATCH("RESP CAD Actual",Daily_Cols,EXACT_MATCH),EXACT_MATCH)</f>
        <v>#N/A</v>
      </c>
    </row>
    <row r="34" spans="2:12" s="26" customFormat="1" ht="25.15" customHeight="1" x14ac:dyDescent="0.25">
      <c r="C34" s="224" t="s">
        <v>166</v>
      </c>
      <c r="D34" s="207"/>
      <c r="E34" s="207"/>
      <c r="F34" s="214"/>
      <c r="G34" s="214"/>
      <c r="H34" s="232"/>
      <c r="I34" s="234"/>
      <c r="J34" s="254" t="e">
        <f>VLOOKUP(Day_Lookup,Dailies[],MATCH("RESP CAD Equities",Daily_Cols,EXACT_MATCH),EXACT_MATCH)</f>
        <v>#N/A</v>
      </c>
      <c r="K34" s="213"/>
    </row>
    <row r="35" spans="2:12" s="26" customFormat="1" ht="25.15" customHeight="1" x14ac:dyDescent="0.25">
      <c r="C35" s="227" t="s">
        <v>106</v>
      </c>
      <c r="D35" s="207"/>
      <c r="E35" s="207"/>
      <c r="F35" s="207"/>
      <c r="G35" s="207"/>
      <c r="H35" s="232"/>
      <c r="I35" s="234"/>
      <c r="J35" s="254" t="e">
        <f>VLOOKUP(Day_Lookup,Dailies[],MATCH("RESP CAD Cash",Daily_Cols,EXACT_MATCH),EXACT_MATCH)</f>
        <v>#N/A</v>
      </c>
      <c r="K35" s="213"/>
    </row>
    <row r="36" spans="2:12" s="26" customFormat="1" ht="25.15" customHeight="1" x14ac:dyDescent="0.25">
      <c r="C36" s="224" t="s">
        <v>48</v>
      </c>
      <c r="D36" s="207"/>
      <c r="E36" s="207"/>
      <c r="F36" s="207"/>
      <c r="G36" s="207"/>
      <c r="H36" s="232"/>
      <c r="I36" s="234"/>
      <c r="J36" s="254" t="e">
        <f>VLOOKUP(Day_Lookup,Dailies[],MATCH("RESP CAD Principal",Daily_Cols,EXACT_MATCH),EXACT_MATCH)</f>
        <v>#N/A</v>
      </c>
      <c r="K36" s="213"/>
    </row>
    <row r="37" spans="2:12" s="26" customFormat="1" ht="25.15" customHeight="1" x14ac:dyDescent="0.25">
      <c r="C37" s="224" t="s">
        <v>0</v>
      </c>
      <c r="D37" s="207"/>
      <c r="E37" s="207"/>
      <c r="F37" s="207"/>
      <c r="G37" s="207"/>
      <c r="H37" s="232"/>
      <c r="I37" s="234"/>
      <c r="J37" s="254" t="e">
        <f>VLOOKUP(Day_Lookup,Dailies[],MATCH("RESP CAD G/L $",Daily_Cols,EXACT_MATCH),EXACT_MATCH)</f>
        <v>#N/A</v>
      </c>
      <c r="K37" s="213"/>
    </row>
    <row r="38" spans="2:12" s="26" customFormat="1" ht="25.15" customHeight="1" x14ac:dyDescent="0.25">
      <c r="C38" s="224" t="s">
        <v>1</v>
      </c>
      <c r="D38" s="207"/>
      <c r="E38" s="207"/>
      <c r="F38" s="207"/>
      <c r="G38" s="207"/>
      <c r="H38" s="232"/>
      <c r="I38" s="234"/>
      <c r="J38" s="264" t="e">
        <f>VLOOKUP(Day_Lookup,Dailies[],MATCH("RESP CAD G/L %",Daily_Cols,EXACT_MATCH),EXACT_MATCH)</f>
        <v>#N/A</v>
      </c>
      <c r="K38" s="213"/>
    </row>
    <row r="39" spans="2:12" s="26" customFormat="1" ht="25.15" customHeight="1" x14ac:dyDescent="0.25">
      <c r="C39" s="229" t="s">
        <v>125</v>
      </c>
      <c r="D39" s="210"/>
      <c r="E39" s="210"/>
      <c r="F39" s="210"/>
      <c r="G39" s="210"/>
      <c r="H39" s="240"/>
      <c r="I39" s="241"/>
      <c r="J39" s="266" t="e">
        <f ca="1">CARESP_GainLossPct/(ABS(_xlfn.DAYS(TODAY(),VLOOKUP(B33,Accounts[#All],3,EXACT_MATCH))))*365</f>
        <v>#N/A</v>
      </c>
      <c r="K39" s="218"/>
    </row>
    <row r="40" spans="2:12" ht="25.15" customHeight="1" x14ac:dyDescent="0.25">
      <c r="B40" s="36"/>
      <c r="C40" s="36"/>
      <c r="D40" s="36"/>
      <c r="E40" s="36"/>
      <c r="F40" s="36"/>
      <c r="G40" s="36"/>
      <c r="H40" s="37"/>
      <c r="I40" s="38"/>
      <c r="J40" s="36"/>
      <c r="K40" s="35"/>
    </row>
    <row r="41" spans="2:12" ht="18" customHeight="1" x14ac:dyDescent="0.25"/>
    <row r="42" spans="2:12" ht="6" customHeight="1" x14ac:dyDescent="0.25"/>
    <row r="43" spans="2:12" s="17" customFormat="1" ht="28.5" customHeight="1" x14ac:dyDescent="0.25">
      <c r="B43" s="43"/>
      <c r="C43" s="23"/>
      <c r="D43" s="23"/>
      <c r="E43" s="23"/>
      <c r="F43" s="23"/>
      <c r="G43" s="23"/>
      <c r="H43" s="24"/>
      <c r="I43" s="25"/>
      <c r="J43" s="458"/>
      <c r="K43" s="458"/>
      <c r="L43" s="22"/>
    </row>
    <row r="44" spans="2:12" s="26" customFormat="1" ht="22.35" customHeight="1" x14ac:dyDescent="0.25">
      <c r="B44" s="39"/>
      <c r="C44" s="44"/>
      <c r="D44" s="44"/>
      <c r="E44" s="44"/>
      <c r="F44" s="39"/>
      <c r="G44" s="39"/>
      <c r="H44" s="40"/>
      <c r="I44" s="41"/>
      <c r="J44" s="39"/>
      <c r="K44" s="45"/>
    </row>
    <row r="45" spans="2:12" ht="16.350000000000001" customHeight="1" x14ac:dyDescent="0.25">
      <c r="B45" s="33"/>
      <c r="C45" s="36"/>
      <c r="D45" s="36"/>
      <c r="E45" s="459"/>
      <c r="F45" s="459"/>
      <c r="G45" s="46"/>
      <c r="H45" s="47"/>
      <c r="I45" s="47"/>
      <c r="J45" s="48"/>
      <c r="K45" s="35"/>
    </row>
    <row r="46" spans="2:12" ht="16.350000000000001" customHeight="1" x14ac:dyDescent="0.25">
      <c r="B46" s="33"/>
      <c r="C46" s="36"/>
      <c r="D46" s="36"/>
      <c r="E46" s="459"/>
      <c r="F46" s="459"/>
      <c r="G46" s="46"/>
      <c r="H46" s="47"/>
      <c r="I46" s="47"/>
      <c r="J46" s="48"/>
      <c r="K46" s="35"/>
    </row>
    <row r="47" spans="2:12" ht="6" customHeight="1" x14ac:dyDescent="0.25">
      <c r="B47" s="36"/>
      <c r="C47" s="36"/>
      <c r="D47" s="36"/>
      <c r="E47" s="49"/>
      <c r="F47" s="49"/>
      <c r="G47" s="49"/>
      <c r="H47" s="47"/>
      <c r="I47" s="50"/>
      <c r="J47" s="49"/>
      <c r="K47" s="35"/>
    </row>
    <row r="48" spans="2:12" s="26" customFormat="1" ht="22.35" customHeight="1" x14ac:dyDescent="0.25">
      <c r="B48" s="39"/>
      <c r="C48" s="23"/>
      <c r="D48" s="23"/>
      <c r="E48" s="51"/>
      <c r="F48" s="51"/>
      <c r="G48" s="51"/>
      <c r="H48" s="52"/>
      <c r="I48" s="53"/>
      <c r="J48" s="51"/>
      <c r="K48" s="42"/>
    </row>
    <row r="49" spans="2:11" x14ac:dyDescent="0.25">
      <c r="B49" s="33"/>
      <c r="C49" s="36"/>
      <c r="D49" s="36"/>
      <c r="E49" s="49"/>
      <c r="F49" s="49"/>
      <c r="G49" s="49"/>
      <c r="H49" s="47"/>
      <c r="I49" s="50"/>
      <c r="J49" s="49"/>
      <c r="K49" s="35"/>
    </row>
    <row r="50" spans="2:11" x14ac:dyDescent="0.25">
      <c r="B50" s="33"/>
      <c r="C50" s="36"/>
      <c r="D50" s="36"/>
      <c r="E50" s="49"/>
      <c r="F50" s="49"/>
      <c r="G50" s="49"/>
      <c r="H50" s="47"/>
      <c r="I50" s="50"/>
      <c r="J50" s="49"/>
      <c r="K50" s="35"/>
    </row>
    <row r="51" spans="2:11" x14ac:dyDescent="0.25">
      <c r="B51" s="33"/>
      <c r="C51" s="36"/>
      <c r="D51" s="36"/>
      <c r="E51" s="36"/>
      <c r="F51" s="36"/>
      <c r="G51" s="36"/>
      <c r="H51" s="47"/>
      <c r="I51" s="49"/>
      <c r="J51" s="36"/>
      <c r="K51" s="35"/>
    </row>
    <row r="52" spans="2:11" ht="6" customHeight="1" x14ac:dyDescent="0.25">
      <c r="B52" s="36"/>
      <c r="C52" s="36"/>
      <c r="D52" s="36"/>
      <c r="E52" s="36"/>
      <c r="F52" s="36"/>
      <c r="G52" s="36"/>
      <c r="H52" s="37"/>
      <c r="I52" s="49"/>
      <c r="J52" s="36"/>
      <c r="K52" s="35"/>
    </row>
    <row r="53" spans="2:11" s="26" customFormat="1" ht="22.35" customHeight="1" x14ac:dyDescent="0.25">
      <c r="B53" s="39"/>
      <c r="C53" s="23"/>
      <c r="D53" s="23"/>
      <c r="E53" s="51"/>
      <c r="F53" s="51"/>
      <c r="G53" s="51"/>
      <c r="H53" s="52"/>
      <c r="I53" s="53"/>
      <c r="J53" s="51"/>
      <c r="K53" s="42"/>
    </row>
    <row r="54" spans="2:11" x14ac:dyDescent="0.25">
      <c r="B54" s="33"/>
      <c r="C54" s="36"/>
      <c r="D54" s="36"/>
      <c r="E54" s="36"/>
      <c r="F54" s="54"/>
      <c r="G54" s="36"/>
      <c r="H54" s="37"/>
      <c r="I54" s="49"/>
      <c r="J54" s="36"/>
      <c r="K54" s="35"/>
    </row>
    <row r="55" spans="2:11" x14ac:dyDescent="0.25">
      <c r="B55" s="33"/>
      <c r="C55" s="36"/>
      <c r="D55" s="36"/>
      <c r="E55" s="36"/>
      <c r="F55" s="54"/>
      <c r="G55" s="36"/>
      <c r="H55" s="37"/>
      <c r="I55" s="49"/>
      <c r="J55" s="36"/>
      <c r="K55" s="35"/>
    </row>
    <row r="56" spans="2:11" x14ac:dyDescent="0.25">
      <c r="B56" s="33"/>
      <c r="C56" s="36"/>
      <c r="D56" s="36"/>
      <c r="E56" s="36"/>
      <c r="F56" s="54"/>
      <c r="G56" s="36"/>
      <c r="H56" s="37"/>
      <c r="I56" s="49"/>
      <c r="J56" s="36"/>
      <c r="K56" s="35"/>
    </row>
  </sheetData>
  <mergeCells count="3">
    <mergeCell ref="J43:K43"/>
    <mergeCell ref="E45:F45"/>
    <mergeCell ref="E46:F46"/>
  </mergeCells>
  <pageMargins left="0.7" right="0.7" top="0.75" bottom="0.75" header="0.3" footer="0.3"/>
  <pageSetup scale="85" fitToHeight="0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1425E-426A-4F27-9C90-36453C2936EB}">
  <sheetPr codeName="Sheet4">
    <tabColor rgb="FF00B050"/>
  </sheetPr>
  <dimension ref="B1:AY3182"/>
  <sheetViews>
    <sheetView showGridLines="0" tabSelected="1" zoomScaleNormal="100" workbookViewId="0">
      <pane xSplit="2" ySplit="2" topLeftCell="D965" activePane="bottomRight" state="frozenSplit"/>
      <selection pane="topRight" activeCell="B1" sqref="B1"/>
      <selection pane="bottomLeft" activeCell="A2" sqref="A2"/>
      <selection pane="bottomRight" activeCell="E974" sqref="E974"/>
    </sheetView>
  </sheetViews>
  <sheetFormatPr defaultRowHeight="14.25" x14ac:dyDescent="0.25"/>
  <cols>
    <col min="1" max="1" width="1.140625" style="334" customWidth="1"/>
    <col min="2" max="2" width="15.5703125" style="335" customWidth="1"/>
    <col min="3" max="3" width="11.7109375" style="336" hidden="1" customWidth="1"/>
    <col min="4" max="4" width="11.7109375" style="336" customWidth="1"/>
    <col min="5" max="6" width="11.7109375" style="337" customWidth="1"/>
    <col min="7" max="12" width="11.7109375" style="334" customWidth="1"/>
    <col min="13" max="13" width="11.7109375" customWidth="1"/>
    <col min="14" max="17" width="11.7109375" style="334" customWidth="1"/>
    <col min="18" max="18" width="11.7109375" style="344" customWidth="1"/>
    <col min="19" max="22" width="11.7109375" style="405" customWidth="1"/>
    <col min="23" max="26" width="11.7109375" style="344" customWidth="1"/>
    <col min="27" max="30" width="11.7109375" style="405" customWidth="1"/>
    <col min="31" max="32" width="11.7109375" style="344" customWidth="1"/>
    <col min="33" max="33" width="11.7109375" style="405" customWidth="1"/>
    <col min="34" max="38" width="11.7109375" style="344" customWidth="1"/>
    <col min="39" max="39" width="11.7109375" style="410" customWidth="1"/>
    <col min="40" max="43" width="11.7109375" style="334" customWidth="1"/>
    <col min="44" max="48" width="11.7109375" style="337" customWidth="1"/>
    <col min="49" max="84" width="11.7109375" style="334" customWidth="1"/>
    <col min="85" max="16384" width="9.140625" style="334"/>
  </cols>
  <sheetData>
    <row r="1" spans="2:39" s="322" customFormat="1" ht="6" customHeight="1" x14ac:dyDescent="0.25">
      <c r="R1" s="341"/>
      <c r="S1" s="398"/>
      <c r="T1" s="398"/>
      <c r="U1" s="398"/>
      <c r="V1" s="398"/>
      <c r="W1" s="341"/>
      <c r="X1" s="341"/>
      <c r="Y1" s="341"/>
      <c r="Z1" s="341"/>
      <c r="AA1" s="398"/>
      <c r="AB1" s="398"/>
      <c r="AC1" s="398"/>
      <c r="AD1" s="398"/>
      <c r="AE1" s="341"/>
      <c r="AF1" s="341"/>
      <c r="AG1" s="398"/>
      <c r="AH1" s="341"/>
      <c r="AI1" s="341"/>
      <c r="AJ1" s="341"/>
      <c r="AK1" s="341"/>
      <c r="AL1" s="341"/>
      <c r="AM1" s="410"/>
    </row>
    <row r="2" spans="2:39" s="327" customFormat="1" ht="48" customHeight="1" x14ac:dyDescent="0.25">
      <c r="B2" s="323" t="s">
        <v>27</v>
      </c>
      <c r="C2" s="324" t="s">
        <v>259</v>
      </c>
      <c r="D2" s="324" t="s">
        <v>266</v>
      </c>
      <c r="E2" s="325" t="s">
        <v>258</v>
      </c>
      <c r="F2" s="325" t="s">
        <v>290</v>
      </c>
      <c r="G2" s="325" t="s">
        <v>270</v>
      </c>
      <c r="H2" s="326" t="s">
        <v>261</v>
      </c>
      <c r="I2" s="326" t="s">
        <v>262</v>
      </c>
      <c r="J2" s="326" t="s">
        <v>255</v>
      </c>
      <c r="K2" s="326" t="s">
        <v>291</v>
      </c>
      <c r="L2" s="326" t="s">
        <v>272</v>
      </c>
      <c r="M2" s="325" t="s">
        <v>150</v>
      </c>
      <c r="N2" s="325" t="s">
        <v>151</v>
      </c>
      <c r="O2" s="325" t="s">
        <v>152</v>
      </c>
      <c r="P2" s="325" t="s">
        <v>153</v>
      </c>
      <c r="Q2" s="325" t="s">
        <v>114</v>
      </c>
      <c r="R2" s="342" t="s">
        <v>250</v>
      </c>
      <c r="S2" s="399" t="s">
        <v>260</v>
      </c>
      <c r="T2" s="399" t="s">
        <v>273</v>
      </c>
      <c r="U2" s="399" t="s">
        <v>254</v>
      </c>
      <c r="V2" s="399" t="s">
        <v>271</v>
      </c>
      <c r="W2" s="342" t="s">
        <v>251</v>
      </c>
      <c r="X2" s="343" t="s">
        <v>155</v>
      </c>
      <c r="Y2" s="342" t="s">
        <v>277</v>
      </c>
      <c r="Z2" s="343" t="s">
        <v>154</v>
      </c>
      <c r="AA2" s="409" t="s">
        <v>263</v>
      </c>
      <c r="AB2" s="409" t="s">
        <v>264</v>
      </c>
      <c r="AC2" s="409" t="s">
        <v>265</v>
      </c>
      <c r="AD2" s="409" t="s">
        <v>275</v>
      </c>
      <c r="AE2" s="342" t="s">
        <v>267</v>
      </c>
      <c r="AF2" s="342" t="s">
        <v>274</v>
      </c>
      <c r="AG2" s="399" t="s">
        <v>157</v>
      </c>
      <c r="AH2" s="342" t="s">
        <v>269</v>
      </c>
      <c r="AI2" s="342" t="s">
        <v>268</v>
      </c>
      <c r="AJ2" s="342" t="s">
        <v>142</v>
      </c>
      <c r="AK2" s="343" t="s">
        <v>156</v>
      </c>
      <c r="AL2" s="343" t="s">
        <v>276</v>
      </c>
      <c r="AM2" s="411" t="s">
        <v>173</v>
      </c>
    </row>
    <row r="3" spans="2:39" s="377" customFormat="1" ht="28.15" customHeight="1" x14ac:dyDescent="0.25">
      <c r="B3" s="369">
        <v>43009</v>
      </c>
      <c r="C3" s="370">
        <v>0</v>
      </c>
      <c r="D3" s="370">
        <v>0</v>
      </c>
      <c r="E3" s="371">
        <v>0</v>
      </c>
      <c r="F3" s="371">
        <v>0</v>
      </c>
      <c r="G3" s="371">
        <v>0</v>
      </c>
      <c r="H3" s="371"/>
      <c r="I3" s="371"/>
      <c r="J3" s="371"/>
      <c r="K3" s="371"/>
      <c r="L3" s="371"/>
      <c r="M3" s="371">
        <v>650000</v>
      </c>
      <c r="N3" s="371">
        <v>44000</v>
      </c>
      <c r="O3" s="371">
        <v>1600</v>
      </c>
      <c r="P3" s="371">
        <f t="shared" ref="P3:P76" si="0">91683</f>
        <v>91683</v>
      </c>
      <c r="Q3" s="371">
        <v>-59825</v>
      </c>
      <c r="R3" s="372">
        <v>0</v>
      </c>
      <c r="S3" s="400">
        <v>0</v>
      </c>
      <c r="T3" s="400">
        <v>0</v>
      </c>
      <c r="U3" s="400">
        <v>0</v>
      </c>
      <c r="V3" s="400">
        <v>0</v>
      </c>
      <c r="W3" s="372">
        <v>0</v>
      </c>
      <c r="X3" s="373">
        <v>0</v>
      </c>
      <c r="Y3" s="372">
        <v>0</v>
      </c>
      <c r="Z3" s="373">
        <v>727458</v>
      </c>
      <c r="AA3" s="400">
        <v>0</v>
      </c>
      <c r="AB3" s="400">
        <v>0</v>
      </c>
      <c r="AC3" s="400">
        <v>0</v>
      </c>
      <c r="AD3" s="400">
        <v>0</v>
      </c>
      <c r="AE3" s="372">
        <v>0</v>
      </c>
      <c r="AF3" s="372">
        <v>0</v>
      </c>
      <c r="AG3" s="400">
        <v>0</v>
      </c>
      <c r="AH3" s="374">
        <v>0</v>
      </c>
      <c r="AI3" s="375">
        <v>0</v>
      </c>
      <c r="AJ3" s="372">
        <v>230.76</v>
      </c>
      <c r="AK3" s="376">
        <v>0</v>
      </c>
      <c r="AL3" s="376">
        <v>0</v>
      </c>
      <c r="AM3" s="412"/>
    </row>
    <row r="4" spans="2:39" s="377" customFormat="1" ht="28.15" customHeight="1" x14ac:dyDescent="0.25">
      <c r="B4" s="369">
        <v>43010</v>
      </c>
      <c r="C4" s="370">
        <v>710</v>
      </c>
      <c r="D4" s="370">
        <v>0</v>
      </c>
      <c r="E4" s="371">
        <v>0</v>
      </c>
      <c r="F4" s="371">
        <v>0</v>
      </c>
      <c r="G4" s="371">
        <v>0</v>
      </c>
      <c r="H4" s="371">
        <v>710</v>
      </c>
      <c r="I4" s="371"/>
      <c r="J4" s="371"/>
      <c r="K4" s="371"/>
      <c r="L4" s="371"/>
      <c r="M4" s="371">
        <v>650000</v>
      </c>
      <c r="N4" s="371">
        <v>44000</v>
      </c>
      <c r="O4" s="371">
        <v>1600</v>
      </c>
      <c r="P4" s="371">
        <f t="shared" si="0"/>
        <v>91683</v>
      </c>
      <c r="Q4" s="371">
        <v>-59825</v>
      </c>
      <c r="R4" s="372">
        <v>710</v>
      </c>
      <c r="S4" s="400">
        <v>710</v>
      </c>
      <c r="T4" s="400">
        <v>0</v>
      </c>
      <c r="U4" s="400">
        <v>0</v>
      </c>
      <c r="V4" s="400">
        <v>0</v>
      </c>
      <c r="W4" s="372">
        <v>710</v>
      </c>
      <c r="X4" s="373">
        <v>710</v>
      </c>
      <c r="Y4" s="372">
        <v>710</v>
      </c>
      <c r="Z4" s="373">
        <v>728168</v>
      </c>
      <c r="AA4" s="400">
        <v>0</v>
      </c>
      <c r="AB4" s="400">
        <v>0</v>
      </c>
      <c r="AC4" s="400">
        <v>0</v>
      </c>
      <c r="AD4" s="400">
        <v>0</v>
      </c>
      <c r="AE4" s="372">
        <v>0</v>
      </c>
      <c r="AF4" s="372">
        <v>0</v>
      </c>
      <c r="AG4" s="400">
        <v>0.96999999999999886</v>
      </c>
      <c r="AH4" s="374">
        <v>0</v>
      </c>
      <c r="AI4" s="375">
        <v>0</v>
      </c>
      <c r="AJ4" s="372">
        <v>231.73</v>
      </c>
      <c r="AK4" s="376">
        <v>4.1859060113062568E-3</v>
      </c>
      <c r="AL4" s="376">
        <v>-4.1859060113062568E-3</v>
      </c>
      <c r="AM4" s="412"/>
    </row>
    <row r="5" spans="2:39" s="377" customFormat="1" ht="28.15" customHeight="1" x14ac:dyDescent="0.25">
      <c r="B5" s="369">
        <v>43011</v>
      </c>
      <c r="C5" s="370">
        <v>750</v>
      </c>
      <c r="D5" s="370">
        <v>0</v>
      </c>
      <c r="E5" s="371">
        <v>0</v>
      </c>
      <c r="F5" s="371">
        <v>0</v>
      </c>
      <c r="G5" s="371">
        <v>0</v>
      </c>
      <c r="H5" s="371">
        <v>40</v>
      </c>
      <c r="I5" s="371"/>
      <c r="J5" s="371"/>
      <c r="K5" s="371"/>
      <c r="L5" s="371"/>
      <c r="M5" s="371">
        <v>650000</v>
      </c>
      <c r="N5" s="371">
        <v>44000</v>
      </c>
      <c r="O5" s="371">
        <v>1600</v>
      </c>
      <c r="P5" s="371">
        <f t="shared" si="0"/>
        <v>91683</v>
      </c>
      <c r="Q5" s="371">
        <v>-59825</v>
      </c>
      <c r="R5" s="372">
        <v>750</v>
      </c>
      <c r="S5" s="400">
        <v>750</v>
      </c>
      <c r="T5" s="400">
        <v>0</v>
      </c>
      <c r="U5" s="400">
        <v>0</v>
      </c>
      <c r="V5" s="400">
        <v>0</v>
      </c>
      <c r="W5" s="372">
        <v>750</v>
      </c>
      <c r="X5" s="373">
        <v>750</v>
      </c>
      <c r="Y5" s="372">
        <v>750</v>
      </c>
      <c r="Z5" s="373">
        <v>728208</v>
      </c>
      <c r="AA5" s="400">
        <v>0</v>
      </c>
      <c r="AB5" s="400">
        <v>0</v>
      </c>
      <c r="AC5" s="400">
        <v>0</v>
      </c>
      <c r="AD5" s="400">
        <v>0</v>
      </c>
      <c r="AE5" s="372">
        <v>0</v>
      </c>
      <c r="AF5" s="372">
        <v>0</v>
      </c>
      <c r="AG5" s="400">
        <v>0.46999999999999886</v>
      </c>
      <c r="AH5" s="374">
        <v>0</v>
      </c>
      <c r="AI5" s="375">
        <v>0</v>
      </c>
      <c r="AJ5" s="372">
        <v>232.2</v>
      </c>
      <c r="AK5" s="376">
        <v>2.0241171403962053E-3</v>
      </c>
      <c r="AL5" s="376">
        <v>-2.0241171403962053E-3</v>
      </c>
      <c r="AM5" s="412"/>
    </row>
    <row r="6" spans="2:39" s="377" customFormat="1" ht="28.15" customHeight="1" x14ac:dyDescent="0.25">
      <c r="B6" s="369">
        <v>43012</v>
      </c>
      <c r="C6" s="370">
        <v>10025</v>
      </c>
      <c r="D6" s="370">
        <v>0</v>
      </c>
      <c r="E6" s="371">
        <v>0</v>
      </c>
      <c r="F6" s="371">
        <v>0</v>
      </c>
      <c r="G6" s="371">
        <v>0</v>
      </c>
      <c r="H6" s="371">
        <f>8400+850+25</f>
        <v>9275</v>
      </c>
      <c r="I6" s="371"/>
      <c r="J6" s="371"/>
      <c r="K6" s="371"/>
      <c r="L6" s="371"/>
      <c r="M6" s="371">
        <v>650000</v>
      </c>
      <c r="N6" s="371">
        <v>44000</v>
      </c>
      <c r="O6" s="371">
        <v>1600</v>
      </c>
      <c r="P6" s="371">
        <f t="shared" si="0"/>
        <v>91683</v>
      </c>
      <c r="Q6" s="371">
        <v>-59825</v>
      </c>
      <c r="R6" s="372">
        <v>10025</v>
      </c>
      <c r="S6" s="400">
        <v>10025</v>
      </c>
      <c r="T6" s="400">
        <v>0</v>
      </c>
      <c r="U6" s="400">
        <v>0</v>
      </c>
      <c r="V6" s="400">
        <v>0</v>
      </c>
      <c r="W6" s="372">
        <v>10025</v>
      </c>
      <c r="X6" s="373">
        <v>10025</v>
      </c>
      <c r="Y6" s="372">
        <v>10025</v>
      </c>
      <c r="Z6" s="373">
        <v>737483</v>
      </c>
      <c r="AA6" s="400">
        <v>0</v>
      </c>
      <c r="AB6" s="400">
        <v>0</v>
      </c>
      <c r="AC6" s="400">
        <v>0</v>
      </c>
      <c r="AD6" s="400">
        <v>0</v>
      </c>
      <c r="AE6" s="372">
        <v>0</v>
      </c>
      <c r="AF6" s="372">
        <v>0</v>
      </c>
      <c r="AG6" s="400">
        <v>0.3200000000000216</v>
      </c>
      <c r="AH6" s="374">
        <v>0</v>
      </c>
      <c r="AI6" s="375">
        <v>0</v>
      </c>
      <c r="AJ6" s="372">
        <v>232.52</v>
      </c>
      <c r="AK6" s="376">
        <v>1.3762257010150594E-3</v>
      </c>
      <c r="AL6" s="376">
        <v>-1.3762257010150594E-3</v>
      </c>
      <c r="AM6" s="412"/>
    </row>
    <row r="7" spans="2:39" s="377" customFormat="1" ht="28.15" customHeight="1" x14ac:dyDescent="0.25">
      <c r="B7" s="369">
        <v>43013</v>
      </c>
      <c r="C7" s="370">
        <v>123980</v>
      </c>
      <c r="D7" s="370">
        <v>0</v>
      </c>
      <c r="E7" s="371">
        <v>0</v>
      </c>
      <c r="F7" s="371">
        <v>0</v>
      </c>
      <c r="G7" s="371">
        <v>0</v>
      </c>
      <c r="H7" s="371">
        <f>30247+59477+24231</f>
        <v>113955</v>
      </c>
      <c r="I7" s="371"/>
      <c r="J7" s="371"/>
      <c r="K7" s="371"/>
      <c r="L7" s="371"/>
      <c r="M7" s="371">
        <v>650000</v>
      </c>
      <c r="N7" s="371">
        <v>44000</v>
      </c>
      <c r="O7" s="371">
        <v>1600</v>
      </c>
      <c r="P7" s="371">
        <f t="shared" si="0"/>
        <v>91683</v>
      </c>
      <c r="Q7" s="371">
        <v>-59825</v>
      </c>
      <c r="R7" s="372">
        <v>123980</v>
      </c>
      <c r="S7" s="400">
        <v>123980</v>
      </c>
      <c r="T7" s="400">
        <v>0</v>
      </c>
      <c r="U7" s="400">
        <v>0</v>
      </c>
      <c r="V7" s="400">
        <v>0</v>
      </c>
      <c r="W7" s="372">
        <v>123980</v>
      </c>
      <c r="X7" s="373">
        <v>123980</v>
      </c>
      <c r="Y7" s="372">
        <v>123980</v>
      </c>
      <c r="Z7" s="373">
        <v>851438</v>
      </c>
      <c r="AA7" s="400">
        <v>0</v>
      </c>
      <c r="AB7" s="400">
        <v>0</v>
      </c>
      <c r="AC7" s="400">
        <v>0</v>
      </c>
      <c r="AD7" s="400">
        <v>0</v>
      </c>
      <c r="AE7" s="372">
        <v>0</v>
      </c>
      <c r="AF7" s="372">
        <v>0</v>
      </c>
      <c r="AG7" s="400">
        <v>1.3799999999999955</v>
      </c>
      <c r="AH7" s="374">
        <v>0</v>
      </c>
      <c r="AI7" s="375">
        <v>0</v>
      </c>
      <c r="AJ7" s="372">
        <v>233.9</v>
      </c>
      <c r="AK7" s="376">
        <v>5.899957246686599E-3</v>
      </c>
      <c r="AL7" s="376">
        <v>-5.899957246686599E-3</v>
      </c>
      <c r="AM7" s="412"/>
    </row>
    <row r="8" spans="2:39" s="377" customFormat="1" ht="28.15" customHeight="1" x14ac:dyDescent="0.25">
      <c r="B8" s="369">
        <v>43014</v>
      </c>
      <c r="C8" s="370">
        <v>172677.03</v>
      </c>
      <c r="D8" s="370">
        <v>0</v>
      </c>
      <c r="E8" s="371">
        <v>0</v>
      </c>
      <c r="F8" s="371">
        <v>0</v>
      </c>
      <c r="G8" s="371">
        <v>0</v>
      </c>
      <c r="H8" s="371">
        <f>25637.03+23060</f>
        <v>48697.03</v>
      </c>
      <c r="I8" s="371"/>
      <c r="J8" s="371"/>
      <c r="K8" s="371"/>
      <c r="L8" s="371"/>
      <c r="M8" s="371">
        <v>650000</v>
      </c>
      <c r="N8" s="371">
        <v>44000</v>
      </c>
      <c r="O8" s="371">
        <v>1600</v>
      </c>
      <c r="P8" s="371">
        <f t="shared" si="0"/>
        <v>91683</v>
      </c>
      <c r="Q8" s="371">
        <v>-59825</v>
      </c>
      <c r="R8" s="372">
        <v>172677.03</v>
      </c>
      <c r="S8" s="400">
        <v>172677.03</v>
      </c>
      <c r="T8" s="400">
        <v>0</v>
      </c>
      <c r="U8" s="400">
        <v>0</v>
      </c>
      <c r="V8" s="400">
        <v>0</v>
      </c>
      <c r="W8" s="372">
        <v>172677.03</v>
      </c>
      <c r="X8" s="373">
        <v>172677.03</v>
      </c>
      <c r="Y8" s="372">
        <v>172677.03</v>
      </c>
      <c r="Z8" s="373">
        <v>900135.03</v>
      </c>
      <c r="AA8" s="400">
        <v>0</v>
      </c>
      <c r="AB8" s="400">
        <v>0</v>
      </c>
      <c r="AC8" s="400">
        <v>0</v>
      </c>
      <c r="AD8" s="400">
        <v>0</v>
      </c>
      <c r="AE8" s="372">
        <v>0</v>
      </c>
      <c r="AF8" s="372">
        <v>0</v>
      </c>
      <c r="AG8" s="400">
        <v>-0.21999999999999886</v>
      </c>
      <c r="AH8" s="374">
        <v>0</v>
      </c>
      <c r="AI8" s="375">
        <v>0</v>
      </c>
      <c r="AJ8" s="372">
        <v>233.68</v>
      </c>
      <c r="AK8" s="376">
        <v>-9.414584046559349E-4</v>
      </c>
      <c r="AL8" s="376">
        <v>9.414584046559349E-4</v>
      </c>
      <c r="AM8" s="412"/>
    </row>
    <row r="9" spans="2:39" s="377" customFormat="1" ht="28.15" customHeight="1" x14ac:dyDescent="0.25">
      <c r="B9" s="378">
        <v>43015</v>
      </c>
      <c r="C9" s="370">
        <v>172677.03</v>
      </c>
      <c r="D9" s="370">
        <v>0</v>
      </c>
      <c r="E9" s="371">
        <v>0</v>
      </c>
      <c r="F9" s="371">
        <v>0</v>
      </c>
      <c r="G9" s="371">
        <v>0</v>
      </c>
      <c r="H9" s="371"/>
      <c r="I9" s="371"/>
      <c r="J9" s="371"/>
      <c r="K9" s="371"/>
      <c r="L9" s="371"/>
      <c r="M9" s="371">
        <v>650000</v>
      </c>
      <c r="N9" s="371">
        <v>44000</v>
      </c>
      <c r="O9" s="371">
        <v>1600</v>
      </c>
      <c r="P9" s="371">
        <f t="shared" si="0"/>
        <v>91683</v>
      </c>
      <c r="Q9" s="371">
        <v>-59825</v>
      </c>
      <c r="R9" s="372">
        <v>172677.03</v>
      </c>
      <c r="S9" s="400">
        <v>172677.03</v>
      </c>
      <c r="T9" s="400">
        <v>0</v>
      </c>
      <c r="U9" s="400">
        <v>0</v>
      </c>
      <c r="V9" s="400">
        <v>0</v>
      </c>
      <c r="W9" s="372">
        <v>172677.03</v>
      </c>
      <c r="X9" s="373">
        <v>172677.03</v>
      </c>
      <c r="Y9" s="372">
        <v>172677.03</v>
      </c>
      <c r="Z9" s="373">
        <v>900135.03</v>
      </c>
      <c r="AA9" s="400">
        <v>0</v>
      </c>
      <c r="AB9" s="400">
        <v>0</v>
      </c>
      <c r="AC9" s="400">
        <v>0</v>
      </c>
      <c r="AD9" s="400">
        <v>0</v>
      </c>
      <c r="AE9" s="372">
        <v>0</v>
      </c>
      <c r="AF9" s="372">
        <v>0</v>
      </c>
      <c r="AG9" s="400">
        <v>0</v>
      </c>
      <c r="AH9" s="374">
        <v>0</v>
      </c>
      <c r="AI9" s="375">
        <v>0</v>
      </c>
      <c r="AJ9" s="372">
        <v>233.68</v>
      </c>
      <c r="AK9" s="376">
        <v>0</v>
      </c>
      <c r="AL9" s="376">
        <v>0</v>
      </c>
      <c r="AM9" s="412"/>
    </row>
    <row r="10" spans="2:39" s="377" customFormat="1" ht="28.15" customHeight="1" x14ac:dyDescent="0.25">
      <c r="B10" s="378">
        <v>43016</v>
      </c>
      <c r="C10" s="370">
        <v>172677.03</v>
      </c>
      <c r="D10" s="370">
        <v>0</v>
      </c>
      <c r="E10" s="371">
        <v>0</v>
      </c>
      <c r="F10" s="371">
        <v>0</v>
      </c>
      <c r="G10" s="371">
        <v>0</v>
      </c>
      <c r="H10" s="371"/>
      <c r="I10" s="371"/>
      <c r="J10" s="371"/>
      <c r="K10" s="371"/>
      <c r="L10" s="371"/>
      <c r="M10" s="371">
        <v>650000</v>
      </c>
      <c r="N10" s="371">
        <v>44000</v>
      </c>
      <c r="O10" s="371">
        <v>1600</v>
      </c>
      <c r="P10" s="371">
        <f t="shared" si="0"/>
        <v>91683</v>
      </c>
      <c r="Q10" s="371">
        <v>-59825</v>
      </c>
      <c r="R10" s="372">
        <v>172677.03</v>
      </c>
      <c r="S10" s="400">
        <v>172677.03</v>
      </c>
      <c r="T10" s="400">
        <v>0</v>
      </c>
      <c r="U10" s="400">
        <v>0</v>
      </c>
      <c r="V10" s="400">
        <v>0</v>
      </c>
      <c r="W10" s="372">
        <v>172677.03</v>
      </c>
      <c r="X10" s="373">
        <v>172677.03</v>
      </c>
      <c r="Y10" s="372">
        <v>172677.03</v>
      </c>
      <c r="Z10" s="373">
        <v>900135.03</v>
      </c>
      <c r="AA10" s="400">
        <v>0</v>
      </c>
      <c r="AB10" s="400">
        <v>0</v>
      </c>
      <c r="AC10" s="400">
        <v>0</v>
      </c>
      <c r="AD10" s="400">
        <v>0</v>
      </c>
      <c r="AE10" s="372">
        <v>0</v>
      </c>
      <c r="AF10" s="372">
        <v>0</v>
      </c>
      <c r="AG10" s="400">
        <v>0</v>
      </c>
      <c r="AH10" s="374">
        <v>0</v>
      </c>
      <c r="AI10" s="375">
        <v>0</v>
      </c>
      <c r="AJ10" s="372">
        <v>233.68</v>
      </c>
      <c r="AK10" s="376">
        <v>0</v>
      </c>
      <c r="AL10" s="376">
        <v>0</v>
      </c>
      <c r="AM10" s="412"/>
    </row>
    <row r="11" spans="2:39" s="377" customFormat="1" ht="28.15" customHeight="1" x14ac:dyDescent="0.25">
      <c r="B11" s="369">
        <v>43017</v>
      </c>
      <c r="C11" s="370">
        <v>172677.03</v>
      </c>
      <c r="D11" s="370">
        <v>0</v>
      </c>
      <c r="E11" s="371">
        <v>0</v>
      </c>
      <c r="F11" s="371">
        <v>0</v>
      </c>
      <c r="G11" s="371">
        <v>0</v>
      </c>
      <c r="H11" s="371"/>
      <c r="I11" s="371"/>
      <c r="J11" s="371"/>
      <c r="K11" s="371"/>
      <c r="L11" s="371"/>
      <c r="M11" s="371">
        <v>650000</v>
      </c>
      <c r="N11" s="371">
        <v>44000</v>
      </c>
      <c r="O11" s="371">
        <v>1600</v>
      </c>
      <c r="P11" s="371">
        <f t="shared" si="0"/>
        <v>91683</v>
      </c>
      <c r="Q11" s="371">
        <v>-59825</v>
      </c>
      <c r="R11" s="372">
        <v>172677.03</v>
      </c>
      <c r="S11" s="400">
        <v>172677.03</v>
      </c>
      <c r="T11" s="400">
        <v>0</v>
      </c>
      <c r="U11" s="400">
        <v>0</v>
      </c>
      <c r="V11" s="400">
        <v>0</v>
      </c>
      <c r="W11" s="372">
        <v>172677.03</v>
      </c>
      <c r="X11" s="373">
        <v>172677.03</v>
      </c>
      <c r="Y11" s="372">
        <v>172677.03</v>
      </c>
      <c r="Z11" s="373">
        <v>900135.03</v>
      </c>
      <c r="AA11" s="400">
        <v>0</v>
      </c>
      <c r="AB11" s="400">
        <v>0</v>
      </c>
      <c r="AC11" s="400">
        <v>0</v>
      </c>
      <c r="AD11" s="400">
        <v>0</v>
      </c>
      <c r="AE11" s="372">
        <v>0</v>
      </c>
      <c r="AF11" s="372">
        <v>0</v>
      </c>
      <c r="AG11" s="400">
        <v>-0.40999999999999659</v>
      </c>
      <c r="AH11" s="374">
        <v>0</v>
      </c>
      <c r="AI11" s="375">
        <v>0</v>
      </c>
      <c r="AJ11" s="372">
        <v>233.27</v>
      </c>
      <c r="AK11" s="376">
        <v>-1.7576199254083105E-3</v>
      </c>
      <c r="AL11" s="376">
        <v>1.7576199254083105E-3</v>
      </c>
      <c r="AM11" s="412"/>
    </row>
    <row r="12" spans="2:39" s="377" customFormat="1" ht="28.15" customHeight="1" x14ac:dyDescent="0.25">
      <c r="B12" s="369">
        <v>43018</v>
      </c>
      <c r="C12" s="370">
        <v>182677.03</v>
      </c>
      <c r="D12" s="370">
        <v>0</v>
      </c>
      <c r="E12" s="371">
        <v>0</v>
      </c>
      <c r="F12" s="371">
        <v>0</v>
      </c>
      <c r="G12" s="371">
        <v>0</v>
      </c>
      <c r="H12" s="371">
        <v>10000</v>
      </c>
      <c r="I12" s="371"/>
      <c r="J12" s="371"/>
      <c r="K12" s="371"/>
      <c r="L12" s="371"/>
      <c r="M12" s="371">
        <v>650000</v>
      </c>
      <c r="N12" s="371">
        <v>44000</v>
      </c>
      <c r="O12" s="371">
        <v>1600</v>
      </c>
      <c r="P12" s="371">
        <f t="shared" si="0"/>
        <v>91683</v>
      </c>
      <c r="Q12" s="371">
        <v>-59825</v>
      </c>
      <c r="R12" s="372">
        <v>182677.03</v>
      </c>
      <c r="S12" s="400">
        <v>182677.03</v>
      </c>
      <c r="T12" s="400">
        <v>0</v>
      </c>
      <c r="U12" s="400">
        <v>0</v>
      </c>
      <c r="V12" s="400">
        <v>0</v>
      </c>
      <c r="W12" s="372">
        <v>182677.03</v>
      </c>
      <c r="X12" s="373">
        <v>182677.03</v>
      </c>
      <c r="Y12" s="372">
        <v>182677.03</v>
      </c>
      <c r="Z12" s="373">
        <v>910135.03</v>
      </c>
      <c r="AA12" s="400">
        <v>0</v>
      </c>
      <c r="AB12" s="400">
        <v>0</v>
      </c>
      <c r="AC12" s="400">
        <v>0</v>
      </c>
      <c r="AD12" s="400">
        <v>0</v>
      </c>
      <c r="AE12" s="372">
        <v>0</v>
      </c>
      <c r="AF12" s="372">
        <v>0</v>
      </c>
      <c r="AG12" s="400">
        <v>0.59000000000000341</v>
      </c>
      <c r="AH12" s="374">
        <v>0</v>
      </c>
      <c r="AI12" s="375">
        <v>0</v>
      </c>
      <c r="AJ12" s="372">
        <v>233.86</v>
      </c>
      <c r="AK12" s="376">
        <v>2.5228769349183418E-3</v>
      </c>
      <c r="AL12" s="376">
        <v>-2.5228769349183418E-3</v>
      </c>
      <c r="AM12" s="412"/>
    </row>
    <row r="13" spans="2:39" s="377" customFormat="1" ht="28.15" customHeight="1" x14ac:dyDescent="0.25">
      <c r="B13" s="369">
        <v>43019</v>
      </c>
      <c r="C13" s="370">
        <v>182677.03</v>
      </c>
      <c r="D13" s="370">
        <v>0</v>
      </c>
      <c r="E13" s="371">
        <v>0</v>
      </c>
      <c r="F13" s="371">
        <v>0</v>
      </c>
      <c r="G13" s="371">
        <v>0</v>
      </c>
      <c r="H13" s="371"/>
      <c r="I13" s="371"/>
      <c r="J13" s="371"/>
      <c r="K13" s="371"/>
      <c r="L13" s="371"/>
      <c r="M13" s="371">
        <v>650000</v>
      </c>
      <c r="N13" s="371">
        <v>44000</v>
      </c>
      <c r="O13" s="371">
        <v>1600</v>
      </c>
      <c r="P13" s="371">
        <f t="shared" si="0"/>
        <v>91683</v>
      </c>
      <c r="Q13" s="371">
        <v>-59825</v>
      </c>
      <c r="R13" s="372">
        <v>182677.03</v>
      </c>
      <c r="S13" s="400">
        <v>182677.03</v>
      </c>
      <c r="T13" s="400">
        <v>0</v>
      </c>
      <c r="U13" s="400">
        <v>0</v>
      </c>
      <c r="V13" s="400">
        <v>0</v>
      </c>
      <c r="W13" s="372">
        <v>182677.03</v>
      </c>
      <c r="X13" s="373">
        <v>182677.03</v>
      </c>
      <c r="Y13" s="372">
        <v>182677.03</v>
      </c>
      <c r="Z13" s="373">
        <v>910135.03</v>
      </c>
      <c r="AA13" s="400">
        <v>0</v>
      </c>
      <c r="AB13" s="400">
        <v>0</v>
      </c>
      <c r="AC13" s="400">
        <v>0</v>
      </c>
      <c r="AD13" s="400">
        <v>0</v>
      </c>
      <c r="AE13" s="372">
        <v>0</v>
      </c>
      <c r="AF13" s="372">
        <v>0</v>
      </c>
      <c r="AG13" s="400">
        <v>0.37999999999999545</v>
      </c>
      <c r="AH13" s="374">
        <v>0</v>
      </c>
      <c r="AI13" s="375">
        <v>0</v>
      </c>
      <c r="AJ13" s="372">
        <v>234.24</v>
      </c>
      <c r="AK13" s="376">
        <v>1.6222677595628221E-3</v>
      </c>
      <c r="AL13" s="376">
        <v>-1.6222677595628221E-3</v>
      </c>
      <c r="AM13" s="412"/>
    </row>
    <row r="14" spans="2:39" s="377" customFormat="1" ht="28.15" customHeight="1" x14ac:dyDescent="0.25">
      <c r="B14" s="369">
        <v>43020</v>
      </c>
      <c r="C14" s="370">
        <v>182677.03</v>
      </c>
      <c r="D14" s="370">
        <v>0</v>
      </c>
      <c r="E14" s="371">
        <v>0</v>
      </c>
      <c r="F14" s="371">
        <v>0</v>
      </c>
      <c r="G14" s="371">
        <v>0</v>
      </c>
      <c r="H14" s="371"/>
      <c r="I14" s="371"/>
      <c r="J14" s="371"/>
      <c r="K14" s="371"/>
      <c r="L14" s="371"/>
      <c r="M14" s="371">
        <v>650000</v>
      </c>
      <c r="N14" s="371">
        <v>44000</v>
      </c>
      <c r="O14" s="371">
        <v>1600</v>
      </c>
      <c r="P14" s="371">
        <f t="shared" si="0"/>
        <v>91683</v>
      </c>
      <c r="Q14" s="371">
        <v>-59825</v>
      </c>
      <c r="R14" s="372">
        <v>182677.03</v>
      </c>
      <c r="S14" s="400">
        <v>182677.03</v>
      </c>
      <c r="T14" s="400">
        <v>0</v>
      </c>
      <c r="U14" s="400">
        <v>0</v>
      </c>
      <c r="V14" s="400">
        <v>0</v>
      </c>
      <c r="W14" s="372">
        <v>182677.03</v>
      </c>
      <c r="X14" s="373">
        <v>182677.03</v>
      </c>
      <c r="Y14" s="372">
        <v>182677.03</v>
      </c>
      <c r="Z14" s="373">
        <v>910135.03</v>
      </c>
      <c r="AA14" s="400">
        <v>0</v>
      </c>
      <c r="AB14" s="400">
        <v>0</v>
      </c>
      <c r="AC14" s="400">
        <v>0</v>
      </c>
      <c r="AD14" s="400">
        <v>0</v>
      </c>
      <c r="AE14" s="372">
        <v>0</v>
      </c>
      <c r="AF14" s="372">
        <v>0</v>
      </c>
      <c r="AG14" s="400">
        <v>-0.36000000000001364</v>
      </c>
      <c r="AH14" s="374">
        <v>0</v>
      </c>
      <c r="AI14" s="375">
        <v>0</v>
      </c>
      <c r="AJ14" s="372">
        <v>233.88</v>
      </c>
      <c r="AK14" s="376">
        <v>-1.5392508978964155E-3</v>
      </c>
      <c r="AL14" s="376">
        <v>1.5392508978964155E-3</v>
      </c>
      <c r="AM14" s="412"/>
    </row>
    <row r="15" spans="2:39" s="377" customFormat="1" ht="28.15" customHeight="1" x14ac:dyDescent="0.25">
      <c r="B15" s="369">
        <v>43021</v>
      </c>
      <c r="C15" s="370">
        <v>220549.03</v>
      </c>
      <c r="D15" s="370">
        <v>0</v>
      </c>
      <c r="E15" s="371">
        <v>0</v>
      </c>
      <c r="F15" s="371">
        <v>0</v>
      </c>
      <c r="G15" s="371">
        <v>0</v>
      </c>
      <c r="H15" s="371">
        <v>37872</v>
      </c>
      <c r="I15" s="371"/>
      <c r="J15" s="371"/>
      <c r="K15" s="371"/>
      <c r="L15" s="371"/>
      <c r="M15" s="371">
        <v>650000</v>
      </c>
      <c r="N15" s="371">
        <v>44000</v>
      </c>
      <c r="O15" s="371">
        <v>1600</v>
      </c>
      <c r="P15" s="371">
        <f t="shared" si="0"/>
        <v>91683</v>
      </c>
      <c r="Q15" s="371">
        <v>-59825</v>
      </c>
      <c r="R15" s="372">
        <v>220549.03</v>
      </c>
      <c r="S15" s="400">
        <v>220549.03</v>
      </c>
      <c r="T15" s="400">
        <v>0</v>
      </c>
      <c r="U15" s="400">
        <v>0</v>
      </c>
      <c r="V15" s="400">
        <v>0</v>
      </c>
      <c r="W15" s="372">
        <v>220549.03</v>
      </c>
      <c r="X15" s="373">
        <v>220549.03</v>
      </c>
      <c r="Y15" s="372">
        <v>220549.03</v>
      </c>
      <c r="Z15" s="373">
        <v>948007.03</v>
      </c>
      <c r="AA15" s="400">
        <v>0</v>
      </c>
      <c r="AB15" s="400">
        <v>0</v>
      </c>
      <c r="AC15" s="400">
        <v>0</v>
      </c>
      <c r="AD15" s="400">
        <v>0</v>
      </c>
      <c r="AE15" s="372">
        <v>0</v>
      </c>
      <c r="AF15" s="372">
        <v>0</v>
      </c>
      <c r="AG15" s="400">
        <v>0.25999999999999091</v>
      </c>
      <c r="AH15" s="374">
        <v>0</v>
      </c>
      <c r="AI15" s="375">
        <v>0</v>
      </c>
      <c r="AJ15" s="372">
        <v>234.14</v>
      </c>
      <c r="AK15" s="376">
        <v>1.1104467412658705E-3</v>
      </c>
      <c r="AL15" s="376">
        <v>-1.1104467412658705E-3</v>
      </c>
      <c r="AM15" s="412"/>
    </row>
    <row r="16" spans="2:39" s="377" customFormat="1" ht="28.15" customHeight="1" x14ac:dyDescent="0.25">
      <c r="B16" s="378">
        <v>43022</v>
      </c>
      <c r="C16" s="370">
        <v>235575</v>
      </c>
      <c r="D16" s="370">
        <v>0</v>
      </c>
      <c r="E16" s="371">
        <v>0</v>
      </c>
      <c r="F16" s="371">
        <v>0</v>
      </c>
      <c r="G16" s="371">
        <v>0</v>
      </c>
      <c r="H16" s="371"/>
      <c r="I16" s="371"/>
      <c r="J16" s="371"/>
      <c r="K16" s="371"/>
      <c r="L16" s="371"/>
      <c r="M16" s="371">
        <v>650000</v>
      </c>
      <c r="N16" s="371">
        <v>44000</v>
      </c>
      <c r="O16" s="371">
        <v>1600</v>
      </c>
      <c r="P16" s="371">
        <f t="shared" si="0"/>
        <v>91683</v>
      </c>
      <c r="Q16" s="371">
        <v>-59825</v>
      </c>
      <c r="R16" s="372">
        <v>235575</v>
      </c>
      <c r="S16" s="400">
        <v>220549.03</v>
      </c>
      <c r="T16" s="400">
        <v>0</v>
      </c>
      <c r="U16" s="400">
        <v>0</v>
      </c>
      <c r="V16" s="400">
        <v>0</v>
      </c>
      <c r="W16" s="372">
        <v>220549.03</v>
      </c>
      <c r="X16" s="373">
        <v>220549.03</v>
      </c>
      <c r="Y16" s="372">
        <v>235575</v>
      </c>
      <c r="Z16" s="373">
        <v>963033</v>
      </c>
      <c r="AA16" s="400">
        <v>15025.970000000001</v>
      </c>
      <c r="AB16" s="400">
        <v>0</v>
      </c>
      <c r="AC16" s="400">
        <v>0</v>
      </c>
      <c r="AD16" s="400">
        <v>0</v>
      </c>
      <c r="AE16" s="372">
        <v>15025.970000000001</v>
      </c>
      <c r="AF16" s="372">
        <v>15025.970000000001</v>
      </c>
      <c r="AG16" s="400">
        <v>0</v>
      </c>
      <c r="AH16" s="374">
        <v>6.3784230075347559E-2</v>
      </c>
      <c r="AI16" s="375">
        <v>0</v>
      </c>
      <c r="AJ16" s="372">
        <v>234.14</v>
      </c>
      <c r="AK16" s="376">
        <v>0</v>
      </c>
      <c r="AL16" s="376">
        <v>6.3784230075347559E-2</v>
      </c>
      <c r="AM16" s="412"/>
    </row>
    <row r="17" spans="2:39" s="377" customFormat="1" ht="28.15" customHeight="1" x14ac:dyDescent="0.25">
      <c r="B17" s="378">
        <v>43023</v>
      </c>
      <c r="C17" s="370">
        <v>235575</v>
      </c>
      <c r="D17" s="370">
        <v>0</v>
      </c>
      <c r="E17" s="371">
        <v>0</v>
      </c>
      <c r="F17" s="371">
        <v>0</v>
      </c>
      <c r="G17" s="371">
        <v>0</v>
      </c>
      <c r="H17" s="371"/>
      <c r="I17" s="371"/>
      <c r="J17" s="371"/>
      <c r="K17" s="371"/>
      <c r="L17" s="371"/>
      <c r="M17" s="371">
        <v>650000</v>
      </c>
      <c r="N17" s="371">
        <v>44000</v>
      </c>
      <c r="O17" s="371">
        <v>1600</v>
      </c>
      <c r="P17" s="371">
        <f t="shared" si="0"/>
        <v>91683</v>
      </c>
      <c r="Q17" s="371">
        <v>-59825</v>
      </c>
      <c r="R17" s="372">
        <v>235575</v>
      </c>
      <c r="S17" s="400">
        <v>220549.03</v>
      </c>
      <c r="T17" s="400">
        <v>0</v>
      </c>
      <c r="U17" s="400">
        <v>0</v>
      </c>
      <c r="V17" s="400">
        <v>0</v>
      </c>
      <c r="W17" s="372">
        <v>220549.03</v>
      </c>
      <c r="X17" s="373">
        <v>220549.03</v>
      </c>
      <c r="Y17" s="372">
        <v>235575</v>
      </c>
      <c r="Z17" s="373">
        <v>963033</v>
      </c>
      <c r="AA17" s="400">
        <v>0</v>
      </c>
      <c r="AB17" s="400">
        <v>0</v>
      </c>
      <c r="AC17" s="400">
        <v>0</v>
      </c>
      <c r="AD17" s="400">
        <v>0</v>
      </c>
      <c r="AE17" s="372">
        <v>0</v>
      </c>
      <c r="AF17" s="372">
        <v>0</v>
      </c>
      <c r="AG17" s="400">
        <v>0</v>
      </c>
      <c r="AH17" s="374">
        <v>0</v>
      </c>
      <c r="AI17" s="375">
        <v>0</v>
      </c>
      <c r="AJ17" s="372">
        <v>234.14</v>
      </c>
      <c r="AK17" s="376">
        <v>0</v>
      </c>
      <c r="AL17" s="376">
        <v>0</v>
      </c>
      <c r="AM17" s="412"/>
    </row>
    <row r="18" spans="2:39" s="377" customFormat="1" ht="28.15" customHeight="1" x14ac:dyDescent="0.25">
      <c r="B18" s="369">
        <v>43024</v>
      </c>
      <c r="C18" s="370">
        <v>235575</v>
      </c>
      <c r="D18" s="370">
        <v>0</v>
      </c>
      <c r="E18" s="371">
        <v>0</v>
      </c>
      <c r="F18" s="371">
        <v>0</v>
      </c>
      <c r="G18" s="371">
        <v>0</v>
      </c>
      <c r="H18" s="371"/>
      <c r="I18" s="371"/>
      <c r="J18" s="371"/>
      <c r="K18" s="371"/>
      <c r="L18" s="371"/>
      <c r="M18" s="371">
        <v>650000</v>
      </c>
      <c r="N18" s="371">
        <v>44000</v>
      </c>
      <c r="O18" s="371">
        <v>1600</v>
      </c>
      <c r="P18" s="371">
        <f t="shared" si="0"/>
        <v>91683</v>
      </c>
      <c r="Q18" s="371">
        <v>-59825</v>
      </c>
      <c r="R18" s="372">
        <v>235575</v>
      </c>
      <c r="S18" s="400">
        <v>220549.03</v>
      </c>
      <c r="T18" s="400">
        <v>0</v>
      </c>
      <c r="U18" s="400">
        <v>0</v>
      </c>
      <c r="V18" s="400">
        <v>0</v>
      </c>
      <c r="W18" s="372">
        <v>220549.03</v>
      </c>
      <c r="X18" s="373">
        <v>220549.03</v>
      </c>
      <c r="Y18" s="372">
        <v>235575</v>
      </c>
      <c r="Z18" s="373">
        <v>963033</v>
      </c>
      <c r="AA18" s="400">
        <v>0</v>
      </c>
      <c r="AB18" s="400">
        <v>0</v>
      </c>
      <c r="AC18" s="400">
        <v>0</v>
      </c>
      <c r="AD18" s="400">
        <v>0</v>
      </c>
      <c r="AE18" s="372">
        <v>0</v>
      </c>
      <c r="AF18" s="372">
        <v>0</v>
      </c>
      <c r="AG18" s="400">
        <v>0.37000000000000455</v>
      </c>
      <c r="AH18" s="374">
        <v>0</v>
      </c>
      <c r="AI18" s="375">
        <v>0</v>
      </c>
      <c r="AJ18" s="372">
        <v>234.51</v>
      </c>
      <c r="AK18" s="376">
        <v>1.5777578781288838E-3</v>
      </c>
      <c r="AL18" s="376">
        <v>-1.5777578781288838E-3</v>
      </c>
      <c r="AM18" s="412"/>
    </row>
    <row r="19" spans="2:39" s="377" customFormat="1" ht="28.15" customHeight="1" x14ac:dyDescent="0.25">
      <c r="B19" s="369">
        <v>43025</v>
      </c>
      <c r="C19" s="370">
        <v>235575</v>
      </c>
      <c r="D19" s="370">
        <v>0</v>
      </c>
      <c r="E19" s="371">
        <v>0</v>
      </c>
      <c r="F19" s="371">
        <v>0</v>
      </c>
      <c r="G19" s="371">
        <v>0</v>
      </c>
      <c r="H19" s="371"/>
      <c r="I19" s="371"/>
      <c r="J19" s="371"/>
      <c r="K19" s="371"/>
      <c r="L19" s="371"/>
      <c r="M19" s="371">
        <v>650000</v>
      </c>
      <c r="N19" s="371">
        <v>44000</v>
      </c>
      <c r="O19" s="371">
        <v>1600</v>
      </c>
      <c r="P19" s="371">
        <f t="shared" si="0"/>
        <v>91683</v>
      </c>
      <c r="Q19" s="371">
        <v>-59825</v>
      </c>
      <c r="R19" s="372">
        <v>235575</v>
      </c>
      <c r="S19" s="400">
        <v>220549.03</v>
      </c>
      <c r="T19" s="400">
        <v>0</v>
      </c>
      <c r="U19" s="400">
        <v>0</v>
      </c>
      <c r="V19" s="400">
        <v>0</v>
      </c>
      <c r="W19" s="372">
        <v>220549.03</v>
      </c>
      <c r="X19" s="373">
        <v>220549.03</v>
      </c>
      <c r="Y19" s="372">
        <v>235575</v>
      </c>
      <c r="Z19" s="373">
        <v>963033</v>
      </c>
      <c r="AA19" s="400">
        <v>0</v>
      </c>
      <c r="AB19" s="400">
        <v>0</v>
      </c>
      <c r="AC19" s="400">
        <v>0</v>
      </c>
      <c r="AD19" s="400">
        <v>0</v>
      </c>
      <c r="AE19" s="372">
        <v>0</v>
      </c>
      <c r="AF19" s="372">
        <v>0</v>
      </c>
      <c r="AG19" s="400">
        <v>0.15000000000000568</v>
      </c>
      <c r="AH19" s="374">
        <v>0</v>
      </c>
      <c r="AI19" s="375">
        <v>0</v>
      </c>
      <c r="AJ19" s="372">
        <v>234.66</v>
      </c>
      <c r="AK19" s="376">
        <v>6.3922270519051259E-4</v>
      </c>
      <c r="AL19" s="376">
        <v>-6.3922270519051259E-4</v>
      </c>
      <c r="AM19" s="412"/>
    </row>
    <row r="20" spans="2:39" s="377" customFormat="1" ht="28.15" customHeight="1" x14ac:dyDescent="0.25">
      <c r="B20" s="369">
        <v>43026</v>
      </c>
      <c r="C20" s="370">
        <v>235575</v>
      </c>
      <c r="D20" s="370">
        <v>0</v>
      </c>
      <c r="E20" s="371">
        <v>0</v>
      </c>
      <c r="F20" s="371">
        <v>0</v>
      </c>
      <c r="G20" s="371">
        <v>0</v>
      </c>
      <c r="H20" s="371"/>
      <c r="I20" s="371"/>
      <c r="J20" s="371"/>
      <c r="K20" s="371"/>
      <c r="L20" s="371"/>
      <c r="M20" s="371">
        <v>650000</v>
      </c>
      <c r="N20" s="371">
        <v>44000</v>
      </c>
      <c r="O20" s="371">
        <v>1600</v>
      </c>
      <c r="P20" s="371">
        <f t="shared" si="0"/>
        <v>91683</v>
      </c>
      <c r="Q20" s="371">
        <v>-59825</v>
      </c>
      <c r="R20" s="372">
        <v>235575</v>
      </c>
      <c r="S20" s="400">
        <v>220549.03</v>
      </c>
      <c r="T20" s="400">
        <v>0</v>
      </c>
      <c r="U20" s="400">
        <v>0</v>
      </c>
      <c r="V20" s="400">
        <v>0</v>
      </c>
      <c r="W20" s="372">
        <v>220549.03</v>
      </c>
      <c r="X20" s="373">
        <v>220549.03</v>
      </c>
      <c r="Y20" s="372">
        <v>235575</v>
      </c>
      <c r="Z20" s="373">
        <v>963033</v>
      </c>
      <c r="AA20" s="400">
        <v>0</v>
      </c>
      <c r="AB20" s="400">
        <v>0</v>
      </c>
      <c r="AC20" s="400">
        <v>0</v>
      </c>
      <c r="AD20" s="400">
        <v>0</v>
      </c>
      <c r="AE20" s="372">
        <v>0</v>
      </c>
      <c r="AF20" s="372">
        <v>0</v>
      </c>
      <c r="AG20" s="400">
        <v>0.21000000000000796</v>
      </c>
      <c r="AH20" s="374">
        <v>0</v>
      </c>
      <c r="AI20" s="375">
        <v>0</v>
      </c>
      <c r="AJ20" s="372">
        <v>234.87</v>
      </c>
      <c r="AK20" s="376">
        <v>8.9411163622432816E-4</v>
      </c>
      <c r="AL20" s="376">
        <v>-8.9411163622432816E-4</v>
      </c>
      <c r="AM20" s="412"/>
    </row>
    <row r="21" spans="2:39" s="377" customFormat="1" ht="28.15" customHeight="1" x14ac:dyDescent="0.25">
      <c r="B21" s="369">
        <v>43027</v>
      </c>
      <c r="C21" s="370">
        <v>235575</v>
      </c>
      <c r="D21" s="370">
        <v>0</v>
      </c>
      <c r="E21" s="371">
        <v>0</v>
      </c>
      <c r="F21" s="371">
        <v>0</v>
      </c>
      <c r="G21" s="371">
        <v>0</v>
      </c>
      <c r="H21" s="371"/>
      <c r="I21" s="371"/>
      <c r="J21" s="371"/>
      <c r="K21" s="371"/>
      <c r="L21" s="371"/>
      <c r="M21" s="371">
        <v>650000</v>
      </c>
      <c r="N21" s="371">
        <v>44000</v>
      </c>
      <c r="O21" s="371">
        <v>1600</v>
      </c>
      <c r="P21" s="371">
        <f t="shared" si="0"/>
        <v>91683</v>
      </c>
      <c r="Q21" s="371">
        <v>-59825</v>
      </c>
      <c r="R21" s="372">
        <v>235575</v>
      </c>
      <c r="S21" s="400">
        <v>220549.03</v>
      </c>
      <c r="T21" s="400">
        <v>0</v>
      </c>
      <c r="U21" s="400">
        <v>0</v>
      </c>
      <c r="V21" s="400">
        <v>0</v>
      </c>
      <c r="W21" s="372">
        <v>220549.03</v>
      </c>
      <c r="X21" s="373">
        <v>220549.03</v>
      </c>
      <c r="Y21" s="372">
        <v>235575</v>
      </c>
      <c r="Z21" s="373">
        <v>963033</v>
      </c>
      <c r="AA21" s="400">
        <v>0</v>
      </c>
      <c r="AB21" s="400">
        <v>0</v>
      </c>
      <c r="AC21" s="400">
        <v>0</v>
      </c>
      <c r="AD21" s="400">
        <v>0</v>
      </c>
      <c r="AE21" s="372">
        <v>0</v>
      </c>
      <c r="AF21" s="372">
        <v>0</v>
      </c>
      <c r="AG21" s="400">
        <v>0.12000000000000455</v>
      </c>
      <c r="AH21" s="374">
        <v>0</v>
      </c>
      <c r="AI21" s="375">
        <v>0</v>
      </c>
      <c r="AJ21" s="372">
        <v>234.99</v>
      </c>
      <c r="AK21" s="376">
        <v>5.1066002808632083E-4</v>
      </c>
      <c r="AL21" s="376">
        <v>-5.1066002808632083E-4</v>
      </c>
      <c r="AM21" s="412"/>
    </row>
    <row r="22" spans="2:39" s="377" customFormat="1" ht="28.15" customHeight="1" x14ac:dyDescent="0.25">
      <c r="B22" s="369">
        <v>43028</v>
      </c>
      <c r="C22" s="370">
        <v>235575</v>
      </c>
      <c r="D22" s="370">
        <v>0</v>
      </c>
      <c r="E22" s="371">
        <v>0</v>
      </c>
      <c r="F22" s="371">
        <v>0</v>
      </c>
      <c r="G22" s="371">
        <v>0</v>
      </c>
      <c r="H22" s="371"/>
      <c r="I22" s="371"/>
      <c r="J22" s="371"/>
      <c r="K22" s="371"/>
      <c r="L22" s="371"/>
      <c r="M22" s="371">
        <v>650000</v>
      </c>
      <c r="N22" s="371">
        <v>44000</v>
      </c>
      <c r="O22" s="371">
        <v>1600</v>
      </c>
      <c r="P22" s="371">
        <f t="shared" si="0"/>
        <v>91683</v>
      </c>
      <c r="Q22" s="371">
        <v>-59825</v>
      </c>
      <c r="R22" s="372">
        <v>235575</v>
      </c>
      <c r="S22" s="400">
        <v>220549.03</v>
      </c>
      <c r="T22" s="400">
        <v>0</v>
      </c>
      <c r="U22" s="400">
        <v>0</v>
      </c>
      <c r="V22" s="400">
        <v>0</v>
      </c>
      <c r="W22" s="372">
        <v>220549.03</v>
      </c>
      <c r="X22" s="373">
        <v>220549.03</v>
      </c>
      <c r="Y22" s="372">
        <v>235575</v>
      </c>
      <c r="Z22" s="373">
        <v>963033</v>
      </c>
      <c r="AA22" s="400">
        <v>0</v>
      </c>
      <c r="AB22" s="400">
        <v>0</v>
      </c>
      <c r="AC22" s="400">
        <v>0</v>
      </c>
      <c r="AD22" s="400">
        <v>0</v>
      </c>
      <c r="AE22" s="372">
        <v>0</v>
      </c>
      <c r="AF22" s="372">
        <v>0</v>
      </c>
      <c r="AG22" s="400">
        <v>1.1699999999999875</v>
      </c>
      <c r="AH22" s="374">
        <v>0</v>
      </c>
      <c r="AI22" s="375">
        <v>0</v>
      </c>
      <c r="AJ22" s="372">
        <v>236.16</v>
      </c>
      <c r="AK22" s="376">
        <v>4.954268292682874E-3</v>
      </c>
      <c r="AL22" s="376">
        <v>-4.954268292682874E-3</v>
      </c>
      <c r="AM22" s="412"/>
    </row>
    <row r="23" spans="2:39" s="377" customFormat="1" ht="28.15" customHeight="1" x14ac:dyDescent="0.25">
      <c r="B23" s="378">
        <v>43029</v>
      </c>
      <c r="C23" s="370">
        <v>235575</v>
      </c>
      <c r="D23" s="370">
        <v>0</v>
      </c>
      <c r="E23" s="371">
        <v>0</v>
      </c>
      <c r="F23" s="371">
        <v>0</v>
      </c>
      <c r="G23" s="371">
        <v>0</v>
      </c>
      <c r="H23" s="371"/>
      <c r="I23" s="371"/>
      <c r="J23" s="371"/>
      <c r="K23" s="371"/>
      <c r="L23" s="371"/>
      <c r="M23" s="371">
        <v>650000</v>
      </c>
      <c r="N23" s="371">
        <v>44000</v>
      </c>
      <c r="O23" s="371">
        <v>1600</v>
      </c>
      <c r="P23" s="371">
        <f t="shared" si="0"/>
        <v>91683</v>
      </c>
      <c r="Q23" s="371">
        <v>-59825</v>
      </c>
      <c r="R23" s="372">
        <v>235575</v>
      </c>
      <c r="S23" s="400">
        <v>220549.03</v>
      </c>
      <c r="T23" s="400">
        <v>0</v>
      </c>
      <c r="U23" s="400">
        <v>0</v>
      </c>
      <c r="V23" s="400">
        <v>0</v>
      </c>
      <c r="W23" s="372">
        <v>220549.03</v>
      </c>
      <c r="X23" s="373">
        <v>220549.03</v>
      </c>
      <c r="Y23" s="372">
        <v>235575</v>
      </c>
      <c r="Z23" s="373">
        <v>963033</v>
      </c>
      <c r="AA23" s="400">
        <v>0</v>
      </c>
      <c r="AB23" s="400">
        <v>0</v>
      </c>
      <c r="AC23" s="400">
        <v>0</v>
      </c>
      <c r="AD23" s="400">
        <v>0</v>
      </c>
      <c r="AE23" s="372">
        <v>0</v>
      </c>
      <c r="AF23" s="372">
        <v>0</v>
      </c>
      <c r="AG23" s="400">
        <v>0</v>
      </c>
      <c r="AH23" s="374">
        <v>0</v>
      </c>
      <c r="AI23" s="375">
        <v>0</v>
      </c>
      <c r="AJ23" s="372">
        <v>236.16</v>
      </c>
      <c r="AK23" s="376">
        <v>0</v>
      </c>
      <c r="AL23" s="376">
        <v>0</v>
      </c>
      <c r="AM23" s="412"/>
    </row>
    <row r="24" spans="2:39" s="377" customFormat="1" ht="28.15" customHeight="1" x14ac:dyDescent="0.25">
      <c r="B24" s="378">
        <v>43030</v>
      </c>
      <c r="C24" s="370">
        <v>235575</v>
      </c>
      <c r="D24" s="370">
        <v>0</v>
      </c>
      <c r="E24" s="371">
        <v>0</v>
      </c>
      <c r="F24" s="371">
        <v>0</v>
      </c>
      <c r="G24" s="371">
        <v>0</v>
      </c>
      <c r="H24" s="371"/>
      <c r="I24" s="371"/>
      <c r="J24" s="371"/>
      <c r="K24" s="371"/>
      <c r="L24" s="371"/>
      <c r="M24" s="371">
        <v>650000</v>
      </c>
      <c r="N24" s="371">
        <v>44000</v>
      </c>
      <c r="O24" s="371">
        <v>1600</v>
      </c>
      <c r="P24" s="371">
        <f t="shared" si="0"/>
        <v>91683</v>
      </c>
      <c r="Q24" s="371">
        <v>-59825</v>
      </c>
      <c r="R24" s="372">
        <v>235575</v>
      </c>
      <c r="S24" s="400">
        <v>220549.03</v>
      </c>
      <c r="T24" s="400">
        <v>0</v>
      </c>
      <c r="U24" s="400">
        <v>0</v>
      </c>
      <c r="V24" s="400">
        <v>0</v>
      </c>
      <c r="W24" s="372">
        <v>220549.03</v>
      </c>
      <c r="X24" s="373">
        <v>220549.03</v>
      </c>
      <c r="Y24" s="372">
        <v>235575</v>
      </c>
      <c r="Z24" s="373">
        <v>963033</v>
      </c>
      <c r="AA24" s="400">
        <v>0</v>
      </c>
      <c r="AB24" s="400">
        <v>0</v>
      </c>
      <c r="AC24" s="400">
        <v>0</v>
      </c>
      <c r="AD24" s="400">
        <v>0</v>
      </c>
      <c r="AE24" s="372">
        <v>0</v>
      </c>
      <c r="AF24" s="372">
        <v>0</v>
      </c>
      <c r="AG24" s="400">
        <v>0</v>
      </c>
      <c r="AH24" s="374">
        <v>0</v>
      </c>
      <c r="AI24" s="375">
        <v>0</v>
      </c>
      <c r="AJ24" s="372">
        <v>236.16</v>
      </c>
      <c r="AK24" s="376">
        <v>0</v>
      </c>
      <c r="AL24" s="376">
        <v>0</v>
      </c>
      <c r="AM24" s="412"/>
    </row>
    <row r="25" spans="2:39" s="377" customFormat="1" ht="28.15" customHeight="1" x14ac:dyDescent="0.25">
      <c r="B25" s="369">
        <v>43031</v>
      </c>
      <c r="C25" s="370">
        <v>235575</v>
      </c>
      <c r="D25" s="370">
        <v>0</v>
      </c>
      <c r="E25" s="371">
        <v>0</v>
      </c>
      <c r="F25" s="371">
        <v>0</v>
      </c>
      <c r="G25" s="371">
        <v>0</v>
      </c>
      <c r="H25" s="371"/>
      <c r="I25" s="371"/>
      <c r="J25" s="371"/>
      <c r="K25" s="371"/>
      <c r="L25" s="371"/>
      <c r="M25" s="371">
        <v>650000</v>
      </c>
      <c r="N25" s="371">
        <v>44000</v>
      </c>
      <c r="O25" s="371">
        <v>1600</v>
      </c>
      <c r="P25" s="371">
        <f t="shared" si="0"/>
        <v>91683</v>
      </c>
      <c r="Q25" s="371">
        <v>-59825</v>
      </c>
      <c r="R25" s="372">
        <v>235575</v>
      </c>
      <c r="S25" s="400">
        <v>220549.03</v>
      </c>
      <c r="T25" s="400">
        <v>0</v>
      </c>
      <c r="U25" s="400">
        <v>0</v>
      </c>
      <c r="V25" s="400">
        <v>0</v>
      </c>
      <c r="W25" s="372">
        <v>220549.03</v>
      </c>
      <c r="X25" s="373">
        <v>220549.03</v>
      </c>
      <c r="Y25" s="372">
        <v>235575</v>
      </c>
      <c r="Z25" s="373">
        <v>963033</v>
      </c>
      <c r="AA25" s="400">
        <v>0</v>
      </c>
      <c r="AB25" s="400">
        <v>0</v>
      </c>
      <c r="AC25" s="400">
        <v>0</v>
      </c>
      <c r="AD25" s="400">
        <v>0</v>
      </c>
      <c r="AE25" s="372">
        <v>0</v>
      </c>
      <c r="AF25" s="372">
        <v>0</v>
      </c>
      <c r="AG25" s="400">
        <v>-0.85999999999998522</v>
      </c>
      <c r="AH25" s="374">
        <v>0</v>
      </c>
      <c r="AI25" s="375">
        <v>0</v>
      </c>
      <c r="AJ25" s="372">
        <v>235.3</v>
      </c>
      <c r="AK25" s="376">
        <v>-3.654908627284255E-3</v>
      </c>
      <c r="AL25" s="376">
        <v>3.654908627284255E-3</v>
      </c>
      <c r="AM25" s="412"/>
    </row>
    <row r="26" spans="2:39" s="377" customFormat="1" ht="28.15" customHeight="1" x14ac:dyDescent="0.25">
      <c r="B26" s="369">
        <v>43032</v>
      </c>
      <c r="C26" s="370">
        <v>235575</v>
      </c>
      <c r="D26" s="370">
        <v>0</v>
      </c>
      <c r="E26" s="371">
        <v>0</v>
      </c>
      <c r="F26" s="371">
        <v>0</v>
      </c>
      <c r="G26" s="371">
        <v>0</v>
      </c>
      <c r="H26" s="371"/>
      <c r="I26" s="371"/>
      <c r="J26" s="371"/>
      <c r="K26" s="371"/>
      <c r="L26" s="371"/>
      <c r="M26" s="371">
        <v>650000</v>
      </c>
      <c r="N26" s="371">
        <v>44000</v>
      </c>
      <c r="O26" s="371">
        <v>1600</v>
      </c>
      <c r="P26" s="371">
        <f t="shared" si="0"/>
        <v>91683</v>
      </c>
      <c r="Q26" s="371">
        <v>-59825</v>
      </c>
      <c r="R26" s="372">
        <v>235575</v>
      </c>
      <c r="S26" s="400">
        <v>220549.03</v>
      </c>
      <c r="T26" s="400">
        <v>0</v>
      </c>
      <c r="U26" s="400">
        <v>0</v>
      </c>
      <c r="V26" s="400">
        <v>0</v>
      </c>
      <c r="W26" s="372">
        <v>220549.03</v>
      </c>
      <c r="X26" s="373">
        <v>220549.03</v>
      </c>
      <c r="Y26" s="372">
        <v>235575</v>
      </c>
      <c r="Z26" s="373">
        <v>963033</v>
      </c>
      <c r="AA26" s="400">
        <v>0</v>
      </c>
      <c r="AB26" s="400">
        <v>0</v>
      </c>
      <c r="AC26" s="400">
        <v>0</v>
      </c>
      <c r="AD26" s="400">
        <v>0</v>
      </c>
      <c r="AE26" s="372">
        <v>0</v>
      </c>
      <c r="AF26" s="372">
        <v>0</v>
      </c>
      <c r="AG26" s="400">
        <v>0.32999999999998408</v>
      </c>
      <c r="AH26" s="374">
        <v>0</v>
      </c>
      <c r="AI26" s="375">
        <v>0</v>
      </c>
      <c r="AJ26" s="372">
        <v>235.63</v>
      </c>
      <c r="AK26" s="376">
        <v>1.4005007851291605E-3</v>
      </c>
      <c r="AL26" s="376">
        <v>-1.4005007851291605E-3</v>
      </c>
      <c r="AM26" s="412"/>
    </row>
    <row r="27" spans="2:39" s="377" customFormat="1" ht="28.15" customHeight="1" x14ac:dyDescent="0.25">
      <c r="B27" s="369">
        <v>43033</v>
      </c>
      <c r="C27" s="370">
        <v>235575</v>
      </c>
      <c r="D27" s="370">
        <v>0</v>
      </c>
      <c r="E27" s="371">
        <v>0</v>
      </c>
      <c r="F27" s="371">
        <v>0</v>
      </c>
      <c r="G27" s="371">
        <v>0</v>
      </c>
      <c r="H27" s="371"/>
      <c r="I27" s="371"/>
      <c r="J27" s="371"/>
      <c r="K27" s="371"/>
      <c r="L27" s="371"/>
      <c r="M27" s="371">
        <v>650000</v>
      </c>
      <c r="N27" s="371">
        <v>44000</v>
      </c>
      <c r="O27" s="371">
        <v>1600</v>
      </c>
      <c r="P27" s="371">
        <f t="shared" si="0"/>
        <v>91683</v>
      </c>
      <c r="Q27" s="371">
        <v>-59825</v>
      </c>
      <c r="R27" s="372">
        <v>235575</v>
      </c>
      <c r="S27" s="400">
        <v>220549.03</v>
      </c>
      <c r="T27" s="400">
        <v>0</v>
      </c>
      <c r="U27" s="400">
        <v>0</v>
      </c>
      <c r="V27" s="400">
        <v>0</v>
      </c>
      <c r="W27" s="372">
        <v>220549.03</v>
      </c>
      <c r="X27" s="373">
        <v>220549.03</v>
      </c>
      <c r="Y27" s="372">
        <v>235575</v>
      </c>
      <c r="Z27" s="373">
        <v>963033</v>
      </c>
      <c r="AA27" s="400">
        <v>0</v>
      </c>
      <c r="AB27" s="400">
        <v>0</v>
      </c>
      <c r="AC27" s="400">
        <v>0</v>
      </c>
      <c r="AD27" s="400">
        <v>0</v>
      </c>
      <c r="AE27" s="372">
        <v>0</v>
      </c>
      <c r="AF27" s="372">
        <v>0</v>
      </c>
      <c r="AG27" s="400">
        <v>-1.1299999999999955</v>
      </c>
      <c r="AH27" s="374">
        <v>0</v>
      </c>
      <c r="AI27" s="375">
        <v>0</v>
      </c>
      <c r="AJ27" s="372">
        <v>234.5</v>
      </c>
      <c r="AK27" s="376">
        <v>-4.8187633262259935E-3</v>
      </c>
      <c r="AL27" s="376">
        <v>4.8187633262259935E-3</v>
      </c>
      <c r="AM27" s="412"/>
    </row>
    <row r="28" spans="2:39" s="377" customFormat="1" ht="28.15" customHeight="1" x14ac:dyDescent="0.25">
      <c r="B28" s="369">
        <v>43034</v>
      </c>
      <c r="C28" s="370">
        <v>235575</v>
      </c>
      <c r="D28" s="370">
        <v>0</v>
      </c>
      <c r="E28" s="371">
        <v>0</v>
      </c>
      <c r="F28" s="371">
        <v>0</v>
      </c>
      <c r="G28" s="371">
        <v>0</v>
      </c>
      <c r="H28" s="371"/>
      <c r="I28" s="371"/>
      <c r="J28" s="371"/>
      <c r="K28" s="371"/>
      <c r="L28" s="371"/>
      <c r="M28" s="371">
        <v>650000</v>
      </c>
      <c r="N28" s="371">
        <v>44000</v>
      </c>
      <c r="O28" s="371">
        <v>1600</v>
      </c>
      <c r="P28" s="371">
        <f t="shared" si="0"/>
        <v>91683</v>
      </c>
      <c r="Q28" s="371">
        <v>-59825</v>
      </c>
      <c r="R28" s="372">
        <v>235575</v>
      </c>
      <c r="S28" s="400">
        <v>220549.03</v>
      </c>
      <c r="T28" s="400">
        <v>0</v>
      </c>
      <c r="U28" s="400">
        <v>0</v>
      </c>
      <c r="V28" s="400">
        <v>0</v>
      </c>
      <c r="W28" s="372">
        <v>220549.03</v>
      </c>
      <c r="X28" s="373">
        <v>220549.03</v>
      </c>
      <c r="Y28" s="372">
        <v>235575</v>
      </c>
      <c r="Z28" s="373">
        <v>963033</v>
      </c>
      <c r="AA28" s="400">
        <v>0</v>
      </c>
      <c r="AB28" s="400">
        <v>0</v>
      </c>
      <c r="AC28" s="400">
        <v>0</v>
      </c>
      <c r="AD28" s="400">
        <v>0</v>
      </c>
      <c r="AE28" s="372">
        <v>0</v>
      </c>
      <c r="AF28" s="372">
        <v>0</v>
      </c>
      <c r="AG28" s="400">
        <v>0.21999999999999886</v>
      </c>
      <c r="AH28" s="374">
        <v>0</v>
      </c>
      <c r="AI28" s="375">
        <v>0</v>
      </c>
      <c r="AJ28" s="372">
        <v>234.72</v>
      </c>
      <c r="AK28" s="376">
        <v>9.3728698023176063E-4</v>
      </c>
      <c r="AL28" s="376">
        <v>-9.3728698023176063E-4</v>
      </c>
      <c r="AM28" s="412"/>
    </row>
    <row r="29" spans="2:39" s="377" customFormat="1" ht="28.15" customHeight="1" x14ac:dyDescent="0.25">
      <c r="B29" s="369">
        <v>43035</v>
      </c>
      <c r="C29" s="370">
        <v>235575</v>
      </c>
      <c r="D29" s="370">
        <v>0</v>
      </c>
      <c r="E29" s="371">
        <v>0</v>
      </c>
      <c r="F29" s="371">
        <v>0</v>
      </c>
      <c r="G29" s="371">
        <v>0</v>
      </c>
      <c r="H29" s="371"/>
      <c r="I29" s="371"/>
      <c r="J29" s="371"/>
      <c r="K29" s="371"/>
      <c r="L29" s="371"/>
      <c r="M29" s="371">
        <v>650000</v>
      </c>
      <c r="N29" s="371">
        <v>44000</v>
      </c>
      <c r="O29" s="371">
        <v>1600</v>
      </c>
      <c r="P29" s="371">
        <f t="shared" si="0"/>
        <v>91683</v>
      </c>
      <c r="Q29" s="371">
        <v>-59825</v>
      </c>
      <c r="R29" s="372">
        <v>235575</v>
      </c>
      <c r="S29" s="400">
        <v>220549.03</v>
      </c>
      <c r="T29" s="400">
        <v>0</v>
      </c>
      <c r="U29" s="400">
        <v>0</v>
      </c>
      <c r="V29" s="400">
        <v>0</v>
      </c>
      <c r="W29" s="372">
        <v>220549.03</v>
      </c>
      <c r="X29" s="373">
        <v>220549.03</v>
      </c>
      <c r="Y29" s="372">
        <v>235575</v>
      </c>
      <c r="Z29" s="373">
        <v>963033</v>
      </c>
      <c r="AA29" s="400">
        <v>0</v>
      </c>
      <c r="AB29" s="400">
        <v>0</v>
      </c>
      <c r="AC29" s="400">
        <v>0</v>
      </c>
      <c r="AD29" s="400">
        <v>0</v>
      </c>
      <c r="AE29" s="372">
        <v>0</v>
      </c>
      <c r="AF29" s="372">
        <v>0</v>
      </c>
      <c r="AG29" s="400">
        <v>2</v>
      </c>
      <c r="AH29" s="374">
        <v>0</v>
      </c>
      <c r="AI29" s="375">
        <v>0</v>
      </c>
      <c r="AJ29" s="372">
        <v>236.72</v>
      </c>
      <c r="AK29" s="376">
        <v>8.4488002703616092E-3</v>
      </c>
      <c r="AL29" s="376">
        <v>-8.4488002703616092E-3</v>
      </c>
      <c r="AM29" s="412"/>
    </row>
    <row r="30" spans="2:39" s="377" customFormat="1" ht="28.15" customHeight="1" x14ac:dyDescent="0.25">
      <c r="B30" s="378">
        <v>43036</v>
      </c>
      <c r="C30" s="370">
        <v>235575</v>
      </c>
      <c r="D30" s="370">
        <v>0</v>
      </c>
      <c r="E30" s="371">
        <v>0</v>
      </c>
      <c r="F30" s="371">
        <v>0</v>
      </c>
      <c r="G30" s="371">
        <v>0</v>
      </c>
      <c r="H30" s="371"/>
      <c r="I30" s="371"/>
      <c r="J30" s="371"/>
      <c r="K30" s="371"/>
      <c r="L30" s="371"/>
      <c r="M30" s="371">
        <v>650000</v>
      </c>
      <c r="N30" s="371">
        <v>44000</v>
      </c>
      <c r="O30" s="371">
        <v>1600</v>
      </c>
      <c r="P30" s="371">
        <f t="shared" si="0"/>
        <v>91683</v>
      </c>
      <c r="Q30" s="371">
        <v>-59825</v>
      </c>
      <c r="R30" s="372">
        <v>235575</v>
      </c>
      <c r="S30" s="400">
        <v>220549.03</v>
      </c>
      <c r="T30" s="400">
        <v>0</v>
      </c>
      <c r="U30" s="400">
        <v>0</v>
      </c>
      <c r="V30" s="400">
        <v>0</v>
      </c>
      <c r="W30" s="372">
        <v>220549.03</v>
      </c>
      <c r="X30" s="373">
        <v>220549.03</v>
      </c>
      <c r="Y30" s="372">
        <v>235575</v>
      </c>
      <c r="Z30" s="373">
        <v>963033</v>
      </c>
      <c r="AA30" s="400">
        <v>0</v>
      </c>
      <c r="AB30" s="400">
        <v>0</v>
      </c>
      <c r="AC30" s="400">
        <v>0</v>
      </c>
      <c r="AD30" s="400">
        <v>0</v>
      </c>
      <c r="AE30" s="372">
        <v>0</v>
      </c>
      <c r="AF30" s="372">
        <v>0</v>
      </c>
      <c r="AG30" s="400">
        <v>0</v>
      </c>
      <c r="AH30" s="374">
        <v>0</v>
      </c>
      <c r="AI30" s="375">
        <v>0</v>
      </c>
      <c r="AJ30" s="372">
        <v>236.72</v>
      </c>
      <c r="AK30" s="376">
        <v>0</v>
      </c>
      <c r="AL30" s="376">
        <v>0</v>
      </c>
      <c r="AM30" s="412"/>
    </row>
    <row r="31" spans="2:39" s="377" customFormat="1" ht="28.15" customHeight="1" x14ac:dyDescent="0.25">
      <c r="B31" s="378">
        <v>43037</v>
      </c>
      <c r="C31" s="370">
        <v>235575</v>
      </c>
      <c r="D31" s="370">
        <v>0</v>
      </c>
      <c r="E31" s="371">
        <v>0</v>
      </c>
      <c r="F31" s="371">
        <v>0</v>
      </c>
      <c r="G31" s="371">
        <v>0</v>
      </c>
      <c r="H31" s="371"/>
      <c r="I31" s="371"/>
      <c r="J31" s="371"/>
      <c r="K31" s="371"/>
      <c r="L31" s="371"/>
      <c r="M31" s="371">
        <v>650000</v>
      </c>
      <c r="N31" s="371">
        <v>44000</v>
      </c>
      <c r="O31" s="371">
        <v>1600</v>
      </c>
      <c r="P31" s="371">
        <f t="shared" si="0"/>
        <v>91683</v>
      </c>
      <c r="Q31" s="371">
        <v>-59825</v>
      </c>
      <c r="R31" s="372">
        <v>235575</v>
      </c>
      <c r="S31" s="400">
        <v>220549.03</v>
      </c>
      <c r="T31" s="400">
        <v>0</v>
      </c>
      <c r="U31" s="400">
        <v>0</v>
      </c>
      <c r="V31" s="400">
        <v>0</v>
      </c>
      <c r="W31" s="372">
        <v>220549.03</v>
      </c>
      <c r="X31" s="373">
        <v>220549.03</v>
      </c>
      <c r="Y31" s="372">
        <v>235575</v>
      </c>
      <c r="Z31" s="373">
        <v>963033</v>
      </c>
      <c r="AA31" s="400">
        <v>0</v>
      </c>
      <c r="AB31" s="400">
        <v>0</v>
      </c>
      <c r="AC31" s="400">
        <v>0</v>
      </c>
      <c r="AD31" s="400">
        <v>0</v>
      </c>
      <c r="AE31" s="372">
        <v>0</v>
      </c>
      <c r="AF31" s="372">
        <v>0</v>
      </c>
      <c r="AG31" s="400">
        <v>0</v>
      </c>
      <c r="AH31" s="374">
        <v>0</v>
      </c>
      <c r="AI31" s="375">
        <v>0</v>
      </c>
      <c r="AJ31" s="372">
        <v>236.72</v>
      </c>
      <c r="AK31" s="376">
        <v>0</v>
      </c>
      <c r="AL31" s="376">
        <v>0</v>
      </c>
      <c r="AM31" s="412"/>
    </row>
    <row r="32" spans="2:39" s="377" customFormat="1" ht="28.15" customHeight="1" x14ac:dyDescent="0.25">
      <c r="B32" s="369">
        <v>43038</v>
      </c>
      <c r="C32" s="370">
        <v>235575</v>
      </c>
      <c r="D32" s="370">
        <v>0</v>
      </c>
      <c r="E32" s="371">
        <v>0</v>
      </c>
      <c r="F32" s="371">
        <v>0</v>
      </c>
      <c r="G32" s="371">
        <v>0</v>
      </c>
      <c r="H32" s="371"/>
      <c r="I32" s="371"/>
      <c r="J32" s="371"/>
      <c r="K32" s="371"/>
      <c r="L32" s="371"/>
      <c r="M32" s="371">
        <v>650000</v>
      </c>
      <c r="N32" s="371">
        <v>44000</v>
      </c>
      <c r="O32" s="371">
        <v>1600</v>
      </c>
      <c r="P32" s="371">
        <f t="shared" si="0"/>
        <v>91683</v>
      </c>
      <c r="Q32" s="371">
        <v>-59825</v>
      </c>
      <c r="R32" s="372">
        <v>235575</v>
      </c>
      <c r="S32" s="400">
        <v>220549.03</v>
      </c>
      <c r="T32" s="400">
        <v>0</v>
      </c>
      <c r="U32" s="400">
        <v>0</v>
      </c>
      <c r="V32" s="400">
        <v>0</v>
      </c>
      <c r="W32" s="372">
        <v>220549.03</v>
      </c>
      <c r="X32" s="373">
        <v>220549.03</v>
      </c>
      <c r="Y32" s="372">
        <v>235575</v>
      </c>
      <c r="Z32" s="373">
        <v>963033</v>
      </c>
      <c r="AA32" s="400">
        <v>0</v>
      </c>
      <c r="AB32" s="400">
        <v>0</v>
      </c>
      <c r="AC32" s="400">
        <v>0</v>
      </c>
      <c r="AD32" s="400">
        <v>0</v>
      </c>
      <c r="AE32" s="372">
        <v>0</v>
      </c>
      <c r="AF32" s="372">
        <v>0</v>
      </c>
      <c r="AG32" s="400">
        <v>-0.85999999999998522</v>
      </c>
      <c r="AH32" s="374">
        <v>0</v>
      </c>
      <c r="AI32" s="375">
        <v>0</v>
      </c>
      <c r="AJ32" s="372">
        <v>235.86</v>
      </c>
      <c r="AK32" s="376">
        <v>-3.6462308148901262E-3</v>
      </c>
      <c r="AL32" s="376">
        <v>3.6462308148901262E-3</v>
      </c>
      <c r="AM32" s="412"/>
    </row>
    <row r="33" spans="2:39" s="377" customFormat="1" ht="28.15" customHeight="1" x14ac:dyDescent="0.25">
      <c r="B33" s="369">
        <v>43039</v>
      </c>
      <c r="C33" s="370">
        <v>235575</v>
      </c>
      <c r="D33" s="370">
        <v>0</v>
      </c>
      <c r="E33" s="371">
        <v>0</v>
      </c>
      <c r="F33" s="371">
        <v>0</v>
      </c>
      <c r="G33" s="371">
        <v>0</v>
      </c>
      <c r="H33" s="371"/>
      <c r="I33" s="371"/>
      <c r="J33" s="371"/>
      <c r="K33" s="371"/>
      <c r="L33" s="371"/>
      <c r="M33" s="371">
        <v>650000</v>
      </c>
      <c r="N33" s="371">
        <v>44000</v>
      </c>
      <c r="O33" s="371">
        <v>1600</v>
      </c>
      <c r="P33" s="371">
        <f t="shared" si="0"/>
        <v>91683</v>
      </c>
      <c r="Q33" s="371">
        <v>-59825</v>
      </c>
      <c r="R33" s="372">
        <v>235575</v>
      </c>
      <c r="S33" s="400">
        <v>220549.03</v>
      </c>
      <c r="T33" s="400">
        <v>0</v>
      </c>
      <c r="U33" s="400">
        <v>0</v>
      </c>
      <c r="V33" s="400">
        <v>0</v>
      </c>
      <c r="W33" s="372">
        <v>220549.03</v>
      </c>
      <c r="X33" s="373">
        <v>220549.03</v>
      </c>
      <c r="Y33" s="372">
        <v>235575</v>
      </c>
      <c r="Z33" s="373">
        <v>963033</v>
      </c>
      <c r="AA33" s="400">
        <v>0</v>
      </c>
      <c r="AB33" s="400">
        <v>0</v>
      </c>
      <c r="AC33" s="400">
        <v>0</v>
      </c>
      <c r="AD33" s="400">
        <v>0</v>
      </c>
      <c r="AE33" s="372">
        <v>0</v>
      </c>
      <c r="AF33" s="372">
        <v>0</v>
      </c>
      <c r="AG33" s="400">
        <v>0.26999999999998181</v>
      </c>
      <c r="AH33" s="374">
        <v>0</v>
      </c>
      <c r="AI33" s="375">
        <v>0</v>
      </c>
      <c r="AJ33" s="372">
        <v>236.13</v>
      </c>
      <c r="AK33" s="376">
        <v>1.1434379367296905E-3</v>
      </c>
      <c r="AL33" s="376">
        <v>-1.1434379367296905E-3</v>
      </c>
      <c r="AM33" s="412"/>
    </row>
    <row r="34" spans="2:39" s="377" customFormat="1" ht="28.15" customHeight="1" x14ac:dyDescent="0.25">
      <c r="B34" s="369">
        <v>43040</v>
      </c>
      <c r="C34" s="370">
        <v>233328</v>
      </c>
      <c r="D34" s="370">
        <v>0</v>
      </c>
      <c r="E34" s="371">
        <v>0</v>
      </c>
      <c r="F34" s="371">
        <v>0</v>
      </c>
      <c r="G34" s="371">
        <v>0</v>
      </c>
      <c r="H34" s="371"/>
      <c r="I34" s="371"/>
      <c r="J34" s="371"/>
      <c r="K34" s="371"/>
      <c r="L34" s="371"/>
      <c r="M34" s="371">
        <v>650000</v>
      </c>
      <c r="N34" s="371">
        <v>44000</v>
      </c>
      <c r="O34" s="371">
        <v>1600</v>
      </c>
      <c r="P34" s="371">
        <f t="shared" si="0"/>
        <v>91683</v>
      </c>
      <c r="Q34" s="371">
        <v>-59825</v>
      </c>
      <c r="R34" s="372">
        <v>233328</v>
      </c>
      <c r="S34" s="400">
        <v>220549.03</v>
      </c>
      <c r="T34" s="400">
        <v>0</v>
      </c>
      <c r="U34" s="400">
        <v>0</v>
      </c>
      <c r="V34" s="400">
        <v>0</v>
      </c>
      <c r="W34" s="372">
        <v>220549.03</v>
      </c>
      <c r="X34" s="373">
        <v>220549.03</v>
      </c>
      <c r="Y34" s="372">
        <v>233328</v>
      </c>
      <c r="Z34" s="373">
        <v>960786</v>
      </c>
      <c r="AA34" s="400">
        <v>-2247</v>
      </c>
      <c r="AB34" s="400">
        <v>0</v>
      </c>
      <c r="AC34" s="400">
        <v>0</v>
      </c>
      <c r="AD34" s="400">
        <v>0</v>
      </c>
      <c r="AE34" s="372">
        <v>-2247</v>
      </c>
      <c r="AF34" s="372">
        <v>-2247</v>
      </c>
      <c r="AG34" s="400">
        <v>0.40999999999999659</v>
      </c>
      <c r="AH34" s="374">
        <v>-9.630220119317013E-3</v>
      </c>
      <c r="AI34" s="375">
        <v>0</v>
      </c>
      <c r="AJ34" s="372">
        <v>236.54</v>
      </c>
      <c r="AK34" s="376">
        <v>1.7333220596939063E-3</v>
      </c>
      <c r="AL34" s="376">
        <v>-1.136354217901092E-2</v>
      </c>
      <c r="AM34" s="412"/>
    </row>
    <row r="35" spans="2:39" s="377" customFormat="1" ht="28.15" customHeight="1" x14ac:dyDescent="0.25">
      <c r="B35" s="369">
        <v>43041</v>
      </c>
      <c r="C35" s="370">
        <v>233328</v>
      </c>
      <c r="D35" s="370">
        <v>0</v>
      </c>
      <c r="E35" s="371">
        <v>0</v>
      </c>
      <c r="F35" s="371">
        <v>0</v>
      </c>
      <c r="G35" s="371">
        <v>0</v>
      </c>
      <c r="H35" s="371"/>
      <c r="I35" s="371"/>
      <c r="J35" s="371"/>
      <c r="K35" s="371"/>
      <c r="L35" s="371"/>
      <c r="M35" s="371">
        <v>650000</v>
      </c>
      <c r="N35" s="371">
        <v>44000</v>
      </c>
      <c r="O35" s="371">
        <v>1600</v>
      </c>
      <c r="P35" s="371">
        <f t="shared" si="0"/>
        <v>91683</v>
      </c>
      <c r="Q35" s="371">
        <v>-59825</v>
      </c>
      <c r="R35" s="372">
        <v>233328</v>
      </c>
      <c r="S35" s="400">
        <v>220549.03</v>
      </c>
      <c r="T35" s="400">
        <v>0</v>
      </c>
      <c r="U35" s="400">
        <v>0</v>
      </c>
      <c r="V35" s="400">
        <v>0</v>
      </c>
      <c r="W35" s="372">
        <v>220549.03</v>
      </c>
      <c r="X35" s="373">
        <v>220549.03</v>
      </c>
      <c r="Y35" s="372">
        <v>233328</v>
      </c>
      <c r="Z35" s="373">
        <v>960786</v>
      </c>
      <c r="AA35" s="400">
        <v>0</v>
      </c>
      <c r="AB35" s="400">
        <v>0</v>
      </c>
      <c r="AC35" s="400">
        <v>0</v>
      </c>
      <c r="AD35" s="400">
        <v>0</v>
      </c>
      <c r="AE35" s="372">
        <v>0</v>
      </c>
      <c r="AF35" s="372">
        <v>0</v>
      </c>
      <c r="AG35" s="400">
        <v>9.9999999999994316E-2</v>
      </c>
      <c r="AH35" s="374">
        <v>0</v>
      </c>
      <c r="AI35" s="375">
        <v>0</v>
      </c>
      <c r="AJ35" s="372">
        <v>236.64</v>
      </c>
      <c r="AK35" s="376">
        <v>4.2258282623391783E-4</v>
      </c>
      <c r="AL35" s="376">
        <v>-4.2258282623391783E-4</v>
      </c>
      <c r="AM35" s="412"/>
    </row>
    <row r="36" spans="2:39" s="377" customFormat="1" ht="28.15" customHeight="1" x14ac:dyDescent="0.25">
      <c r="B36" s="369">
        <v>43042</v>
      </c>
      <c r="C36" s="370">
        <v>233328</v>
      </c>
      <c r="D36" s="370">
        <v>0</v>
      </c>
      <c r="E36" s="371">
        <v>0</v>
      </c>
      <c r="F36" s="371">
        <v>0</v>
      </c>
      <c r="G36" s="371">
        <v>0</v>
      </c>
      <c r="H36" s="371"/>
      <c r="I36" s="371"/>
      <c r="J36" s="371"/>
      <c r="K36" s="371"/>
      <c r="L36" s="371"/>
      <c r="M36" s="371">
        <v>650000</v>
      </c>
      <c r="N36" s="371">
        <v>44000</v>
      </c>
      <c r="O36" s="371">
        <v>1600</v>
      </c>
      <c r="P36" s="371">
        <f t="shared" si="0"/>
        <v>91683</v>
      </c>
      <c r="Q36" s="371">
        <v>-59825</v>
      </c>
      <c r="R36" s="372">
        <v>233328</v>
      </c>
      <c r="S36" s="400">
        <v>220549.03</v>
      </c>
      <c r="T36" s="400">
        <v>0</v>
      </c>
      <c r="U36" s="400">
        <v>0</v>
      </c>
      <c r="V36" s="400">
        <v>0</v>
      </c>
      <c r="W36" s="372">
        <v>220549.03</v>
      </c>
      <c r="X36" s="373">
        <v>220549.03</v>
      </c>
      <c r="Y36" s="372">
        <v>233328</v>
      </c>
      <c r="Z36" s="373">
        <v>960786</v>
      </c>
      <c r="AA36" s="400">
        <v>0</v>
      </c>
      <c r="AB36" s="400">
        <v>0</v>
      </c>
      <c r="AC36" s="400">
        <v>0</v>
      </c>
      <c r="AD36" s="400">
        <v>0</v>
      </c>
      <c r="AE36" s="372">
        <v>0</v>
      </c>
      <c r="AF36" s="372">
        <v>0</v>
      </c>
      <c r="AG36" s="400">
        <v>0.79000000000002046</v>
      </c>
      <c r="AH36" s="374">
        <v>0</v>
      </c>
      <c r="AI36" s="375">
        <v>0</v>
      </c>
      <c r="AJ36" s="372">
        <v>237.43</v>
      </c>
      <c r="AK36" s="376">
        <v>3.3272964663270035E-3</v>
      </c>
      <c r="AL36" s="376">
        <v>-3.3272964663270035E-3</v>
      </c>
      <c r="AM36" s="412"/>
    </row>
    <row r="37" spans="2:39" s="377" customFormat="1" ht="28.15" customHeight="1" x14ac:dyDescent="0.25">
      <c r="B37" s="378">
        <v>43043</v>
      </c>
      <c r="C37" s="370">
        <v>233328</v>
      </c>
      <c r="D37" s="370">
        <v>0</v>
      </c>
      <c r="E37" s="371">
        <v>0</v>
      </c>
      <c r="F37" s="371">
        <v>0</v>
      </c>
      <c r="G37" s="371">
        <v>0</v>
      </c>
      <c r="H37" s="371"/>
      <c r="I37" s="371"/>
      <c r="J37" s="371"/>
      <c r="K37" s="371"/>
      <c r="L37" s="371"/>
      <c r="M37" s="371">
        <v>650000</v>
      </c>
      <c r="N37" s="371">
        <v>44000</v>
      </c>
      <c r="O37" s="371">
        <v>1600</v>
      </c>
      <c r="P37" s="371">
        <f t="shared" si="0"/>
        <v>91683</v>
      </c>
      <c r="Q37" s="371">
        <v>-59825</v>
      </c>
      <c r="R37" s="372">
        <v>233328</v>
      </c>
      <c r="S37" s="400">
        <v>220549.03</v>
      </c>
      <c r="T37" s="400">
        <v>0</v>
      </c>
      <c r="U37" s="400">
        <v>0</v>
      </c>
      <c r="V37" s="400">
        <v>0</v>
      </c>
      <c r="W37" s="372">
        <v>220549.03</v>
      </c>
      <c r="X37" s="373">
        <v>220549.03</v>
      </c>
      <c r="Y37" s="372">
        <v>233328</v>
      </c>
      <c r="Z37" s="373">
        <v>960786</v>
      </c>
      <c r="AA37" s="400">
        <v>0</v>
      </c>
      <c r="AB37" s="400">
        <v>0</v>
      </c>
      <c r="AC37" s="400">
        <v>0</v>
      </c>
      <c r="AD37" s="400">
        <v>0</v>
      </c>
      <c r="AE37" s="372">
        <v>0</v>
      </c>
      <c r="AF37" s="372">
        <v>0</v>
      </c>
      <c r="AG37" s="400">
        <v>0</v>
      </c>
      <c r="AH37" s="374">
        <v>0</v>
      </c>
      <c r="AI37" s="375">
        <v>0</v>
      </c>
      <c r="AJ37" s="372">
        <v>237.43</v>
      </c>
      <c r="AK37" s="376">
        <v>0</v>
      </c>
      <c r="AL37" s="376">
        <v>0</v>
      </c>
      <c r="AM37" s="412"/>
    </row>
    <row r="38" spans="2:39" s="377" customFormat="1" ht="28.15" customHeight="1" x14ac:dyDescent="0.25">
      <c r="B38" s="378">
        <v>43044</v>
      </c>
      <c r="C38" s="370">
        <v>233328</v>
      </c>
      <c r="D38" s="370">
        <v>0</v>
      </c>
      <c r="E38" s="371">
        <v>0</v>
      </c>
      <c r="F38" s="371">
        <v>0</v>
      </c>
      <c r="G38" s="371">
        <v>0</v>
      </c>
      <c r="H38" s="371"/>
      <c r="I38" s="371"/>
      <c r="J38" s="371"/>
      <c r="K38" s="371"/>
      <c r="L38" s="371"/>
      <c r="M38" s="371">
        <v>650000</v>
      </c>
      <c r="N38" s="371">
        <v>44000</v>
      </c>
      <c r="O38" s="371">
        <v>1600</v>
      </c>
      <c r="P38" s="371">
        <f t="shared" si="0"/>
        <v>91683</v>
      </c>
      <c r="Q38" s="371">
        <v>-59825</v>
      </c>
      <c r="R38" s="372">
        <v>233328</v>
      </c>
      <c r="S38" s="400">
        <v>220549.03</v>
      </c>
      <c r="T38" s="400">
        <v>0</v>
      </c>
      <c r="U38" s="400">
        <v>0</v>
      </c>
      <c r="V38" s="400">
        <v>0</v>
      </c>
      <c r="W38" s="372">
        <v>220549.03</v>
      </c>
      <c r="X38" s="373">
        <v>220549.03</v>
      </c>
      <c r="Y38" s="372">
        <v>233328</v>
      </c>
      <c r="Z38" s="373">
        <v>960786</v>
      </c>
      <c r="AA38" s="400">
        <v>0</v>
      </c>
      <c r="AB38" s="400">
        <v>0</v>
      </c>
      <c r="AC38" s="400">
        <v>0</v>
      </c>
      <c r="AD38" s="400">
        <v>0</v>
      </c>
      <c r="AE38" s="372">
        <v>0</v>
      </c>
      <c r="AF38" s="372">
        <v>0</v>
      </c>
      <c r="AG38" s="400">
        <v>0</v>
      </c>
      <c r="AH38" s="374">
        <v>0</v>
      </c>
      <c r="AI38" s="375">
        <v>0</v>
      </c>
      <c r="AJ38" s="372">
        <v>237.43</v>
      </c>
      <c r="AK38" s="376">
        <v>0</v>
      </c>
      <c r="AL38" s="376">
        <v>0</v>
      </c>
      <c r="AM38" s="412"/>
    </row>
    <row r="39" spans="2:39" s="377" customFormat="1" ht="28.15" customHeight="1" x14ac:dyDescent="0.25">
      <c r="B39" s="369">
        <v>43045</v>
      </c>
      <c r="C39" s="370">
        <v>233328</v>
      </c>
      <c r="D39" s="370">
        <v>0</v>
      </c>
      <c r="E39" s="371">
        <v>0</v>
      </c>
      <c r="F39" s="371">
        <v>0</v>
      </c>
      <c r="G39" s="371">
        <v>0</v>
      </c>
      <c r="H39" s="371"/>
      <c r="I39" s="371"/>
      <c r="J39" s="371"/>
      <c r="K39" s="371"/>
      <c r="L39" s="371"/>
      <c r="M39" s="371">
        <v>650000</v>
      </c>
      <c r="N39" s="371">
        <v>44000</v>
      </c>
      <c r="O39" s="371">
        <v>1600</v>
      </c>
      <c r="P39" s="371">
        <f t="shared" si="0"/>
        <v>91683</v>
      </c>
      <c r="Q39" s="371">
        <v>-59825</v>
      </c>
      <c r="R39" s="372">
        <v>233328</v>
      </c>
      <c r="S39" s="400">
        <v>220549.03</v>
      </c>
      <c r="T39" s="400">
        <v>0</v>
      </c>
      <c r="U39" s="400">
        <v>0</v>
      </c>
      <c r="V39" s="400">
        <v>0</v>
      </c>
      <c r="W39" s="372">
        <v>220549.03</v>
      </c>
      <c r="X39" s="373">
        <v>220549.03</v>
      </c>
      <c r="Y39" s="372">
        <v>233328</v>
      </c>
      <c r="Z39" s="373">
        <v>960786</v>
      </c>
      <c r="AA39" s="400">
        <v>0</v>
      </c>
      <c r="AB39" s="400">
        <v>0</v>
      </c>
      <c r="AC39" s="400">
        <v>0</v>
      </c>
      <c r="AD39" s="400">
        <v>0</v>
      </c>
      <c r="AE39" s="372">
        <v>0</v>
      </c>
      <c r="AF39" s="372">
        <v>0</v>
      </c>
      <c r="AG39" s="400">
        <v>0.35999999999998522</v>
      </c>
      <c r="AH39" s="374">
        <v>0</v>
      </c>
      <c r="AI39" s="375">
        <v>0</v>
      </c>
      <c r="AJ39" s="372">
        <v>237.79</v>
      </c>
      <c r="AK39" s="376">
        <v>1.5139408721980959E-3</v>
      </c>
      <c r="AL39" s="376">
        <v>-1.5139408721980959E-3</v>
      </c>
      <c r="AM39" s="412"/>
    </row>
    <row r="40" spans="2:39" s="377" customFormat="1" ht="28.15" customHeight="1" x14ac:dyDescent="0.25">
      <c r="B40" s="369">
        <v>43046</v>
      </c>
      <c r="C40" s="370">
        <v>233328</v>
      </c>
      <c r="D40" s="370">
        <v>0</v>
      </c>
      <c r="E40" s="371">
        <v>0</v>
      </c>
      <c r="F40" s="371">
        <v>0</v>
      </c>
      <c r="G40" s="371">
        <v>0</v>
      </c>
      <c r="H40" s="371"/>
      <c r="I40" s="371"/>
      <c r="J40" s="371"/>
      <c r="K40" s="371"/>
      <c r="L40" s="371"/>
      <c r="M40" s="371">
        <v>650000</v>
      </c>
      <c r="N40" s="371">
        <v>44000</v>
      </c>
      <c r="O40" s="371">
        <v>1600</v>
      </c>
      <c r="P40" s="371">
        <f t="shared" si="0"/>
        <v>91683</v>
      </c>
      <c r="Q40" s="371">
        <v>-59825</v>
      </c>
      <c r="R40" s="372">
        <v>233328</v>
      </c>
      <c r="S40" s="400">
        <v>220549.03</v>
      </c>
      <c r="T40" s="400">
        <v>0</v>
      </c>
      <c r="U40" s="400">
        <v>0</v>
      </c>
      <c r="V40" s="400">
        <v>0</v>
      </c>
      <c r="W40" s="372">
        <v>220549.03</v>
      </c>
      <c r="X40" s="373">
        <v>220549.03</v>
      </c>
      <c r="Y40" s="372">
        <v>233328</v>
      </c>
      <c r="Z40" s="373">
        <v>960786</v>
      </c>
      <c r="AA40" s="400">
        <v>0</v>
      </c>
      <c r="AB40" s="400">
        <v>0</v>
      </c>
      <c r="AC40" s="400">
        <v>0</v>
      </c>
      <c r="AD40" s="400">
        <v>0</v>
      </c>
      <c r="AE40" s="372">
        <v>0</v>
      </c>
      <c r="AF40" s="372">
        <v>0</v>
      </c>
      <c r="AG40" s="400">
        <v>-9.9999999999994316E-2</v>
      </c>
      <c r="AH40" s="374">
        <v>0</v>
      </c>
      <c r="AI40" s="375">
        <v>0</v>
      </c>
      <c r="AJ40" s="372">
        <v>237.69</v>
      </c>
      <c r="AK40" s="376">
        <v>-4.2071605873193789E-4</v>
      </c>
      <c r="AL40" s="376">
        <v>4.2071605873193789E-4</v>
      </c>
      <c r="AM40" s="412"/>
    </row>
    <row r="41" spans="2:39" s="377" customFormat="1" ht="28.15" customHeight="1" x14ac:dyDescent="0.25">
      <c r="B41" s="369">
        <v>43047</v>
      </c>
      <c r="C41" s="370">
        <v>233328</v>
      </c>
      <c r="D41" s="370">
        <v>0</v>
      </c>
      <c r="E41" s="371">
        <v>0</v>
      </c>
      <c r="F41" s="371">
        <v>0</v>
      </c>
      <c r="G41" s="371">
        <v>0</v>
      </c>
      <c r="H41" s="371"/>
      <c r="I41" s="371"/>
      <c r="J41" s="371"/>
      <c r="K41" s="371"/>
      <c r="L41" s="371"/>
      <c r="M41" s="371">
        <v>650000</v>
      </c>
      <c r="N41" s="371">
        <v>44000</v>
      </c>
      <c r="O41" s="371">
        <v>1600</v>
      </c>
      <c r="P41" s="371">
        <f t="shared" si="0"/>
        <v>91683</v>
      </c>
      <c r="Q41" s="371">
        <v>-59825</v>
      </c>
      <c r="R41" s="372">
        <v>233328</v>
      </c>
      <c r="S41" s="400">
        <v>220549.03</v>
      </c>
      <c r="T41" s="400">
        <v>0</v>
      </c>
      <c r="U41" s="400">
        <v>0</v>
      </c>
      <c r="V41" s="400">
        <v>0</v>
      </c>
      <c r="W41" s="372">
        <v>220549.03</v>
      </c>
      <c r="X41" s="373">
        <v>220549.03</v>
      </c>
      <c r="Y41" s="372">
        <v>233328</v>
      </c>
      <c r="Z41" s="373">
        <v>960786</v>
      </c>
      <c r="AA41" s="400">
        <v>0</v>
      </c>
      <c r="AB41" s="400">
        <v>0</v>
      </c>
      <c r="AC41" s="400">
        <v>0</v>
      </c>
      <c r="AD41" s="400">
        <v>0</v>
      </c>
      <c r="AE41" s="372">
        <v>0</v>
      </c>
      <c r="AF41" s="372">
        <v>0</v>
      </c>
      <c r="AG41" s="400">
        <v>0.34999999999999432</v>
      </c>
      <c r="AH41" s="374">
        <v>0</v>
      </c>
      <c r="AI41" s="375">
        <v>0</v>
      </c>
      <c r="AJ41" s="372">
        <v>238.04</v>
      </c>
      <c r="AK41" s="376">
        <v>1.4703411191396166E-3</v>
      </c>
      <c r="AL41" s="376">
        <v>-1.4703411191396166E-3</v>
      </c>
      <c r="AM41" s="412"/>
    </row>
    <row r="42" spans="2:39" s="377" customFormat="1" ht="28.15" customHeight="1" x14ac:dyDescent="0.25">
      <c r="B42" s="369">
        <v>43048</v>
      </c>
      <c r="C42" s="370">
        <v>233328</v>
      </c>
      <c r="D42" s="370">
        <v>0</v>
      </c>
      <c r="E42" s="371">
        <v>0</v>
      </c>
      <c r="F42" s="371">
        <v>0</v>
      </c>
      <c r="G42" s="371">
        <v>0</v>
      </c>
      <c r="H42" s="371"/>
      <c r="I42" s="371"/>
      <c r="J42" s="371"/>
      <c r="K42" s="371"/>
      <c r="L42" s="371"/>
      <c r="M42" s="371">
        <v>650000</v>
      </c>
      <c r="N42" s="371">
        <v>44000</v>
      </c>
      <c r="O42" s="371">
        <v>1600</v>
      </c>
      <c r="P42" s="371">
        <f t="shared" si="0"/>
        <v>91683</v>
      </c>
      <c r="Q42" s="371">
        <v>-59825</v>
      </c>
      <c r="R42" s="372">
        <v>233328</v>
      </c>
      <c r="S42" s="400">
        <v>220549.03</v>
      </c>
      <c r="T42" s="400">
        <v>0</v>
      </c>
      <c r="U42" s="400">
        <v>0</v>
      </c>
      <c r="V42" s="400">
        <v>0</v>
      </c>
      <c r="W42" s="372">
        <v>220549.03</v>
      </c>
      <c r="X42" s="373">
        <v>220549.03</v>
      </c>
      <c r="Y42" s="372">
        <v>233328</v>
      </c>
      <c r="Z42" s="373">
        <v>960786</v>
      </c>
      <c r="AA42" s="400">
        <v>0</v>
      </c>
      <c r="AB42" s="400">
        <v>0</v>
      </c>
      <c r="AC42" s="400">
        <v>0</v>
      </c>
      <c r="AD42" s="400">
        <v>0</v>
      </c>
      <c r="AE42" s="372">
        <v>0</v>
      </c>
      <c r="AF42" s="372">
        <v>0</v>
      </c>
      <c r="AG42" s="400">
        <v>-0.85999999999998522</v>
      </c>
      <c r="AH42" s="374">
        <v>0</v>
      </c>
      <c r="AI42" s="375">
        <v>0</v>
      </c>
      <c r="AJ42" s="372">
        <v>237.18</v>
      </c>
      <c r="AK42" s="376">
        <v>-3.6259381060797084E-3</v>
      </c>
      <c r="AL42" s="376">
        <v>3.6259381060797084E-3</v>
      </c>
      <c r="AM42" s="412"/>
    </row>
    <row r="43" spans="2:39" s="377" customFormat="1" ht="28.15" customHeight="1" x14ac:dyDescent="0.25">
      <c r="B43" s="369">
        <v>43049</v>
      </c>
      <c r="C43" s="370">
        <v>233328</v>
      </c>
      <c r="D43" s="370">
        <v>0</v>
      </c>
      <c r="E43" s="371">
        <v>0</v>
      </c>
      <c r="F43" s="371">
        <v>0</v>
      </c>
      <c r="G43" s="371">
        <v>0</v>
      </c>
      <c r="H43" s="371"/>
      <c r="I43" s="371"/>
      <c r="J43" s="371"/>
      <c r="K43" s="371"/>
      <c r="L43" s="371"/>
      <c r="M43" s="371">
        <v>650000</v>
      </c>
      <c r="N43" s="371">
        <v>44000</v>
      </c>
      <c r="O43" s="371">
        <v>1600</v>
      </c>
      <c r="P43" s="371">
        <f t="shared" si="0"/>
        <v>91683</v>
      </c>
      <c r="Q43" s="371">
        <v>-59825</v>
      </c>
      <c r="R43" s="372">
        <v>233328</v>
      </c>
      <c r="S43" s="400">
        <v>220549.03</v>
      </c>
      <c r="T43" s="400">
        <v>0</v>
      </c>
      <c r="U43" s="400">
        <v>0</v>
      </c>
      <c r="V43" s="400">
        <v>0</v>
      </c>
      <c r="W43" s="372">
        <v>220549.03</v>
      </c>
      <c r="X43" s="373">
        <v>220549.03</v>
      </c>
      <c r="Y43" s="372">
        <v>233328</v>
      </c>
      <c r="Z43" s="373">
        <v>960786</v>
      </c>
      <c r="AA43" s="400">
        <v>0</v>
      </c>
      <c r="AB43" s="400">
        <v>0</v>
      </c>
      <c r="AC43" s="400">
        <v>0</v>
      </c>
      <c r="AD43" s="400">
        <v>0</v>
      </c>
      <c r="AE43" s="372">
        <v>0</v>
      </c>
      <c r="AF43" s="372">
        <v>0</v>
      </c>
      <c r="AG43" s="400">
        <v>-0.14000000000001478</v>
      </c>
      <c r="AH43" s="374">
        <v>0</v>
      </c>
      <c r="AI43" s="375">
        <v>0</v>
      </c>
      <c r="AJ43" s="372">
        <v>237.04</v>
      </c>
      <c r="AK43" s="376">
        <v>-5.9061761727984636E-4</v>
      </c>
      <c r="AL43" s="376">
        <v>5.9061761727984636E-4</v>
      </c>
      <c r="AM43" s="412"/>
    </row>
    <row r="44" spans="2:39" s="377" customFormat="1" ht="28.15" customHeight="1" x14ac:dyDescent="0.25">
      <c r="B44" s="378">
        <v>43050</v>
      </c>
      <c r="C44" s="370">
        <v>233328</v>
      </c>
      <c r="D44" s="370">
        <v>0</v>
      </c>
      <c r="E44" s="371">
        <v>0</v>
      </c>
      <c r="F44" s="371">
        <v>0</v>
      </c>
      <c r="G44" s="371">
        <v>0</v>
      </c>
      <c r="H44" s="371"/>
      <c r="I44" s="371"/>
      <c r="J44" s="371"/>
      <c r="K44" s="371"/>
      <c r="L44" s="371"/>
      <c r="M44" s="371">
        <v>650000</v>
      </c>
      <c r="N44" s="371">
        <v>44000</v>
      </c>
      <c r="O44" s="371">
        <v>1600</v>
      </c>
      <c r="P44" s="371">
        <f t="shared" si="0"/>
        <v>91683</v>
      </c>
      <c r="Q44" s="371">
        <v>-59825</v>
      </c>
      <c r="R44" s="372">
        <v>233328</v>
      </c>
      <c r="S44" s="400">
        <v>220549.03</v>
      </c>
      <c r="T44" s="400">
        <v>0</v>
      </c>
      <c r="U44" s="400">
        <v>0</v>
      </c>
      <c r="V44" s="400">
        <v>0</v>
      </c>
      <c r="W44" s="372">
        <v>220549.03</v>
      </c>
      <c r="X44" s="373">
        <v>220549.03</v>
      </c>
      <c r="Y44" s="372">
        <v>233328</v>
      </c>
      <c r="Z44" s="373">
        <v>960786</v>
      </c>
      <c r="AA44" s="400">
        <v>0</v>
      </c>
      <c r="AB44" s="400">
        <v>0</v>
      </c>
      <c r="AC44" s="400">
        <v>0</v>
      </c>
      <c r="AD44" s="400">
        <v>0</v>
      </c>
      <c r="AE44" s="372">
        <v>0</v>
      </c>
      <c r="AF44" s="372">
        <v>0</v>
      </c>
      <c r="AG44" s="400">
        <v>0</v>
      </c>
      <c r="AH44" s="374">
        <v>0</v>
      </c>
      <c r="AI44" s="375">
        <v>0</v>
      </c>
      <c r="AJ44" s="372">
        <v>237.04</v>
      </c>
      <c r="AK44" s="376">
        <v>0</v>
      </c>
      <c r="AL44" s="376">
        <v>0</v>
      </c>
      <c r="AM44" s="412"/>
    </row>
    <row r="45" spans="2:39" s="377" customFormat="1" ht="28.15" customHeight="1" x14ac:dyDescent="0.25">
      <c r="B45" s="378">
        <v>43051</v>
      </c>
      <c r="C45" s="370">
        <v>233328</v>
      </c>
      <c r="D45" s="370">
        <v>0</v>
      </c>
      <c r="E45" s="371">
        <v>0</v>
      </c>
      <c r="F45" s="371">
        <v>0</v>
      </c>
      <c r="G45" s="371">
        <v>0</v>
      </c>
      <c r="H45" s="371"/>
      <c r="I45" s="371"/>
      <c r="J45" s="371"/>
      <c r="K45" s="371"/>
      <c r="L45" s="371"/>
      <c r="M45" s="371">
        <v>650000</v>
      </c>
      <c r="N45" s="371">
        <v>44000</v>
      </c>
      <c r="O45" s="371">
        <v>1600</v>
      </c>
      <c r="P45" s="371">
        <f t="shared" si="0"/>
        <v>91683</v>
      </c>
      <c r="Q45" s="371">
        <v>-59825</v>
      </c>
      <c r="R45" s="372">
        <v>233328</v>
      </c>
      <c r="S45" s="400">
        <v>220549.03</v>
      </c>
      <c r="T45" s="400">
        <v>0</v>
      </c>
      <c r="U45" s="400">
        <v>0</v>
      </c>
      <c r="V45" s="400">
        <v>0</v>
      </c>
      <c r="W45" s="372">
        <v>220549.03</v>
      </c>
      <c r="X45" s="373">
        <v>220549.03</v>
      </c>
      <c r="Y45" s="372">
        <v>233328</v>
      </c>
      <c r="Z45" s="373">
        <v>960786</v>
      </c>
      <c r="AA45" s="400">
        <v>0</v>
      </c>
      <c r="AB45" s="400">
        <v>0</v>
      </c>
      <c r="AC45" s="400">
        <v>0</v>
      </c>
      <c r="AD45" s="400">
        <v>0</v>
      </c>
      <c r="AE45" s="372">
        <v>0</v>
      </c>
      <c r="AF45" s="372">
        <v>0</v>
      </c>
      <c r="AG45" s="400">
        <v>0</v>
      </c>
      <c r="AH45" s="374">
        <v>0</v>
      </c>
      <c r="AI45" s="375">
        <v>0</v>
      </c>
      <c r="AJ45" s="372">
        <v>237.04</v>
      </c>
      <c r="AK45" s="376">
        <v>0</v>
      </c>
      <c r="AL45" s="376">
        <v>0</v>
      </c>
      <c r="AM45" s="412"/>
    </row>
    <row r="46" spans="2:39" s="377" customFormat="1" ht="28.15" customHeight="1" x14ac:dyDescent="0.25">
      <c r="B46" s="369">
        <v>43052</v>
      </c>
      <c r="C46" s="370">
        <v>233328</v>
      </c>
      <c r="D46" s="370">
        <v>0</v>
      </c>
      <c r="E46" s="371">
        <v>0</v>
      </c>
      <c r="F46" s="371">
        <v>0</v>
      </c>
      <c r="G46" s="371">
        <v>0</v>
      </c>
      <c r="H46" s="371"/>
      <c r="I46" s="371"/>
      <c r="J46" s="371"/>
      <c r="K46" s="371"/>
      <c r="L46" s="371"/>
      <c r="M46" s="371">
        <v>650000</v>
      </c>
      <c r="N46" s="371">
        <v>44000</v>
      </c>
      <c r="O46" s="371">
        <v>1600</v>
      </c>
      <c r="P46" s="371">
        <f t="shared" si="0"/>
        <v>91683</v>
      </c>
      <c r="Q46" s="371">
        <v>-59825</v>
      </c>
      <c r="R46" s="372">
        <v>233328</v>
      </c>
      <c r="S46" s="400">
        <v>220549.03</v>
      </c>
      <c r="T46" s="400">
        <v>0</v>
      </c>
      <c r="U46" s="400">
        <v>0</v>
      </c>
      <c r="V46" s="400">
        <v>0</v>
      </c>
      <c r="W46" s="372">
        <v>220549.03</v>
      </c>
      <c r="X46" s="373">
        <v>220549.03</v>
      </c>
      <c r="Y46" s="372">
        <v>233328</v>
      </c>
      <c r="Z46" s="373">
        <v>960786</v>
      </c>
      <c r="AA46" s="400">
        <v>0</v>
      </c>
      <c r="AB46" s="400">
        <v>0</v>
      </c>
      <c r="AC46" s="400">
        <v>0</v>
      </c>
      <c r="AD46" s="400">
        <v>0</v>
      </c>
      <c r="AE46" s="372">
        <v>0</v>
      </c>
      <c r="AF46" s="372">
        <v>0</v>
      </c>
      <c r="AG46" s="400">
        <v>0.28000000000000114</v>
      </c>
      <c r="AH46" s="374">
        <v>0</v>
      </c>
      <c r="AI46" s="375">
        <v>0</v>
      </c>
      <c r="AJ46" s="372">
        <v>237.32</v>
      </c>
      <c r="AK46" s="376">
        <v>1.1798415641328212E-3</v>
      </c>
      <c r="AL46" s="376">
        <v>-1.1798415641328212E-3</v>
      </c>
      <c r="AM46" s="412"/>
    </row>
    <row r="47" spans="2:39" s="377" customFormat="1" ht="28.15" customHeight="1" x14ac:dyDescent="0.25">
      <c r="B47" s="369">
        <v>43053</v>
      </c>
      <c r="C47" s="370">
        <v>233328</v>
      </c>
      <c r="D47" s="370">
        <v>0</v>
      </c>
      <c r="E47" s="371">
        <v>0</v>
      </c>
      <c r="F47" s="371">
        <v>0</v>
      </c>
      <c r="G47" s="371">
        <v>0</v>
      </c>
      <c r="H47" s="371"/>
      <c r="I47" s="371"/>
      <c r="J47" s="371"/>
      <c r="K47" s="371"/>
      <c r="L47" s="371"/>
      <c r="M47" s="371">
        <v>650000</v>
      </c>
      <c r="N47" s="371">
        <v>44000</v>
      </c>
      <c r="O47" s="371">
        <v>1600</v>
      </c>
      <c r="P47" s="371">
        <f t="shared" si="0"/>
        <v>91683</v>
      </c>
      <c r="Q47" s="371">
        <v>-59825</v>
      </c>
      <c r="R47" s="372">
        <v>233328</v>
      </c>
      <c r="S47" s="400">
        <v>220549.03</v>
      </c>
      <c r="T47" s="400">
        <v>0</v>
      </c>
      <c r="U47" s="400">
        <v>0</v>
      </c>
      <c r="V47" s="400">
        <v>0</v>
      </c>
      <c r="W47" s="372">
        <v>220549.03</v>
      </c>
      <c r="X47" s="373">
        <v>220549.03</v>
      </c>
      <c r="Y47" s="372">
        <v>233328</v>
      </c>
      <c r="Z47" s="373">
        <v>960786</v>
      </c>
      <c r="AA47" s="400">
        <v>0</v>
      </c>
      <c r="AB47" s="400">
        <v>0</v>
      </c>
      <c r="AC47" s="400">
        <v>0</v>
      </c>
      <c r="AD47" s="400">
        <v>0</v>
      </c>
      <c r="AE47" s="372">
        <v>0</v>
      </c>
      <c r="AF47" s="372">
        <v>0</v>
      </c>
      <c r="AG47" s="400">
        <v>-0.57999999999998408</v>
      </c>
      <c r="AH47" s="374">
        <v>0</v>
      </c>
      <c r="AI47" s="375">
        <v>0</v>
      </c>
      <c r="AJ47" s="372">
        <v>236.74</v>
      </c>
      <c r="AK47" s="376">
        <v>-2.4499450874376281E-3</v>
      </c>
      <c r="AL47" s="376">
        <v>2.4499450874376281E-3</v>
      </c>
      <c r="AM47" s="412"/>
    </row>
    <row r="48" spans="2:39" s="377" customFormat="1" ht="28.15" customHeight="1" x14ac:dyDescent="0.25">
      <c r="B48" s="369">
        <v>43054</v>
      </c>
      <c r="C48" s="370">
        <v>233328</v>
      </c>
      <c r="D48" s="370">
        <v>0</v>
      </c>
      <c r="E48" s="371">
        <v>0</v>
      </c>
      <c r="F48" s="371">
        <v>0</v>
      </c>
      <c r="G48" s="371">
        <v>0</v>
      </c>
      <c r="H48" s="371"/>
      <c r="I48" s="371"/>
      <c r="J48" s="371"/>
      <c r="K48" s="371"/>
      <c r="L48" s="371"/>
      <c r="M48" s="371">
        <v>650000</v>
      </c>
      <c r="N48" s="371">
        <v>44000</v>
      </c>
      <c r="O48" s="371">
        <v>1600</v>
      </c>
      <c r="P48" s="371">
        <f t="shared" si="0"/>
        <v>91683</v>
      </c>
      <c r="Q48" s="371">
        <v>-59825</v>
      </c>
      <c r="R48" s="372">
        <v>233328</v>
      </c>
      <c r="S48" s="400">
        <v>220549.03</v>
      </c>
      <c r="T48" s="400">
        <v>0</v>
      </c>
      <c r="U48" s="400">
        <v>0</v>
      </c>
      <c r="V48" s="400">
        <v>0</v>
      </c>
      <c r="W48" s="372">
        <v>220549.03</v>
      </c>
      <c r="X48" s="373">
        <v>220549.03</v>
      </c>
      <c r="Y48" s="372">
        <v>233328</v>
      </c>
      <c r="Z48" s="373">
        <v>960786</v>
      </c>
      <c r="AA48" s="400">
        <v>0</v>
      </c>
      <c r="AB48" s="400">
        <v>0</v>
      </c>
      <c r="AC48" s="400">
        <v>0</v>
      </c>
      <c r="AD48" s="400">
        <v>0</v>
      </c>
      <c r="AE48" s="372">
        <v>0</v>
      </c>
      <c r="AF48" s="372">
        <v>0</v>
      </c>
      <c r="AG48" s="400">
        <v>-1.210000000000008</v>
      </c>
      <c r="AH48" s="374">
        <v>0</v>
      </c>
      <c r="AI48" s="375">
        <v>0</v>
      </c>
      <c r="AJ48" s="372">
        <v>235.53</v>
      </c>
      <c r="AK48" s="376">
        <v>-5.137349806818698E-3</v>
      </c>
      <c r="AL48" s="376">
        <v>5.137349806818698E-3</v>
      </c>
      <c r="AM48" s="412"/>
    </row>
    <row r="49" spans="2:39" s="377" customFormat="1" ht="28.15" customHeight="1" x14ac:dyDescent="0.25">
      <c r="B49" s="369">
        <v>43055</v>
      </c>
      <c r="C49" s="370">
        <v>233328</v>
      </c>
      <c r="D49" s="370">
        <v>0</v>
      </c>
      <c r="E49" s="371">
        <v>0</v>
      </c>
      <c r="F49" s="371">
        <v>0</v>
      </c>
      <c r="G49" s="371">
        <v>0</v>
      </c>
      <c r="H49" s="371"/>
      <c r="I49" s="371"/>
      <c r="J49" s="371"/>
      <c r="K49" s="371"/>
      <c r="L49" s="371"/>
      <c r="M49" s="371">
        <v>650000</v>
      </c>
      <c r="N49" s="371">
        <v>44000</v>
      </c>
      <c r="O49" s="371">
        <v>1600</v>
      </c>
      <c r="P49" s="371">
        <f t="shared" si="0"/>
        <v>91683</v>
      </c>
      <c r="Q49" s="371">
        <v>-59825</v>
      </c>
      <c r="R49" s="372">
        <v>233328</v>
      </c>
      <c r="S49" s="400">
        <v>220549.03</v>
      </c>
      <c r="T49" s="400">
        <v>0</v>
      </c>
      <c r="U49" s="400">
        <v>0</v>
      </c>
      <c r="V49" s="400">
        <v>0</v>
      </c>
      <c r="W49" s="372">
        <v>220549.03</v>
      </c>
      <c r="X49" s="373">
        <v>220549.03</v>
      </c>
      <c r="Y49" s="372">
        <v>233328</v>
      </c>
      <c r="Z49" s="373">
        <v>960786</v>
      </c>
      <c r="AA49" s="400">
        <v>0</v>
      </c>
      <c r="AB49" s="400">
        <v>0</v>
      </c>
      <c r="AC49" s="400">
        <v>0</v>
      </c>
      <c r="AD49" s="400">
        <v>0</v>
      </c>
      <c r="AE49" s="372">
        <v>0</v>
      </c>
      <c r="AF49" s="372">
        <v>0</v>
      </c>
      <c r="AG49" s="400">
        <v>2.0099999999999909</v>
      </c>
      <c r="AH49" s="374">
        <v>0</v>
      </c>
      <c r="AI49" s="375">
        <v>0</v>
      </c>
      <c r="AJ49" s="372">
        <v>237.54</v>
      </c>
      <c r="AK49" s="376">
        <v>8.4617327607981428E-3</v>
      </c>
      <c r="AL49" s="376">
        <v>-8.4617327607981428E-3</v>
      </c>
      <c r="AM49" s="412"/>
    </row>
    <row r="50" spans="2:39" s="377" customFormat="1" ht="28.15" customHeight="1" x14ac:dyDescent="0.25">
      <c r="B50" s="369">
        <v>43056</v>
      </c>
      <c r="C50" s="370">
        <v>233328</v>
      </c>
      <c r="D50" s="370">
        <v>0</v>
      </c>
      <c r="E50" s="371">
        <v>0</v>
      </c>
      <c r="F50" s="371">
        <v>0</v>
      </c>
      <c r="G50" s="371">
        <v>0</v>
      </c>
      <c r="H50" s="371"/>
      <c r="I50" s="371"/>
      <c r="J50" s="371"/>
      <c r="K50" s="371"/>
      <c r="L50" s="371"/>
      <c r="M50" s="371">
        <v>650000</v>
      </c>
      <c r="N50" s="371">
        <v>44000</v>
      </c>
      <c r="O50" s="371">
        <v>1600</v>
      </c>
      <c r="P50" s="371">
        <f t="shared" si="0"/>
        <v>91683</v>
      </c>
      <c r="Q50" s="371">
        <v>-59825</v>
      </c>
      <c r="R50" s="372">
        <v>233328</v>
      </c>
      <c r="S50" s="400">
        <v>220549.03</v>
      </c>
      <c r="T50" s="400">
        <v>0</v>
      </c>
      <c r="U50" s="400">
        <v>0</v>
      </c>
      <c r="V50" s="400">
        <v>0</v>
      </c>
      <c r="W50" s="372">
        <v>220549.03</v>
      </c>
      <c r="X50" s="373">
        <v>220549.03</v>
      </c>
      <c r="Y50" s="372">
        <v>233328</v>
      </c>
      <c r="Z50" s="373">
        <v>960786</v>
      </c>
      <c r="AA50" s="400">
        <v>0</v>
      </c>
      <c r="AB50" s="400">
        <v>0</v>
      </c>
      <c r="AC50" s="400">
        <v>0</v>
      </c>
      <c r="AD50" s="400">
        <v>0</v>
      </c>
      <c r="AE50" s="372">
        <v>0</v>
      </c>
      <c r="AF50" s="372">
        <v>0</v>
      </c>
      <c r="AG50" s="400">
        <v>-0.63999999999998636</v>
      </c>
      <c r="AH50" s="374">
        <v>0</v>
      </c>
      <c r="AI50" s="375">
        <v>0</v>
      </c>
      <c r="AJ50" s="372">
        <v>236.9</v>
      </c>
      <c r="AK50" s="376">
        <v>-2.7015618404389462E-3</v>
      </c>
      <c r="AL50" s="376">
        <v>2.7015618404389462E-3</v>
      </c>
      <c r="AM50" s="412"/>
    </row>
    <row r="51" spans="2:39" s="377" customFormat="1" ht="28.15" customHeight="1" x14ac:dyDescent="0.25">
      <c r="B51" s="378">
        <v>43057</v>
      </c>
      <c r="C51" s="370">
        <v>233328</v>
      </c>
      <c r="D51" s="370">
        <v>0</v>
      </c>
      <c r="E51" s="371">
        <v>0</v>
      </c>
      <c r="F51" s="371">
        <v>0</v>
      </c>
      <c r="G51" s="371">
        <v>0</v>
      </c>
      <c r="H51" s="371"/>
      <c r="I51" s="371"/>
      <c r="J51" s="371"/>
      <c r="K51" s="371"/>
      <c r="L51" s="371"/>
      <c r="M51" s="371">
        <v>650000</v>
      </c>
      <c r="N51" s="371">
        <v>44000</v>
      </c>
      <c r="O51" s="371">
        <v>1600</v>
      </c>
      <c r="P51" s="371">
        <f t="shared" si="0"/>
        <v>91683</v>
      </c>
      <c r="Q51" s="371">
        <v>-59825</v>
      </c>
      <c r="R51" s="372">
        <v>233328</v>
      </c>
      <c r="S51" s="400">
        <v>220549.03</v>
      </c>
      <c r="T51" s="400">
        <v>0</v>
      </c>
      <c r="U51" s="400">
        <v>0</v>
      </c>
      <c r="V51" s="400">
        <v>0</v>
      </c>
      <c r="W51" s="372">
        <v>220549.03</v>
      </c>
      <c r="X51" s="373">
        <v>220549.03</v>
      </c>
      <c r="Y51" s="372">
        <v>233328</v>
      </c>
      <c r="Z51" s="373">
        <v>960786</v>
      </c>
      <c r="AA51" s="400">
        <v>0</v>
      </c>
      <c r="AB51" s="400">
        <v>0</v>
      </c>
      <c r="AC51" s="400">
        <v>0</v>
      </c>
      <c r="AD51" s="400">
        <v>0</v>
      </c>
      <c r="AE51" s="372">
        <v>0</v>
      </c>
      <c r="AF51" s="372">
        <v>0</v>
      </c>
      <c r="AG51" s="400">
        <v>0</v>
      </c>
      <c r="AH51" s="374">
        <v>0</v>
      </c>
      <c r="AI51" s="375">
        <v>0</v>
      </c>
      <c r="AJ51" s="372">
        <v>236.9</v>
      </c>
      <c r="AK51" s="376">
        <v>0</v>
      </c>
      <c r="AL51" s="376">
        <v>0</v>
      </c>
      <c r="AM51" s="412"/>
    </row>
    <row r="52" spans="2:39" s="377" customFormat="1" ht="28.15" customHeight="1" x14ac:dyDescent="0.25">
      <c r="B52" s="378">
        <v>43058</v>
      </c>
      <c r="C52" s="370">
        <v>233328</v>
      </c>
      <c r="D52" s="370">
        <v>0</v>
      </c>
      <c r="E52" s="371">
        <v>0</v>
      </c>
      <c r="F52" s="371">
        <v>0</v>
      </c>
      <c r="G52" s="371">
        <v>0</v>
      </c>
      <c r="H52" s="371"/>
      <c r="I52" s="371"/>
      <c r="J52" s="371"/>
      <c r="K52" s="371"/>
      <c r="L52" s="371"/>
      <c r="M52" s="371">
        <v>650000</v>
      </c>
      <c r="N52" s="371">
        <v>44000</v>
      </c>
      <c r="O52" s="371">
        <v>1600</v>
      </c>
      <c r="P52" s="371">
        <f t="shared" si="0"/>
        <v>91683</v>
      </c>
      <c r="Q52" s="371">
        <v>-59825</v>
      </c>
      <c r="R52" s="372">
        <v>233328</v>
      </c>
      <c r="S52" s="400">
        <v>220549.03</v>
      </c>
      <c r="T52" s="400">
        <v>0</v>
      </c>
      <c r="U52" s="400">
        <v>0</v>
      </c>
      <c r="V52" s="400">
        <v>0</v>
      </c>
      <c r="W52" s="372">
        <v>220549.03</v>
      </c>
      <c r="X52" s="373">
        <v>220549.03</v>
      </c>
      <c r="Y52" s="372">
        <v>233328</v>
      </c>
      <c r="Z52" s="373">
        <v>960786</v>
      </c>
      <c r="AA52" s="400">
        <v>0</v>
      </c>
      <c r="AB52" s="400">
        <v>0</v>
      </c>
      <c r="AC52" s="400">
        <v>0</v>
      </c>
      <c r="AD52" s="400">
        <v>0</v>
      </c>
      <c r="AE52" s="372">
        <v>0</v>
      </c>
      <c r="AF52" s="372">
        <v>0</v>
      </c>
      <c r="AG52" s="400">
        <v>0</v>
      </c>
      <c r="AH52" s="374">
        <v>0</v>
      </c>
      <c r="AI52" s="375">
        <v>0</v>
      </c>
      <c r="AJ52" s="372">
        <v>236.9</v>
      </c>
      <c r="AK52" s="376">
        <v>0</v>
      </c>
      <c r="AL52" s="376">
        <v>0</v>
      </c>
      <c r="AM52" s="412"/>
    </row>
    <row r="53" spans="2:39" s="377" customFormat="1" ht="28.15" customHeight="1" x14ac:dyDescent="0.25">
      <c r="B53" s="369">
        <v>43059</v>
      </c>
      <c r="C53" s="370">
        <v>233328</v>
      </c>
      <c r="D53" s="370">
        <v>0</v>
      </c>
      <c r="E53" s="371">
        <v>0</v>
      </c>
      <c r="F53" s="371">
        <v>0</v>
      </c>
      <c r="G53" s="371">
        <v>0</v>
      </c>
      <c r="H53" s="371"/>
      <c r="I53" s="371"/>
      <c r="J53" s="371"/>
      <c r="K53" s="371"/>
      <c r="L53" s="371"/>
      <c r="M53" s="371">
        <v>650000</v>
      </c>
      <c r="N53" s="371">
        <v>44000</v>
      </c>
      <c r="O53" s="371">
        <v>1600</v>
      </c>
      <c r="P53" s="371">
        <f t="shared" si="0"/>
        <v>91683</v>
      </c>
      <c r="Q53" s="371">
        <v>-59825</v>
      </c>
      <c r="R53" s="372">
        <v>233328</v>
      </c>
      <c r="S53" s="400">
        <v>220549.03</v>
      </c>
      <c r="T53" s="400">
        <v>0</v>
      </c>
      <c r="U53" s="400">
        <v>0</v>
      </c>
      <c r="V53" s="400">
        <v>0</v>
      </c>
      <c r="W53" s="372">
        <v>220549.03</v>
      </c>
      <c r="X53" s="373">
        <v>220549.03</v>
      </c>
      <c r="Y53" s="372">
        <v>233328</v>
      </c>
      <c r="Z53" s="373">
        <v>960786</v>
      </c>
      <c r="AA53" s="400">
        <v>0</v>
      </c>
      <c r="AB53" s="400">
        <v>0</v>
      </c>
      <c r="AC53" s="400">
        <v>0</v>
      </c>
      <c r="AD53" s="400">
        <v>0</v>
      </c>
      <c r="AE53" s="372">
        <v>0</v>
      </c>
      <c r="AF53" s="372">
        <v>0</v>
      </c>
      <c r="AG53" s="400">
        <v>0.31000000000000227</v>
      </c>
      <c r="AH53" s="374">
        <v>0</v>
      </c>
      <c r="AI53" s="375">
        <v>0</v>
      </c>
      <c r="AJ53" s="372">
        <v>237.21</v>
      </c>
      <c r="AK53" s="376">
        <v>1.3068589013953975E-3</v>
      </c>
      <c r="AL53" s="376">
        <v>-1.3068589013953975E-3</v>
      </c>
      <c r="AM53" s="412"/>
    </row>
    <row r="54" spans="2:39" s="377" customFormat="1" ht="28.15" customHeight="1" x14ac:dyDescent="0.25">
      <c r="B54" s="369">
        <v>43060</v>
      </c>
      <c r="C54" s="370">
        <v>233328</v>
      </c>
      <c r="D54" s="370">
        <v>0</v>
      </c>
      <c r="E54" s="371">
        <v>0</v>
      </c>
      <c r="F54" s="371">
        <v>0</v>
      </c>
      <c r="G54" s="371">
        <v>0</v>
      </c>
      <c r="H54" s="371"/>
      <c r="I54" s="371"/>
      <c r="J54" s="371"/>
      <c r="K54" s="371"/>
      <c r="L54" s="371"/>
      <c r="M54" s="371">
        <v>650000</v>
      </c>
      <c r="N54" s="371">
        <v>44000</v>
      </c>
      <c r="O54" s="371">
        <v>1600</v>
      </c>
      <c r="P54" s="371">
        <f t="shared" si="0"/>
        <v>91683</v>
      </c>
      <c r="Q54" s="371">
        <v>-59825</v>
      </c>
      <c r="R54" s="372">
        <v>233328</v>
      </c>
      <c r="S54" s="400">
        <v>220549.03</v>
      </c>
      <c r="T54" s="400">
        <v>0</v>
      </c>
      <c r="U54" s="400">
        <v>0</v>
      </c>
      <c r="V54" s="400">
        <v>0</v>
      </c>
      <c r="W54" s="372">
        <v>220549.03</v>
      </c>
      <c r="X54" s="373">
        <v>220549.03</v>
      </c>
      <c r="Y54" s="372">
        <v>233328</v>
      </c>
      <c r="Z54" s="373">
        <v>960786</v>
      </c>
      <c r="AA54" s="400">
        <v>0</v>
      </c>
      <c r="AB54" s="400">
        <v>0</v>
      </c>
      <c r="AC54" s="400">
        <v>0</v>
      </c>
      <c r="AD54" s="400">
        <v>0</v>
      </c>
      <c r="AE54" s="372">
        <v>0</v>
      </c>
      <c r="AF54" s="372">
        <v>0</v>
      </c>
      <c r="AG54" s="400">
        <v>1.5799999999999841</v>
      </c>
      <c r="AH54" s="374">
        <v>0</v>
      </c>
      <c r="AI54" s="375">
        <v>0</v>
      </c>
      <c r="AJ54" s="372">
        <v>238.79</v>
      </c>
      <c r="AK54" s="376">
        <v>6.6166924913102897E-3</v>
      </c>
      <c r="AL54" s="376">
        <v>-6.6166924913102897E-3</v>
      </c>
      <c r="AM54" s="412"/>
    </row>
    <row r="55" spans="2:39" s="377" customFormat="1" ht="28.15" customHeight="1" x14ac:dyDescent="0.25">
      <c r="B55" s="369">
        <v>43061</v>
      </c>
      <c r="C55" s="370">
        <v>233328</v>
      </c>
      <c r="D55" s="370">
        <v>0</v>
      </c>
      <c r="E55" s="371">
        <v>0</v>
      </c>
      <c r="F55" s="371">
        <v>0</v>
      </c>
      <c r="G55" s="371">
        <v>0</v>
      </c>
      <c r="H55" s="371"/>
      <c r="I55" s="371"/>
      <c r="J55" s="371"/>
      <c r="K55" s="371"/>
      <c r="L55" s="371"/>
      <c r="M55" s="371">
        <v>650000</v>
      </c>
      <c r="N55" s="371">
        <v>44000</v>
      </c>
      <c r="O55" s="371">
        <v>1600</v>
      </c>
      <c r="P55" s="371">
        <f t="shared" si="0"/>
        <v>91683</v>
      </c>
      <c r="Q55" s="371">
        <v>-59825</v>
      </c>
      <c r="R55" s="372">
        <v>233328</v>
      </c>
      <c r="S55" s="400">
        <v>220549.03</v>
      </c>
      <c r="T55" s="400">
        <v>0</v>
      </c>
      <c r="U55" s="400">
        <v>0</v>
      </c>
      <c r="V55" s="400">
        <v>0</v>
      </c>
      <c r="W55" s="372">
        <v>220549.03</v>
      </c>
      <c r="X55" s="373">
        <v>220549.03</v>
      </c>
      <c r="Y55" s="372">
        <v>233328</v>
      </c>
      <c r="Z55" s="373">
        <v>960786</v>
      </c>
      <c r="AA55" s="400">
        <v>0</v>
      </c>
      <c r="AB55" s="400">
        <v>0</v>
      </c>
      <c r="AC55" s="400">
        <v>0</v>
      </c>
      <c r="AD55" s="400">
        <v>0</v>
      </c>
      <c r="AE55" s="372">
        <v>0</v>
      </c>
      <c r="AF55" s="372">
        <v>0</v>
      </c>
      <c r="AG55" s="400">
        <v>-0.16999999999998749</v>
      </c>
      <c r="AH55" s="374">
        <v>0</v>
      </c>
      <c r="AI55" s="375">
        <v>0</v>
      </c>
      <c r="AJ55" s="372">
        <v>238.62</v>
      </c>
      <c r="AK55" s="376">
        <v>-7.1242980471036583E-4</v>
      </c>
      <c r="AL55" s="376">
        <v>7.1242980471036583E-4</v>
      </c>
      <c r="AM55" s="412"/>
    </row>
    <row r="56" spans="2:39" s="377" customFormat="1" ht="28.15" customHeight="1" x14ac:dyDescent="0.25">
      <c r="B56" s="369">
        <v>43062</v>
      </c>
      <c r="C56" s="370">
        <v>233328</v>
      </c>
      <c r="D56" s="370">
        <v>0</v>
      </c>
      <c r="E56" s="371">
        <v>0</v>
      </c>
      <c r="F56" s="371">
        <v>0</v>
      </c>
      <c r="G56" s="371">
        <v>0</v>
      </c>
      <c r="H56" s="371"/>
      <c r="I56" s="371"/>
      <c r="J56" s="371"/>
      <c r="K56" s="371"/>
      <c r="L56" s="371"/>
      <c r="M56" s="371">
        <v>650000</v>
      </c>
      <c r="N56" s="371">
        <v>44000</v>
      </c>
      <c r="O56" s="371">
        <v>1600</v>
      </c>
      <c r="P56" s="371">
        <f t="shared" si="0"/>
        <v>91683</v>
      </c>
      <c r="Q56" s="371">
        <v>-59825</v>
      </c>
      <c r="R56" s="372">
        <v>233328</v>
      </c>
      <c r="S56" s="400">
        <v>220549.03</v>
      </c>
      <c r="T56" s="400">
        <v>0</v>
      </c>
      <c r="U56" s="400">
        <v>0</v>
      </c>
      <c r="V56" s="400">
        <v>0</v>
      </c>
      <c r="W56" s="372">
        <v>220549.03</v>
      </c>
      <c r="X56" s="373">
        <v>220549.03</v>
      </c>
      <c r="Y56" s="372">
        <v>233328</v>
      </c>
      <c r="Z56" s="373">
        <v>960786</v>
      </c>
      <c r="AA56" s="400">
        <v>0</v>
      </c>
      <c r="AB56" s="400">
        <v>0</v>
      </c>
      <c r="AC56" s="400">
        <v>0</v>
      </c>
      <c r="AD56" s="400">
        <v>0</v>
      </c>
      <c r="AE56" s="372">
        <v>0</v>
      </c>
      <c r="AF56" s="372">
        <v>0</v>
      </c>
      <c r="AG56" s="400">
        <v>0</v>
      </c>
      <c r="AH56" s="374">
        <v>0</v>
      </c>
      <c r="AI56" s="375">
        <v>0</v>
      </c>
      <c r="AJ56" s="372">
        <v>238.62</v>
      </c>
      <c r="AK56" s="376">
        <v>0</v>
      </c>
      <c r="AL56" s="376">
        <v>0</v>
      </c>
      <c r="AM56" s="412"/>
    </row>
    <row r="57" spans="2:39" s="377" customFormat="1" ht="28.15" customHeight="1" x14ac:dyDescent="0.25">
      <c r="B57" s="369">
        <v>43063</v>
      </c>
      <c r="C57" s="370">
        <v>233328</v>
      </c>
      <c r="D57" s="370">
        <v>0</v>
      </c>
      <c r="E57" s="371">
        <v>0</v>
      </c>
      <c r="F57" s="371">
        <v>0</v>
      </c>
      <c r="G57" s="371">
        <v>0</v>
      </c>
      <c r="H57" s="371"/>
      <c r="I57" s="371"/>
      <c r="J57" s="371"/>
      <c r="K57" s="371"/>
      <c r="L57" s="371"/>
      <c r="M57" s="371">
        <v>650000</v>
      </c>
      <c r="N57" s="371">
        <v>44000</v>
      </c>
      <c r="O57" s="371">
        <v>1600</v>
      </c>
      <c r="P57" s="371">
        <f t="shared" si="0"/>
        <v>91683</v>
      </c>
      <c r="Q57" s="371">
        <v>-59825</v>
      </c>
      <c r="R57" s="372">
        <v>233328</v>
      </c>
      <c r="S57" s="400">
        <v>220549.03</v>
      </c>
      <c r="T57" s="400">
        <v>0</v>
      </c>
      <c r="U57" s="400">
        <v>0</v>
      </c>
      <c r="V57" s="400">
        <v>0</v>
      </c>
      <c r="W57" s="372">
        <v>220549.03</v>
      </c>
      <c r="X57" s="373">
        <v>220549.03</v>
      </c>
      <c r="Y57" s="372">
        <v>233328</v>
      </c>
      <c r="Z57" s="373">
        <v>960786</v>
      </c>
      <c r="AA57" s="400">
        <v>0</v>
      </c>
      <c r="AB57" s="400">
        <v>0</v>
      </c>
      <c r="AC57" s="400">
        <v>0</v>
      </c>
      <c r="AD57" s="400">
        <v>0</v>
      </c>
      <c r="AE57" s="372">
        <v>0</v>
      </c>
      <c r="AF57" s="372">
        <v>0</v>
      </c>
      <c r="AG57" s="400">
        <v>0.5</v>
      </c>
      <c r="AH57" s="374">
        <v>0</v>
      </c>
      <c r="AI57" s="375">
        <v>0</v>
      </c>
      <c r="AJ57" s="372">
        <v>239.12</v>
      </c>
      <c r="AK57" s="376">
        <v>2.0910003345600537E-3</v>
      </c>
      <c r="AL57" s="376">
        <v>-2.0910003345600537E-3</v>
      </c>
      <c r="AM57" s="412"/>
    </row>
    <row r="58" spans="2:39" s="377" customFormat="1" ht="28.15" customHeight="1" x14ac:dyDescent="0.25">
      <c r="B58" s="378">
        <v>43064</v>
      </c>
      <c r="C58" s="370">
        <v>233328</v>
      </c>
      <c r="D58" s="370">
        <v>0</v>
      </c>
      <c r="E58" s="371">
        <v>0</v>
      </c>
      <c r="F58" s="371">
        <v>0</v>
      </c>
      <c r="G58" s="371">
        <v>0</v>
      </c>
      <c r="H58" s="371"/>
      <c r="I58" s="371"/>
      <c r="J58" s="371"/>
      <c r="K58" s="371"/>
      <c r="L58" s="371"/>
      <c r="M58" s="371">
        <v>650000</v>
      </c>
      <c r="N58" s="371">
        <v>44000</v>
      </c>
      <c r="O58" s="371">
        <v>1600</v>
      </c>
      <c r="P58" s="371">
        <f t="shared" si="0"/>
        <v>91683</v>
      </c>
      <c r="Q58" s="371">
        <v>-59825</v>
      </c>
      <c r="R58" s="372">
        <v>233328</v>
      </c>
      <c r="S58" s="400">
        <v>220549.03</v>
      </c>
      <c r="T58" s="400">
        <v>0</v>
      </c>
      <c r="U58" s="400">
        <v>0</v>
      </c>
      <c r="V58" s="400">
        <v>0</v>
      </c>
      <c r="W58" s="372">
        <v>220549.03</v>
      </c>
      <c r="X58" s="373">
        <v>220549.03</v>
      </c>
      <c r="Y58" s="372">
        <v>233328</v>
      </c>
      <c r="Z58" s="373">
        <v>960786</v>
      </c>
      <c r="AA58" s="400">
        <v>0</v>
      </c>
      <c r="AB58" s="400">
        <v>0</v>
      </c>
      <c r="AC58" s="400">
        <v>0</v>
      </c>
      <c r="AD58" s="400">
        <v>0</v>
      </c>
      <c r="AE58" s="372">
        <v>0</v>
      </c>
      <c r="AF58" s="372">
        <v>0</v>
      </c>
      <c r="AG58" s="400">
        <v>0</v>
      </c>
      <c r="AH58" s="374">
        <v>0</v>
      </c>
      <c r="AI58" s="375">
        <v>0</v>
      </c>
      <c r="AJ58" s="372">
        <v>239.12</v>
      </c>
      <c r="AK58" s="376">
        <v>0</v>
      </c>
      <c r="AL58" s="376">
        <v>0</v>
      </c>
      <c r="AM58" s="412"/>
    </row>
    <row r="59" spans="2:39" s="377" customFormat="1" ht="28.15" customHeight="1" x14ac:dyDescent="0.25">
      <c r="B59" s="378">
        <v>43065</v>
      </c>
      <c r="C59" s="370">
        <v>233328</v>
      </c>
      <c r="D59" s="370">
        <v>0</v>
      </c>
      <c r="E59" s="371">
        <v>0</v>
      </c>
      <c r="F59" s="371">
        <v>0</v>
      </c>
      <c r="G59" s="371">
        <v>0</v>
      </c>
      <c r="H59" s="371"/>
      <c r="I59" s="371"/>
      <c r="J59" s="371"/>
      <c r="K59" s="371"/>
      <c r="L59" s="371"/>
      <c r="M59" s="371">
        <v>650000</v>
      </c>
      <c r="N59" s="371">
        <v>44000</v>
      </c>
      <c r="O59" s="371">
        <v>1600</v>
      </c>
      <c r="P59" s="371">
        <f t="shared" si="0"/>
        <v>91683</v>
      </c>
      <c r="Q59" s="371">
        <v>-59825</v>
      </c>
      <c r="R59" s="372">
        <v>233328</v>
      </c>
      <c r="S59" s="400">
        <v>220549.03</v>
      </c>
      <c r="T59" s="400">
        <v>0</v>
      </c>
      <c r="U59" s="400">
        <v>0</v>
      </c>
      <c r="V59" s="400">
        <v>0</v>
      </c>
      <c r="W59" s="372">
        <v>220549.03</v>
      </c>
      <c r="X59" s="373">
        <v>220549.03</v>
      </c>
      <c r="Y59" s="372">
        <v>233328</v>
      </c>
      <c r="Z59" s="373">
        <v>960786</v>
      </c>
      <c r="AA59" s="400">
        <v>0</v>
      </c>
      <c r="AB59" s="400">
        <v>0</v>
      </c>
      <c r="AC59" s="400">
        <v>0</v>
      </c>
      <c r="AD59" s="400">
        <v>0</v>
      </c>
      <c r="AE59" s="372">
        <v>0</v>
      </c>
      <c r="AF59" s="372">
        <v>0</v>
      </c>
      <c r="AG59" s="400">
        <v>0</v>
      </c>
      <c r="AH59" s="374">
        <v>0</v>
      </c>
      <c r="AI59" s="375">
        <v>0</v>
      </c>
      <c r="AJ59" s="372">
        <v>239.12</v>
      </c>
      <c r="AK59" s="376">
        <v>0</v>
      </c>
      <c r="AL59" s="376">
        <v>0</v>
      </c>
      <c r="AM59" s="412"/>
    </row>
    <row r="60" spans="2:39" s="377" customFormat="1" ht="28.15" customHeight="1" x14ac:dyDescent="0.25">
      <c r="B60" s="369">
        <v>43066</v>
      </c>
      <c r="C60" s="370">
        <v>233328</v>
      </c>
      <c r="D60" s="370">
        <v>0</v>
      </c>
      <c r="E60" s="371">
        <v>0</v>
      </c>
      <c r="F60" s="371">
        <v>0</v>
      </c>
      <c r="G60" s="371">
        <v>0</v>
      </c>
      <c r="H60" s="371"/>
      <c r="I60" s="371"/>
      <c r="J60" s="371"/>
      <c r="K60" s="371"/>
      <c r="L60" s="371"/>
      <c r="M60" s="371">
        <v>650000</v>
      </c>
      <c r="N60" s="371">
        <v>44000</v>
      </c>
      <c r="O60" s="371">
        <v>1600</v>
      </c>
      <c r="P60" s="371">
        <f t="shared" si="0"/>
        <v>91683</v>
      </c>
      <c r="Q60" s="371">
        <v>-59825</v>
      </c>
      <c r="R60" s="372">
        <v>233328</v>
      </c>
      <c r="S60" s="400">
        <v>220549.03</v>
      </c>
      <c r="T60" s="400">
        <v>0</v>
      </c>
      <c r="U60" s="400">
        <v>0</v>
      </c>
      <c r="V60" s="400">
        <v>0</v>
      </c>
      <c r="W60" s="372">
        <v>220549.03</v>
      </c>
      <c r="X60" s="373">
        <v>220549.03</v>
      </c>
      <c r="Y60" s="372">
        <v>233328</v>
      </c>
      <c r="Z60" s="373">
        <v>960786</v>
      </c>
      <c r="AA60" s="400">
        <v>0</v>
      </c>
      <c r="AB60" s="400">
        <v>0</v>
      </c>
      <c r="AC60" s="400">
        <v>0</v>
      </c>
      <c r="AD60" s="400">
        <v>0</v>
      </c>
      <c r="AE60" s="372">
        <v>0</v>
      </c>
      <c r="AF60" s="372">
        <v>0</v>
      </c>
      <c r="AG60" s="400">
        <v>-6.9999999999993179E-2</v>
      </c>
      <c r="AH60" s="374">
        <v>0</v>
      </c>
      <c r="AI60" s="375">
        <v>0</v>
      </c>
      <c r="AJ60" s="372">
        <v>239.05</v>
      </c>
      <c r="AK60" s="376">
        <v>-2.9282576866761418E-4</v>
      </c>
      <c r="AL60" s="376">
        <v>2.9282576866761418E-4</v>
      </c>
      <c r="AM60" s="412"/>
    </row>
    <row r="61" spans="2:39" s="377" customFormat="1" ht="28.15" customHeight="1" x14ac:dyDescent="0.25">
      <c r="B61" s="369">
        <v>43067</v>
      </c>
      <c r="C61" s="370">
        <v>233328</v>
      </c>
      <c r="D61" s="370">
        <v>0</v>
      </c>
      <c r="E61" s="371">
        <v>0</v>
      </c>
      <c r="F61" s="371">
        <v>0</v>
      </c>
      <c r="G61" s="371">
        <v>0</v>
      </c>
      <c r="H61" s="371"/>
      <c r="I61" s="371"/>
      <c r="J61" s="371"/>
      <c r="K61" s="371"/>
      <c r="L61" s="371"/>
      <c r="M61" s="371">
        <v>650000</v>
      </c>
      <c r="N61" s="371">
        <v>44000</v>
      </c>
      <c r="O61" s="371">
        <v>1600</v>
      </c>
      <c r="P61" s="371">
        <f t="shared" si="0"/>
        <v>91683</v>
      </c>
      <c r="Q61" s="371">
        <v>-59825</v>
      </c>
      <c r="R61" s="372">
        <v>233328</v>
      </c>
      <c r="S61" s="400">
        <v>220549.03</v>
      </c>
      <c r="T61" s="400">
        <v>0</v>
      </c>
      <c r="U61" s="400">
        <v>0</v>
      </c>
      <c r="V61" s="400">
        <v>0</v>
      </c>
      <c r="W61" s="372">
        <v>220549.03</v>
      </c>
      <c r="X61" s="373">
        <v>220549.03</v>
      </c>
      <c r="Y61" s="372">
        <v>233328</v>
      </c>
      <c r="Z61" s="373">
        <v>960786</v>
      </c>
      <c r="AA61" s="400">
        <v>0</v>
      </c>
      <c r="AB61" s="400">
        <v>0</v>
      </c>
      <c r="AC61" s="400">
        <v>0</v>
      </c>
      <c r="AD61" s="400">
        <v>0</v>
      </c>
      <c r="AE61" s="372">
        <v>0</v>
      </c>
      <c r="AF61" s="372">
        <v>0</v>
      </c>
      <c r="AG61" s="400">
        <v>2.3699999999999761</v>
      </c>
      <c r="AH61" s="374">
        <v>0</v>
      </c>
      <c r="AI61" s="375">
        <v>0</v>
      </c>
      <c r="AJ61" s="372">
        <v>241.42</v>
      </c>
      <c r="AK61" s="376">
        <v>9.8169165769197916E-3</v>
      </c>
      <c r="AL61" s="376">
        <v>-9.8169165769197916E-3</v>
      </c>
      <c r="AM61" s="412"/>
    </row>
    <row r="62" spans="2:39" s="377" customFormat="1" ht="28.15" customHeight="1" x14ac:dyDescent="0.25">
      <c r="B62" s="369">
        <v>43068</v>
      </c>
      <c r="C62" s="370">
        <v>233328</v>
      </c>
      <c r="D62" s="370">
        <v>0</v>
      </c>
      <c r="E62" s="371">
        <v>0</v>
      </c>
      <c r="F62" s="371">
        <v>0</v>
      </c>
      <c r="G62" s="371">
        <v>0</v>
      </c>
      <c r="H62" s="371"/>
      <c r="I62" s="371"/>
      <c r="J62" s="371"/>
      <c r="K62" s="371"/>
      <c r="L62" s="371"/>
      <c r="M62" s="371">
        <v>650000</v>
      </c>
      <c r="N62" s="371">
        <v>44000</v>
      </c>
      <c r="O62" s="371">
        <v>1600</v>
      </c>
      <c r="P62" s="371">
        <f t="shared" si="0"/>
        <v>91683</v>
      </c>
      <c r="Q62" s="371">
        <v>-59825</v>
      </c>
      <c r="R62" s="372">
        <v>233328</v>
      </c>
      <c r="S62" s="400">
        <v>220549.03</v>
      </c>
      <c r="T62" s="400">
        <v>0</v>
      </c>
      <c r="U62" s="400">
        <v>0</v>
      </c>
      <c r="V62" s="400">
        <v>0</v>
      </c>
      <c r="W62" s="372">
        <v>220549.03</v>
      </c>
      <c r="X62" s="373">
        <v>220549.03</v>
      </c>
      <c r="Y62" s="372">
        <v>233328</v>
      </c>
      <c r="Z62" s="373">
        <v>960786</v>
      </c>
      <c r="AA62" s="400">
        <v>0</v>
      </c>
      <c r="AB62" s="400">
        <v>0</v>
      </c>
      <c r="AC62" s="400">
        <v>0</v>
      </c>
      <c r="AD62" s="400">
        <v>0</v>
      </c>
      <c r="AE62" s="372">
        <v>0</v>
      </c>
      <c r="AF62" s="372">
        <v>0</v>
      </c>
      <c r="AG62" s="400">
        <v>-8.9999999999974989E-2</v>
      </c>
      <c r="AH62" s="374">
        <v>0</v>
      </c>
      <c r="AI62" s="375">
        <v>0</v>
      </c>
      <c r="AJ62" s="372">
        <v>241.33</v>
      </c>
      <c r="AK62" s="376">
        <v>-3.7293332780829146E-4</v>
      </c>
      <c r="AL62" s="376">
        <v>3.7293332780829146E-4</v>
      </c>
      <c r="AM62" s="412"/>
    </row>
    <row r="63" spans="2:39" s="377" customFormat="1" ht="28.15" customHeight="1" x14ac:dyDescent="0.25">
      <c r="B63" s="369">
        <v>43069</v>
      </c>
      <c r="C63" s="370">
        <v>233328</v>
      </c>
      <c r="D63" s="370">
        <v>0</v>
      </c>
      <c r="E63" s="371">
        <v>0</v>
      </c>
      <c r="F63" s="371">
        <v>0</v>
      </c>
      <c r="G63" s="371">
        <v>0</v>
      </c>
      <c r="H63" s="371"/>
      <c r="I63" s="371"/>
      <c r="J63" s="371"/>
      <c r="K63" s="371"/>
      <c r="L63" s="371"/>
      <c r="M63" s="371">
        <v>650000</v>
      </c>
      <c r="N63" s="371">
        <v>44000</v>
      </c>
      <c r="O63" s="371">
        <v>1600</v>
      </c>
      <c r="P63" s="371">
        <f t="shared" si="0"/>
        <v>91683</v>
      </c>
      <c r="Q63" s="371">
        <v>-59825</v>
      </c>
      <c r="R63" s="372">
        <v>233328</v>
      </c>
      <c r="S63" s="400">
        <v>220549.03</v>
      </c>
      <c r="T63" s="400">
        <v>0</v>
      </c>
      <c r="U63" s="400">
        <v>0</v>
      </c>
      <c r="V63" s="400">
        <v>0</v>
      </c>
      <c r="W63" s="372">
        <v>220549.03</v>
      </c>
      <c r="X63" s="373">
        <v>220549.03</v>
      </c>
      <c r="Y63" s="372">
        <v>233328</v>
      </c>
      <c r="Z63" s="373">
        <v>960786</v>
      </c>
      <c r="AA63" s="400">
        <v>0</v>
      </c>
      <c r="AB63" s="400">
        <v>0</v>
      </c>
      <c r="AC63" s="400">
        <v>0</v>
      </c>
      <c r="AD63" s="400">
        <v>0</v>
      </c>
      <c r="AE63" s="372">
        <v>0</v>
      </c>
      <c r="AF63" s="372">
        <v>0</v>
      </c>
      <c r="AG63" s="400">
        <v>2.0199999999999818</v>
      </c>
      <c r="AH63" s="374">
        <v>0</v>
      </c>
      <c r="AI63" s="375">
        <v>0</v>
      </c>
      <c r="AJ63" s="372">
        <v>243.35</v>
      </c>
      <c r="AK63" s="376">
        <v>8.3008013149783524E-3</v>
      </c>
      <c r="AL63" s="376">
        <v>-8.3008013149783524E-3</v>
      </c>
      <c r="AM63" s="412"/>
    </row>
    <row r="64" spans="2:39" s="377" customFormat="1" ht="28.15" customHeight="1" x14ac:dyDescent="0.25">
      <c r="B64" s="369">
        <v>43070</v>
      </c>
      <c r="C64" s="370">
        <v>235081</v>
      </c>
      <c r="D64" s="370">
        <v>0</v>
      </c>
      <c r="E64" s="371">
        <v>0</v>
      </c>
      <c r="F64" s="371">
        <v>0</v>
      </c>
      <c r="G64" s="371">
        <v>0</v>
      </c>
      <c r="H64" s="371"/>
      <c r="I64" s="371"/>
      <c r="J64" s="371"/>
      <c r="K64" s="371"/>
      <c r="L64" s="371"/>
      <c r="M64" s="371">
        <v>650000</v>
      </c>
      <c r="N64" s="371">
        <v>44000</v>
      </c>
      <c r="O64" s="371">
        <v>1600</v>
      </c>
      <c r="P64" s="371">
        <f t="shared" si="0"/>
        <v>91683</v>
      </c>
      <c r="Q64" s="371">
        <v>-59825</v>
      </c>
      <c r="R64" s="372">
        <v>235081</v>
      </c>
      <c r="S64" s="400">
        <v>220549.03</v>
      </c>
      <c r="T64" s="400">
        <v>0</v>
      </c>
      <c r="U64" s="400">
        <v>0</v>
      </c>
      <c r="V64" s="400">
        <v>0</v>
      </c>
      <c r="W64" s="372">
        <v>220549.03</v>
      </c>
      <c r="X64" s="373">
        <v>220549.03</v>
      </c>
      <c r="Y64" s="372">
        <v>235081</v>
      </c>
      <c r="Z64" s="373">
        <v>962539</v>
      </c>
      <c r="AA64" s="400">
        <v>1753</v>
      </c>
      <c r="AB64" s="400">
        <v>0</v>
      </c>
      <c r="AC64" s="400">
        <v>0</v>
      </c>
      <c r="AD64" s="400">
        <v>0</v>
      </c>
      <c r="AE64" s="372">
        <v>1753</v>
      </c>
      <c r="AF64" s="372">
        <v>1753</v>
      </c>
      <c r="AG64" s="400">
        <v>-0.44999999999998863</v>
      </c>
      <c r="AH64" s="374">
        <v>7.4570041815374272E-3</v>
      </c>
      <c r="AI64" s="375">
        <v>0</v>
      </c>
      <c r="AJ64" s="372">
        <v>242.9</v>
      </c>
      <c r="AK64" s="376">
        <v>-1.8526142445450334E-3</v>
      </c>
      <c r="AL64" s="376">
        <v>9.3096184260824597E-3</v>
      </c>
      <c r="AM64" s="412"/>
    </row>
    <row r="65" spans="2:39" s="377" customFormat="1" ht="28.15" customHeight="1" x14ac:dyDescent="0.25">
      <c r="B65" s="378">
        <v>43071</v>
      </c>
      <c r="C65" s="370">
        <v>235081</v>
      </c>
      <c r="D65" s="370">
        <v>0</v>
      </c>
      <c r="E65" s="371">
        <v>0</v>
      </c>
      <c r="F65" s="371">
        <v>0</v>
      </c>
      <c r="G65" s="371">
        <v>0</v>
      </c>
      <c r="H65" s="371"/>
      <c r="I65" s="371"/>
      <c r="J65" s="371"/>
      <c r="K65" s="371"/>
      <c r="L65" s="371"/>
      <c r="M65" s="371">
        <v>650000</v>
      </c>
      <c r="N65" s="371">
        <v>44000</v>
      </c>
      <c r="O65" s="371">
        <v>1600</v>
      </c>
      <c r="P65" s="371">
        <f t="shared" si="0"/>
        <v>91683</v>
      </c>
      <c r="Q65" s="371">
        <v>-59825</v>
      </c>
      <c r="R65" s="372">
        <v>235081</v>
      </c>
      <c r="S65" s="400">
        <v>220549.03</v>
      </c>
      <c r="T65" s="400">
        <v>0</v>
      </c>
      <c r="U65" s="400">
        <v>0</v>
      </c>
      <c r="V65" s="400">
        <v>0</v>
      </c>
      <c r="W65" s="372">
        <v>220549.03</v>
      </c>
      <c r="X65" s="373">
        <v>220549.03</v>
      </c>
      <c r="Y65" s="372">
        <v>235081</v>
      </c>
      <c r="Z65" s="373">
        <v>962539</v>
      </c>
      <c r="AA65" s="400">
        <v>0</v>
      </c>
      <c r="AB65" s="400">
        <v>0</v>
      </c>
      <c r="AC65" s="400">
        <v>0</v>
      </c>
      <c r="AD65" s="400">
        <v>0</v>
      </c>
      <c r="AE65" s="372">
        <v>0</v>
      </c>
      <c r="AF65" s="372">
        <v>0</v>
      </c>
      <c r="AG65" s="400">
        <v>0</v>
      </c>
      <c r="AH65" s="374">
        <v>0</v>
      </c>
      <c r="AI65" s="375">
        <v>0</v>
      </c>
      <c r="AJ65" s="372">
        <v>242.9</v>
      </c>
      <c r="AK65" s="376">
        <v>0</v>
      </c>
      <c r="AL65" s="376">
        <v>0</v>
      </c>
      <c r="AM65" s="412"/>
    </row>
    <row r="66" spans="2:39" s="377" customFormat="1" ht="28.15" customHeight="1" x14ac:dyDescent="0.25">
      <c r="B66" s="378">
        <v>43072</v>
      </c>
      <c r="C66" s="370">
        <v>235081</v>
      </c>
      <c r="D66" s="370">
        <v>0</v>
      </c>
      <c r="E66" s="371">
        <v>0</v>
      </c>
      <c r="F66" s="371">
        <v>0</v>
      </c>
      <c r="G66" s="371">
        <v>0</v>
      </c>
      <c r="H66" s="371"/>
      <c r="I66" s="371"/>
      <c r="J66" s="371"/>
      <c r="K66" s="371"/>
      <c r="L66" s="371"/>
      <c r="M66" s="371">
        <v>650000</v>
      </c>
      <c r="N66" s="371">
        <v>44000</v>
      </c>
      <c r="O66" s="371">
        <v>1600</v>
      </c>
      <c r="P66" s="371">
        <f t="shared" si="0"/>
        <v>91683</v>
      </c>
      <c r="Q66" s="371">
        <v>-59825</v>
      </c>
      <c r="R66" s="372">
        <v>235081</v>
      </c>
      <c r="S66" s="400">
        <v>220549.03</v>
      </c>
      <c r="T66" s="400">
        <v>0</v>
      </c>
      <c r="U66" s="400">
        <v>0</v>
      </c>
      <c r="V66" s="400">
        <v>0</v>
      </c>
      <c r="W66" s="372">
        <v>220549.03</v>
      </c>
      <c r="X66" s="373">
        <v>220549.03</v>
      </c>
      <c r="Y66" s="372">
        <v>235081</v>
      </c>
      <c r="Z66" s="373">
        <v>962539</v>
      </c>
      <c r="AA66" s="400">
        <v>0</v>
      </c>
      <c r="AB66" s="400">
        <v>0</v>
      </c>
      <c r="AC66" s="400">
        <v>0</v>
      </c>
      <c r="AD66" s="400">
        <v>0</v>
      </c>
      <c r="AE66" s="372">
        <v>0</v>
      </c>
      <c r="AF66" s="372">
        <v>0</v>
      </c>
      <c r="AG66" s="400">
        <v>0</v>
      </c>
      <c r="AH66" s="374">
        <v>0</v>
      </c>
      <c r="AI66" s="375">
        <v>0</v>
      </c>
      <c r="AJ66" s="372">
        <v>242.9</v>
      </c>
      <c r="AK66" s="376">
        <v>0</v>
      </c>
      <c r="AL66" s="376">
        <v>0</v>
      </c>
      <c r="AM66" s="412"/>
    </row>
    <row r="67" spans="2:39" s="377" customFormat="1" ht="28.15" customHeight="1" x14ac:dyDescent="0.25">
      <c r="B67" s="369">
        <v>43073</v>
      </c>
      <c r="C67" s="370">
        <v>235081</v>
      </c>
      <c r="D67" s="370">
        <v>0</v>
      </c>
      <c r="E67" s="371">
        <v>0</v>
      </c>
      <c r="F67" s="371">
        <v>0</v>
      </c>
      <c r="G67" s="371">
        <v>0</v>
      </c>
      <c r="H67" s="371"/>
      <c r="I67" s="371"/>
      <c r="J67" s="371"/>
      <c r="K67" s="371"/>
      <c r="L67" s="371"/>
      <c r="M67" s="371">
        <v>650000</v>
      </c>
      <c r="N67" s="371">
        <v>44000</v>
      </c>
      <c r="O67" s="371">
        <v>1600</v>
      </c>
      <c r="P67" s="371">
        <f t="shared" si="0"/>
        <v>91683</v>
      </c>
      <c r="Q67" s="371">
        <v>-59825</v>
      </c>
      <c r="R67" s="372">
        <v>235081</v>
      </c>
      <c r="S67" s="400">
        <v>220549.03</v>
      </c>
      <c r="T67" s="400">
        <v>0</v>
      </c>
      <c r="U67" s="400">
        <v>0</v>
      </c>
      <c r="V67" s="400">
        <v>0</v>
      </c>
      <c r="W67" s="372">
        <v>220549.03</v>
      </c>
      <c r="X67" s="373">
        <v>220549.03</v>
      </c>
      <c r="Y67" s="372">
        <v>235081</v>
      </c>
      <c r="Z67" s="373">
        <v>962539</v>
      </c>
      <c r="AA67" s="400">
        <v>0</v>
      </c>
      <c r="AB67" s="400">
        <v>0</v>
      </c>
      <c r="AC67" s="400">
        <v>0</v>
      </c>
      <c r="AD67" s="400">
        <v>0</v>
      </c>
      <c r="AE67" s="372">
        <v>0</v>
      </c>
      <c r="AF67" s="372">
        <v>0</v>
      </c>
      <c r="AG67" s="400">
        <v>-0.26000000000001933</v>
      </c>
      <c r="AH67" s="374">
        <v>0</v>
      </c>
      <c r="AI67" s="375">
        <v>0</v>
      </c>
      <c r="AJ67" s="372">
        <v>242.64</v>
      </c>
      <c r="AK67" s="376">
        <v>-1.0715463237719227E-3</v>
      </c>
      <c r="AL67" s="376">
        <v>1.0715463237719227E-3</v>
      </c>
      <c r="AM67" s="412"/>
    </row>
    <row r="68" spans="2:39" s="377" customFormat="1" ht="28.15" customHeight="1" x14ac:dyDescent="0.25">
      <c r="B68" s="369">
        <v>43074</v>
      </c>
      <c r="C68" s="370">
        <v>235081</v>
      </c>
      <c r="D68" s="370">
        <v>0</v>
      </c>
      <c r="E68" s="371">
        <v>0</v>
      </c>
      <c r="F68" s="371">
        <v>0</v>
      </c>
      <c r="G68" s="371">
        <v>0</v>
      </c>
      <c r="H68" s="371"/>
      <c r="I68" s="371"/>
      <c r="J68" s="371"/>
      <c r="K68" s="371"/>
      <c r="L68" s="371"/>
      <c r="M68" s="371">
        <v>650000</v>
      </c>
      <c r="N68" s="371">
        <v>44000</v>
      </c>
      <c r="O68" s="371">
        <v>1600</v>
      </c>
      <c r="P68" s="371">
        <f t="shared" si="0"/>
        <v>91683</v>
      </c>
      <c r="Q68" s="371">
        <v>-59825</v>
      </c>
      <c r="R68" s="372">
        <v>235081</v>
      </c>
      <c r="S68" s="400">
        <v>220549.03</v>
      </c>
      <c r="T68" s="400">
        <v>0</v>
      </c>
      <c r="U68" s="400">
        <v>0</v>
      </c>
      <c r="V68" s="400">
        <v>0</v>
      </c>
      <c r="W68" s="372">
        <v>220549.03</v>
      </c>
      <c r="X68" s="373">
        <v>220549.03</v>
      </c>
      <c r="Y68" s="372">
        <v>235081</v>
      </c>
      <c r="Z68" s="373">
        <v>962539</v>
      </c>
      <c r="AA68" s="400">
        <v>0</v>
      </c>
      <c r="AB68" s="400">
        <v>0</v>
      </c>
      <c r="AC68" s="400">
        <v>0</v>
      </c>
      <c r="AD68" s="400">
        <v>0</v>
      </c>
      <c r="AE68" s="372">
        <v>0</v>
      </c>
      <c r="AF68" s="372">
        <v>0</v>
      </c>
      <c r="AG68" s="400">
        <v>-0.85999999999998522</v>
      </c>
      <c r="AH68" s="374">
        <v>0</v>
      </c>
      <c r="AI68" s="375">
        <v>0</v>
      </c>
      <c r="AJ68" s="372">
        <v>241.78</v>
      </c>
      <c r="AK68" s="376">
        <v>-3.5569526015385277E-3</v>
      </c>
      <c r="AL68" s="376">
        <v>3.5569526015385277E-3</v>
      </c>
      <c r="AM68" s="412"/>
    </row>
    <row r="69" spans="2:39" s="377" customFormat="1" ht="28.15" customHeight="1" x14ac:dyDescent="0.25">
      <c r="B69" s="369">
        <v>43075</v>
      </c>
      <c r="C69" s="370">
        <v>235081</v>
      </c>
      <c r="D69" s="370">
        <v>0</v>
      </c>
      <c r="E69" s="371">
        <v>0</v>
      </c>
      <c r="F69" s="371">
        <v>0</v>
      </c>
      <c r="G69" s="371">
        <v>0</v>
      </c>
      <c r="H69" s="371"/>
      <c r="I69" s="371"/>
      <c r="J69" s="371"/>
      <c r="K69" s="371"/>
      <c r="L69" s="371"/>
      <c r="M69" s="371">
        <v>650000</v>
      </c>
      <c r="N69" s="371">
        <v>44000</v>
      </c>
      <c r="O69" s="371">
        <v>1600</v>
      </c>
      <c r="P69" s="371">
        <f t="shared" si="0"/>
        <v>91683</v>
      </c>
      <c r="Q69" s="371">
        <v>-59825</v>
      </c>
      <c r="R69" s="372">
        <v>235081</v>
      </c>
      <c r="S69" s="400">
        <v>220549.03</v>
      </c>
      <c r="T69" s="400">
        <v>0</v>
      </c>
      <c r="U69" s="400">
        <v>0</v>
      </c>
      <c r="V69" s="400">
        <v>0</v>
      </c>
      <c r="W69" s="372">
        <v>220549.03</v>
      </c>
      <c r="X69" s="373">
        <v>220549.03</v>
      </c>
      <c r="Y69" s="372">
        <v>235081</v>
      </c>
      <c r="Z69" s="373">
        <v>962539</v>
      </c>
      <c r="AA69" s="400">
        <v>0</v>
      </c>
      <c r="AB69" s="400">
        <v>0</v>
      </c>
      <c r="AC69" s="400">
        <v>0</v>
      </c>
      <c r="AD69" s="400">
        <v>0</v>
      </c>
      <c r="AE69" s="372">
        <v>0</v>
      </c>
      <c r="AF69" s="372">
        <v>0</v>
      </c>
      <c r="AG69" s="400">
        <v>-9.9999999999909051E-3</v>
      </c>
      <c r="AH69" s="374">
        <v>0</v>
      </c>
      <c r="AI69" s="375">
        <v>0</v>
      </c>
      <c r="AJ69" s="372">
        <v>241.77</v>
      </c>
      <c r="AK69" s="376">
        <v>-4.136162468457999E-5</v>
      </c>
      <c r="AL69" s="376">
        <v>4.136162468457999E-5</v>
      </c>
      <c r="AM69" s="412"/>
    </row>
    <row r="70" spans="2:39" s="377" customFormat="1" ht="28.15" customHeight="1" x14ac:dyDescent="0.25">
      <c r="B70" s="369">
        <v>43076</v>
      </c>
      <c r="C70" s="370">
        <v>235081</v>
      </c>
      <c r="D70" s="370">
        <v>0</v>
      </c>
      <c r="E70" s="371">
        <v>0</v>
      </c>
      <c r="F70" s="371">
        <v>0</v>
      </c>
      <c r="G70" s="371">
        <v>0</v>
      </c>
      <c r="H70" s="371"/>
      <c r="I70" s="371"/>
      <c r="J70" s="371"/>
      <c r="K70" s="371"/>
      <c r="L70" s="371"/>
      <c r="M70" s="371">
        <v>650000</v>
      </c>
      <c r="N70" s="371">
        <v>44000</v>
      </c>
      <c r="O70" s="371">
        <v>1600</v>
      </c>
      <c r="P70" s="371">
        <f t="shared" si="0"/>
        <v>91683</v>
      </c>
      <c r="Q70" s="371">
        <v>-59825</v>
      </c>
      <c r="R70" s="372">
        <v>235081</v>
      </c>
      <c r="S70" s="400">
        <v>220549.03</v>
      </c>
      <c r="T70" s="400">
        <v>0</v>
      </c>
      <c r="U70" s="400">
        <v>0</v>
      </c>
      <c r="V70" s="400">
        <v>0</v>
      </c>
      <c r="W70" s="372">
        <v>220549.03</v>
      </c>
      <c r="X70" s="373">
        <v>220549.03</v>
      </c>
      <c r="Y70" s="372">
        <v>235081</v>
      </c>
      <c r="Z70" s="373">
        <v>962539</v>
      </c>
      <c r="AA70" s="400">
        <v>0</v>
      </c>
      <c r="AB70" s="400">
        <v>0</v>
      </c>
      <c r="AC70" s="400">
        <v>0</v>
      </c>
      <c r="AD70" s="400">
        <v>0</v>
      </c>
      <c r="AE70" s="372">
        <v>0</v>
      </c>
      <c r="AF70" s="372">
        <v>0</v>
      </c>
      <c r="AG70" s="400">
        <v>0.79999999999998295</v>
      </c>
      <c r="AH70" s="374">
        <v>0</v>
      </c>
      <c r="AI70" s="375">
        <v>0</v>
      </c>
      <c r="AJ70" s="372">
        <v>242.57</v>
      </c>
      <c r="AK70" s="376">
        <v>3.2980170672382526E-3</v>
      </c>
      <c r="AL70" s="376">
        <v>-3.2980170672382526E-3</v>
      </c>
      <c r="AM70" s="412"/>
    </row>
    <row r="71" spans="2:39" s="377" customFormat="1" ht="28.15" customHeight="1" x14ac:dyDescent="0.25">
      <c r="B71" s="369">
        <v>43077</v>
      </c>
      <c r="C71" s="370">
        <v>235081</v>
      </c>
      <c r="D71" s="370">
        <v>0</v>
      </c>
      <c r="E71" s="371">
        <v>0</v>
      </c>
      <c r="F71" s="371">
        <v>0</v>
      </c>
      <c r="G71" s="371">
        <v>0</v>
      </c>
      <c r="H71" s="371"/>
      <c r="I71" s="371"/>
      <c r="J71" s="371"/>
      <c r="K71" s="371"/>
      <c r="L71" s="371"/>
      <c r="M71" s="371">
        <v>650000</v>
      </c>
      <c r="N71" s="371">
        <v>44000</v>
      </c>
      <c r="O71" s="371">
        <v>1600</v>
      </c>
      <c r="P71" s="371">
        <f t="shared" si="0"/>
        <v>91683</v>
      </c>
      <c r="Q71" s="371">
        <v>-59825</v>
      </c>
      <c r="R71" s="372">
        <v>235081</v>
      </c>
      <c r="S71" s="400">
        <v>220549.03</v>
      </c>
      <c r="T71" s="400">
        <v>0</v>
      </c>
      <c r="U71" s="400">
        <v>0</v>
      </c>
      <c r="V71" s="400">
        <v>0</v>
      </c>
      <c r="W71" s="372">
        <v>220549.03</v>
      </c>
      <c r="X71" s="373">
        <v>220549.03</v>
      </c>
      <c r="Y71" s="372">
        <v>235081</v>
      </c>
      <c r="Z71" s="373">
        <v>962539</v>
      </c>
      <c r="AA71" s="400">
        <v>0</v>
      </c>
      <c r="AB71" s="400">
        <v>0</v>
      </c>
      <c r="AC71" s="400">
        <v>0</v>
      </c>
      <c r="AD71" s="400">
        <v>0</v>
      </c>
      <c r="AE71" s="372">
        <v>0</v>
      </c>
      <c r="AF71" s="372">
        <v>0</v>
      </c>
      <c r="AG71" s="400">
        <v>1.3199999999999932</v>
      </c>
      <c r="AH71" s="374">
        <v>0</v>
      </c>
      <c r="AI71" s="375">
        <v>0</v>
      </c>
      <c r="AJ71" s="372">
        <v>243.89</v>
      </c>
      <c r="AK71" s="376">
        <v>5.4122760260773024E-3</v>
      </c>
      <c r="AL71" s="376">
        <v>-5.4122760260773024E-3</v>
      </c>
      <c r="AM71" s="412"/>
    </row>
    <row r="72" spans="2:39" s="377" customFormat="1" ht="28.15" customHeight="1" x14ac:dyDescent="0.25">
      <c r="B72" s="378">
        <v>43078</v>
      </c>
      <c r="C72" s="370">
        <v>235081</v>
      </c>
      <c r="D72" s="370">
        <v>0</v>
      </c>
      <c r="E72" s="371">
        <v>0</v>
      </c>
      <c r="F72" s="371">
        <v>0</v>
      </c>
      <c r="G72" s="371">
        <v>0</v>
      </c>
      <c r="H72" s="371"/>
      <c r="I72" s="371"/>
      <c r="J72" s="371"/>
      <c r="K72" s="371"/>
      <c r="L72" s="371"/>
      <c r="M72" s="371">
        <v>650000</v>
      </c>
      <c r="N72" s="371">
        <v>44000</v>
      </c>
      <c r="O72" s="371">
        <v>1600</v>
      </c>
      <c r="P72" s="371">
        <f t="shared" si="0"/>
        <v>91683</v>
      </c>
      <c r="Q72" s="371">
        <v>-59825</v>
      </c>
      <c r="R72" s="372">
        <v>235081</v>
      </c>
      <c r="S72" s="400">
        <v>220549.03</v>
      </c>
      <c r="T72" s="400">
        <v>0</v>
      </c>
      <c r="U72" s="400">
        <v>0</v>
      </c>
      <c r="V72" s="400">
        <v>0</v>
      </c>
      <c r="W72" s="372">
        <v>220549.03</v>
      </c>
      <c r="X72" s="373">
        <v>220549.03</v>
      </c>
      <c r="Y72" s="372">
        <v>235081</v>
      </c>
      <c r="Z72" s="373">
        <v>962539</v>
      </c>
      <c r="AA72" s="400">
        <v>0</v>
      </c>
      <c r="AB72" s="400">
        <v>0</v>
      </c>
      <c r="AC72" s="400">
        <v>0</v>
      </c>
      <c r="AD72" s="400">
        <v>0</v>
      </c>
      <c r="AE72" s="372">
        <v>0</v>
      </c>
      <c r="AF72" s="372">
        <v>0</v>
      </c>
      <c r="AG72" s="400">
        <v>0</v>
      </c>
      <c r="AH72" s="374">
        <v>0</v>
      </c>
      <c r="AI72" s="375">
        <v>0</v>
      </c>
      <c r="AJ72" s="372">
        <v>243.89</v>
      </c>
      <c r="AK72" s="376">
        <v>0</v>
      </c>
      <c r="AL72" s="376">
        <v>0</v>
      </c>
      <c r="AM72" s="412"/>
    </row>
    <row r="73" spans="2:39" s="377" customFormat="1" ht="28.15" customHeight="1" x14ac:dyDescent="0.25">
      <c r="B73" s="378">
        <v>43079</v>
      </c>
      <c r="C73" s="370">
        <v>235081</v>
      </c>
      <c r="D73" s="370">
        <v>0</v>
      </c>
      <c r="E73" s="371">
        <v>0</v>
      </c>
      <c r="F73" s="371">
        <v>0</v>
      </c>
      <c r="G73" s="371">
        <v>0</v>
      </c>
      <c r="H73" s="371"/>
      <c r="I73" s="371"/>
      <c r="J73" s="371"/>
      <c r="K73" s="371"/>
      <c r="L73" s="371"/>
      <c r="M73" s="371">
        <v>650000</v>
      </c>
      <c r="N73" s="371">
        <v>44000</v>
      </c>
      <c r="O73" s="371">
        <v>1600</v>
      </c>
      <c r="P73" s="371">
        <f t="shared" si="0"/>
        <v>91683</v>
      </c>
      <c r="Q73" s="371">
        <v>-59825</v>
      </c>
      <c r="R73" s="372">
        <v>235081</v>
      </c>
      <c r="S73" s="400">
        <v>220549.03</v>
      </c>
      <c r="T73" s="400">
        <v>0</v>
      </c>
      <c r="U73" s="400">
        <v>0</v>
      </c>
      <c r="V73" s="400">
        <v>0</v>
      </c>
      <c r="W73" s="372">
        <v>220549.03</v>
      </c>
      <c r="X73" s="373">
        <v>220549.03</v>
      </c>
      <c r="Y73" s="372">
        <v>235081</v>
      </c>
      <c r="Z73" s="373">
        <v>962539</v>
      </c>
      <c r="AA73" s="400">
        <v>0</v>
      </c>
      <c r="AB73" s="400">
        <v>0</v>
      </c>
      <c r="AC73" s="400">
        <v>0</v>
      </c>
      <c r="AD73" s="400">
        <v>0</v>
      </c>
      <c r="AE73" s="372">
        <v>0</v>
      </c>
      <c r="AF73" s="372">
        <v>0</v>
      </c>
      <c r="AG73" s="400">
        <v>0</v>
      </c>
      <c r="AH73" s="374">
        <v>0</v>
      </c>
      <c r="AI73" s="375">
        <v>0</v>
      </c>
      <c r="AJ73" s="372">
        <v>243.89</v>
      </c>
      <c r="AK73" s="376">
        <v>0</v>
      </c>
      <c r="AL73" s="376">
        <v>0</v>
      </c>
      <c r="AM73" s="412"/>
    </row>
    <row r="74" spans="2:39" s="377" customFormat="1" ht="28.15" customHeight="1" x14ac:dyDescent="0.25">
      <c r="B74" s="369">
        <v>43080</v>
      </c>
      <c r="C74" s="370">
        <v>235081</v>
      </c>
      <c r="D74" s="370">
        <v>0</v>
      </c>
      <c r="E74" s="371">
        <v>0</v>
      </c>
      <c r="F74" s="371">
        <v>0</v>
      </c>
      <c r="G74" s="371">
        <v>0</v>
      </c>
      <c r="H74" s="371"/>
      <c r="I74" s="371"/>
      <c r="J74" s="371"/>
      <c r="K74" s="371"/>
      <c r="L74" s="371"/>
      <c r="M74" s="371">
        <v>650000</v>
      </c>
      <c r="N74" s="371">
        <v>44000</v>
      </c>
      <c r="O74" s="371">
        <v>1600</v>
      </c>
      <c r="P74" s="371">
        <f t="shared" si="0"/>
        <v>91683</v>
      </c>
      <c r="Q74" s="371">
        <v>-59825</v>
      </c>
      <c r="R74" s="372">
        <v>235081</v>
      </c>
      <c r="S74" s="400">
        <v>220549.03</v>
      </c>
      <c r="T74" s="400">
        <v>0</v>
      </c>
      <c r="U74" s="400">
        <v>0</v>
      </c>
      <c r="V74" s="400">
        <v>0</v>
      </c>
      <c r="W74" s="372">
        <v>220549.03</v>
      </c>
      <c r="X74" s="373">
        <v>220549.03</v>
      </c>
      <c r="Y74" s="372">
        <v>235081</v>
      </c>
      <c r="Z74" s="373">
        <v>962539</v>
      </c>
      <c r="AA74" s="400">
        <v>0</v>
      </c>
      <c r="AB74" s="400">
        <v>0</v>
      </c>
      <c r="AC74" s="400">
        <v>0</v>
      </c>
      <c r="AD74" s="400">
        <v>0</v>
      </c>
      <c r="AE74" s="372">
        <v>0</v>
      </c>
      <c r="AF74" s="372">
        <v>0</v>
      </c>
      <c r="AG74" s="400">
        <v>0.79000000000002046</v>
      </c>
      <c r="AH74" s="374">
        <v>0</v>
      </c>
      <c r="AI74" s="375">
        <v>0</v>
      </c>
      <c r="AJ74" s="372">
        <v>244.68</v>
      </c>
      <c r="AK74" s="376">
        <v>3.2287068824588053E-3</v>
      </c>
      <c r="AL74" s="376">
        <v>-3.2287068824588053E-3</v>
      </c>
      <c r="AM74" s="412"/>
    </row>
    <row r="75" spans="2:39" s="377" customFormat="1" ht="28.15" customHeight="1" x14ac:dyDescent="0.25">
      <c r="B75" s="369">
        <v>43081</v>
      </c>
      <c r="C75" s="370">
        <v>235081</v>
      </c>
      <c r="D75" s="370">
        <v>0</v>
      </c>
      <c r="E75" s="371">
        <v>0</v>
      </c>
      <c r="F75" s="371">
        <v>0</v>
      </c>
      <c r="G75" s="371">
        <v>0</v>
      </c>
      <c r="H75" s="371"/>
      <c r="I75" s="371"/>
      <c r="J75" s="371"/>
      <c r="K75" s="371"/>
      <c r="L75" s="371"/>
      <c r="M75" s="371">
        <v>650000</v>
      </c>
      <c r="N75" s="371">
        <v>44000</v>
      </c>
      <c r="O75" s="371">
        <v>1600</v>
      </c>
      <c r="P75" s="371">
        <f t="shared" si="0"/>
        <v>91683</v>
      </c>
      <c r="Q75" s="371">
        <v>-59825</v>
      </c>
      <c r="R75" s="372">
        <v>235081</v>
      </c>
      <c r="S75" s="400">
        <v>220549.03</v>
      </c>
      <c r="T75" s="400">
        <v>0</v>
      </c>
      <c r="U75" s="400">
        <v>0</v>
      </c>
      <c r="V75" s="400">
        <v>0</v>
      </c>
      <c r="W75" s="372">
        <v>220549.03</v>
      </c>
      <c r="X75" s="373">
        <v>220549.03</v>
      </c>
      <c r="Y75" s="372">
        <v>235081</v>
      </c>
      <c r="Z75" s="373">
        <v>962539</v>
      </c>
      <c r="AA75" s="400">
        <v>0</v>
      </c>
      <c r="AB75" s="400">
        <v>0</v>
      </c>
      <c r="AC75" s="400">
        <v>0</v>
      </c>
      <c r="AD75" s="400">
        <v>0</v>
      </c>
      <c r="AE75" s="372">
        <v>0</v>
      </c>
      <c r="AF75" s="372">
        <v>0</v>
      </c>
      <c r="AG75" s="400">
        <v>0.41999999999998749</v>
      </c>
      <c r="AH75" s="374">
        <v>0</v>
      </c>
      <c r="AI75" s="375">
        <v>0</v>
      </c>
      <c r="AJ75" s="372">
        <v>245.1</v>
      </c>
      <c r="AK75" s="376">
        <v>1.7135862913096186E-3</v>
      </c>
      <c r="AL75" s="376">
        <v>-1.7135862913096186E-3</v>
      </c>
      <c r="AM75" s="412"/>
    </row>
    <row r="76" spans="2:39" s="377" customFormat="1" ht="28.15" customHeight="1" x14ac:dyDescent="0.25">
      <c r="B76" s="369">
        <v>43082</v>
      </c>
      <c r="C76" s="370">
        <v>235081</v>
      </c>
      <c r="D76" s="370">
        <v>0</v>
      </c>
      <c r="E76" s="371">
        <v>0</v>
      </c>
      <c r="F76" s="371">
        <v>0</v>
      </c>
      <c r="G76" s="371">
        <v>0</v>
      </c>
      <c r="H76" s="371"/>
      <c r="I76" s="371"/>
      <c r="J76" s="371"/>
      <c r="K76" s="371"/>
      <c r="L76" s="371"/>
      <c r="M76" s="371">
        <v>650000</v>
      </c>
      <c r="N76" s="371">
        <v>44000</v>
      </c>
      <c r="O76" s="371">
        <v>1600</v>
      </c>
      <c r="P76" s="371">
        <f t="shared" si="0"/>
        <v>91683</v>
      </c>
      <c r="Q76" s="371">
        <v>-59825</v>
      </c>
      <c r="R76" s="372">
        <v>235081</v>
      </c>
      <c r="S76" s="400">
        <v>220549.03</v>
      </c>
      <c r="T76" s="400">
        <v>0</v>
      </c>
      <c r="U76" s="400">
        <v>0</v>
      </c>
      <c r="V76" s="400">
        <v>0</v>
      </c>
      <c r="W76" s="372">
        <v>220549.03</v>
      </c>
      <c r="X76" s="373">
        <v>220549.03</v>
      </c>
      <c r="Y76" s="372">
        <v>235081</v>
      </c>
      <c r="Z76" s="373">
        <v>962539</v>
      </c>
      <c r="AA76" s="400">
        <v>0</v>
      </c>
      <c r="AB76" s="400">
        <v>0</v>
      </c>
      <c r="AC76" s="400">
        <v>0</v>
      </c>
      <c r="AD76" s="400">
        <v>0</v>
      </c>
      <c r="AE76" s="372">
        <v>0</v>
      </c>
      <c r="AF76" s="372">
        <v>0</v>
      </c>
      <c r="AG76" s="400">
        <v>-6.0000000000002274E-2</v>
      </c>
      <c r="AH76" s="374">
        <v>0</v>
      </c>
      <c r="AI76" s="375">
        <v>0</v>
      </c>
      <c r="AJ76" s="372">
        <v>245.04</v>
      </c>
      <c r="AK76" s="376">
        <v>-2.4485798237023455E-4</v>
      </c>
      <c r="AL76" s="376">
        <v>2.4485798237023455E-4</v>
      </c>
      <c r="AM76" s="412"/>
    </row>
    <row r="77" spans="2:39" s="377" customFormat="1" ht="28.15" customHeight="1" x14ac:dyDescent="0.25">
      <c r="B77" s="369">
        <v>43083</v>
      </c>
      <c r="C77" s="370">
        <v>235081</v>
      </c>
      <c r="D77" s="370">
        <v>0</v>
      </c>
      <c r="E77" s="371">
        <v>0</v>
      </c>
      <c r="F77" s="371">
        <v>0</v>
      </c>
      <c r="G77" s="371">
        <v>0</v>
      </c>
      <c r="H77" s="371"/>
      <c r="I77" s="371"/>
      <c r="J77" s="371"/>
      <c r="K77" s="371"/>
      <c r="L77" s="371"/>
      <c r="M77" s="371">
        <v>650000</v>
      </c>
      <c r="N77" s="371">
        <v>44000</v>
      </c>
      <c r="O77" s="371">
        <v>1600</v>
      </c>
      <c r="P77" s="371">
        <f t="shared" ref="P77:P140" si="1">91683</f>
        <v>91683</v>
      </c>
      <c r="Q77" s="371">
        <v>-59825</v>
      </c>
      <c r="R77" s="372">
        <v>235081</v>
      </c>
      <c r="S77" s="400">
        <v>220549.03</v>
      </c>
      <c r="T77" s="400">
        <v>0</v>
      </c>
      <c r="U77" s="400">
        <v>0</v>
      </c>
      <c r="V77" s="400">
        <v>0</v>
      </c>
      <c r="W77" s="372">
        <v>220549.03</v>
      </c>
      <c r="X77" s="373">
        <v>220549.03</v>
      </c>
      <c r="Y77" s="372">
        <v>235081</v>
      </c>
      <c r="Z77" s="373">
        <v>962539</v>
      </c>
      <c r="AA77" s="400">
        <v>0</v>
      </c>
      <c r="AB77" s="400">
        <v>0</v>
      </c>
      <c r="AC77" s="400">
        <v>0</v>
      </c>
      <c r="AD77" s="400">
        <v>0</v>
      </c>
      <c r="AE77" s="372">
        <v>0</v>
      </c>
      <c r="AF77" s="372">
        <v>0</v>
      </c>
      <c r="AG77" s="400">
        <v>-0.96999999999999886</v>
      </c>
      <c r="AH77" s="374">
        <v>0</v>
      </c>
      <c r="AI77" s="375">
        <v>0</v>
      </c>
      <c r="AJ77" s="372">
        <v>244.07</v>
      </c>
      <c r="AK77" s="376">
        <v>-3.9742696767320809E-3</v>
      </c>
      <c r="AL77" s="376">
        <v>3.9742696767320809E-3</v>
      </c>
      <c r="AM77" s="412"/>
    </row>
    <row r="78" spans="2:39" s="377" customFormat="1" ht="28.15" customHeight="1" x14ac:dyDescent="0.25">
      <c r="B78" s="369">
        <v>43084</v>
      </c>
      <c r="C78" s="370">
        <v>235081</v>
      </c>
      <c r="D78" s="370">
        <v>0</v>
      </c>
      <c r="E78" s="371">
        <v>0</v>
      </c>
      <c r="F78" s="371">
        <v>0</v>
      </c>
      <c r="G78" s="371">
        <v>0</v>
      </c>
      <c r="H78" s="371"/>
      <c r="I78" s="371"/>
      <c r="J78" s="371"/>
      <c r="K78" s="371"/>
      <c r="L78" s="371"/>
      <c r="M78" s="371">
        <v>650000</v>
      </c>
      <c r="N78" s="371">
        <v>44000</v>
      </c>
      <c r="O78" s="371">
        <v>1600</v>
      </c>
      <c r="P78" s="371">
        <f t="shared" si="1"/>
        <v>91683</v>
      </c>
      <c r="Q78" s="371">
        <v>-59825</v>
      </c>
      <c r="R78" s="372">
        <v>235081</v>
      </c>
      <c r="S78" s="400">
        <v>220549.03</v>
      </c>
      <c r="T78" s="400">
        <v>0</v>
      </c>
      <c r="U78" s="400">
        <v>0</v>
      </c>
      <c r="V78" s="400">
        <v>0</v>
      </c>
      <c r="W78" s="372">
        <v>220549.03</v>
      </c>
      <c r="X78" s="373">
        <v>220549.03</v>
      </c>
      <c r="Y78" s="372">
        <v>235081</v>
      </c>
      <c r="Z78" s="373">
        <v>962539</v>
      </c>
      <c r="AA78" s="400">
        <v>0</v>
      </c>
      <c r="AB78" s="400">
        <v>0</v>
      </c>
      <c r="AC78" s="400">
        <v>0</v>
      </c>
      <c r="AD78" s="400">
        <v>0</v>
      </c>
      <c r="AE78" s="372">
        <v>0</v>
      </c>
      <c r="AF78" s="372">
        <v>0</v>
      </c>
      <c r="AG78" s="400">
        <v>2.0500000000000114</v>
      </c>
      <c r="AH78" s="374">
        <v>0</v>
      </c>
      <c r="AI78" s="375">
        <v>0</v>
      </c>
      <c r="AJ78" s="372">
        <v>246.12</v>
      </c>
      <c r="AK78" s="376">
        <v>8.3292702746628113E-3</v>
      </c>
      <c r="AL78" s="376">
        <v>-8.3292702746628113E-3</v>
      </c>
      <c r="AM78" s="412"/>
    </row>
    <row r="79" spans="2:39" s="377" customFormat="1" ht="28.15" customHeight="1" x14ac:dyDescent="0.25">
      <c r="B79" s="378">
        <v>43085</v>
      </c>
      <c r="C79" s="370">
        <v>235081</v>
      </c>
      <c r="D79" s="370">
        <v>0</v>
      </c>
      <c r="E79" s="371">
        <v>0</v>
      </c>
      <c r="F79" s="371">
        <v>0</v>
      </c>
      <c r="G79" s="371">
        <v>0</v>
      </c>
      <c r="H79" s="371"/>
      <c r="I79" s="371"/>
      <c r="J79" s="371"/>
      <c r="K79" s="371"/>
      <c r="L79" s="371"/>
      <c r="M79" s="371">
        <v>650000</v>
      </c>
      <c r="N79" s="371">
        <v>44000</v>
      </c>
      <c r="O79" s="371">
        <v>1600</v>
      </c>
      <c r="P79" s="371">
        <f t="shared" si="1"/>
        <v>91683</v>
      </c>
      <c r="Q79" s="371">
        <v>-59825</v>
      </c>
      <c r="R79" s="372">
        <v>235081</v>
      </c>
      <c r="S79" s="400">
        <v>220549.03</v>
      </c>
      <c r="T79" s="400">
        <v>0</v>
      </c>
      <c r="U79" s="400">
        <v>0</v>
      </c>
      <c r="V79" s="400">
        <v>0</v>
      </c>
      <c r="W79" s="372">
        <v>220549.03</v>
      </c>
      <c r="X79" s="373">
        <v>220549.03</v>
      </c>
      <c r="Y79" s="372">
        <v>235081</v>
      </c>
      <c r="Z79" s="373">
        <v>962539</v>
      </c>
      <c r="AA79" s="400">
        <v>0</v>
      </c>
      <c r="AB79" s="400">
        <v>0</v>
      </c>
      <c r="AC79" s="400">
        <v>0</v>
      </c>
      <c r="AD79" s="400">
        <v>0</v>
      </c>
      <c r="AE79" s="372">
        <v>0</v>
      </c>
      <c r="AF79" s="372">
        <v>0</v>
      </c>
      <c r="AG79" s="400">
        <v>0</v>
      </c>
      <c r="AH79" s="374">
        <v>0</v>
      </c>
      <c r="AI79" s="375">
        <v>0</v>
      </c>
      <c r="AJ79" s="372">
        <v>246.12</v>
      </c>
      <c r="AK79" s="376">
        <v>0</v>
      </c>
      <c r="AL79" s="376">
        <v>0</v>
      </c>
      <c r="AM79" s="412"/>
    </row>
    <row r="80" spans="2:39" s="377" customFormat="1" ht="28.15" customHeight="1" x14ac:dyDescent="0.25">
      <c r="B80" s="378">
        <v>43086</v>
      </c>
      <c r="C80" s="370">
        <v>235081</v>
      </c>
      <c r="D80" s="370">
        <v>0</v>
      </c>
      <c r="E80" s="371">
        <v>0</v>
      </c>
      <c r="F80" s="371">
        <v>0</v>
      </c>
      <c r="G80" s="371">
        <v>0</v>
      </c>
      <c r="H80" s="371"/>
      <c r="I80" s="371"/>
      <c r="J80" s="371"/>
      <c r="K80" s="371"/>
      <c r="L80" s="371"/>
      <c r="M80" s="371">
        <v>650000</v>
      </c>
      <c r="N80" s="371">
        <v>44000</v>
      </c>
      <c r="O80" s="371">
        <v>1600</v>
      </c>
      <c r="P80" s="371">
        <f t="shared" si="1"/>
        <v>91683</v>
      </c>
      <c r="Q80" s="371">
        <v>-59825</v>
      </c>
      <c r="R80" s="372">
        <v>235081</v>
      </c>
      <c r="S80" s="400">
        <v>220549.03</v>
      </c>
      <c r="T80" s="400">
        <v>0</v>
      </c>
      <c r="U80" s="400">
        <v>0</v>
      </c>
      <c r="V80" s="400">
        <v>0</v>
      </c>
      <c r="W80" s="372">
        <v>220549.03</v>
      </c>
      <c r="X80" s="373">
        <v>220549.03</v>
      </c>
      <c r="Y80" s="372">
        <v>235081</v>
      </c>
      <c r="Z80" s="373">
        <v>962539</v>
      </c>
      <c r="AA80" s="400">
        <v>0</v>
      </c>
      <c r="AB80" s="400">
        <v>0</v>
      </c>
      <c r="AC80" s="400">
        <v>0</v>
      </c>
      <c r="AD80" s="400">
        <v>0</v>
      </c>
      <c r="AE80" s="372">
        <v>0</v>
      </c>
      <c r="AF80" s="372">
        <v>0</v>
      </c>
      <c r="AG80" s="400">
        <v>0</v>
      </c>
      <c r="AH80" s="374">
        <v>0</v>
      </c>
      <c r="AI80" s="375">
        <v>0</v>
      </c>
      <c r="AJ80" s="372">
        <v>246.12</v>
      </c>
      <c r="AK80" s="376">
        <v>0</v>
      </c>
      <c r="AL80" s="376">
        <v>0</v>
      </c>
      <c r="AM80" s="412"/>
    </row>
    <row r="81" spans="2:39" s="377" customFormat="1" ht="28.15" customHeight="1" x14ac:dyDescent="0.25">
      <c r="B81" s="369">
        <v>43087</v>
      </c>
      <c r="C81" s="370">
        <v>235081</v>
      </c>
      <c r="D81" s="370">
        <v>0</v>
      </c>
      <c r="E81" s="371">
        <v>0</v>
      </c>
      <c r="F81" s="371">
        <v>0</v>
      </c>
      <c r="G81" s="371">
        <v>0</v>
      </c>
      <c r="H81" s="371"/>
      <c r="I81" s="371"/>
      <c r="J81" s="371"/>
      <c r="K81" s="371"/>
      <c r="L81" s="371"/>
      <c r="M81" s="371">
        <v>650000</v>
      </c>
      <c r="N81" s="371">
        <v>44000</v>
      </c>
      <c r="O81" s="371">
        <v>1600</v>
      </c>
      <c r="P81" s="371">
        <f t="shared" si="1"/>
        <v>91683</v>
      </c>
      <c r="Q81" s="371">
        <v>-59825</v>
      </c>
      <c r="R81" s="372">
        <v>235081</v>
      </c>
      <c r="S81" s="400">
        <v>220549.03</v>
      </c>
      <c r="T81" s="400">
        <v>0</v>
      </c>
      <c r="U81" s="400">
        <v>0</v>
      </c>
      <c r="V81" s="400">
        <v>0</v>
      </c>
      <c r="W81" s="372">
        <v>220549.03</v>
      </c>
      <c r="X81" s="373">
        <v>220549.03</v>
      </c>
      <c r="Y81" s="372">
        <v>235081</v>
      </c>
      <c r="Z81" s="373">
        <v>962539</v>
      </c>
      <c r="AA81" s="400">
        <v>0</v>
      </c>
      <c r="AB81" s="400">
        <v>0</v>
      </c>
      <c r="AC81" s="400">
        <v>0</v>
      </c>
      <c r="AD81" s="400">
        <v>0</v>
      </c>
      <c r="AE81" s="372">
        <v>0</v>
      </c>
      <c r="AF81" s="372">
        <v>0</v>
      </c>
      <c r="AG81" s="400">
        <v>1.5300000000000011</v>
      </c>
      <c r="AH81" s="374">
        <v>0</v>
      </c>
      <c r="AI81" s="375">
        <v>0</v>
      </c>
      <c r="AJ81" s="372">
        <v>247.65</v>
      </c>
      <c r="AK81" s="376">
        <v>6.178073894609332E-3</v>
      </c>
      <c r="AL81" s="376">
        <v>-6.178073894609332E-3</v>
      </c>
      <c r="AM81" s="412"/>
    </row>
    <row r="82" spans="2:39" s="377" customFormat="1" ht="28.15" customHeight="1" x14ac:dyDescent="0.25">
      <c r="B82" s="369">
        <v>43088</v>
      </c>
      <c r="C82" s="370">
        <v>235081</v>
      </c>
      <c r="D82" s="370">
        <v>0</v>
      </c>
      <c r="E82" s="371">
        <v>0</v>
      </c>
      <c r="F82" s="371">
        <v>0</v>
      </c>
      <c r="G82" s="371">
        <v>0</v>
      </c>
      <c r="H82" s="371"/>
      <c r="I82" s="371"/>
      <c r="J82" s="371"/>
      <c r="K82" s="371"/>
      <c r="L82" s="371"/>
      <c r="M82" s="371">
        <v>650000</v>
      </c>
      <c r="N82" s="371">
        <v>44000</v>
      </c>
      <c r="O82" s="371">
        <v>1600</v>
      </c>
      <c r="P82" s="371">
        <f t="shared" si="1"/>
        <v>91683</v>
      </c>
      <c r="Q82" s="371">
        <v>-59825</v>
      </c>
      <c r="R82" s="372">
        <v>235081</v>
      </c>
      <c r="S82" s="400">
        <v>220549.03</v>
      </c>
      <c r="T82" s="400">
        <v>0</v>
      </c>
      <c r="U82" s="400">
        <v>0</v>
      </c>
      <c r="V82" s="400">
        <v>0</v>
      </c>
      <c r="W82" s="372">
        <v>220549.03</v>
      </c>
      <c r="X82" s="373">
        <v>220549.03</v>
      </c>
      <c r="Y82" s="372">
        <v>235081</v>
      </c>
      <c r="Z82" s="373">
        <v>962539</v>
      </c>
      <c r="AA82" s="400">
        <v>0</v>
      </c>
      <c r="AB82" s="400">
        <v>0</v>
      </c>
      <c r="AC82" s="400">
        <v>0</v>
      </c>
      <c r="AD82" s="400">
        <v>0</v>
      </c>
      <c r="AE82" s="372">
        <v>0</v>
      </c>
      <c r="AF82" s="372">
        <v>0</v>
      </c>
      <c r="AG82" s="400">
        <v>-0.90000000000000568</v>
      </c>
      <c r="AH82" s="374">
        <v>0</v>
      </c>
      <c r="AI82" s="375">
        <v>0</v>
      </c>
      <c r="AJ82" s="372">
        <v>246.75</v>
      </c>
      <c r="AK82" s="376">
        <v>-3.6474164133738834E-3</v>
      </c>
      <c r="AL82" s="376">
        <v>3.6474164133738834E-3</v>
      </c>
      <c r="AM82" s="412"/>
    </row>
    <row r="83" spans="2:39" s="377" customFormat="1" ht="28.15" customHeight="1" x14ac:dyDescent="0.25">
      <c r="B83" s="369">
        <v>43089</v>
      </c>
      <c r="C83" s="370">
        <v>235081</v>
      </c>
      <c r="D83" s="370">
        <v>0</v>
      </c>
      <c r="E83" s="371">
        <v>0</v>
      </c>
      <c r="F83" s="371">
        <v>0</v>
      </c>
      <c r="G83" s="371">
        <v>0</v>
      </c>
      <c r="H83" s="371"/>
      <c r="I83" s="371"/>
      <c r="J83" s="371"/>
      <c r="K83" s="371"/>
      <c r="L83" s="371"/>
      <c r="M83" s="371">
        <v>650000</v>
      </c>
      <c r="N83" s="371">
        <v>44000</v>
      </c>
      <c r="O83" s="371">
        <v>1600</v>
      </c>
      <c r="P83" s="371">
        <f t="shared" si="1"/>
        <v>91683</v>
      </c>
      <c r="Q83" s="371">
        <v>-59825</v>
      </c>
      <c r="R83" s="372">
        <v>235081</v>
      </c>
      <c r="S83" s="400">
        <v>220549.03</v>
      </c>
      <c r="T83" s="400">
        <v>0</v>
      </c>
      <c r="U83" s="400">
        <v>0</v>
      </c>
      <c r="V83" s="400">
        <v>0</v>
      </c>
      <c r="W83" s="372">
        <v>220549.03</v>
      </c>
      <c r="X83" s="373">
        <v>220549.03</v>
      </c>
      <c r="Y83" s="372">
        <v>235081</v>
      </c>
      <c r="Z83" s="373">
        <v>962539</v>
      </c>
      <c r="AA83" s="400">
        <v>0</v>
      </c>
      <c r="AB83" s="400">
        <v>0</v>
      </c>
      <c r="AC83" s="400">
        <v>0</v>
      </c>
      <c r="AD83" s="400">
        <v>0</v>
      </c>
      <c r="AE83" s="372">
        <v>0</v>
      </c>
      <c r="AF83" s="372">
        <v>0</v>
      </c>
      <c r="AG83" s="400">
        <v>-0.18999999999999773</v>
      </c>
      <c r="AH83" s="374">
        <v>0</v>
      </c>
      <c r="AI83" s="375">
        <v>0</v>
      </c>
      <c r="AJ83" s="372">
        <v>246.56</v>
      </c>
      <c r="AK83" s="376">
        <v>-7.7060350421803096E-4</v>
      </c>
      <c r="AL83" s="376">
        <v>7.7060350421803096E-4</v>
      </c>
      <c r="AM83" s="412"/>
    </row>
    <row r="84" spans="2:39" s="377" customFormat="1" ht="28.15" customHeight="1" x14ac:dyDescent="0.25">
      <c r="B84" s="369">
        <v>43090</v>
      </c>
      <c r="C84" s="370">
        <v>235081</v>
      </c>
      <c r="D84" s="370">
        <v>0</v>
      </c>
      <c r="E84" s="371">
        <v>0</v>
      </c>
      <c r="F84" s="371">
        <v>0</v>
      </c>
      <c r="G84" s="371">
        <v>0</v>
      </c>
      <c r="H84" s="371"/>
      <c r="I84" s="371"/>
      <c r="J84" s="371"/>
      <c r="K84" s="371"/>
      <c r="L84" s="371"/>
      <c r="M84" s="371">
        <v>650000</v>
      </c>
      <c r="N84" s="371">
        <v>44000</v>
      </c>
      <c r="O84" s="371">
        <v>1600</v>
      </c>
      <c r="P84" s="371">
        <f t="shared" si="1"/>
        <v>91683</v>
      </c>
      <c r="Q84" s="371">
        <v>-59825</v>
      </c>
      <c r="R84" s="372">
        <v>235081</v>
      </c>
      <c r="S84" s="400">
        <v>220549.03</v>
      </c>
      <c r="T84" s="400">
        <v>0</v>
      </c>
      <c r="U84" s="400">
        <v>0</v>
      </c>
      <c r="V84" s="400">
        <v>0</v>
      </c>
      <c r="W84" s="372">
        <v>220549.03</v>
      </c>
      <c r="X84" s="373">
        <v>220549.03</v>
      </c>
      <c r="Y84" s="372">
        <v>235081</v>
      </c>
      <c r="Z84" s="373">
        <v>962539</v>
      </c>
      <c r="AA84" s="400">
        <v>0</v>
      </c>
      <c r="AB84" s="400">
        <v>0</v>
      </c>
      <c r="AC84" s="400">
        <v>0</v>
      </c>
      <c r="AD84" s="400">
        <v>0</v>
      </c>
      <c r="AE84" s="372">
        <v>0</v>
      </c>
      <c r="AF84" s="372">
        <v>0</v>
      </c>
      <c r="AG84" s="400">
        <v>0.5</v>
      </c>
      <c r="AH84" s="374">
        <v>0</v>
      </c>
      <c r="AI84" s="375">
        <v>0</v>
      </c>
      <c r="AJ84" s="372">
        <v>247.06</v>
      </c>
      <c r="AK84" s="376">
        <v>2.0237998866672064E-3</v>
      </c>
      <c r="AL84" s="376">
        <v>-2.0237998866672064E-3</v>
      </c>
      <c r="AM84" s="412"/>
    </row>
    <row r="85" spans="2:39" s="377" customFormat="1" ht="28.15" customHeight="1" x14ac:dyDescent="0.25">
      <c r="B85" s="369">
        <v>43091</v>
      </c>
      <c r="C85" s="370">
        <v>235081</v>
      </c>
      <c r="D85" s="370">
        <v>0</v>
      </c>
      <c r="E85" s="371">
        <v>0</v>
      </c>
      <c r="F85" s="371">
        <v>0</v>
      </c>
      <c r="G85" s="371">
        <v>0</v>
      </c>
      <c r="H85" s="371"/>
      <c r="I85" s="371"/>
      <c r="J85" s="371"/>
      <c r="K85" s="371"/>
      <c r="L85" s="371"/>
      <c r="M85" s="371">
        <v>650000</v>
      </c>
      <c r="N85" s="371">
        <v>44000</v>
      </c>
      <c r="O85" s="371">
        <v>1600</v>
      </c>
      <c r="P85" s="371">
        <f t="shared" si="1"/>
        <v>91683</v>
      </c>
      <c r="Q85" s="371">
        <v>-59825</v>
      </c>
      <c r="R85" s="372">
        <v>235081</v>
      </c>
      <c r="S85" s="400">
        <v>220549.03</v>
      </c>
      <c r="T85" s="400">
        <v>0</v>
      </c>
      <c r="U85" s="400">
        <v>0</v>
      </c>
      <c r="V85" s="400">
        <v>0</v>
      </c>
      <c r="W85" s="372">
        <v>220549.03</v>
      </c>
      <c r="X85" s="373">
        <v>220549.03</v>
      </c>
      <c r="Y85" s="372">
        <v>235081</v>
      </c>
      <c r="Z85" s="373">
        <v>962539</v>
      </c>
      <c r="AA85" s="400">
        <v>0</v>
      </c>
      <c r="AB85" s="400">
        <v>0</v>
      </c>
      <c r="AC85" s="400">
        <v>0</v>
      </c>
      <c r="AD85" s="400">
        <v>0</v>
      </c>
      <c r="AE85" s="372">
        <v>0</v>
      </c>
      <c r="AF85" s="372">
        <v>0</v>
      </c>
      <c r="AG85" s="400">
        <v>-5.0000000000011369E-2</v>
      </c>
      <c r="AH85" s="374">
        <v>0</v>
      </c>
      <c r="AI85" s="375">
        <v>0</v>
      </c>
      <c r="AJ85" s="372">
        <v>247.01</v>
      </c>
      <c r="AK85" s="376">
        <v>-2.02420954617268E-4</v>
      </c>
      <c r="AL85" s="376">
        <v>2.02420954617268E-4</v>
      </c>
      <c r="AM85" s="412"/>
    </row>
    <row r="86" spans="2:39" s="377" customFormat="1" ht="28.15" customHeight="1" x14ac:dyDescent="0.25">
      <c r="B86" s="378">
        <v>43092</v>
      </c>
      <c r="C86" s="370">
        <v>235081</v>
      </c>
      <c r="D86" s="370">
        <v>0</v>
      </c>
      <c r="E86" s="371">
        <v>0</v>
      </c>
      <c r="F86" s="371">
        <v>0</v>
      </c>
      <c r="G86" s="371">
        <v>0</v>
      </c>
      <c r="H86" s="371"/>
      <c r="I86" s="371"/>
      <c r="J86" s="371"/>
      <c r="K86" s="371"/>
      <c r="L86" s="371"/>
      <c r="M86" s="371">
        <v>650000</v>
      </c>
      <c r="N86" s="371">
        <v>44000</v>
      </c>
      <c r="O86" s="371">
        <v>1600</v>
      </c>
      <c r="P86" s="371">
        <f t="shared" si="1"/>
        <v>91683</v>
      </c>
      <c r="Q86" s="371">
        <v>-59825</v>
      </c>
      <c r="R86" s="372">
        <v>235081</v>
      </c>
      <c r="S86" s="400">
        <v>220549.03</v>
      </c>
      <c r="T86" s="400">
        <v>0</v>
      </c>
      <c r="U86" s="400">
        <v>0</v>
      </c>
      <c r="V86" s="400">
        <v>0</v>
      </c>
      <c r="W86" s="372">
        <v>220549.03</v>
      </c>
      <c r="X86" s="373">
        <v>220549.03</v>
      </c>
      <c r="Y86" s="372">
        <v>235081</v>
      </c>
      <c r="Z86" s="373">
        <v>962539</v>
      </c>
      <c r="AA86" s="400">
        <v>0</v>
      </c>
      <c r="AB86" s="400">
        <v>0</v>
      </c>
      <c r="AC86" s="400">
        <v>0</v>
      </c>
      <c r="AD86" s="400">
        <v>0</v>
      </c>
      <c r="AE86" s="372">
        <v>0</v>
      </c>
      <c r="AF86" s="372">
        <v>0</v>
      </c>
      <c r="AG86" s="400">
        <v>0</v>
      </c>
      <c r="AH86" s="374">
        <v>0</v>
      </c>
      <c r="AI86" s="375">
        <v>0</v>
      </c>
      <c r="AJ86" s="372">
        <v>247.01</v>
      </c>
      <c r="AK86" s="376">
        <v>0</v>
      </c>
      <c r="AL86" s="376">
        <v>0</v>
      </c>
      <c r="AM86" s="412"/>
    </row>
    <row r="87" spans="2:39" s="377" customFormat="1" ht="28.15" customHeight="1" x14ac:dyDescent="0.25">
      <c r="B87" s="378">
        <v>43093</v>
      </c>
      <c r="C87" s="370">
        <v>235081</v>
      </c>
      <c r="D87" s="370">
        <v>0</v>
      </c>
      <c r="E87" s="371">
        <v>0</v>
      </c>
      <c r="F87" s="371">
        <v>0</v>
      </c>
      <c r="G87" s="371">
        <v>0</v>
      </c>
      <c r="H87" s="371"/>
      <c r="I87" s="371"/>
      <c r="J87" s="371"/>
      <c r="K87" s="371"/>
      <c r="L87" s="371"/>
      <c r="M87" s="371">
        <v>650000</v>
      </c>
      <c r="N87" s="371">
        <v>44000</v>
      </c>
      <c r="O87" s="371">
        <v>1600</v>
      </c>
      <c r="P87" s="371">
        <f t="shared" si="1"/>
        <v>91683</v>
      </c>
      <c r="Q87" s="371">
        <v>-59825</v>
      </c>
      <c r="R87" s="372">
        <v>235081</v>
      </c>
      <c r="S87" s="400">
        <v>220549.03</v>
      </c>
      <c r="T87" s="400">
        <v>0</v>
      </c>
      <c r="U87" s="400">
        <v>0</v>
      </c>
      <c r="V87" s="400">
        <v>0</v>
      </c>
      <c r="W87" s="372">
        <v>220549.03</v>
      </c>
      <c r="X87" s="373">
        <v>220549.03</v>
      </c>
      <c r="Y87" s="372">
        <v>235081</v>
      </c>
      <c r="Z87" s="373">
        <v>962539</v>
      </c>
      <c r="AA87" s="400">
        <v>0</v>
      </c>
      <c r="AB87" s="400">
        <v>0</v>
      </c>
      <c r="AC87" s="400">
        <v>0</v>
      </c>
      <c r="AD87" s="400">
        <v>0</v>
      </c>
      <c r="AE87" s="372">
        <v>0</v>
      </c>
      <c r="AF87" s="372">
        <v>0</v>
      </c>
      <c r="AG87" s="400">
        <v>0</v>
      </c>
      <c r="AH87" s="374">
        <v>0</v>
      </c>
      <c r="AI87" s="375">
        <v>0</v>
      </c>
      <c r="AJ87" s="372">
        <v>247.01</v>
      </c>
      <c r="AK87" s="376">
        <v>0</v>
      </c>
      <c r="AL87" s="376">
        <v>0</v>
      </c>
      <c r="AM87" s="412"/>
    </row>
    <row r="88" spans="2:39" s="377" customFormat="1" ht="28.15" customHeight="1" x14ac:dyDescent="0.25">
      <c r="B88" s="369">
        <v>43094</v>
      </c>
      <c r="C88" s="370">
        <v>235081</v>
      </c>
      <c r="D88" s="370">
        <v>0</v>
      </c>
      <c r="E88" s="371">
        <v>0</v>
      </c>
      <c r="F88" s="371">
        <v>0</v>
      </c>
      <c r="G88" s="371">
        <v>0</v>
      </c>
      <c r="H88" s="371"/>
      <c r="I88" s="371"/>
      <c r="J88" s="371"/>
      <c r="K88" s="371"/>
      <c r="L88" s="371"/>
      <c r="M88" s="371">
        <v>650000</v>
      </c>
      <c r="N88" s="371">
        <v>44000</v>
      </c>
      <c r="O88" s="371">
        <v>1600</v>
      </c>
      <c r="P88" s="371">
        <f t="shared" si="1"/>
        <v>91683</v>
      </c>
      <c r="Q88" s="371">
        <v>-59825</v>
      </c>
      <c r="R88" s="372">
        <v>235081</v>
      </c>
      <c r="S88" s="400">
        <v>220549.03</v>
      </c>
      <c r="T88" s="400">
        <v>0</v>
      </c>
      <c r="U88" s="400">
        <v>0</v>
      </c>
      <c r="V88" s="400">
        <v>0</v>
      </c>
      <c r="W88" s="372">
        <v>220549.03</v>
      </c>
      <c r="X88" s="373">
        <v>220549.03</v>
      </c>
      <c r="Y88" s="372">
        <v>235081</v>
      </c>
      <c r="Z88" s="373">
        <v>962539</v>
      </c>
      <c r="AA88" s="400">
        <v>0</v>
      </c>
      <c r="AB88" s="400">
        <v>0</v>
      </c>
      <c r="AC88" s="400">
        <v>0</v>
      </c>
      <c r="AD88" s="400">
        <v>0</v>
      </c>
      <c r="AE88" s="372">
        <v>0</v>
      </c>
      <c r="AF88" s="372">
        <v>0</v>
      </c>
      <c r="AG88" s="400">
        <v>0</v>
      </c>
      <c r="AH88" s="374">
        <v>0</v>
      </c>
      <c r="AI88" s="375">
        <v>0</v>
      </c>
      <c r="AJ88" s="372">
        <v>247.01</v>
      </c>
      <c r="AK88" s="376">
        <v>0</v>
      </c>
      <c r="AL88" s="376">
        <v>0</v>
      </c>
      <c r="AM88" s="412"/>
    </row>
    <row r="89" spans="2:39" s="377" customFormat="1" ht="28.15" customHeight="1" x14ac:dyDescent="0.25">
      <c r="B89" s="369">
        <v>43095</v>
      </c>
      <c r="C89" s="370">
        <v>235081</v>
      </c>
      <c r="D89" s="370">
        <v>0</v>
      </c>
      <c r="E89" s="371">
        <v>0</v>
      </c>
      <c r="F89" s="371">
        <v>0</v>
      </c>
      <c r="G89" s="371">
        <v>0</v>
      </c>
      <c r="H89" s="371"/>
      <c r="I89" s="371"/>
      <c r="J89" s="371"/>
      <c r="K89" s="371"/>
      <c r="L89" s="371"/>
      <c r="M89" s="371">
        <v>650000</v>
      </c>
      <c r="N89" s="371">
        <v>44000</v>
      </c>
      <c r="O89" s="371">
        <v>1600</v>
      </c>
      <c r="P89" s="371">
        <f t="shared" si="1"/>
        <v>91683</v>
      </c>
      <c r="Q89" s="371">
        <v>-59825</v>
      </c>
      <c r="R89" s="372">
        <v>235081</v>
      </c>
      <c r="S89" s="400">
        <v>220549.03</v>
      </c>
      <c r="T89" s="400">
        <v>0</v>
      </c>
      <c r="U89" s="400">
        <v>0</v>
      </c>
      <c r="V89" s="400">
        <v>0</v>
      </c>
      <c r="W89" s="372">
        <v>220549.03</v>
      </c>
      <c r="X89" s="373">
        <v>220549.03</v>
      </c>
      <c r="Y89" s="372">
        <v>235081</v>
      </c>
      <c r="Z89" s="373">
        <v>962539</v>
      </c>
      <c r="AA89" s="400">
        <v>0</v>
      </c>
      <c r="AB89" s="400">
        <v>0</v>
      </c>
      <c r="AC89" s="400">
        <v>0</v>
      </c>
      <c r="AD89" s="400">
        <v>0</v>
      </c>
      <c r="AE89" s="372">
        <v>0</v>
      </c>
      <c r="AF89" s="372">
        <v>0</v>
      </c>
      <c r="AG89" s="400">
        <v>-1.4699999999999989</v>
      </c>
      <c r="AH89" s="374">
        <v>0</v>
      </c>
      <c r="AI89" s="375">
        <v>0</v>
      </c>
      <c r="AJ89" s="372">
        <v>245.54</v>
      </c>
      <c r="AK89" s="376">
        <v>-5.9868045939561734E-3</v>
      </c>
      <c r="AL89" s="376">
        <v>5.9868045939561734E-3</v>
      </c>
      <c r="AM89" s="412"/>
    </row>
    <row r="90" spans="2:39" s="377" customFormat="1" ht="28.15" customHeight="1" x14ac:dyDescent="0.25">
      <c r="B90" s="369">
        <v>43096</v>
      </c>
      <c r="C90" s="370">
        <v>235081</v>
      </c>
      <c r="D90" s="370">
        <v>0</v>
      </c>
      <c r="E90" s="371">
        <v>0</v>
      </c>
      <c r="F90" s="371">
        <v>0</v>
      </c>
      <c r="G90" s="371">
        <v>0</v>
      </c>
      <c r="H90" s="371"/>
      <c r="I90" s="371"/>
      <c r="J90" s="371"/>
      <c r="K90" s="371"/>
      <c r="L90" s="371"/>
      <c r="M90" s="371">
        <v>650000</v>
      </c>
      <c r="N90" s="371">
        <v>44000</v>
      </c>
      <c r="O90" s="371">
        <v>1600</v>
      </c>
      <c r="P90" s="371">
        <f t="shared" si="1"/>
        <v>91683</v>
      </c>
      <c r="Q90" s="371">
        <v>-59825</v>
      </c>
      <c r="R90" s="372">
        <v>235081</v>
      </c>
      <c r="S90" s="400">
        <v>220549.03</v>
      </c>
      <c r="T90" s="400">
        <v>0</v>
      </c>
      <c r="U90" s="400">
        <v>0</v>
      </c>
      <c r="V90" s="400">
        <v>0</v>
      </c>
      <c r="W90" s="372">
        <v>220549.03</v>
      </c>
      <c r="X90" s="373">
        <v>220549.03</v>
      </c>
      <c r="Y90" s="372">
        <v>235081</v>
      </c>
      <c r="Z90" s="373">
        <v>962539</v>
      </c>
      <c r="AA90" s="400">
        <v>0</v>
      </c>
      <c r="AB90" s="400">
        <v>0</v>
      </c>
      <c r="AC90" s="400">
        <v>0</v>
      </c>
      <c r="AD90" s="400">
        <v>0</v>
      </c>
      <c r="AE90" s="372">
        <v>0</v>
      </c>
      <c r="AF90" s="372">
        <v>0</v>
      </c>
      <c r="AG90" s="400">
        <v>0.14000000000001478</v>
      </c>
      <c r="AH90" s="374">
        <v>0</v>
      </c>
      <c r="AI90" s="375">
        <v>0</v>
      </c>
      <c r="AJ90" s="372">
        <v>245.68</v>
      </c>
      <c r="AK90" s="376">
        <v>5.6984695538918415E-4</v>
      </c>
      <c r="AL90" s="376">
        <v>-5.6984695538918415E-4</v>
      </c>
      <c r="AM90" s="412"/>
    </row>
    <row r="91" spans="2:39" s="377" customFormat="1" ht="28.15" customHeight="1" x14ac:dyDescent="0.25">
      <c r="B91" s="369">
        <v>43097</v>
      </c>
      <c r="C91" s="370">
        <v>235081</v>
      </c>
      <c r="D91" s="370">
        <v>0</v>
      </c>
      <c r="E91" s="371">
        <v>0</v>
      </c>
      <c r="F91" s="371">
        <v>0</v>
      </c>
      <c r="G91" s="371">
        <v>0</v>
      </c>
      <c r="H91" s="371"/>
      <c r="I91" s="371"/>
      <c r="J91" s="371"/>
      <c r="K91" s="371"/>
      <c r="L91" s="371"/>
      <c r="M91" s="371">
        <v>650000</v>
      </c>
      <c r="N91" s="371">
        <v>44000</v>
      </c>
      <c r="O91" s="371">
        <v>1600</v>
      </c>
      <c r="P91" s="371">
        <f t="shared" si="1"/>
        <v>91683</v>
      </c>
      <c r="Q91" s="371">
        <v>-59825</v>
      </c>
      <c r="R91" s="372">
        <v>235081</v>
      </c>
      <c r="S91" s="400">
        <v>220549.03</v>
      </c>
      <c r="T91" s="400">
        <v>0</v>
      </c>
      <c r="U91" s="400">
        <v>0</v>
      </c>
      <c r="V91" s="400">
        <v>0</v>
      </c>
      <c r="W91" s="372">
        <v>220549.03</v>
      </c>
      <c r="X91" s="373">
        <v>220549.03</v>
      </c>
      <c r="Y91" s="372">
        <v>235081</v>
      </c>
      <c r="Z91" s="373">
        <v>962539</v>
      </c>
      <c r="AA91" s="400">
        <v>0</v>
      </c>
      <c r="AB91" s="400">
        <v>0</v>
      </c>
      <c r="AC91" s="400">
        <v>0</v>
      </c>
      <c r="AD91" s="400">
        <v>0</v>
      </c>
      <c r="AE91" s="372">
        <v>0</v>
      </c>
      <c r="AF91" s="372">
        <v>0</v>
      </c>
      <c r="AG91" s="400">
        <v>0.45999999999997954</v>
      </c>
      <c r="AH91" s="374">
        <v>0</v>
      </c>
      <c r="AI91" s="375">
        <v>0</v>
      </c>
      <c r="AJ91" s="372">
        <v>246.14</v>
      </c>
      <c r="AK91" s="376">
        <v>1.8688551231005913E-3</v>
      </c>
      <c r="AL91" s="376">
        <v>-1.8688551231005913E-3</v>
      </c>
      <c r="AM91" s="412"/>
    </row>
    <row r="92" spans="2:39" s="377" customFormat="1" ht="28.15" customHeight="1" x14ac:dyDescent="0.25">
      <c r="B92" s="369">
        <v>43098</v>
      </c>
      <c r="C92" s="370">
        <v>235081</v>
      </c>
      <c r="D92" s="370">
        <v>0</v>
      </c>
      <c r="E92" s="371">
        <v>0</v>
      </c>
      <c r="F92" s="371">
        <v>0</v>
      </c>
      <c r="G92" s="371">
        <v>0</v>
      </c>
      <c r="H92" s="371"/>
      <c r="I92" s="371"/>
      <c r="J92" s="371"/>
      <c r="K92" s="371"/>
      <c r="L92" s="371"/>
      <c r="M92" s="371">
        <v>650000</v>
      </c>
      <c r="N92" s="371">
        <v>44000</v>
      </c>
      <c r="O92" s="371">
        <v>1600</v>
      </c>
      <c r="P92" s="371">
        <f t="shared" si="1"/>
        <v>91683</v>
      </c>
      <c r="Q92" s="371">
        <v>-59825</v>
      </c>
      <c r="R92" s="372">
        <v>235081</v>
      </c>
      <c r="S92" s="400">
        <v>220549.03</v>
      </c>
      <c r="T92" s="400">
        <v>0</v>
      </c>
      <c r="U92" s="400">
        <v>0</v>
      </c>
      <c r="V92" s="400">
        <v>0</v>
      </c>
      <c r="W92" s="372">
        <v>220549.03</v>
      </c>
      <c r="X92" s="373">
        <v>220549.03</v>
      </c>
      <c r="Y92" s="372">
        <v>235081</v>
      </c>
      <c r="Z92" s="373">
        <v>962539</v>
      </c>
      <c r="AA92" s="400">
        <v>0</v>
      </c>
      <c r="AB92" s="400">
        <v>0</v>
      </c>
      <c r="AC92" s="400">
        <v>0</v>
      </c>
      <c r="AD92" s="400">
        <v>0</v>
      </c>
      <c r="AE92" s="372">
        <v>0</v>
      </c>
      <c r="AF92" s="372">
        <v>0</v>
      </c>
      <c r="AG92" s="400">
        <v>-0.84999999999999432</v>
      </c>
      <c r="AH92" s="374">
        <v>0</v>
      </c>
      <c r="AI92" s="375">
        <v>0</v>
      </c>
      <c r="AJ92" s="372">
        <v>245.29</v>
      </c>
      <c r="AK92" s="376">
        <v>-3.4652859880141642E-3</v>
      </c>
      <c r="AL92" s="376">
        <v>3.4652859880141642E-3</v>
      </c>
      <c r="AM92" s="412"/>
    </row>
    <row r="93" spans="2:39" s="377" customFormat="1" ht="28.15" customHeight="1" x14ac:dyDescent="0.25">
      <c r="B93" s="378">
        <v>43099</v>
      </c>
      <c r="C93" s="370">
        <v>235081</v>
      </c>
      <c r="D93" s="370">
        <v>0</v>
      </c>
      <c r="E93" s="371">
        <v>0</v>
      </c>
      <c r="F93" s="371">
        <v>0</v>
      </c>
      <c r="G93" s="371">
        <v>0</v>
      </c>
      <c r="H93" s="371"/>
      <c r="I93" s="371"/>
      <c r="J93" s="371"/>
      <c r="K93" s="371"/>
      <c r="L93" s="371"/>
      <c r="M93" s="371">
        <v>650000</v>
      </c>
      <c r="N93" s="371">
        <v>44000</v>
      </c>
      <c r="O93" s="371">
        <v>1600</v>
      </c>
      <c r="P93" s="371">
        <f t="shared" si="1"/>
        <v>91683</v>
      </c>
      <c r="Q93" s="371">
        <v>-59825</v>
      </c>
      <c r="R93" s="372">
        <v>235081</v>
      </c>
      <c r="S93" s="400">
        <v>220549.03</v>
      </c>
      <c r="T93" s="400">
        <v>0</v>
      </c>
      <c r="U93" s="400">
        <v>0</v>
      </c>
      <c r="V93" s="400">
        <v>0</v>
      </c>
      <c r="W93" s="372">
        <v>220549.03</v>
      </c>
      <c r="X93" s="373">
        <v>220549.03</v>
      </c>
      <c r="Y93" s="372">
        <v>235081</v>
      </c>
      <c r="Z93" s="373">
        <v>962539</v>
      </c>
      <c r="AA93" s="400">
        <v>0</v>
      </c>
      <c r="AB93" s="400">
        <v>0</v>
      </c>
      <c r="AC93" s="400">
        <v>0</v>
      </c>
      <c r="AD93" s="400">
        <v>0</v>
      </c>
      <c r="AE93" s="372">
        <v>0</v>
      </c>
      <c r="AF93" s="372">
        <v>0</v>
      </c>
      <c r="AG93" s="400">
        <v>0</v>
      </c>
      <c r="AH93" s="374">
        <v>0</v>
      </c>
      <c r="AI93" s="375">
        <v>0</v>
      </c>
      <c r="AJ93" s="372">
        <v>245.29</v>
      </c>
      <c r="AK93" s="376">
        <v>0</v>
      </c>
      <c r="AL93" s="376">
        <v>0</v>
      </c>
      <c r="AM93" s="412"/>
    </row>
    <row r="94" spans="2:39" s="377" customFormat="1" ht="28.15" customHeight="1" x14ac:dyDescent="0.25">
      <c r="B94" s="378">
        <v>43100</v>
      </c>
      <c r="C94" s="370">
        <v>235081</v>
      </c>
      <c r="D94" s="370">
        <v>0</v>
      </c>
      <c r="E94" s="371">
        <v>0</v>
      </c>
      <c r="F94" s="371">
        <v>0</v>
      </c>
      <c r="G94" s="371">
        <v>0</v>
      </c>
      <c r="H94" s="371"/>
      <c r="I94" s="371"/>
      <c r="J94" s="371"/>
      <c r="K94" s="371"/>
      <c r="L94" s="371"/>
      <c r="M94" s="371">
        <v>650000</v>
      </c>
      <c r="N94" s="371">
        <v>44000</v>
      </c>
      <c r="O94" s="371">
        <v>1600</v>
      </c>
      <c r="P94" s="371">
        <f t="shared" si="1"/>
        <v>91683</v>
      </c>
      <c r="Q94" s="371">
        <v>-59825</v>
      </c>
      <c r="R94" s="372">
        <v>235081</v>
      </c>
      <c r="S94" s="400">
        <v>220549.03</v>
      </c>
      <c r="T94" s="400">
        <v>0</v>
      </c>
      <c r="U94" s="400">
        <v>0</v>
      </c>
      <c r="V94" s="400">
        <v>0</v>
      </c>
      <c r="W94" s="372">
        <v>220549.03</v>
      </c>
      <c r="X94" s="373">
        <v>220549.03</v>
      </c>
      <c r="Y94" s="372">
        <v>235081</v>
      </c>
      <c r="Z94" s="373">
        <v>962539</v>
      </c>
      <c r="AA94" s="400">
        <v>0</v>
      </c>
      <c r="AB94" s="400">
        <v>0</v>
      </c>
      <c r="AC94" s="400">
        <v>0</v>
      </c>
      <c r="AD94" s="400">
        <v>0</v>
      </c>
      <c r="AE94" s="372">
        <v>0</v>
      </c>
      <c r="AF94" s="372">
        <v>0</v>
      </c>
      <c r="AG94" s="400">
        <v>0</v>
      </c>
      <c r="AH94" s="374">
        <v>0</v>
      </c>
      <c r="AI94" s="375">
        <v>0</v>
      </c>
      <c r="AJ94" s="372">
        <v>245.29</v>
      </c>
      <c r="AK94" s="376">
        <v>0</v>
      </c>
      <c r="AL94" s="376">
        <v>0</v>
      </c>
      <c r="AM94" s="412"/>
    </row>
    <row r="95" spans="2:39" s="377" customFormat="1" ht="28.15" customHeight="1" x14ac:dyDescent="0.25">
      <c r="B95" s="369">
        <v>43101</v>
      </c>
      <c r="C95" s="370">
        <v>235439</v>
      </c>
      <c r="D95" s="370">
        <v>0</v>
      </c>
      <c r="E95" s="371">
        <v>0</v>
      </c>
      <c r="F95" s="371">
        <v>0</v>
      </c>
      <c r="G95" s="371">
        <v>0</v>
      </c>
      <c r="H95" s="371"/>
      <c r="I95" s="371"/>
      <c r="J95" s="371"/>
      <c r="K95" s="371"/>
      <c r="L95" s="371"/>
      <c r="M95" s="371">
        <v>650000</v>
      </c>
      <c r="N95" s="371">
        <v>44000</v>
      </c>
      <c r="O95" s="371">
        <v>1600</v>
      </c>
      <c r="P95" s="371">
        <f t="shared" si="1"/>
        <v>91683</v>
      </c>
      <c r="Q95" s="371">
        <v>-59825</v>
      </c>
      <c r="R95" s="372">
        <v>235439</v>
      </c>
      <c r="S95" s="400">
        <v>220549.03</v>
      </c>
      <c r="T95" s="400">
        <v>0</v>
      </c>
      <c r="U95" s="400">
        <v>0</v>
      </c>
      <c r="V95" s="400">
        <v>0</v>
      </c>
      <c r="W95" s="372">
        <v>220549.03</v>
      </c>
      <c r="X95" s="373">
        <v>220549.03</v>
      </c>
      <c r="Y95" s="372">
        <v>235439</v>
      </c>
      <c r="Z95" s="373">
        <v>962897</v>
      </c>
      <c r="AA95" s="400">
        <v>358</v>
      </c>
      <c r="AB95" s="400">
        <v>0</v>
      </c>
      <c r="AC95" s="400">
        <v>0</v>
      </c>
      <c r="AD95" s="400">
        <v>0</v>
      </c>
      <c r="AE95" s="372">
        <v>358</v>
      </c>
      <c r="AF95" s="372">
        <v>358</v>
      </c>
      <c r="AG95" s="400">
        <v>0</v>
      </c>
      <c r="AH95" s="374">
        <v>1.5205637128937856E-3</v>
      </c>
      <c r="AI95" s="375">
        <v>0</v>
      </c>
      <c r="AJ95" s="372">
        <v>245.29</v>
      </c>
      <c r="AK95" s="376">
        <v>0</v>
      </c>
      <c r="AL95" s="376">
        <v>1.5205637128937856E-3</v>
      </c>
      <c r="AM95" s="412"/>
    </row>
    <row r="96" spans="2:39" s="377" customFormat="1" ht="28.15" customHeight="1" x14ac:dyDescent="0.25">
      <c r="B96" s="369">
        <v>43102</v>
      </c>
      <c r="C96" s="370">
        <v>235439</v>
      </c>
      <c r="D96" s="370">
        <v>0</v>
      </c>
      <c r="E96" s="371">
        <v>0</v>
      </c>
      <c r="F96" s="371">
        <v>0</v>
      </c>
      <c r="G96" s="371">
        <v>0</v>
      </c>
      <c r="H96" s="371"/>
      <c r="I96" s="371"/>
      <c r="J96" s="371"/>
      <c r="K96" s="371"/>
      <c r="L96" s="371"/>
      <c r="M96" s="371">
        <v>650000</v>
      </c>
      <c r="N96" s="371">
        <v>44000</v>
      </c>
      <c r="O96" s="371">
        <v>1600</v>
      </c>
      <c r="P96" s="371">
        <f t="shared" si="1"/>
        <v>91683</v>
      </c>
      <c r="Q96" s="371">
        <v>-59825</v>
      </c>
      <c r="R96" s="372">
        <v>235439</v>
      </c>
      <c r="S96" s="400">
        <v>220549.03</v>
      </c>
      <c r="T96" s="400">
        <v>0</v>
      </c>
      <c r="U96" s="400">
        <v>0</v>
      </c>
      <c r="V96" s="400">
        <v>0</v>
      </c>
      <c r="W96" s="372">
        <v>220549.03</v>
      </c>
      <c r="X96" s="373">
        <v>220549.03</v>
      </c>
      <c r="Y96" s="372">
        <v>235439</v>
      </c>
      <c r="Z96" s="373">
        <v>962897</v>
      </c>
      <c r="AA96" s="400">
        <v>0</v>
      </c>
      <c r="AB96" s="400">
        <v>0</v>
      </c>
      <c r="AC96" s="400">
        <v>0</v>
      </c>
      <c r="AD96" s="400">
        <v>0</v>
      </c>
      <c r="AE96" s="372">
        <v>0</v>
      </c>
      <c r="AF96" s="372">
        <v>0</v>
      </c>
      <c r="AG96" s="400">
        <v>1.8000000000000114</v>
      </c>
      <c r="AH96" s="374">
        <v>0</v>
      </c>
      <c r="AI96" s="375">
        <v>0</v>
      </c>
      <c r="AJ96" s="372">
        <v>247.09</v>
      </c>
      <c r="AK96" s="376">
        <v>7.28479501396257E-3</v>
      </c>
      <c r="AL96" s="376">
        <v>-7.28479501396257E-3</v>
      </c>
      <c r="AM96" s="412"/>
    </row>
    <row r="97" spans="2:39" s="377" customFormat="1" ht="28.15" customHeight="1" x14ac:dyDescent="0.25">
      <c r="B97" s="369">
        <v>43103</v>
      </c>
      <c r="C97" s="370">
        <v>235439</v>
      </c>
      <c r="D97" s="370">
        <v>0</v>
      </c>
      <c r="E97" s="371">
        <v>0</v>
      </c>
      <c r="F97" s="371">
        <v>0</v>
      </c>
      <c r="G97" s="371">
        <v>0</v>
      </c>
      <c r="H97" s="371"/>
      <c r="I97" s="371"/>
      <c r="J97" s="371"/>
      <c r="K97" s="371"/>
      <c r="L97" s="371"/>
      <c r="M97" s="371">
        <v>650000</v>
      </c>
      <c r="N97" s="371">
        <v>44000</v>
      </c>
      <c r="O97" s="371">
        <v>1600</v>
      </c>
      <c r="P97" s="371">
        <f t="shared" si="1"/>
        <v>91683</v>
      </c>
      <c r="Q97" s="371">
        <v>-59825</v>
      </c>
      <c r="R97" s="372">
        <v>235439</v>
      </c>
      <c r="S97" s="400">
        <v>220549.03</v>
      </c>
      <c r="T97" s="400">
        <v>0</v>
      </c>
      <c r="U97" s="400">
        <v>0</v>
      </c>
      <c r="V97" s="400">
        <v>0</v>
      </c>
      <c r="W97" s="372">
        <v>220549.03</v>
      </c>
      <c r="X97" s="373">
        <v>220549.03</v>
      </c>
      <c r="Y97" s="372">
        <v>235439</v>
      </c>
      <c r="Z97" s="373">
        <v>962897</v>
      </c>
      <c r="AA97" s="400">
        <v>0</v>
      </c>
      <c r="AB97" s="400">
        <v>0</v>
      </c>
      <c r="AC97" s="400">
        <v>0</v>
      </c>
      <c r="AD97" s="400">
        <v>0</v>
      </c>
      <c r="AE97" s="372">
        <v>0</v>
      </c>
      <c r="AF97" s="372">
        <v>0</v>
      </c>
      <c r="AG97" s="400">
        <v>1.4699999999999989</v>
      </c>
      <c r="AH97" s="374">
        <v>0</v>
      </c>
      <c r="AI97" s="375">
        <v>0</v>
      </c>
      <c r="AJ97" s="372">
        <v>248.56</v>
      </c>
      <c r="AK97" s="376">
        <v>5.9140650144834201E-3</v>
      </c>
      <c r="AL97" s="376">
        <v>-5.9140650144834201E-3</v>
      </c>
      <c r="AM97" s="412"/>
    </row>
    <row r="98" spans="2:39" s="377" customFormat="1" ht="28.15" customHeight="1" x14ac:dyDescent="0.25">
      <c r="B98" s="369">
        <v>43104</v>
      </c>
      <c r="C98" s="370">
        <v>235439</v>
      </c>
      <c r="D98" s="370">
        <v>0</v>
      </c>
      <c r="E98" s="371">
        <v>0</v>
      </c>
      <c r="F98" s="371">
        <v>0</v>
      </c>
      <c r="G98" s="371">
        <v>0</v>
      </c>
      <c r="H98" s="371"/>
      <c r="I98" s="371"/>
      <c r="J98" s="371"/>
      <c r="K98" s="371"/>
      <c r="L98" s="371"/>
      <c r="M98" s="371">
        <v>650000</v>
      </c>
      <c r="N98" s="371">
        <v>44000</v>
      </c>
      <c r="O98" s="371">
        <v>1600</v>
      </c>
      <c r="P98" s="371">
        <f t="shared" si="1"/>
        <v>91683</v>
      </c>
      <c r="Q98" s="371">
        <v>-59825</v>
      </c>
      <c r="R98" s="372">
        <v>235439</v>
      </c>
      <c r="S98" s="400">
        <v>220549.03</v>
      </c>
      <c r="T98" s="400">
        <v>0</v>
      </c>
      <c r="U98" s="400">
        <v>0</v>
      </c>
      <c r="V98" s="400">
        <v>0</v>
      </c>
      <c r="W98" s="372">
        <v>220549.03</v>
      </c>
      <c r="X98" s="373">
        <v>220549.03</v>
      </c>
      <c r="Y98" s="372">
        <v>235439</v>
      </c>
      <c r="Z98" s="373">
        <v>962897</v>
      </c>
      <c r="AA98" s="400">
        <v>0</v>
      </c>
      <c r="AB98" s="400">
        <v>0</v>
      </c>
      <c r="AC98" s="400">
        <v>0</v>
      </c>
      <c r="AD98" s="400">
        <v>0</v>
      </c>
      <c r="AE98" s="372">
        <v>0</v>
      </c>
      <c r="AF98" s="372">
        <v>0</v>
      </c>
      <c r="AG98" s="400">
        <v>1.0900000000000034</v>
      </c>
      <c r="AH98" s="374">
        <v>0</v>
      </c>
      <c r="AI98" s="375">
        <v>0</v>
      </c>
      <c r="AJ98" s="372">
        <v>249.65</v>
      </c>
      <c r="AK98" s="376">
        <v>4.3661125575806268E-3</v>
      </c>
      <c r="AL98" s="376">
        <v>-4.3661125575806268E-3</v>
      </c>
      <c r="AM98" s="412"/>
    </row>
    <row r="99" spans="2:39" s="377" customFormat="1" ht="28.15" customHeight="1" x14ac:dyDescent="0.25">
      <c r="B99" s="369">
        <v>43105</v>
      </c>
      <c r="C99" s="370">
        <v>235439</v>
      </c>
      <c r="D99" s="370">
        <v>0</v>
      </c>
      <c r="E99" s="371">
        <v>0</v>
      </c>
      <c r="F99" s="371">
        <v>0</v>
      </c>
      <c r="G99" s="371">
        <v>0</v>
      </c>
      <c r="H99" s="371"/>
      <c r="I99" s="371"/>
      <c r="J99" s="371"/>
      <c r="K99" s="371"/>
      <c r="L99" s="371"/>
      <c r="M99" s="371">
        <v>650000</v>
      </c>
      <c r="N99" s="371">
        <v>44000</v>
      </c>
      <c r="O99" s="371">
        <v>1600</v>
      </c>
      <c r="P99" s="371">
        <f t="shared" si="1"/>
        <v>91683</v>
      </c>
      <c r="Q99" s="371">
        <v>-59825</v>
      </c>
      <c r="R99" s="372">
        <v>235439</v>
      </c>
      <c r="S99" s="400">
        <v>220549.03</v>
      </c>
      <c r="T99" s="400">
        <v>0</v>
      </c>
      <c r="U99" s="400">
        <v>0</v>
      </c>
      <c r="V99" s="400">
        <v>0</v>
      </c>
      <c r="W99" s="372">
        <v>220549.03</v>
      </c>
      <c r="X99" s="373">
        <v>220549.03</v>
      </c>
      <c r="Y99" s="372">
        <v>235439</v>
      </c>
      <c r="Z99" s="373">
        <v>962897</v>
      </c>
      <c r="AA99" s="400">
        <v>0</v>
      </c>
      <c r="AB99" s="400">
        <v>0</v>
      </c>
      <c r="AC99" s="400">
        <v>0</v>
      </c>
      <c r="AD99" s="400">
        <v>0</v>
      </c>
      <c r="AE99" s="372">
        <v>0</v>
      </c>
      <c r="AF99" s="372">
        <v>0</v>
      </c>
      <c r="AG99" s="400">
        <v>1.5999999999999943</v>
      </c>
      <c r="AH99" s="374">
        <v>0</v>
      </c>
      <c r="AI99" s="375">
        <v>0</v>
      </c>
      <c r="AJ99" s="372">
        <v>251.25</v>
      </c>
      <c r="AK99" s="376">
        <v>6.3681592039800767E-3</v>
      </c>
      <c r="AL99" s="376">
        <v>-6.3681592039800767E-3</v>
      </c>
      <c r="AM99" s="412"/>
    </row>
    <row r="100" spans="2:39" s="377" customFormat="1" ht="28.15" customHeight="1" x14ac:dyDescent="0.25">
      <c r="B100" s="378">
        <v>43106</v>
      </c>
      <c r="C100" s="370">
        <v>235439</v>
      </c>
      <c r="D100" s="370">
        <v>0</v>
      </c>
      <c r="E100" s="371">
        <v>0</v>
      </c>
      <c r="F100" s="371">
        <v>0</v>
      </c>
      <c r="G100" s="371">
        <v>0</v>
      </c>
      <c r="H100" s="371"/>
      <c r="I100" s="371"/>
      <c r="J100" s="371"/>
      <c r="K100" s="371"/>
      <c r="L100" s="371"/>
      <c r="M100" s="371">
        <v>650000</v>
      </c>
      <c r="N100" s="371">
        <v>44000</v>
      </c>
      <c r="O100" s="371">
        <v>1600</v>
      </c>
      <c r="P100" s="371">
        <f t="shared" si="1"/>
        <v>91683</v>
      </c>
      <c r="Q100" s="371">
        <v>-59825</v>
      </c>
      <c r="R100" s="372">
        <v>235439</v>
      </c>
      <c r="S100" s="400">
        <v>220549.03</v>
      </c>
      <c r="T100" s="400">
        <v>0</v>
      </c>
      <c r="U100" s="400">
        <v>0</v>
      </c>
      <c r="V100" s="400">
        <v>0</v>
      </c>
      <c r="W100" s="372">
        <v>220549.03</v>
      </c>
      <c r="X100" s="373">
        <v>220549.03</v>
      </c>
      <c r="Y100" s="372">
        <v>235439</v>
      </c>
      <c r="Z100" s="373">
        <v>962897</v>
      </c>
      <c r="AA100" s="400">
        <v>0</v>
      </c>
      <c r="AB100" s="400">
        <v>0</v>
      </c>
      <c r="AC100" s="400">
        <v>0</v>
      </c>
      <c r="AD100" s="400">
        <v>0</v>
      </c>
      <c r="AE100" s="372">
        <v>0</v>
      </c>
      <c r="AF100" s="372">
        <v>0</v>
      </c>
      <c r="AG100" s="400">
        <v>0</v>
      </c>
      <c r="AH100" s="374">
        <v>0</v>
      </c>
      <c r="AI100" s="375">
        <v>0</v>
      </c>
      <c r="AJ100" s="372">
        <v>251.25</v>
      </c>
      <c r="AK100" s="376">
        <v>0</v>
      </c>
      <c r="AL100" s="376">
        <v>0</v>
      </c>
      <c r="AM100" s="412"/>
    </row>
    <row r="101" spans="2:39" s="377" customFormat="1" ht="28.15" customHeight="1" x14ac:dyDescent="0.25">
      <c r="B101" s="378">
        <v>43107</v>
      </c>
      <c r="C101" s="370">
        <v>235439</v>
      </c>
      <c r="D101" s="370">
        <v>0</v>
      </c>
      <c r="E101" s="371">
        <v>0</v>
      </c>
      <c r="F101" s="371">
        <v>0</v>
      </c>
      <c r="G101" s="371">
        <v>0</v>
      </c>
      <c r="H101" s="371"/>
      <c r="I101" s="371"/>
      <c r="J101" s="371"/>
      <c r="K101" s="371"/>
      <c r="L101" s="371"/>
      <c r="M101" s="371">
        <v>650000</v>
      </c>
      <c r="N101" s="371">
        <v>44000</v>
      </c>
      <c r="O101" s="371">
        <v>1600</v>
      </c>
      <c r="P101" s="371">
        <f t="shared" si="1"/>
        <v>91683</v>
      </c>
      <c r="Q101" s="371">
        <v>-59825</v>
      </c>
      <c r="R101" s="372">
        <v>235439</v>
      </c>
      <c r="S101" s="400">
        <v>220549.03</v>
      </c>
      <c r="T101" s="400">
        <v>0</v>
      </c>
      <c r="U101" s="400">
        <v>0</v>
      </c>
      <c r="V101" s="400">
        <v>0</v>
      </c>
      <c r="W101" s="372">
        <v>220549.03</v>
      </c>
      <c r="X101" s="373">
        <v>220549.03</v>
      </c>
      <c r="Y101" s="372">
        <v>235439</v>
      </c>
      <c r="Z101" s="373">
        <v>962897</v>
      </c>
      <c r="AA101" s="400">
        <v>0</v>
      </c>
      <c r="AB101" s="400">
        <v>0</v>
      </c>
      <c r="AC101" s="400">
        <v>0</v>
      </c>
      <c r="AD101" s="400">
        <v>0</v>
      </c>
      <c r="AE101" s="372">
        <v>0</v>
      </c>
      <c r="AF101" s="372">
        <v>0</v>
      </c>
      <c r="AG101" s="400">
        <v>0</v>
      </c>
      <c r="AH101" s="374">
        <v>0</v>
      </c>
      <c r="AI101" s="375">
        <v>0</v>
      </c>
      <c r="AJ101" s="372">
        <v>251.25</v>
      </c>
      <c r="AK101" s="376">
        <v>0</v>
      </c>
      <c r="AL101" s="376">
        <v>0</v>
      </c>
      <c r="AM101" s="412"/>
    </row>
    <row r="102" spans="2:39" s="377" customFormat="1" ht="28.15" customHeight="1" x14ac:dyDescent="0.25">
      <c r="B102" s="369">
        <v>43108</v>
      </c>
      <c r="C102" s="370">
        <v>235439</v>
      </c>
      <c r="D102" s="370">
        <v>0</v>
      </c>
      <c r="E102" s="371">
        <v>0</v>
      </c>
      <c r="F102" s="371">
        <v>0</v>
      </c>
      <c r="G102" s="371">
        <v>0</v>
      </c>
      <c r="H102" s="371"/>
      <c r="I102" s="371"/>
      <c r="J102" s="371"/>
      <c r="K102" s="371"/>
      <c r="L102" s="371"/>
      <c r="M102" s="371">
        <v>650000</v>
      </c>
      <c r="N102" s="371">
        <v>44000</v>
      </c>
      <c r="O102" s="371">
        <v>1600</v>
      </c>
      <c r="P102" s="371">
        <f t="shared" si="1"/>
        <v>91683</v>
      </c>
      <c r="Q102" s="371">
        <v>-59825</v>
      </c>
      <c r="R102" s="372">
        <v>235439</v>
      </c>
      <c r="S102" s="400">
        <v>220549.03</v>
      </c>
      <c r="T102" s="400">
        <v>0</v>
      </c>
      <c r="U102" s="400">
        <v>0</v>
      </c>
      <c r="V102" s="400">
        <v>0</v>
      </c>
      <c r="W102" s="372">
        <v>220549.03</v>
      </c>
      <c r="X102" s="373">
        <v>220549.03</v>
      </c>
      <c r="Y102" s="372">
        <v>235439</v>
      </c>
      <c r="Z102" s="373">
        <v>962897</v>
      </c>
      <c r="AA102" s="400">
        <v>0</v>
      </c>
      <c r="AB102" s="400">
        <v>0</v>
      </c>
      <c r="AC102" s="400">
        <v>0</v>
      </c>
      <c r="AD102" s="400">
        <v>0</v>
      </c>
      <c r="AE102" s="372">
        <v>0</v>
      </c>
      <c r="AF102" s="372">
        <v>0</v>
      </c>
      <c r="AG102" s="400">
        <v>0.52000000000001023</v>
      </c>
      <c r="AH102" s="374">
        <v>0</v>
      </c>
      <c r="AI102" s="375">
        <v>0</v>
      </c>
      <c r="AJ102" s="372">
        <v>251.77</v>
      </c>
      <c r="AK102" s="376">
        <v>2.0653771299202059E-3</v>
      </c>
      <c r="AL102" s="376">
        <v>-2.0653771299202059E-3</v>
      </c>
      <c r="AM102" s="412"/>
    </row>
    <row r="103" spans="2:39" s="377" customFormat="1" ht="28.15" customHeight="1" x14ac:dyDescent="0.25">
      <c r="B103" s="369">
        <v>43109</v>
      </c>
      <c r="C103" s="370">
        <v>235439</v>
      </c>
      <c r="D103" s="370">
        <v>0</v>
      </c>
      <c r="E103" s="371">
        <v>0</v>
      </c>
      <c r="F103" s="371">
        <v>0</v>
      </c>
      <c r="G103" s="371">
        <v>0</v>
      </c>
      <c r="H103" s="371"/>
      <c r="I103" s="371"/>
      <c r="J103" s="371"/>
      <c r="K103" s="371"/>
      <c r="L103" s="371"/>
      <c r="M103" s="371">
        <v>650000</v>
      </c>
      <c r="N103" s="371">
        <v>44000</v>
      </c>
      <c r="O103" s="371">
        <v>1600</v>
      </c>
      <c r="P103" s="371">
        <f t="shared" si="1"/>
        <v>91683</v>
      </c>
      <c r="Q103" s="371">
        <v>-59825</v>
      </c>
      <c r="R103" s="372">
        <v>235439</v>
      </c>
      <c r="S103" s="400">
        <v>220549.03</v>
      </c>
      <c r="T103" s="400">
        <v>0</v>
      </c>
      <c r="U103" s="400">
        <v>0</v>
      </c>
      <c r="V103" s="400">
        <v>0</v>
      </c>
      <c r="W103" s="372">
        <v>220549.03</v>
      </c>
      <c r="X103" s="373">
        <v>220549.03</v>
      </c>
      <c r="Y103" s="372">
        <v>235439</v>
      </c>
      <c r="Z103" s="373">
        <v>962897</v>
      </c>
      <c r="AA103" s="400">
        <v>0</v>
      </c>
      <c r="AB103" s="400">
        <v>0</v>
      </c>
      <c r="AC103" s="400">
        <v>0</v>
      </c>
      <c r="AD103" s="400">
        <v>0</v>
      </c>
      <c r="AE103" s="372">
        <v>0</v>
      </c>
      <c r="AF103" s="372">
        <v>0</v>
      </c>
      <c r="AG103" s="400">
        <v>0.53000000000000114</v>
      </c>
      <c r="AH103" s="374">
        <v>0</v>
      </c>
      <c r="AI103" s="375">
        <v>0</v>
      </c>
      <c r="AJ103" s="372">
        <v>252.3</v>
      </c>
      <c r="AK103" s="376">
        <v>2.1006738010305235E-3</v>
      </c>
      <c r="AL103" s="376">
        <v>-2.1006738010305235E-3</v>
      </c>
      <c r="AM103" s="412"/>
    </row>
    <row r="104" spans="2:39" s="377" customFormat="1" ht="28.15" customHeight="1" x14ac:dyDescent="0.25">
      <c r="B104" s="369">
        <v>43110</v>
      </c>
      <c r="C104" s="370">
        <v>235439</v>
      </c>
      <c r="D104" s="370">
        <v>0</v>
      </c>
      <c r="E104" s="371">
        <v>0</v>
      </c>
      <c r="F104" s="371">
        <v>0</v>
      </c>
      <c r="G104" s="371">
        <v>0</v>
      </c>
      <c r="H104" s="371"/>
      <c r="I104" s="371"/>
      <c r="J104" s="371"/>
      <c r="K104" s="371"/>
      <c r="L104" s="371"/>
      <c r="M104" s="371">
        <v>650000</v>
      </c>
      <c r="N104" s="371">
        <v>44000</v>
      </c>
      <c r="O104" s="371">
        <v>1600</v>
      </c>
      <c r="P104" s="371">
        <f t="shared" si="1"/>
        <v>91683</v>
      </c>
      <c r="Q104" s="371">
        <v>-59825</v>
      </c>
      <c r="R104" s="372">
        <v>235439</v>
      </c>
      <c r="S104" s="400">
        <v>220549.03</v>
      </c>
      <c r="T104" s="400">
        <v>0</v>
      </c>
      <c r="U104" s="400">
        <v>0</v>
      </c>
      <c r="V104" s="400">
        <v>0</v>
      </c>
      <c r="W104" s="372">
        <v>220549.03</v>
      </c>
      <c r="X104" s="373">
        <v>220549.03</v>
      </c>
      <c r="Y104" s="372">
        <v>235439</v>
      </c>
      <c r="Z104" s="373">
        <v>962897</v>
      </c>
      <c r="AA104" s="400">
        <v>0</v>
      </c>
      <c r="AB104" s="400">
        <v>0</v>
      </c>
      <c r="AC104" s="400">
        <v>0</v>
      </c>
      <c r="AD104" s="400">
        <v>0</v>
      </c>
      <c r="AE104" s="372">
        <v>0</v>
      </c>
      <c r="AF104" s="372">
        <v>0</v>
      </c>
      <c r="AG104" s="400">
        <v>-0.43000000000000682</v>
      </c>
      <c r="AH104" s="374">
        <v>0</v>
      </c>
      <c r="AI104" s="375">
        <v>0</v>
      </c>
      <c r="AJ104" s="372">
        <v>251.87</v>
      </c>
      <c r="AK104" s="376">
        <v>-1.707229920196954E-3</v>
      </c>
      <c r="AL104" s="376">
        <v>1.707229920196954E-3</v>
      </c>
      <c r="AM104" s="412"/>
    </row>
    <row r="105" spans="2:39" s="377" customFormat="1" ht="28.15" customHeight="1" x14ac:dyDescent="0.25">
      <c r="B105" s="369">
        <v>43111</v>
      </c>
      <c r="C105" s="370">
        <v>235439</v>
      </c>
      <c r="D105" s="370">
        <v>0</v>
      </c>
      <c r="E105" s="371">
        <v>0</v>
      </c>
      <c r="F105" s="371">
        <v>0</v>
      </c>
      <c r="G105" s="371">
        <v>0</v>
      </c>
      <c r="H105" s="371"/>
      <c r="I105" s="371"/>
      <c r="J105" s="371"/>
      <c r="K105" s="371"/>
      <c r="L105" s="371"/>
      <c r="M105" s="371">
        <v>650000</v>
      </c>
      <c r="N105" s="371">
        <v>44000</v>
      </c>
      <c r="O105" s="371">
        <v>1600</v>
      </c>
      <c r="P105" s="371">
        <f t="shared" si="1"/>
        <v>91683</v>
      </c>
      <c r="Q105" s="371">
        <v>-59825</v>
      </c>
      <c r="R105" s="372">
        <v>235439</v>
      </c>
      <c r="S105" s="400">
        <v>220549.03</v>
      </c>
      <c r="T105" s="400">
        <v>0</v>
      </c>
      <c r="U105" s="400">
        <v>0</v>
      </c>
      <c r="V105" s="400">
        <v>0</v>
      </c>
      <c r="W105" s="372">
        <v>220549.03</v>
      </c>
      <c r="X105" s="373">
        <v>220549.03</v>
      </c>
      <c r="Y105" s="372">
        <v>235439</v>
      </c>
      <c r="Z105" s="373">
        <v>962897</v>
      </c>
      <c r="AA105" s="400">
        <v>0</v>
      </c>
      <c r="AB105" s="400">
        <v>0</v>
      </c>
      <c r="AC105" s="400">
        <v>0</v>
      </c>
      <c r="AD105" s="400">
        <v>0</v>
      </c>
      <c r="AE105" s="372">
        <v>0</v>
      </c>
      <c r="AF105" s="372">
        <v>0</v>
      </c>
      <c r="AG105" s="400">
        <v>1.8599999999999852</v>
      </c>
      <c r="AH105" s="374">
        <v>0</v>
      </c>
      <c r="AI105" s="375">
        <v>0</v>
      </c>
      <c r="AJ105" s="372">
        <v>253.73</v>
      </c>
      <c r="AK105" s="376">
        <v>7.3306270444960598E-3</v>
      </c>
      <c r="AL105" s="376">
        <v>-7.3306270444960598E-3</v>
      </c>
      <c r="AM105" s="412"/>
    </row>
    <row r="106" spans="2:39" s="377" customFormat="1" ht="28.15" customHeight="1" x14ac:dyDescent="0.25">
      <c r="B106" s="369">
        <v>43112</v>
      </c>
      <c r="C106" s="370">
        <v>235439</v>
      </c>
      <c r="D106" s="370">
        <v>0</v>
      </c>
      <c r="E106" s="371">
        <v>0</v>
      </c>
      <c r="F106" s="371">
        <v>0</v>
      </c>
      <c r="G106" s="371">
        <v>0</v>
      </c>
      <c r="H106" s="371"/>
      <c r="I106" s="371"/>
      <c r="J106" s="371"/>
      <c r="K106" s="371"/>
      <c r="L106" s="371"/>
      <c r="M106" s="371">
        <v>650000</v>
      </c>
      <c r="N106" s="371">
        <v>44000</v>
      </c>
      <c r="O106" s="371">
        <v>1600</v>
      </c>
      <c r="P106" s="371">
        <f t="shared" si="1"/>
        <v>91683</v>
      </c>
      <c r="Q106" s="371">
        <v>-59825</v>
      </c>
      <c r="R106" s="372">
        <v>235439</v>
      </c>
      <c r="S106" s="400">
        <v>220549.03</v>
      </c>
      <c r="T106" s="400">
        <v>0</v>
      </c>
      <c r="U106" s="400">
        <v>0</v>
      </c>
      <c r="V106" s="400">
        <v>0</v>
      </c>
      <c r="W106" s="372">
        <v>220549.03</v>
      </c>
      <c r="X106" s="373">
        <v>220549.03</v>
      </c>
      <c r="Y106" s="372">
        <v>235439</v>
      </c>
      <c r="Z106" s="373">
        <v>962897</v>
      </c>
      <c r="AA106" s="400">
        <v>0</v>
      </c>
      <c r="AB106" s="400">
        <v>0</v>
      </c>
      <c r="AC106" s="400">
        <v>0</v>
      </c>
      <c r="AD106" s="400">
        <v>0</v>
      </c>
      <c r="AE106" s="372">
        <v>0</v>
      </c>
      <c r="AF106" s="372">
        <v>0</v>
      </c>
      <c r="AG106" s="400">
        <v>1.6800000000000068</v>
      </c>
      <c r="AH106" s="374">
        <v>0</v>
      </c>
      <c r="AI106" s="375">
        <v>0</v>
      </c>
      <c r="AJ106" s="372">
        <v>255.41</v>
      </c>
      <c r="AK106" s="376">
        <v>6.5776594495125752E-3</v>
      </c>
      <c r="AL106" s="376">
        <v>-6.5776594495125752E-3</v>
      </c>
      <c r="AM106" s="412"/>
    </row>
    <row r="107" spans="2:39" s="377" customFormat="1" ht="28.15" customHeight="1" x14ac:dyDescent="0.25">
      <c r="B107" s="378">
        <v>43113</v>
      </c>
      <c r="C107" s="370">
        <v>235439</v>
      </c>
      <c r="D107" s="370">
        <v>0</v>
      </c>
      <c r="E107" s="371">
        <v>0</v>
      </c>
      <c r="F107" s="371">
        <v>0</v>
      </c>
      <c r="G107" s="371">
        <v>0</v>
      </c>
      <c r="H107" s="371"/>
      <c r="I107" s="371"/>
      <c r="J107" s="371"/>
      <c r="K107" s="371"/>
      <c r="L107" s="371"/>
      <c r="M107" s="371">
        <v>650000</v>
      </c>
      <c r="N107" s="371">
        <v>44000</v>
      </c>
      <c r="O107" s="371">
        <v>1600</v>
      </c>
      <c r="P107" s="371">
        <f t="shared" si="1"/>
        <v>91683</v>
      </c>
      <c r="Q107" s="371">
        <v>-59825</v>
      </c>
      <c r="R107" s="372">
        <v>235439</v>
      </c>
      <c r="S107" s="400">
        <v>220549.03</v>
      </c>
      <c r="T107" s="400">
        <v>0</v>
      </c>
      <c r="U107" s="400">
        <v>0</v>
      </c>
      <c r="V107" s="400">
        <v>0</v>
      </c>
      <c r="W107" s="372">
        <v>220549.03</v>
      </c>
      <c r="X107" s="373">
        <v>220549.03</v>
      </c>
      <c r="Y107" s="372">
        <v>235439</v>
      </c>
      <c r="Z107" s="373">
        <v>962897</v>
      </c>
      <c r="AA107" s="400">
        <v>0</v>
      </c>
      <c r="AB107" s="400">
        <v>0</v>
      </c>
      <c r="AC107" s="400">
        <v>0</v>
      </c>
      <c r="AD107" s="400">
        <v>0</v>
      </c>
      <c r="AE107" s="372">
        <v>0</v>
      </c>
      <c r="AF107" s="372">
        <v>0</v>
      </c>
      <c r="AG107" s="400">
        <v>0</v>
      </c>
      <c r="AH107" s="374">
        <v>0</v>
      </c>
      <c r="AI107" s="375">
        <v>0</v>
      </c>
      <c r="AJ107" s="372">
        <v>255.41</v>
      </c>
      <c r="AK107" s="376">
        <v>0</v>
      </c>
      <c r="AL107" s="376">
        <v>0</v>
      </c>
      <c r="AM107" s="412"/>
    </row>
    <row r="108" spans="2:39" s="377" customFormat="1" ht="28.15" customHeight="1" x14ac:dyDescent="0.25">
      <c r="B108" s="378">
        <v>43114</v>
      </c>
      <c r="C108" s="370">
        <v>235439</v>
      </c>
      <c r="D108" s="370">
        <v>0</v>
      </c>
      <c r="E108" s="371">
        <v>0</v>
      </c>
      <c r="F108" s="371">
        <v>0</v>
      </c>
      <c r="G108" s="371">
        <v>0</v>
      </c>
      <c r="H108" s="371"/>
      <c r="I108" s="371"/>
      <c r="J108" s="371"/>
      <c r="K108" s="371"/>
      <c r="L108" s="371"/>
      <c r="M108" s="371">
        <v>650000</v>
      </c>
      <c r="N108" s="371">
        <v>44000</v>
      </c>
      <c r="O108" s="371">
        <v>1600</v>
      </c>
      <c r="P108" s="371">
        <f t="shared" si="1"/>
        <v>91683</v>
      </c>
      <c r="Q108" s="371">
        <v>-59825</v>
      </c>
      <c r="R108" s="372">
        <v>235439</v>
      </c>
      <c r="S108" s="400">
        <v>220549.03</v>
      </c>
      <c r="T108" s="400">
        <v>0</v>
      </c>
      <c r="U108" s="400">
        <v>0</v>
      </c>
      <c r="V108" s="400">
        <v>0</v>
      </c>
      <c r="W108" s="372">
        <v>220549.03</v>
      </c>
      <c r="X108" s="373">
        <v>220549.03</v>
      </c>
      <c r="Y108" s="372">
        <v>235439</v>
      </c>
      <c r="Z108" s="373">
        <v>962897</v>
      </c>
      <c r="AA108" s="400">
        <v>0</v>
      </c>
      <c r="AB108" s="400">
        <v>0</v>
      </c>
      <c r="AC108" s="400">
        <v>0</v>
      </c>
      <c r="AD108" s="400">
        <v>0</v>
      </c>
      <c r="AE108" s="372">
        <v>0</v>
      </c>
      <c r="AF108" s="372">
        <v>0</v>
      </c>
      <c r="AG108" s="400">
        <v>0</v>
      </c>
      <c r="AH108" s="374">
        <v>0</v>
      </c>
      <c r="AI108" s="375">
        <v>0</v>
      </c>
      <c r="AJ108" s="372">
        <v>255.41</v>
      </c>
      <c r="AK108" s="376">
        <v>0</v>
      </c>
      <c r="AL108" s="376">
        <v>0</v>
      </c>
      <c r="AM108" s="412"/>
    </row>
    <row r="109" spans="2:39" s="377" customFormat="1" ht="28.15" customHeight="1" x14ac:dyDescent="0.25">
      <c r="B109" s="369">
        <v>43115</v>
      </c>
      <c r="C109" s="370">
        <v>235439</v>
      </c>
      <c r="D109" s="370">
        <v>0</v>
      </c>
      <c r="E109" s="371">
        <v>0</v>
      </c>
      <c r="F109" s="371">
        <v>0</v>
      </c>
      <c r="G109" s="371">
        <v>0</v>
      </c>
      <c r="H109" s="371"/>
      <c r="I109" s="371"/>
      <c r="J109" s="371"/>
      <c r="K109" s="371"/>
      <c r="L109" s="371"/>
      <c r="M109" s="371">
        <v>650000</v>
      </c>
      <c r="N109" s="371">
        <v>44000</v>
      </c>
      <c r="O109" s="371">
        <v>1600</v>
      </c>
      <c r="P109" s="371">
        <f t="shared" si="1"/>
        <v>91683</v>
      </c>
      <c r="Q109" s="371">
        <v>-59825</v>
      </c>
      <c r="R109" s="372">
        <v>235439</v>
      </c>
      <c r="S109" s="400">
        <v>220549.03</v>
      </c>
      <c r="T109" s="400">
        <v>0</v>
      </c>
      <c r="U109" s="400">
        <v>0</v>
      </c>
      <c r="V109" s="400">
        <v>0</v>
      </c>
      <c r="W109" s="372">
        <v>220549.03</v>
      </c>
      <c r="X109" s="373">
        <v>220549.03</v>
      </c>
      <c r="Y109" s="372">
        <v>235439</v>
      </c>
      <c r="Z109" s="373">
        <v>962897</v>
      </c>
      <c r="AA109" s="400">
        <v>0</v>
      </c>
      <c r="AB109" s="400">
        <v>0</v>
      </c>
      <c r="AC109" s="400">
        <v>0</v>
      </c>
      <c r="AD109" s="400">
        <v>0</v>
      </c>
      <c r="AE109" s="372">
        <v>0</v>
      </c>
      <c r="AF109" s="372">
        <v>0</v>
      </c>
      <c r="AG109" s="400">
        <v>0</v>
      </c>
      <c r="AH109" s="374">
        <v>0</v>
      </c>
      <c r="AI109" s="375">
        <v>0</v>
      </c>
      <c r="AJ109" s="372">
        <v>255.41</v>
      </c>
      <c r="AK109" s="376">
        <v>0</v>
      </c>
      <c r="AL109" s="376">
        <v>0</v>
      </c>
      <c r="AM109" s="412"/>
    </row>
    <row r="110" spans="2:39" s="377" customFormat="1" ht="28.15" customHeight="1" x14ac:dyDescent="0.25">
      <c r="B110" s="369">
        <v>43116</v>
      </c>
      <c r="C110" s="370">
        <v>235439</v>
      </c>
      <c r="D110" s="370">
        <v>0</v>
      </c>
      <c r="E110" s="371">
        <v>0</v>
      </c>
      <c r="F110" s="371">
        <v>0</v>
      </c>
      <c r="G110" s="371">
        <v>0</v>
      </c>
      <c r="H110" s="371"/>
      <c r="I110" s="371"/>
      <c r="J110" s="371"/>
      <c r="K110" s="371"/>
      <c r="L110" s="371"/>
      <c r="M110" s="371">
        <v>650000</v>
      </c>
      <c r="N110" s="371">
        <v>44000</v>
      </c>
      <c r="O110" s="371">
        <v>1600</v>
      </c>
      <c r="P110" s="371">
        <f t="shared" si="1"/>
        <v>91683</v>
      </c>
      <c r="Q110" s="371">
        <v>-59825</v>
      </c>
      <c r="R110" s="372">
        <v>235439</v>
      </c>
      <c r="S110" s="400">
        <v>220549.03</v>
      </c>
      <c r="T110" s="400">
        <v>0</v>
      </c>
      <c r="U110" s="400">
        <v>0</v>
      </c>
      <c r="V110" s="400">
        <v>0</v>
      </c>
      <c r="W110" s="372">
        <v>220549.03</v>
      </c>
      <c r="X110" s="373">
        <v>220549.03</v>
      </c>
      <c r="Y110" s="372">
        <v>235439</v>
      </c>
      <c r="Z110" s="373">
        <v>962897</v>
      </c>
      <c r="AA110" s="400">
        <v>0</v>
      </c>
      <c r="AB110" s="400">
        <v>0</v>
      </c>
      <c r="AC110" s="400">
        <v>0</v>
      </c>
      <c r="AD110" s="400">
        <v>0</v>
      </c>
      <c r="AE110" s="372">
        <v>0</v>
      </c>
      <c r="AF110" s="372">
        <v>0</v>
      </c>
      <c r="AG110" s="400">
        <v>-0.93000000000000682</v>
      </c>
      <c r="AH110" s="374">
        <v>0</v>
      </c>
      <c r="AI110" s="375">
        <v>0</v>
      </c>
      <c r="AJ110" s="372">
        <v>254.48</v>
      </c>
      <c r="AK110" s="376">
        <v>-3.6545111600126017E-3</v>
      </c>
      <c r="AL110" s="376">
        <v>3.6545111600126017E-3</v>
      </c>
      <c r="AM110" s="412"/>
    </row>
    <row r="111" spans="2:39" s="377" customFormat="1" ht="28.15" customHeight="1" x14ac:dyDescent="0.25">
      <c r="B111" s="369">
        <v>43117</v>
      </c>
      <c r="C111" s="370">
        <v>235439</v>
      </c>
      <c r="D111" s="370">
        <v>0</v>
      </c>
      <c r="E111" s="371">
        <v>0</v>
      </c>
      <c r="F111" s="371">
        <v>0</v>
      </c>
      <c r="G111" s="371">
        <v>0</v>
      </c>
      <c r="H111" s="371"/>
      <c r="I111" s="371"/>
      <c r="J111" s="371"/>
      <c r="K111" s="371"/>
      <c r="L111" s="371"/>
      <c r="M111" s="371">
        <v>650000</v>
      </c>
      <c r="N111" s="371">
        <v>44000</v>
      </c>
      <c r="O111" s="371">
        <v>1600</v>
      </c>
      <c r="P111" s="371">
        <f t="shared" si="1"/>
        <v>91683</v>
      </c>
      <c r="Q111" s="371">
        <v>-59825</v>
      </c>
      <c r="R111" s="372">
        <v>235439</v>
      </c>
      <c r="S111" s="400">
        <v>220549.03</v>
      </c>
      <c r="T111" s="400">
        <v>0</v>
      </c>
      <c r="U111" s="400">
        <v>0</v>
      </c>
      <c r="V111" s="400">
        <v>0</v>
      </c>
      <c r="W111" s="372">
        <v>220549.03</v>
      </c>
      <c r="X111" s="373">
        <v>220549.03</v>
      </c>
      <c r="Y111" s="372">
        <v>235439</v>
      </c>
      <c r="Z111" s="373">
        <v>962897</v>
      </c>
      <c r="AA111" s="400">
        <v>0</v>
      </c>
      <c r="AB111" s="400">
        <v>0</v>
      </c>
      <c r="AC111" s="400">
        <v>0</v>
      </c>
      <c r="AD111" s="400">
        <v>0</v>
      </c>
      <c r="AE111" s="372">
        <v>0</v>
      </c>
      <c r="AF111" s="372">
        <v>0</v>
      </c>
      <c r="AG111" s="400">
        <v>2.460000000000008</v>
      </c>
      <c r="AH111" s="374">
        <v>0</v>
      </c>
      <c r="AI111" s="375">
        <v>0</v>
      </c>
      <c r="AJ111" s="372">
        <v>256.94</v>
      </c>
      <c r="AK111" s="376">
        <v>9.5742196621779706E-3</v>
      </c>
      <c r="AL111" s="376">
        <v>-9.5742196621779706E-3</v>
      </c>
      <c r="AM111" s="412"/>
    </row>
    <row r="112" spans="2:39" s="377" customFormat="1" ht="28.15" customHeight="1" x14ac:dyDescent="0.25">
      <c r="B112" s="369">
        <v>43118</v>
      </c>
      <c r="C112" s="370">
        <v>235439</v>
      </c>
      <c r="D112" s="370">
        <v>0</v>
      </c>
      <c r="E112" s="371">
        <v>0</v>
      </c>
      <c r="F112" s="371">
        <v>0</v>
      </c>
      <c r="G112" s="371">
        <v>0</v>
      </c>
      <c r="H112" s="371"/>
      <c r="I112" s="371"/>
      <c r="J112" s="371"/>
      <c r="K112" s="371"/>
      <c r="L112" s="371"/>
      <c r="M112" s="371">
        <v>650000</v>
      </c>
      <c r="N112" s="371">
        <v>44000</v>
      </c>
      <c r="O112" s="371">
        <v>1600</v>
      </c>
      <c r="P112" s="371">
        <f t="shared" si="1"/>
        <v>91683</v>
      </c>
      <c r="Q112" s="371">
        <v>-59825</v>
      </c>
      <c r="R112" s="372">
        <v>235439</v>
      </c>
      <c r="S112" s="400">
        <v>220549.03</v>
      </c>
      <c r="T112" s="400">
        <v>0</v>
      </c>
      <c r="U112" s="400">
        <v>0</v>
      </c>
      <c r="V112" s="400">
        <v>0</v>
      </c>
      <c r="W112" s="372">
        <v>220549.03</v>
      </c>
      <c r="X112" s="373">
        <v>220549.03</v>
      </c>
      <c r="Y112" s="372">
        <v>235439</v>
      </c>
      <c r="Z112" s="373">
        <v>962897</v>
      </c>
      <c r="AA112" s="400">
        <v>0</v>
      </c>
      <c r="AB112" s="400">
        <v>0</v>
      </c>
      <c r="AC112" s="400">
        <v>0</v>
      </c>
      <c r="AD112" s="400">
        <v>0</v>
      </c>
      <c r="AE112" s="372">
        <v>0</v>
      </c>
      <c r="AF112" s="372">
        <v>0</v>
      </c>
      <c r="AG112" s="400">
        <v>-0.35000000000002274</v>
      </c>
      <c r="AH112" s="374">
        <v>0</v>
      </c>
      <c r="AI112" s="375">
        <v>0</v>
      </c>
      <c r="AJ112" s="372">
        <v>256.58999999999997</v>
      </c>
      <c r="AK112" s="376">
        <v>-1.3640438052925786E-3</v>
      </c>
      <c r="AL112" s="376">
        <v>1.3640438052925786E-3</v>
      </c>
      <c r="AM112" s="412"/>
    </row>
    <row r="113" spans="2:39" s="377" customFormat="1" ht="28.15" customHeight="1" x14ac:dyDescent="0.25">
      <c r="B113" s="369">
        <v>43119</v>
      </c>
      <c r="C113" s="370">
        <v>235439</v>
      </c>
      <c r="D113" s="370">
        <v>0</v>
      </c>
      <c r="E113" s="371">
        <v>0</v>
      </c>
      <c r="F113" s="371">
        <v>0</v>
      </c>
      <c r="G113" s="371">
        <v>0</v>
      </c>
      <c r="H113" s="371"/>
      <c r="I113" s="371"/>
      <c r="J113" s="371"/>
      <c r="K113" s="371"/>
      <c r="L113" s="371"/>
      <c r="M113" s="371">
        <v>650000</v>
      </c>
      <c r="N113" s="371">
        <v>44000</v>
      </c>
      <c r="O113" s="371">
        <v>1600</v>
      </c>
      <c r="P113" s="371">
        <f t="shared" si="1"/>
        <v>91683</v>
      </c>
      <c r="Q113" s="371">
        <v>-59825</v>
      </c>
      <c r="R113" s="372">
        <v>235439</v>
      </c>
      <c r="S113" s="400">
        <v>220549.03</v>
      </c>
      <c r="T113" s="400">
        <v>0</v>
      </c>
      <c r="U113" s="400">
        <v>0</v>
      </c>
      <c r="V113" s="400">
        <v>0</v>
      </c>
      <c r="W113" s="372">
        <v>220549.03</v>
      </c>
      <c r="X113" s="373">
        <v>220549.03</v>
      </c>
      <c r="Y113" s="372">
        <v>235439</v>
      </c>
      <c r="Z113" s="373">
        <v>962897</v>
      </c>
      <c r="AA113" s="400">
        <v>0</v>
      </c>
      <c r="AB113" s="400">
        <v>0</v>
      </c>
      <c r="AC113" s="400">
        <v>0</v>
      </c>
      <c r="AD113" s="400">
        <v>0</v>
      </c>
      <c r="AE113" s="372">
        <v>0</v>
      </c>
      <c r="AF113" s="372">
        <v>0</v>
      </c>
      <c r="AG113" s="400">
        <v>1.0900000000000318</v>
      </c>
      <c r="AH113" s="374">
        <v>0</v>
      </c>
      <c r="AI113" s="375">
        <v>0</v>
      </c>
      <c r="AJ113" s="372">
        <v>257.68</v>
      </c>
      <c r="AK113" s="376">
        <v>4.230052778640297E-3</v>
      </c>
      <c r="AL113" s="376">
        <v>-4.230052778640297E-3</v>
      </c>
      <c r="AM113" s="412"/>
    </row>
    <row r="114" spans="2:39" s="377" customFormat="1" ht="28.15" customHeight="1" x14ac:dyDescent="0.25">
      <c r="B114" s="378">
        <v>43120</v>
      </c>
      <c r="C114" s="370">
        <v>235439</v>
      </c>
      <c r="D114" s="370">
        <v>0</v>
      </c>
      <c r="E114" s="371">
        <v>0</v>
      </c>
      <c r="F114" s="371">
        <v>0</v>
      </c>
      <c r="G114" s="371">
        <v>0</v>
      </c>
      <c r="H114" s="371"/>
      <c r="I114" s="371"/>
      <c r="J114" s="371"/>
      <c r="K114" s="371"/>
      <c r="L114" s="371"/>
      <c r="M114" s="371">
        <v>650000</v>
      </c>
      <c r="N114" s="371">
        <v>44000</v>
      </c>
      <c r="O114" s="371">
        <v>1600</v>
      </c>
      <c r="P114" s="371">
        <f t="shared" si="1"/>
        <v>91683</v>
      </c>
      <c r="Q114" s="371">
        <v>-59825</v>
      </c>
      <c r="R114" s="372">
        <v>235439</v>
      </c>
      <c r="S114" s="400">
        <v>220549.03</v>
      </c>
      <c r="T114" s="400">
        <v>0</v>
      </c>
      <c r="U114" s="400">
        <v>0</v>
      </c>
      <c r="V114" s="400">
        <v>0</v>
      </c>
      <c r="W114" s="372">
        <v>220549.03</v>
      </c>
      <c r="X114" s="373">
        <v>220549.03</v>
      </c>
      <c r="Y114" s="372">
        <v>235439</v>
      </c>
      <c r="Z114" s="373">
        <v>962897</v>
      </c>
      <c r="AA114" s="400">
        <v>0</v>
      </c>
      <c r="AB114" s="400">
        <v>0</v>
      </c>
      <c r="AC114" s="400">
        <v>0</v>
      </c>
      <c r="AD114" s="400">
        <v>0</v>
      </c>
      <c r="AE114" s="372">
        <v>0</v>
      </c>
      <c r="AF114" s="372">
        <v>0</v>
      </c>
      <c r="AG114" s="400">
        <v>0</v>
      </c>
      <c r="AH114" s="374">
        <v>0</v>
      </c>
      <c r="AI114" s="375">
        <v>0</v>
      </c>
      <c r="AJ114" s="372">
        <v>257.68</v>
      </c>
      <c r="AK114" s="376">
        <v>0</v>
      </c>
      <c r="AL114" s="376">
        <v>0</v>
      </c>
      <c r="AM114" s="412"/>
    </row>
    <row r="115" spans="2:39" s="377" customFormat="1" ht="28.15" customHeight="1" x14ac:dyDescent="0.25">
      <c r="B115" s="378">
        <v>43121</v>
      </c>
      <c r="C115" s="370">
        <v>235439</v>
      </c>
      <c r="D115" s="370">
        <v>0</v>
      </c>
      <c r="E115" s="371">
        <v>0</v>
      </c>
      <c r="F115" s="371">
        <v>0</v>
      </c>
      <c r="G115" s="371">
        <v>0</v>
      </c>
      <c r="H115" s="371"/>
      <c r="I115" s="371"/>
      <c r="J115" s="371"/>
      <c r="K115" s="371"/>
      <c r="L115" s="371"/>
      <c r="M115" s="371">
        <v>650000</v>
      </c>
      <c r="N115" s="371">
        <v>44000</v>
      </c>
      <c r="O115" s="371">
        <v>1600</v>
      </c>
      <c r="P115" s="371">
        <f t="shared" si="1"/>
        <v>91683</v>
      </c>
      <c r="Q115" s="371">
        <v>-59825</v>
      </c>
      <c r="R115" s="372">
        <v>235439</v>
      </c>
      <c r="S115" s="400">
        <v>220549.03</v>
      </c>
      <c r="T115" s="400">
        <v>0</v>
      </c>
      <c r="U115" s="400">
        <v>0</v>
      </c>
      <c r="V115" s="400">
        <v>0</v>
      </c>
      <c r="W115" s="372">
        <v>220549.03</v>
      </c>
      <c r="X115" s="373">
        <v>220549.03</v>
      </c>
      <c r="Y115" s="372">
        <v>235439</v>
      </c>
      <c r="Z115" s="373">
        <v>962897</v>
      </c>
      <c r="AA115" s="400">
        <v>0</v>
      </c>
      <c r="AB115" s="400">
        <v>0</v>
      </c>
      <c r="AC115" s="400">
        <v>0</v>
      </c>
      <c r="AD115" s="400">
        <v>0</v>
      </c>
      <c r="AE115" s="372">
        <v>0</v>
      </c>
      <c r="AF115" s="372">
        <v>0</v>
      </c>
      <c r="AG115" s="400">
        <v>0</v>
      </c>
      <c r="AH115" s="374">
        <v>0</v>
      </c>
      <c r="AI115" s="375">
        <v>0</v>
      </c>
      <c r="AJ115" s="372">
        <v>257.68</v>
      </c>
      <c r="AK115" s="376">
        <v>0</v>
      </c>
      <c r="AL115" s="376">
        <v>0</v>
      </c>
      <c r="AM115" s="412"/>
    </row>
    <row r="116" spans="2:39" s="377" customFormat="1" ht="28.15" customHeight="1" x14ac:dyDescent="0.25">
      <c r="B116" s="369">
        <v>43122</v>
      </c>
      <c r="C116" s="370">
        <v>235439</v>
      </c>
      <c r="D116" s="370">
        <v>0</v>
      </c>
      <c r="E116" s="371">
        <v>0</v>
      </c>
      <c r="F116" s="371">
        <v>0</v>
      </c>
      <c r="G116" s="371">
        <v>0</v>
      </c>
      <c r="H116" s="371"/>
      <c r="I116" s="371"/>
      <c r="J116" s="371"/>
      <c r="K116" s="371"/>
      <c r="L116" s="371"/>
      <c r="M116" s="371">
        <v>650000</v>
      </c>
      <c r="N116" s="371">
        <v>44000</v>
      </c>
      <c r="O116" s="371">
        <v>1600</v>
      </c>
      <c r="P116" s="371">
        <f t="shared" si="1"/>
        <v>91683</v>
      </c>
      <c r="Q116" s="371">
        <v>-59825</v>
      </c>
      <c r="R116" s="372">
        <v>235439</v>
      </c>
      <c r="S116" s="400">
        <v>220549.03</v>
      </c>
      <c r="T116" s="400">
        <v>0</v>
      </c>
      <c r="U116" s="400">
        <v>0</v>
      </c>
      <c r="V116" s="400">
        <v>0</v>
      </c>
      <c r="W116" s="372">
        <v>220549.03</v>
      </c>
      <c r="X116" s="373">
        <v>220549.03</v>
      </c>
      <c r="Y116" s="372">
        <v>235439</v>
      </c>
      <c r="Z116" s="373">
        <v>962897</v>
      </c>
      <c r="AA116" s="400">
        <v>0</v>
      </c>
      <c r="AB116" s="400">
        <v>0</v>
      </c>
      <c r="AC116" s="400">
        <v>0</v>
      </c>
      <c r="AD116" s="400">
        <v>0</v>
      </c>
      <c r="AE116" s="372">
        <v>0</v>
      </c>
      <c r="AF116" s="372">
        <v>0</v>
      </c>
      <c r="AG116" s="400">
        <v>2.0699999999999932</v>
      </c>
      <c r="AH116" s="374">
        <v>0</v>
      </c>
      <c r="AI116" s="375">
        <v>0</v>
      </c>
      <c r="AJ116" s="372">
        <v>259.75</v>
      </c>
      <c r="AK116" s="376">
        <v>7.9692011549566625E-3</v>
      </c>
      <c r="AL116" s="376">
        <v>-7.9692011549566625E-3</v>
      </c>
      <c r="AM116" s="412"/>
    </row>
    <row r="117" spans="2:39" s="377" customFormat="1" ht="28.15" customHeight="1" x14ac:dyDescent="0.25">
      <c r="B117" s="369">
        <v>43123</v>
      </c>
      <c r="C117" s="370">
        <v>235439</v>
      </c>
      <c r="D117" s="370">
        <v>0</v>
      </c>
      <c r="E117" s="371">
        <v>0</v>
      </c>
      <c r="F117" s="371">
        <v>0</v>
      </c>
      <c r="G117" s="371">
        <v>0</v>
      </c>
      <c r="H117" s="371"/>
      <c r="I117" s="371"/>
      <c r="J117" s="371"/>
      <c r="K117" s="371"/>
      <c r="L117" s="371"/>
      <c r="M117" s="371">
        <v>650000</v>
      </c>
      <c r="N117" s="371">
        <v>44000</v>
      </c>
      <c r="O117" s="371">
        <v>1600</v>
      </c>
      <c r="P117" s="371">
        <f t="shared" si="1"/>
        <v>91683</v>
      </c>
      <c r="Q117" s="371">
        <v>-59825</v>
      </c>
      <c r="R117" s="372">
        <v>235439</v>
      </c>
      <c r="S117" s="400">
        <v>220549.03</v>
      </c>
      <c r="T117" s="400">
        <v>0</v>
      </c>
      <c r="U117" s="400">
        <v>0</v>
      </c>
      <c r="V117" s="400">
        <v>0</v>
      </c>
      <c r="W117" s="372">
        <v>220549.03</v>
      </c>
      <c r="X117" s="373">
        <v>220549.03</v>
      </c>
      <c r="Y117" s="372">
        <v>235439</v>
      </c>
      <c r="Z117" s="373">
        <v>962897</v>
      </c>
      <c r="AA117" s="400">
        <v>0</v>
      </c>
      <c r="AB117" s="400">
        <v>0</v>
      </c>
      <c r="AC117" s="400">
        <v>0</v>
      </c>
      <c r="AD117" s="400">
        <v>0</v>
      </c>
      <c r="AE117" s="372">
        <v>0</v>
      </c>
      <c r="AF117" s="372">
        <v>0</v>
      </c>
      <c r="AG117" s="400">
        <v>0.58999999999997499</v>
      </c>
      <c r="AH117" s="374">
        <v>0</v>
      </c>
      <c r="AI117" s="375">
        <v>0</v>
      </c>
      <c r="AJ117" s="372">
        <v>260.33999999999997</v>
      </c>
      <c r="AK117" s="376">
        <v>2.2662671890603635E-3</v>
      </c>
      <c r="AL117" s="376">
        <v>-2.2662671890603635E-3</v>
      </c>
      <c r="AM117" s="412"/>
    </row>
    <row r="118" spans="2:39" s="377" customFormat="1" ht="28.15" customHeight="1" x14ac:dyDescent="0.25">
      <c r="B118" s="369">
        <v>43124</v>
      </c>
      <c r="C118" s="370">
        <v>235439</v>
      </c>
      <c r="D118" s="370">
        <v>0</v>
      </c>
      <c r="E118" s="371">
        <v>0</v>
      </c>
      <c r="F118" s="371">
        <v>0</v>
      </c>
      <c r="G118" s="371">
        <v>0</v>
      </c>
      <c r="H118" s="371"/>
      <c r="I118" s="371"/>
      <c r="J118" s="371"/>
      <c r="K118" s="371"/>
      <c r="L118" s="371"/>
      <c r="M118" s="371">
        <v>650000</v>
      </c>
      <c r="N118" s="371">
        <v>44000</v>
      </c>
      <c r="O118" s="371">
        <v>1600</v>
      </c>
      <c r="P118" s="371">
        <f t="shared" si="1"/>
        <v>91683</v>
      </c>
      <c r="Q118" s="371">
        <v>-59825</v>
      </c>
      <c r="R118" s="372">
        <v>235439</v>
      </c>
      <c r="S118" s="400">
        <v>220549.03</v>
      </c>
      <c r="T118" s="400">
        <v>0</v>
      </c>
      <c r="U118" s="400">
        <v>0</v>
      </c>
      <c r="V118" s="400">
        <v>0</v>
      </c>
      <c r="W118" s="372">
        <v>220549.03</v>
      </c>
      <c r="X118" s="373">
        <v>220549.03</v>
      </c>
      <c r="Y118" s="372">
        <v>235439</v>
      </c>
      <c r="Z118" s="373">
        <v>962897</v>
      </c>
      <c r="AA118" s="400">
        <v>0</v>
      </c>
      <c r="AB118" s="400">
        <v>0</v>
      </c>
      <c r="AC118" s="400">
        <v>0</v>
      </c>
      <c r="AD118" s="400">
        <v>0</v>
      </c>
      <c r="AE118" s="372">
        <v>0</v>
      </c>
      <c r="AF118" s="372">
        <v>0</v>
      </c>
      <c r="AG118" s="400">
        <v>-0.12999999999999545</v>
      </c>
      <c r="AH118" s="374">
        <v>0</v>
      </c>
      <c r="AI118" s="375">
        <v>0</v>
      </c>
      <c r="AJ118" s="372">
        <v>260.20999999999998</v>
      </c>
      <c r="AK118" s="376">
        <v>-4.9959647976632513E-4</v>
      </c>
      <c r="AL118" s="376">
        <v>4.9959647976632513E-4</v>
      </c>
      <c r="AM118" s="412"/>
    </row>
    <row r="119" spans="2:39" s="377" customFormat="1" ht="28.15" customHeight="1" x14ac:dyDescent="0.25">
      <c r="B119" s="369">
        <v>43125</v>
      </c>
      <c r="C119" s="370">
        <v>235439</v>
      </c>
      <c r="D119" s="370">
        <v>0</v>
      </c>
      <c r="E119" s="371">
        <v>0</v>
      </c>
      <c r="F119" s="371">
        <v>0</v>
      </c>
      <c r="G119" s="371">
        <v>0</v>
      </c>
      <c r="H119" s="371"/>
      <c r="I119" s="371"/>
      <c r="J119" s="371"/>
      <c r="K119" s="371"/>
      <c r="L119" s="371"/>
      <c r="M119" s="371">
        <v>650000</v>
      </c>
      <c r="N119" s="371">
        <v>44000</v>
      </c>
      <c r="O119" s="371">
        <v>1600</v>
      </c>
      <c r="P119" s="371">
        <f t="shared" si="1"/>
        <v>91683</v>
      </c>
      <c r="Q119" s="371">
        <v>-59825</v>
      </c>
      <c r="R119" s="372">
        <v>235439</v>
      </c>
      <c r="S119" s="400">
        <v>220549.03</v>
      </c>
      <c r="T119" s="400">
        <v>0</v>
      </c>
      <c r="U119" s="400">
        <v>0</v>
      </c>
      <c r="V119" s="400">
        <v>0</v>
      </c>
      <c r="W119" s="372">
        <v>220549.03</v>
      </c>
      <c r="X119" s="373">
        <v>220549.03</v>
      </c>
      <c r="Y119" s="372">
        <v>235439</v>
      </c>
      <c r="Z119" s="373">
        <v>962897</v>
      </c>
      <c r="AA119" s="400">
        <v>0</v>
      </c>
      <c r="AB119" s="400">
        <v>0</v>
      </c>
      <c r="AC119" s="400">
        <v>0</v>
      </c>
      <c r="AD119" s="400">
        <v>0</v>
      </c>
      <c r="AE119" s="372">
        <v>0</v>
      </c>
      <c r="AF119" s="372">
        <v>0</v>
      </c>
      <c r="AG119" s="400">
        <v>0.12000000000000455</v>
      </c>
      <c r="AH119" s="374">
        <v>0</v>
      </c>
      <c r="AI119" s="375">
        <v>0</v>
      </c>
      <c r="AJ119" s="372">
        <v>260.33</v>
      </c>
      <c r="AK119" s="376">
        <v>4.6095340529329909E-4</v>
      </c>
      <c r="AL119" s="376">
        <v>-4.6095340529329909E-4</v>
      </c>
      <c r="AM119" s="412"/>
    </row>
    <row r="120" spans="2:39" s="377" customFormat="1" ht="28.15" customHeight="1" x14ac:dyDescent="0.25">
      <c r="B120" s="369">
        <v>43126</v>
      </c>
      <c r="C120" s="370">
        <v>235439</v>
      </c>
      <c r="D120" s="370">
        <v>0</v>
      </c>
      <c r="E120" s="371">
        <v>0</v>
      </c>
      <c r="F120" s="371">
        <v>0</v>
      </c>
      <c r="G120" s="371">
        <v>0</v>
      </c>
      <c r="H120" s="371"/>
      <c r="I120" s="371"/>
      <c r="J120" s="371"/>
      <c r="K120" s="371"/>
      <c r="L120" s="371"/>
      <c r="M120" s="371">
        <v>650000</v>
      </c>
      <c r="N120" s="371">
        <v>44000</v>
      </c>
      <c r="O120" s="371">
        <v>1600</v>
      </c>
      <c r="P120" s="371">
        <f t="shared" si="1"/>
        <v>91683</v>
      </c>
      <c r="Q120" s="371">
        <v>-59825</v>
      </c>
      <c r="R120" s="372">
        <v>235439</v>
      </c>
      <c r="S120" s="400">
        <v>220549.03</v>
      </c>
      <c r="T120" s="400">
        <v>0</v>
      </c>
      <c r="U120" s="400">
        <v>0</v>
      </c>
      <c r="V120" s="400">
        <v>0</v>
      </c>
      <c r="W120" s="372">
        <v>220549.03</v>
      </c>
      <c r="X120" s="373">
        <v>220549.03</v>
      </c>
      <c r="Y120" s="372">
        <v>235439</v>
      </c>
      <c r="Z120" s="373">
        <v>962897</v>
      </c>
      <c r="AA120" s="400">
        <v>0</v>
      </c>
      <c r="AB120" s="400">
        <v>0</v>
      </c>
      <c r="AC120" s="400">
        <v>0</v>
      </c>
      <c r="AD120" s="400">
        <v>0</v>
      </c>
      <c r="AE120" s="372">
        <v>0</v>
      </c>
      <c r="AF120" s="372">
        <v>0</v>
      </c>
      <c r="AG120" s="400">
        <v>3.0300000000000296</v>
      </c>
      <c r="AH120" s="374">
        <v>0</v>
      </c>
      <c r="AI120" s="375">
        <v>0</v>
      </c>
      <c r="AJ120" s="372">
        <v>263.36</v>
      </c>
      <c r="AK120" s="376">
        <v>1.1505164034021983E-2</v>
      </c>
      <c r="AL120" s="376">
        <v>-1.1505164034021983E-2</v>
      </c>
      <c r="AM120" s="412"/>
    </row>
    <row r="121" spans="2:39" s="377" customFormat="1" ht="28.15" customHeight="1" x14ac:dyDescent="0.25">
      <c r="B121" s="378">
        <v>43127</v>
      </c>
      <c r="C121" s="370">
        <v>235439</v>
      </c>
      <c r="D121" s="370">
        <v>0</v>
      </c>
      <c r="E121" s="371">
        <v>0</v>
      </c>
      <c r="F121" s="371">
        <v>0</v>
      </c>
      <c r="G121" s="371">
        <v>0</v>
      </c>
      <c r="H121" s="371"/>
      <c r="I121" s="371"/>
      <c r="J121" s="371"/>
      <c r="K121" s="371"/>
      <c r="L121" s="371"/>
      <c r="M121" s="371">
        <v>650000</v>
      </c>
      <c r="N121" s="371">
        <v>44000</v>
      </c>
      <c r="O121" s="371">
        <v>1600</v>
      </c>
      <c r="P121" s="371">
        <f t="shared" si="1"/>
        <v>91683</v>
      </c>
      <c r="Q121" s="371">
        <v>-59825</v>
      </c>
      <c r="R121" s="372">
        <v>235439</v>
      </c>
      <c r="S121" s="400">
        <v>220549.03</v>
      </c>
      <c r="T121" s="400">
        <v>0</v>
      </c>
      <c r="U121" s="400">
        <v>0</v>
      </c>
      <c r="V121" s="400">
        <v>0</v>
      </c>
      <c r="W121" s="372">
        <v>220549.03</v>
      </c>
      <c r="X121" s="373">
        <v>220549.03</v>
      </c>
      <c r="Y121" s="372">
        <v>235439</v>
      </c>
      <c r="Z121" s="373">
        <v>962897</v>
      </c>
      <c r="AA121" s="400">
        <v>0</v>
      </c>
      <c r="AB121" s="400">
        <v>0</v>
      </c>
      <c r="AC121" s="400">
        <v>0</v>
      </c>
      <c r="AD121" s="400">
        <v>0</v>
      </c>
      <c r="AE121" s="372">
        <v>0</v>
      </c>
      <c r="AF121" s="372">
        <v>0</v>
      </c>
      <c r="AG121" s="400">
        <v>0</v>
      </c>
      <c r="AH121" s="374">
        <v>0</v>
      </c>
      <c r="AI121" s="375">
        <v>0</v>
      </c>
      <c r="AJ121" s="372">
        <v>263.36</v>
      </c>
      <c r="AK121" s="376">
        <v>0</v>
      </c>
      <c r="AL121" s="376">
        <v>0</v>
      </c>
      <c r="AM121" s="412"/>
    </row>
    <row r="122" spans="2:39" s="377" customFormat="1" ht="28.15" customHeight="1" x14ac:dyDescent="0.25">
      <c r="B122" s="378">
        <v>43128</v>
      </c>
      <c r="C122" s="370">
        <v>235439</v>
      </c>
      <c r="D122" s="370">
        <v>0</v>
      </c>
      <c r="E122" s="371">
        <v>0</v>
      </c>
      <c r="F122" s="371">
        <v>0</v>
      </c>
      <c r="G122" s="371">
        <v>0</v>
      </c>
      <c r="H122" s="371"/>
      <c r="I122" s="371"/>
      <c r="J122" s="371"/>
      <c r="K122" s="371"/>
      <c r="L122" s="371"/>
      <c r="M122" s="371">
        <v>650000</v>
      </c>
      <c r="N122" s="371">
        <v>44000</v>
      </c>
      <c r="O122" s="371">
        <v>1600</v>
      </c>
      <c r="P122" s="371">
        <f t="shared" si="1"/>
        <v>91683</v>
      </c>
      <c r="Q122" s="371">
        <v>-59825</v>
      </c>
      <c r="R122" s="372">
        <v>235439</v>
      </c>
      <c r="S122" s="400">
        <v>220549.03</v>
      </c>
      <c r="T122" s="400">
        <v>0</v>
      </c>
      <c r="U122" s="400">
        <v>0</v>
      </c>
      <c r="V122" s="400">
        <v>0</v>
      </c>
      <c r="W122" s="372">
        <v>220549.03</v>
      </c>
      <c r="X122" s="373">
        <v>220549.03</v>
      </c>
      <c r="Y122" s="372">
        <v>235439</v>
      </c>
      <c r="Z122" s="373">
        <v>962897</v>
      </c>
      <c r="AA122" s="400">
        <v>0</v>
      </c>
      <c r="AB122" s="400">
        <v>0</v>
      </c>
      <c r="AC122" s="400">
        <v>0</v>
      </c>
      <c r="AD122" s="400">
        <v>0</v>
      </c>
      <c r="AE122" s="372">
        <v>0</v>
      </c>
      <c r="AF122" s="372">
        <v>0</v>
      </c>
      <c r="AG122" s="400">
        <v>0</v>
      </c>
      <c r="AH122" s="374">
        <v>0</v>
      </c>
      <c r="AI122" s="375">
        <v>0</v>
      </c>
      <c r="AJ122" s="372">
        <v>263.36</v>
      </c>
      <c r="AK122" s="376">
        <v>0</v>
      </c>
      <c r="AL122" s="376">
        <v>0</v>
      </c>
      <c r="AM122" s="412"/>
    </row>
    <row r="123" spans="2:39" s="377" customFormat="1" ht="28.15" customHeight="1" x14ac:dyDescent="0.25">
      <c r="B123" s="369">
        <v>43129</v>
      </c>
      <c r="C123" s="370">
        <v>235439</v>
      </c>
      <c r="D123" s="370">
        <v>0</v>
      </c>
      <c r="E123" s="371">
        <v>0</v>
      </c>
      <c r="F123" s="371">
        <v>0</v>
      </c>
      <c r="G123" s="371">
        <v>0</v>
      </c>
      <c r="H123" s="371">
        <v>75</v>
      </c>
      <c r="I123" s="371"/>
      <c r="J123" s="371"/>
      <c r="K123" s="371"/>
      <c r="L123" s="371"/>
      <c r="M123" s="371">
        <v>650000</v>
      </c>
      <c r="N123" s="371">
        <v>44000</v>
      </c>
      <c r="O123" s="371">
        <v>1600</v>
      </c>
      <c r="P123" s="371">
        <f t="shared" si="1"/>
        <v>91683</v>
      </c>
      <c r="Q123" s="371">
        <v>-59825</v>
      </c>
      <c r="R123" s="372">
        <v>235439</v>
      </c>
      <c r="S123" s="400">
        <v>220624.03</v>
      </c>
      <c r="T123" s="400">
        <v>0</v>
      </c>
      <c r="U123" s="400">
        <v>0</v>
      </c>
      <c r="V123" s="400">
        <v>0</v>
      </c>
      <c r="W123" s="372">
        <v>220624.03</v>
      </c>
      <c r="X123" s="373">
        <v>220624.03</v>
      </c>
      <c r="Y123" s="372">
        <v>235439</v>
      </c>
      <c r="Z123" s="373">
        <v>962897</v>
      </c>
      <c r="AA123" s="400">
        <v>-75</v>
      </c>
      <c r="AB123" s="400">
        <v>0</v>
      </c>
      <c r="AC123" s="400">
        <v>0</v>
      </c>
      <c r="AD123" s="400">
        <v>0</v>
      </c>
      <c r="AE123" s="372">
        <v>-75</v>
      </c>
      <c r="AF123" s="372">
        <v>-75</v>
      </c>
      <c r="AG123" s="400">
        <v>-1.8199999999999932</v>
      </c>
      <c r="AH123" s="374">
        <v>-3.1855385046657521E-4</v>
      </c>
      <c r="AI123" s="375">
        <v>0</v>
      </c>
      <c r="AJ123" s="372">
        <v>261.54000000000002</v>
      </c>
      <c r="AK123" s="376">
        <v>-6.958782595396471E-3</v>
      </c>
      <c r="AL123" s="376">
        <v>6.6402287449298962E-3</v>
      </c>
      <c r="AM123" s="412"/>
    </row>
    <row r="124" spans="2:39" s="377" customFormat="1" ht="28.15" customHeight="1" x14ac:dyDescent="0.25">
      <c r="B124" s="369">
        <v>43130</v>
      </c>
      <c r="C124" s="370">
        <v>235439</v>
      </c>
      <c r="D124" s="370">
        <v>0</v>
      </c>
      <c r="E124" s="371">
        <v>0</v>
      </c>
      <c r="F124" s="371">
        <v>0</v>
      </c>
      <c r="G124" s="371">
        <v>0</v>
      </c>
      <c r="H124" s="371"/>
      <c r="I124" s="371"/>
      <c r="J124" s="371"/>
      <c r="K124" s="371"/>
      <c r="L124" s="371"/>
      <c r="M124" s="371">
        <v>650000</v>
      </c>
      <c r="N124" s="371">
        <v>44000</v>
      </c>
      <c r="O124" s="371">
        <v>1600</v>
      </c>
      <c r="P124" s="371">
        <f t="shared" si="1"/>
        <v>91683</v>
      </c>
      <c r="Q124" s="371">
        <v>-59825</v>
      </c>
      <c r="R124" s="372">
        <v>235439</v>
      </c>
      <c r="S124" s="400">
        <v>220624.03</v>
      </c>
      <c r="T124" s="400">
        <v>0</v>
      </c>
      <c r="U124" s="400">
        <v>0</v>
      </c>
      <c r="V124" s="400">
        <v>0</v>
      </c>
      <c r="W124" s="372">
        <v>220624.03</v>
      </c>
      <c r="X124" s="373">
        <v>220624.03</v>
      </c>
      <c r="Y124" s="372">
        <v>235439</v>
      </c>
      <c r="Z124" s="373">
        <v>962897</v>
      </c>
      <c r="AA124" s="400">
        <v>0</v>
      </c>
      <c r="AB124" s="400">
        <v>0</v>
      </c>
      <c r="AC124" s="400">
        <v>0</v>
      </c>
      <c r="AD124" s="400">
        <v>0</v>
      </c>
      <c r="AE124" s="372">
        <v>0</v>
      </c>
      <c r="AF124" s="372">
        <v>0</v>
      </c>
      <c r="AG124" s="400">
        <v>-2.7900000000000205</v>
      </c>
      <c r="AH124" s="374">
        <v>0</v>
      </c>
      <c r="AI124" s="375">
        <v>0</v>
      </c>
      <c r="AJ124" s="372">
        <v>258.75</v>
      </c>
      <c r="AK124" s="376">
        <v>-1.0782608695652254E-2</v>
      </c>
      <c r="AL124" s="376">
        <v>1.0782608695652254E-2</v>
      </c>
      <c r="AM124" s="412"/>
    </row>
    <row r="125" spans="2:39" s="377" customFormat="1" ht="28.15" customHeight="1" x14ac:dyDescent="0.25">
      <c r="B125" s="369">
        <v>43131</v>
      </c>
      <c r="C125" s="370">
        <v>235439</v>
      </c>
      <c r="D125" s="370">
        <v>0</v>
      </c>
      <c r="E125" s="371">
        <v>0</v>
      </c>
      <c r="F125" s="371">
        <v>0</v>
      </c>
      <c r="G125" s="371">
        <v>0</v>
      </c>
      <c r="H125" s="371"/>
      <c r="I125" s="371"/>
      <c r="J125" s="371"/>
      <c r="K125" s="371"/>
      <c r="L125" s="371"/>
      <c r="M125" s="371">
        <v>650000</v>
      </c>
      <c r="N125" s="371">
        <v>44000</v>
      </c>
      <c r="O125" s="371">
        <v>1600</v>
      </c>
      <c r="P125" s="371">
        <f t="shared" si="1"/>
        <v>91683</v>
      </c>
      <c r="Q125" s="371">
        <v>-59825</v>
      </c>
      <c r="R125" s="372">
        <v>235439</v>
      </c>
      <c r="S125" s="400">
        <v>220624.03</v>
      </c>
      <c r="T125" s="400">
        <v>0</v>
      </c>
      <c r="U125" s="400">
        <v>0</v>
      </c>
      <c r="V125" s="400">
        <v>0</v>
      </c>
      <c r="W125" s="372">
        <v>220624.03</v>
      </c>
      <c r="X125" s="373">
        <v>220624.03</v>
      </c>
      <c r="Y125" s="372">
        <v>235439</v>
      </c>
      <c r="Z125" s="373">
        <v>962897</v>
      </c>
      <c r="AA125" s="400">
        <v>0</v>
      </c>
      <c r="AB125" s="400">
        <v>0</v>
      </c>
      <c r="AC125" s="400">
        <v>0</v>
      </c>
      <c r="AD125" s="400">
        <v>0</v>
      </c>
      <c r="AE125" s="372">
        <v>0</v>
      </c>
      <c r="AF125" s="372">
        <v>0</v>
      </c>
      <c r="AG125" s="400">
        <v>0.24000000000000909</v>
      </c>
      <c r="AH125" s="374">
        <v>0</v>
      </c>
      <c r="AI125" s="375">
        <v>0</v>
      </c>
      <c r="AJ125" s="372">
        <v>258.99</v>
      </c>
      <c r="AK125" s="376">
        <v>9.2667670566434648E-4</v>
      </c>
      <c r="AL125" s="376">
        <v>-9.2667670566434648E-4</v>
      </c>
      <c r="AM125" s="412"/>
    </row>
    <row r="126" spans="2:39" s="377" customFormat="1" ht="28.15" customHeight="1" x14ac:dyDescent="0.25">
      <c r="B126" s="369">
        <v>43132</v>
      </c>
      <c r="C126" s="370">
        <v>223512</v>
      </c>
      <c r="D126" s="370">
        <v>0</v>
      </c>
      <c r="E126" s="371">
        <v>0</v>
      </c>
      <c r="F126" s="371">
        <v>0</v>
      </c>
      <c r="G126" s="371">
        <v>0</v>
      </c>
      <c r="H126" s="371"/>
      <c r="I126" s="371"/>
      <c r="J126" s="371"/>
      <c r="K126" s="371"/>
      <c r="L126" s="371"/>
      <c r="M126" s="371">
        <v>650000</v>
      </c>
      <c r="N126" s="371">
        <v>44000</v>
      </c>
      <c r="O126" s="371">
        <v>1600</v>
      </c>
      <c r="P126" s="371">
        <f t="shared" si="1"/>
        <v>91683</v>
      </c>
      <c r="Q126" s="371">
        <v>-59825</v>
      </c>
      <c r="R126" s="372">
        <v>223512</v>
      </c>
      <c r="S126" s="400">
        <v>220624.03</v>
      </c>
      <c r="T126" s="400">
        <v>0</v>
      </c>
      <c r="U126" s="400">
        <v>0</v>
      </c>
      <c r="V126" s="400">
        <v>0</v>
      </c>
      <c r="W126" s="372">
        <v>220624.03</v>
      </c>
      <c r="X126" s="373">
        <v>220624.03</v>
      </c>
      <c r="Y126" s="372">
        <v>223512</v>
      </c>
      <c r="Z126" s="373">
        <v>950970</v>
      </c>
      <c r="AA126" s="400">
        <v>-11927</v>
      </c>
      <c r="AB126" s="400">
        <v>0</v>
      </c>
      <c r="AC126" s="400">
        <v>0</v>
      </c>
      <c r="AD126" s="400">
        <v>0</v>
      </c>
      <c r="AE126" s="372">
        <v>-11927</v>
      </c>
      <c r="AF126" s="372">
        <v>-11927</v>
      </c>
      <c r="AG126" s="400">
        <v>-0.25999999999999091</v>
      </c>
      <c r="AH126" s="374">
        <v>-5.3361788181395184E-2</v>
      </c>
      <c r="AI126" s="375">
        <v>0</v>
      </c>
      <c r="AJ126" s="372">
        <v>258.73</v>
      </c>
      <c r="AK126" s="376">
        <v>-1.0049085919684262E-3</v>
      </c>
      <c r="AL126" s="376">
        <v>-5.2356879589426759E-2</v>
      </c>
      <c r="AM126" s="412"/>
    </row>
    <row r="127" spans="2:39" s="377" customFormat="1" ht="28.15" customHeight="1" x14ac:dyDescent="0.25">
      <c r="B127" s="369">
        <v>43133</v>
      </c>
      <c r="C127" s="370">
        <v>223512</v>
      </c>
      <c r="D127" s="370">
        <v>0</v>
      </c>
      <c r="E127" s="371">
        <v>0</v>
      </c>
      <c r="F127" s="371">
        <v>0</v>
      </c>
      <c r="G127" s="371">
        <v>0</v>
      </c>
      <c r="H127" s="371"/>
      <c r="I127" s="371"/>
      <c r="J127" s="371"/>
      <c r="K127" s="371"/>
      <c r="L127" s="371"/>
      <c r="M127" s="371">
        <v>650000</v>
      </c>
      <c r="N127" s="371">
        <v>44000</v>
      </c>
      <c r="O127" s="371">
        <v>1600</v>
      </c>
      <c r="P127" s="371">
        <f t="shared" si="1"/>
        <v>91683</v>
      </c>
      <c r="Q127" s="371">
        <v>-59825</v>
      </c>
      <c r="R127" s="372">
        <v>223512</v>
      </c>
      <c r="S127" s="400">
        <v>220624.03</v>
      </c>
      <c r="T127" s="400">
        <v>0</v>
      </c>
      <c r="U127" s="400">
        <v>0</v>
      </c>
      <c r="V127" s="400">
        <v>0</v>
      </c>
      <c r="W127" s="372">
        <v>220624.03</v>
      </c>
      <c r="X127" s="373">
        <v>220624.03</v>
      </c>
      <c r="Y127" s="372">
        <v>223512</v>
      </c>
      <c r="Z127" s="373">
        <v>950970</v>
      </c>
      <c r="AA127" s="400">
        <v>0</v>
      </c>
      <c r="AB127" s="400">
        <v>0</v>
      </c>
      <c r="AC127" s="400">
        <v>0</v>
      </c>
      <c r="AD127" s="400">
        <v>0</v>
      </c>
      <c r="AE127" s="372">
        <v>0</v>
      </c>
      <c r="AF127" s="372">
        <v>0</v>
      </c>
      <c r="AG127" s="400">
        <v>-5.5400000000000205</v>
      </c>
      <c r="AH127" s="374">
        <v>0</v>
      </c>
      <c r="AI127" s="375">
        <v>0</v>
      </c>
      <c r="AJ127" s="372">
        <v>253.19</v>
      </c>
      <c r="AK127" s="376">
        <v>-2.1880800979501642E-2</v>
      </c>
      <c r="AL127" s="376">
        <v>2.1880800979501642E-2</v>
      </c>
      <c r="AM127" s="412"/>
    </row>
    <row r="128" spans="2:39" s="377" customFormat="1" ht="28.15" customHeight="1" x14ac:dyDescent="0.25">
      <c r="B128" s="378">
        <v>43134</v>
      </c>
      <c r="C128" s="370">
        <v>223512</v>
      </c>
      <c r="D128" s="370">
        <v>0</v>
      </c>
      <c r="E128" s="371">
        <v>0</v>
      </c>
      <c r="F128" s="371">
        <v>0</v>
      </c>
      <c r="G128" s="371">
        <v>0</v>
      </c>
      <c r="H128" s="371"/>
      <c r="I128" s="371"/>
      <c r="J128" s="371"/>
      <c r="K128" s="371"/>
      <c r="L128" s="371"/>
      <c r="M128" s="371">
        <v>650000</v>
      </c>
      <c r="N128" s="371">
        <v>44000</v>
      </c>
      <c r="O128" s="371">
        <v>1600</v>
      </c>
      <c r="P128" s="371">
        <f t="shared" si="1"/>
        <v>91683</v>
      </c>
      <c r="Q128" s="371">
        <v>-59825</v>
      </c>
      <c r="R128" s="372">
        <v>223512</v>
      </c>
      <c r="S128" s="400">
        <v>220624.03</v>
      </c>
      <c r="T128" s="400">
        <v>0</v>
      </c>
      <c r="U128" s="400">
        <v>0</v>
      </c>
      <c r="V128" s="400">
        <v>0</v>
      </c>
      <c r="W128" s="372">
        <v>220624.03</v>
      </c>
      <c r="X128" s="373">
        <v>220624.03</v>
      </c>
      <c r="Y128" s="372">
        <v>223512</v>
      </c>
      <c r="Z128" s="373">
        <v>950970</v>
      </c>
      <c r="AA128" s="400">
        <v>0</v>
      </c>
      <c r="AB128" s="400">
        <v>0</v>
      </c>
      <c r="AC128" s="400">
        <v>0</v>
      </c>
      <c r="AD128" s="400">
        <v>0</v>
      </c>
      <c r="AE128" s="372">
        <v>0</v>
      </c>
      <c r="AF128" s="372">
        <v>0</v>
      </c>
      <c r="AG128" s="400">
        <v>0</v>
      </c>
      <c r="AH128" s="374">
        <v>0</v>
      </c>
      <c r="AI128" s="375">
        <v>0</v>
      </c>
      <c r="AJ128" s="372">
        <v>253.19</v>
      </c>
      <c r="AK128" s="376">
        <v>0</v>
      </c>
      <c r="AL128" s="376">
        <v>0</v>
      </c>
      <c r="AM128" s="412"/>
    </row>
    <row r="129" spans="2:39" s="377" customFormat="1" ht="28.15" customHeight="1" x14ac:dyDescent="0.25">
      <c r="B129" s="378">
        <v>43135</v>
      </c>
      <c r="C129" s="370">
        <v>223512</v>
      </c>
      <c r="D129" s="370">
        <v>0</v>
      </c>
      <c r="E129" s="371">
        <v>0</v>
      </c>
      <c r="F129" s="371">
        <v>0</v>
      </c>
      <c r="G129" s="371">
        <v>0</v>
      </c>
      <c r="H129" s="371"/>
      <c r="I129" s="371"/>
      <c r="J129" s="371"/>
      <c r="K129" s="371"/>
      <c r="L129" s="371"/>
      <c r="M129" s="371">
        <v>650000</v>
      </c>
      <c r="N129" s="371">
        <v>44000</v>
      </c>
      <c r="O129" s="371">
        <v>1600</v>
      </c>
      <c r="P129" s="371">
        <f t="shared" si="1"/>
        <v>91683</v>
      </c>
      <c r="Q129" s="371">
        <v>-59825</v>
      </c>
      <c r="R129" s="372">
        <v>223512</v>
      </c>
      <c r="S129" s="400">
        <v>220624.03</v>
      </c>
      <c r="T129" s="400">
        <v>0</v>
      </c>
      <c r="U129" s="400">
        <v>0</v>
      </c>
      <c r="V129" s="400">
        <v>0</v>
      </c>
      <c r="W129" s="372">
        <v>220624.03</v>
      </c>
      <c r="X129" s="373">
        <v>220624.03</v>
      </c>
      <c r="Y129" s="372">
        <v>223512</v>
      </c>
      <c r="Z129" s="373">
        <v>950970</v>
      </c>
      <c r="AA129" s="400">
        <v>0</v>
      </c>
      <c r="AB129" s="400">
        <v>0</v>
      </c>
      <c r="AC129" s="400">
        <v>0</v>
      </c>
      <c r="AD129" s="400">
        <v>0</v>
      </c>
      <c r="AE129" s="372">
        <v>0</v>
      </c>
      <c r="AF129" s="372">
        <v>0</v>
      </c>
      <c r="AG129" s="400">
        <v>0</v>
      </c>
      <c r="AH129" s="374">
        <v>0</v>
      </c>
      <c r="AI129" s="375">
        <v>0</v>
      </c>
      <c r="AJ129" s="372">
        <v>253.19</v>
      </c>
      <c r="AK129" s="376">
        <v>0</v>
      </c>
      <c r="AL129" s="376">
        <v>0</v>
      </c>
      <c r="AM129" s="412"/>
    </row>
    <row r="130" spans="2:39" s="377" customFormat="1" ht="28.15" customHeight="1" x14ac:dyDescent="0.25">
      <c r="B130" s="369">
        <v>43136</v>
      </c>
      <c r="C130" s="370">
        <v>223512</v>
      </c>
      <c r="D130" s="370">
        <v>0</v>
      </c>
      <c r="E130" s="371">
        <v>0</v>
      </c>
      <c r="F130" s="371">
        <v>0</v>
      </c>
      <c r="G130" s="371">
        <v>0</v>
      </c>
      <c r="H130" s="371"/>
      <c r="I130" s="371"/>
      <c r="J130" s="371"/>
      <c r="K130" s="371"/>
      <c r="L130" s="371"/>
      <c r="M130" s="371">
        <v>650000</v>
      </c>
      <c r="N130" s="371">
        <v>44000</v>
      </c>
      <c r="O130" s="371">
        <v>1600</v>
      </c>
      <c r="P130" s="371">
        <f t="shared" si="1"/>
        <v>91683</v>
      </c>
      <c r="Q130" s="371">
        <v>-59825</v>
      </c>
      <c r="R130" s="372">
        <v>223512</v>
      </c>
      <c r="S130" s="400">
        <v>220624.03</v>
      </c>
      <c r="T130" s="400">
        <v>0</v>
      </c>
      <c r="U130" s="400">
        <v>0</v>
      </c>
      <c r="V130" s="400">
        <v>0</v>
      </c>
      <c r="W130" s="372">
        <v>220624.03</v>
      </c>
      <c r="X130" s="373">
        <v>220624.03</v>
      </c>
      <c r="Y130" s="372">
        <v>223512</v>
      </c>
      <c r="Z130" s="373">
        <v>950970</v>
      </c>
      <c r="AA130" s="400">
        <v>0</v>
      </c>
      <c r="AB130" s="400">
        <v>0</v>
      </c>
      <c r="AC130" s="400">
        <v>0</v>
      </c>
      <c r="AD130" s="400">
        <v>0</v>
      </c>
      <c r="AE130" s="372">
        <v>0</v>
      </c>
      <c r="AF130" s="372">
        <v>0</v>
      </c>
      <c r="AG130" s="400">
        <v>-10.400000000000006</v>
      </c>
      <c r="AH130" s="374">
        <v>0</v>
      </c>
      <c r="AI130" s="375">
        <v>0</v>
      </c>
      <c r="AJ130" s="372">
        <v>242.79</v>
      </c>
      <c r="AK130" s="376">
        <v>-4.2835372132295421E-2</v>
      </c>
      <c r="AL130" s="376">
        <v>4.2835372132295421E-2</v>
      </c>
      <c r="AM130" s="412"/>
    </row>
    <row r="131" spans="2:39" s="377" customFormat="1" ht="28.15" customHeight="1" x14ac:dyDescent="0.25">
      <c r="B131" s="369">
        <v>43137</v>
      </c>
      <c r="C131" s="370">
        <v>223512</v>
      </c>
      <c r="D131" s="370">
        <v>0</v>
      </c>
      <c r="E131" s="371">
        <v>0</v>
      </c>
      <c r="F131" s="371">
        <v>0</v>
      </c>
      <c r="G131" s="371">
        <v>0</v>
      </c>
      <c r="H131" s="371"/>
      <c r="I131" s="371"/>
      <c r="J131" s="371"/>
      <c r="K131" s="371"/>
      <c r="L131" s="371"/>
      <c r="M131" s="371">
        <v>650000</v>
      </c>
      <c r="N131" s="371">
        <v>44000</v>
      </c>
      <c r="O131" s="371">
        <v>1600</v>
      </c>
      <c r="P131" s="371">
        <f t="shared" si="1"/>
        <v>91683</v>
      </c>
      <c r="Q131" s="371">
        <v>-59825</v>
      </c>
      <c r="R131" s="372">
        <v>223512</v>
      </c>
      <c r="S131" s="400">
        <v>220624.03</v>
      </c>
      <c r="T131" s="400">
        <v>0</v>
      </c>
      <c r="U131" s="400">
        <v>0</v>
      </c>
      <c r="V131" s="400">
        <v>0</v>
      </c>
      <c r="W131" s="372">
        <v>220624.03</v>
      </c>
      <c r="X131" s="373">
        <v>220624.03</v>
      </c>
      <c r="Y131" s="372">
        <v>223512</v>
      </c>
      <c r="Z131" s="373">
        <v>950970</v>
      </c>
      <c r="AA131" s="400">
        <v>0</v>
      </c>
      <c r="AB131" s="400">
        <v>0</v>
      </c>
      <c r="AC131" s="400">
        <v>0</v>
      </c>
      <c r="AD131" s="400">
        <v>0</v>
      </c>
      <c r="AE131" s="372">
        <v>0</v>
      </c>
      <c r="AF131" s="372">
        <v>0</v>
      </c>
      <c r="AG131" s="400">
        <v>4.4900000000000091</v>
      </c>
      <c r="AH131" s="374">
        <v>0</v>
      </c>
      <c r="AI131" s="375">
        <v>0</v>
      </c>
      <c r="AJ131" s="372">
        <v>247.28</v>
      </c>
      <c r="AK131" s="376">
        <v>1.8157554189582696E-2</v>
      </c>
      <c r="AL131" s="376">
        <v>-1.8157554189582696E-2</v>
      </c>
      <c r="AM131" s="412"/>
    </row>
    <row r="132" spans="2:39" s="377" customFormat="1" ht="28.15" customHeight="1" x14ac:dyDescent="0.25">
      <c r="B132" s="369">
        <v>43138</v>
      </c>
      <c r="C132" s="370">
        <v>223512</v>
      </c>
      <c r="D132" s="370">
        <v>0</v>
      </c>
      <c r="E132" s="371">
        <v>0</v>
      </c>
      <c r="F132" s="371">
        <v>0</v>
      </c>
      <c r="G132" s="371">
        <v>0</v>
      </c>
      <c r="H132" s="371"/>
      <c r="I132" s="371"/>
      <c r="J132" s="371"/>
      <c r="K132" s="371"/>
      <c r="L132" s="371"/>
      <c r="M132" s="371">
        <v>650000</v>
      </c>
      <c r="N132" s="371">
        <v>44000</v>
      </c>
      <c r="O132" s="371">
        <v>1600</v>
      </c>
      <c r="P132" s="371">
        <f t="shared" si="1"/>
        <v>91683</v>
      </c>
      <c r="Q132" s="371">
        <v>-59825</v>
      </c>
      <c r="R132" s="372">
        <v>223512</v>
      </c>
      <c r="S132" s="400">
        <v>220624.03</v>
      </c>
      <c r="T132" s="400">
        <v>0</v>
      </c>
      <c r="U132" s="400">
        <v>0</v>
      </c>
      <c r="V132" s="400">
        <v>0</v>
      </c>
      <c r="W132" s="372">
        <v>220624.03</v>
      </c>
      <c r="X132" s="373">
        <v>220624.03</v>
      </c>
      <c r="Y132" s="372">
        <v>223512</v>
      </c>
      <c r="Z132" s="373">
        <v>950970</v>
      </c>
      <c r="AA132" s="400">
        <v>0</v>
      </c>
      <c r="AB132" s="400">
        <v>0</v>
      </c>
      <c r="AC132" s="400">
        <v>0</v>
      </c>
      <c r="AD132" s="400">
        <v>0</v>
      </c>
      <c r="AE132" s="372">
        <v>0</v>
      </c>
      <c r="AF132" s="372">
        <v>0</v>
      </c>
      <c r="AG132" s="400">
        <v>-1.3499999999999943</v>
      </c>
      <c r="AH132" s="374">
        <v>0</v>
      </c>
      <c r="AI132" s="375">
        <v>0</v>
      </c>
      <c r="AJ132" s="372">
        <v>245.93</v>
      </c>
      <c r="AK132" s="376">
        <v>-5.4893668930183154E-3</v>
      </c>
      <c r="AL132" s="376">
        <v>5.4893668930183154E-3</v>
      </c>
      <c r="AM132" s="412"/>
    </row>
    <row r="133" spans="2:39" s="377" customFormat="1" ht="28.15" customHeight="1" x14ac:dyDescent="0.25">
      <c r="B133" s="369">
        <v>43139</v>
      </c>
      <c r="C133" s="370">
        <v>223512</v>
      </c>
      <c r="D133" s="370">
        <v>0</v>
      </c>
      <c r="E133" s="371">
        <v>0</v>
      </c>
      <c r="F133" s="371">
        <v>0</v>
      </c>
      <c r="G133" s="371">
        <v>0</v>
      </c>
      <c r="H133" s="371"/>
      <c r="I133" s="371"/>
      <c r="J133" s="371"/>
      <c r="K133" s="371"/>
      <c r="L133" s="371"/>
      <c r="M133" s="371">
        <v>650000</v>
      </c>
      <c r="N133" s="371">
        <v>44000</v>
      </c>
      <c r="O133" s="371">
        <v>1600</v>
      </c>
      <c r="P133" s="371">
        <f t="shared" si="1"/>
        <v>91683</v>
      </c>
      <c r="Q133" s="371">
        <v>-59825</v>
      </c>
      <c r="R133" s="372">
        <v>223512</v>
      </c>
      <c r="S133" s="400">
        <v>220624.03</v>
      </c>
      <c r="T133" s="400">
        <v>0</v>
      </c>
      <c r="U133" s="400">
        <v>0</v>
      </c>
      <c r="V133" s="400">
        <v>0</v>
      </c>
      <c r="W133" s="372">
        <v>220624.03</v>
      </c>
      <c r="X133" s="373">
        <v>220624.03</v>
      </c>
      <c r="Y133" s="372">
        <v>223512</v>
      </c>
      <c r="Z133" s="373">
        <v>950970</v>
      </c>
      <c r="AA133" s="400">
        <v>0</v>
      </c>
      <c r="AB133" s="400">
        <v>0</v>
      </c>
      <c r="AC133" s="400">
        <v>0</v>
      </c>
      <c r="AD133" s="400">
        <v>0</v>
      </c>
      <c r="AE133" s="372">
        <v>0</v>
      </c>
      <c r="AF133" s="372">
        <v>0</v>
      </c>
      <c r="AG133" s="400">
        <v>-9.1400000000000148</v>
      </c>
      <c r="AH133" s="374">
        <v>0</v>
      </c>
      <c r="AI133" s="375">
        <v>0</v>
      </c>
      <c r="AJ133" s="372">
        <v>236.79</v>
      </c>
      <c r="AK133" s="376">
        <v>-3.8599603023776408E-2</v>
      </c>
      <c r="AL133" s="376">
        <v>3.8599603023776408E-2</v>
      </c>
      <c r="AM133" s="412"/>
    </row>
    <row r="134" spans="2:39" s="377" customFormat="1" ht="28.15" customHeight="1" x14ac:dyDescent="0.25">
      <c r="B134" s="369">
        <v>43140</v>
      </c>
      <c r="C134" s="370">
        <v>223512</v>
      </c>
      <c r="D134" s="370">
        <v>0</v>
      </c>
      <c r="E134" s="371">
        <v>0</v>
      </c>
      <c r="F134" s="371">
        <v>0</v>
      </c>
      <c r="G134" s="371">
        <v>0</v>
      </c>
      <c r="H134" s="371"/>
      <c r="I134" s="371"/>
      <c r="J134" s="371"/>
      <c r="K134" s="371"/>
      <c r="L134" s="371"/>
      <c r="M134" s="371">
        <v>650000</v>
      </c>
      <c r="N134" s="371">
        <v>44000</v>
      </c>
      <c r="O134" s="371">
        <v>1600</v>
      </c>
      <c r="P134" s="371">
        <f t="shared" si="1"/>
        <v>91683</v>
      </c>
      <c r="Q134" s="371">
        <v>-59825</v>
      </c>
      <c r="R134" s="372">
        <v>223512</v>
      </c>
      <c r="S134" s="400">
        <v>220624.03</v>
      </c>
      <c r="T134" s="400">
        <v>0</v>
      </c>
      <c r="U134" s="400">
        <v>0</v>
      </c>
      <c r="V134" s="400">
        <v>0</v>
      </c>
      <c r="W134" s="372">
        <v>220624.03</v>
      </c>
      <c r="X134" s="373">
        <v>220624.03</v>
      </c>
      <c r="Y134" s="372">
        <v>223512</v>
      </c>
      <c r="Z134" s="373">
        <v>950970</v>
      </c>
      <c r="AA134" s="400">
        <v>0</v>
      </c>
      <c r="AB134" s="400">
        <v>0</v>
      </c>
      <c r="AC134" s="400">
        <v>0</v>
      </c>
      <c r="AD134" s="400">
        <v>0</v>
      </c>
      <c r="AE134" s="372">
        <v>0</v>
      </c>
      <c r="AF134" s="372">
        <v>0</v>
      </c>
      <c r="AG134" s="400">
        <v>3.6500000000000057</v>
      </c>
      <c r="AH134" s="374">
        <v>0</v>
      </c>
      <c r="AI134" s="375">
        <v>0</v>
      </c>
      <c r="AJ134" s="372">
        <v>240.44</v>
      </c>
      <c r="AK134" s="376">
        <v>1.5180502412244242E-2</v>
      </c>
      <c r="AL134" s="376">
        <v>-1.5180502412244242E-2</v>
      </c>
      <c r="AM134" s="412"/>
    </row>
    <row r="135" spans="2:39" s="377" customFormat="1" ht="28.15" customHeight="1" x14ac:dyDescent="0.25">
      <c r="B135" s="378">
        <v>43141</v>
      </c>
      <c r="C135" s="370">
        <v>223512</v>
      </c>
      <c r="D135" s="370">
        <v>0</v>
      </c>
      <c r="E135" s="371">
        <v>0</v>
      </c>
      <c r="F135" s="371">
        <v>0</v>
      </c>
      <c r="G135" s="371">
        <v>0</v>
      </c>
      <c r="H135" s="371"/>
      <c r="I135" s="371"/>
      <c r="J135" s="371"/>
      <c r="K135" s="371"/>
      <c r="L135" s="371"/>
      <c r="M135" s="371">
        <v>650000</v>
      </c>
      <c r="N135" s="371">
        <v>44000</v>
      </c>
      <c r="O135" s="371">
        <v>1600</v>
      </c>
      <c r="P135" s="371">
        <f t="shared" si="1"/>
        <v>91683</v>
      </c>
      <c r="Q135" s="371">
        <v>-59825</v>
      </c>
      <c r="R135" s="372">
        <v>223512</v>
      </c>
      <c r="S135" s="400">
        <v>220624.03</v>
      </c>
      <c r="T135" s="400">
        <v>0</v>
      </c>
      <c r="U135" s="400">
        <v>0</v>
      </c>
      <c r="V135" s="400">
        <v>0</v>
      </c>
      <c r="W135" s="372">
        <v>220624.03</v>
      </c>
      <c r="X135" s="373">
        <v>220624.03</v>
      </c>
      <c r="Y135" s="372">
        <v>223512</v>
      </c>
      <c r="Z135" s="373">
        <v>950970</v>
      </c>
      <c r="AA135" s="400">
        <v>0</v>
      </c>
      <c r="AB135" s="400">
        <v>0</v>
      </c>
      <c r="AC135" s="400">
        <v>0</v>
      </c>
      <c r="AD135" s="400">
        <v>0</v>
      </c>
      <c r="AE135" s="372">
        <v>0</v>
      </c>
      <c r="AF135" s="372">
        <v>0</v>
      </c>
      <c r="AG135" s="400">
        <v>0</v>
      </c>
      <c r="AH135" s="374">
        <v>0</v>
      </c>
      <c r="AI135" s="375">
        <v>0</v>
      </c>
      <c r="AJ135" s="372">
        <v>240.44</v>
      </c>
      <c r="AK135" s="376">
        <v>0</v>
      </c>
      <c r="AL135" s="376">
        <v>0</v>
      </c>
      <c r="AM135" s="412"/>
    </row>
    <row r="136" spans="2:39" s="377" customFormat="1" ht="28.15" customHeight="1" x14ac:dyDescent="0.25">
      <c r="B136" s="378">
        <v>43142</v>
      </c>
      <c r="C136" s="370">
        <v>223512</v>
      </c>
      <c r="D136" s="370">
        <v>0</v>
      </c>
      <c r="E136" s="371">
        <v>0</v>
      </c>
      <c r="F136" s="371">
        <v>0</v>
      </c>
      <c r="G136" s="371">
        <v>0</v>
      </c>
      <c r="H136" s="371"/>
      <c r="I136" s="371"/>
      <c r="J136" s="371"/>
      <c r="K136" s="371"/>
      <c r="L136" s="371"/>
      <c r="M136" s="371">
        <v>650000</v>
      </c>
      <c r="N136" s="371">
        <v>44000</v>
      </c>
      <c r="O136" s="371">
        <v>1600</v>
      </c>
      <c r="P136" s="371">
        <f t="shared" si="1"/>
        <v>91683</v>
      </c>
      <c r="Q136" s="371">
        <v>-59825</v>
      </c>
      <c r="R136" s="372">
        <v>223512</v>
      </c>
      <c r="S136" s="400">
        <v>220624.03</v>
      </c>
      <c r="T136" s="400">
        <v>0</v>
      </c>
      <c r="U136" s="400">
        <v>0</v>
      </c>
      <c r="V136" s="400">
        <v>0</v>
      </c>
      <c r="W136" s="372">
        <v>220624.03</v>
      </c>
      <c r="X136" s="373">
        <v>220624.03</v>
      </c>
      <c r="Y136" s="372">
        <v>223512</v>
      </c>
      <c r="Z136" s="373">
        <v>950970</v>
      </c>
      <c r="AA136" s="400">
        <v>0</v>
      </c>
      <c r="AB136" s="400">
        <v>0</v>
      </c>
      <c r="AC136" s="400">
        <v>0</v>
      </c>
      <c r="AD136" s="400">
        <v>0</v>
      </c>
      <c r="AE136" s="372">
        <v>0</v>
      </c>
      <c r="AF136" s="372">
        <v>0</v>
      </c>
      <c r="AG136" s="400">
        <v>0</v>
      </c>
      <c r="AH136" s="374">
        <v>0</v>
      </c>
      <c r="AI136" s="375">
        <v>0</v>
      </c>
      <c r="AJ136" s="372">
        <v>240.44</v>
      </c>
      <c r="AK136" s="376">
        <v>0</v>
      </c>
      <c r="AL136" s="376">
        <v>0</v>
      </c>
      <c r="AM136" s="412"/>
    </row>
    <row r="137" spans="2:39" s="377" customFormat="1" ht="28.15" customHeight="1" x14ac:dyDescent="0.25">
      <c r="B137" s="369">
        <v>43143</v>
      </c>
      <c r="C137" s="370">
        <v>223512</v>
      </c>
      <c r="D137" s="370">
        <v>0</v>
      </c>
      <c r="E137" s="371">
        <v>0</v>
      </c>
      <c r="F137" s="371">
        <v>0</v>
      </c>
      <c r="G137" s="371">
        <v>0</v>
      </c>
      <c r="H137" s="371">
        <v>75</v>
      </c>
      <c r="I137" s="371"/>
      <c r="J137" s="371"/>
      <c r="K137" s="371"/>
      <c r="L137" s="371"/>
      <c r="M137" s="371">
        <v>650000</v>
      </c>
      <c r="N137" s="371">
        <v>44000</v>
      </c>
      <c r="O137" s="371">
        <v>1600</v>
      </c>
      <c r="P137" s="371">
        <f t="shared" si="1"/>
        <v>91683</v>
      </c>
      <c r="Q137" s="371">
        <v>-59825</v>
      </c>
      <c r="R137" s="372">
        <v>223512</v>
      </c>
      <c r="S137" s="400">
        <v>220699.03</v>
      </c>
      <c r="T137" s="400">
        <v>0</v>
      </c>
      <c r="U137" s="400">
        <v>0</v>
      </c>
      <c r="V137" s="400">
        <v>0</v>
      </c>
      <c r="W137" s="372">
        <v>220699.03</v>
      </c>
      <c r="X137" s="373">
        <v>220699.03</v>
      </c>
      <c r="Y137" s="372">
        <v>223512</v>
      </c>
      <c r="Z137" s="373">
        <v>950970</v>
      </c>
      <c r="AA137" s="400">
        <v>-75</v>
      </c>
      <c r="AB137" s="400">
        <v>0</v>
      </c>
      <c r="AC137" s="400">
        <v>0</v>
      </c>
      <c r="AD137" s="400">
        <v>0</v>
      </c>
      <c r="AE137" s="372">
        <v>-75</v>
      </c>
      <c r="AF137" s="372">
        <v>-75</v>
      </c>
      <c r="AG137" s="400">
        <v>3.3000000000000114</v>
      </c>
      <c r="AH137" s="374">
        <v>-3.3555245355954043E-4</v>
      </c>
      <c r="AI137" s="375">
        <v>0</v>
      </c>
      <c r="AJ137" s="372">
        <v>243.74</v>
      </c>
      <c r="AK137" s="376">
        <v>1.3539016985312263E-2</v>
      </c>
      <c r="AL137" s="376">
        <v>-1.3874569438871803E-2</v>
      </c>
      <c r="AM137" s="412"/>
    </row>
    <row r="138" spans="2:39" s="377" customFormat="1" ht="28.15" customHeight="1" x14ac:dyDescent="0.25">
      <c r="B138" s="369">
        <v>43144</v>
      </c>
      <c r="C138" s="370">
        <v>223512</v>
      </c>
      <c r="D138" s="370">
        <v>0</v>
      </c>
      <c r="E138" s="371">
        <v>0</v>
      </c>
      <c r="F138" s="371">
        <v>0</v>
      </c>
      <c r="G138" s="371">
        <v>0</v>
      </c>
      <c r="H138" s="371"/>
      <c r="I138" s="371"/>
      <c r="J138" s="371"/>
      <c r="K138" s="371"/>
      <c r="L138" s="371"/>
      <c r="M138" s="371">
        <v>650000</v>
      </c>
      <c r="N138" s="371">
        <v>44000</v>
      </c>
      <c r="O138" s="371">
        <v>1600</v>
      </c>
      <c r="P138" s="371">
        <f t="shared" si="1"/>
        <v>91683</v>
      </c>
      <c r="Q138" s="371">
        <v>-59825</v>
      </c>
      <c r="R138" s="372">
        <v>223512</v>
      </c>
      <c r="S138" s="400">
        <v>220699.03</v>
      </c>
      <c r="T138" s="400">
        <v>0</v>
      </c>
      <c r="U138" s="400">
        <v>0</v>
      </c>
      <c r="V138" s="400">
        <v>0</v>
      </c>
      <c r="W138" s="372">
        <v>220699.03</v>
      </c>
      <c r="X138" s="373">
        <v>220699.03</v>
      </c>
      <c r="Y138" s="372">
        <v>223512</v>
      </c>
      <c r="Z138" s="373">
        <v>950970</v>
      </c>
      <c r="AA138" s="400">
        <v>0</v>
      </c>
      <c r="AB138" s="400">
        <v>0</v>
      </c>
      <c r="AC138" s="400">
        <v>0</v>
      </c>
      <c r="AD138" s="400">
        <v>0</v>
      </c>
      <c r="AE138" s="372">
        <v>0</v>
      </c>
      <c r="AF138" s="372">
        <v>0</v>
      </c>
      <c r="AG138" s="400">
        <v>0.81999999999999318</v>
      </c>
      <c r="AH138" s="374">
        <v>0</v>
      </c>
      <c r="AI138" s="375">
        <v>0</v>
      </c>
      <c r="AJ138" s="372">
        <v>244.56</v>
      </c>
      <c r="AK138" s="376">
        <v>3.3529604187111268E-3</v>
      </c>
      <c r="AL138" s="376">
        <v>-3.3529604187111268E-3</v>
      </c>
      <c r="AM138" s="412"/>
    </row>
    <row r="139" spans="2:39" s="377" customFormat="1" ht="28.15" customHeight="1" x14ac:dyDescent="0.25">
      <c r="B139" s="369">
        <v>43145</v>
      </c>
      <c r="C139" s="370">
        <v>223512</v>
      </c>
      <c r="D139" s="370">
        <v>0</v>
      </c>
      <c r="E139" s="371">
        <v>0</v>
      </c>
      <c r="F139" s="371">
        <v>0</v>
      </c>
      <c r="G139" s="371">
        <v>0</v>
      </c>
      <c r="H139" s="371"/>
      <c r="I139" s="371"/>
      <c r="J139" s="371"/>
      <c r="K139" s="371"/>
      <c r="L139" s="371"/>
      <c r="M139" s="371">
        <v>650000</v>
      </c>
      <c r="N139" s="371">
        <v>44000</v>
      </c>
      <c r="O139" s="371">
        <v>1600</v>
      </c>
      <c r="P139" s="371">
        <f t="shared" si="1"/>
        <v>91683</v>
      </c>
      <c r="Q139" s="371">
        <v>-59825</v>
      </c>
      <c r="R139" s="372">
        <v>223512</v>
      </c>
      <c r="S139" s="400">
        <v>220699.03</v>
      </c>
      <c r="T139" s="400">
        <v>0</v>
      </c>
      <c r="U139" s="400">
        <v>0</v>
      </c>
      <c r="V139" s="400">
        <v>0</v>
      </c>
      <c r="W139" s="372">
        <v>220699.03</v>
      </c>
      <c r="X139" s="373">
        <v>220699.03</v>
      </c>
      <c r="Y139" s="372">
        <v>223512</v>
      </c>
      <c r="Z139" s="373">
        <v>950970</v>
      </c>
      <c r="AA139" s="400">
        <v>0</v>
      </c>
      <c r="AB139" s="400">
        <v>0</v>
      </c>
      <c r="AC139" s="400">
        <v>0</v>
      </c>
      <c r="AD139" s="400">
        <v>0</v>
      </c>
      <c r="AE139" s="372">
        <v>0</v>
      </c>
      <c r="AF139" s="372">
        <v>0</v>
      </c>
      <c r="AG139" s="400">
        <v>3.1999999999999886</v>
      </c>
      <c r="AH139" s="374">
        <v>0</v>
      </c>
      <c r="AI139" s="375">
        <v>0</v>
      </c>
      <c r="AJ139" s="372">
        <v>247.76</v>
      </c>
      <c r="AK139" s="376">
        <v>1.291572489505969E-2</v>
      </c>
      <c r="AL139" s="376">
        <v>-1.291572489505969E-2</v>
      </c>
      <c r="AM139" s="412"/>
    </row>
    <row r="140" spans="2:39" s="377" customFormat="1" ht="28.15" customHeight="1" x14ac:dyDescent="0.25">
      <c r="B140" s="369">
        <v>43146</v>
      </c>
      <c r="C140" s="370">
        <v>223512</v>
      </c>
      <c r="D140" s="370">
        <v>0</v>
      </c>
      <c r="E140" s="371">
        <v>0</v>
      </c>
      <c r="F140" s="371">
        <v>0</v>
      </c>
      <c r="G140" s="371">
        <v>0</v>
      </c>
      <c r="H140" s="371"/>
      <c r="I140" s="371"/>
      <c r="J140" s="371"/>
      <c r="K140" s="371"/>
      <c r="L140" s="371"/>
      <c r="M140" s="371">
        <v>650000</v>
      </c>
      <c r="N140" s="371">
        <v>44000</v>
      </c>
      <c r="O140" s="371">
        <v>1600</v>
      </c>
      <c r="P140" s="371">
        <f t="shared" si="1"/>
        <v>91683</v>
      </c>
      <c r="Q140" s="371">
        <v>-59825</v>
      </c>
      <c r="R140" s="372">
        <v>223512</v>
      </c>
      <c r="S140" s="400">
        <v>220699.03</v>
      </c>
      <c r="T140" s="400">
        <v>0</v>
      </c>
      <c r="U140" s="400">
        <v>0</v>
      </c>
      <c r="V140" s="400">
        <v>0</v>
      </c>
      <c r="W140" s="372">
        <v>220699.03</v>
      </c>
      <c r="X140" s="373">
        <v>220699.03</v>
      </c>
      <c r="Y140" s="372">
        <v>223512</v>
      </c>
      <c r="Z140" s="373">
        <v>950970</v>
      </c>
      <c r="AA140" s="400">
        <v>0</v>
      </c>
      <c r="AB140" s="400">
        <v>0</v>
      </c>
      <c r="AC140" s="400">
        <v>0</v>
      </c>
      <c r="AD140" s="400">
        <v>0</v>
      </c>
      <c r="AE140" s="372">
        <v>0</v>
      </c>
      <c r="AF140" s="372">
        <v>0</v>
      </c>
      <c r="AG140" s="400">
        <v>3.210000000000008</v>
      </c>
      <c r="AH140" s="374">
        <v>0</v>
      </c>
      <c r="AI140" s="375">
        <v>0</v>
      </c>
      <c r="AJ140" s="372">
        <v>250.97</v>
      </c>
      <c r="AK140" s="376">
        <v>1.2790373351396612E-2</v>
      </c>
      <c r="AL140" s="376">
        <v>-1.2790373351396612E-2</v>
      </c>
      <c r="AM140" s="412"/>
    </row>
    <row r="141" spans="2:39" s="377" customFormat="1" ht="28.15" customHeight="1" x14ac:dyDescent="0.25">
      <c r="B141" s="369">
        <v>43147</v>
      </c>
      <c r="C141" s="370">
        <v>223512</v>
      </c>
      <c r="D141" s="370">
        <v>0</v>
      </c>
      <c r="E141" s="371">
        <v>0</v>
      </c>
      <c r="F141" s="371">
        <v>0</v>
      </c>
      <c r="G141" s="371">
        <v>0</v>
      </c>
      <c r="H141" s="371"/>
      <c r="I141" s="371"/>
      <c r="J141" s="371"/>
      <c r="K141" s="371"/>
      <c r="L141" s="371"/>
      <c r="M141" s="371">
        <v>650000</v>
      </c>
      <c r="N141" s="371">
        <v>44000</v>
      </c>
      <c r="O141" s="371">
        <v>1600</v>
      </c>
      <c r="P141" s="371">
        <f t="shared" ref="P141:P229" si="2">91683</f>
        <v>91683</v>
      </c>
      <c r="Q141" s="371">
        <v>-59825</v>
      </c>
      <c r="R141" s="372">
        <v>223512</v>
      </c>
      <c r="S141" s="400">
        <v>220699.03</v>
      </c>
      <c r="T141" s="400">
        <v>0</v>
      </c>
      <c r="U141" s="400">
        <v>0</v>
      </c>
      <c r="V141" s="400">
        <v>0</v>
      </c>
      <c r="W141" s="372">
        <v>220699.03</v>
      </c>
      <c r="X141" s="373">
        <v>220699.03</v>
      </c>
      <c r="Y141" s="372">
        <v>223512</v>
      </c>
      <c r="Z141" s="373">
        <v>950970</v>
      </c>
      <c r="AA141" s="400">
        <v>0</v>
      </c>
      <c r="AB141" s="400">
        <v>0</v>
      </c>
      <c r="AC141" s="400">
        <v>0</v>
      </c>
      <c r="AD141" s="400">
        <v>0</v>
      </c>
      <c r="AE141" s="372">
        <v>0</v>
      </c>
      <c r="AF141" s="372">
        <v>0</v>
      </c>
      <c r="AG141" s="400">
        <v>-3.0000000000001137E-2</v>
      </c>
      <c r="AH141" s="374">
        <v>0</v>
      </c>
      <c r="AI141" s="375">
        <v>0</v>
      </c>
      <c r="AJ141" s="372">
        <v>250.94</v>
      </c>
      <c r="AK141" s="376">
        <v>-1.1955049015701417E-4</v>
      </c>
      <c r="AL141" s="376">
        <v>1.1955049015701417E-4</v>
      </c>
      <c r="AM141" s="412"/>
    </row>
    <row r="142" spans="2:39" s="377" customFormat="1" ht="28.15" customHeight="1" x14ac:dyDescent="0.25">
      <c r="B142" s="378">
        <v>43148</v>
      </c>
      <c r="C142" s="370">
        <v>223512</v>
      </c>
      <c r="D142" s="370">
        <v>0</v>
      </c>
      <c r="E142" s="371">
        <v>0</v>
      </c>
      <c r="F142" s="371">
        <v>0</v>
      </c>
      <c r="G142" s="371">
        <v>0</v>
      </c>
      <c r="H142" s="371"/>
      <c r="I142" s="371"/>
      <c r="J142" s="371"/>
      <c r="K142" s="371"/>
      <c r="L142" s="371"/>
      <c r="M142" s="371">
        <v>650000</v>
      </c>
      <c r="N142" s="371">
        <v>44000</v>
      </c>
      <c r="O142" s="371">
        <v>1600</v>
      </c>
      <c r="P142" s="371">
        <f t="shared" si="2"/>
        <v>91683</v>
      </c>
      <c r="Q142" s="371">
        <v>-59825</v>
      </c>
      <c r="R142" s="372">
        <v>223512</v>
      </c>
      <c r="S142" s="400">
        <v>220699.03</v>
      </c>
      <c r="T142" s="400">
        <v>0</v>
      </c>
      <c r="U142" s="400">
        <v>0</v>
      </c>
      <c r="V142" s="400">
        <v>0</v>
      </c>
      <c r="W142" s="372">
        <v>220699.03</v>
      </c>
      <c r="X142" s="373">
        <v>220699.03</v>
      </c>
      <c r="Y142" s="372">
        <v>223512</v>
      </c>
      <c r="Z142" s="373">
        <v>950970</v>
      </c>
      <c r="AA142" s="400">
        <v>0</v>
      </c>
      <c r="AB142" s="400">
        <v>0</v>
      </c>
      <c r="AC142" s="400">
        <v>0</v>
      </c>
      <c r="AD142" s="400">
        <v>0</v>
      </c>
      <c r="AE142" s="372">
        <v>0</v>
      </c>
      <c r="AF142" s="372">
        <v>0</v>
      </c>
      <c r="AG142" s="400">
        <v>0</v>
      </c>
      <c r="AH142" s="374">
        <v>0</v>
      </c>
      <c r="AI142" s="375">
        <v>0</v>
      </c>
      <c r="AJ142" s="372">
        <v>250.94</v>
      </c>
      <c r="AK142" s="376">
        <v>0</v>
      </c>
      <c r="AL142" s="376">
        <v>0</v>
      </c>
      <c r="AM142" s="412"/>
    </row>
    <row r="143" spans="2:39" s="377" customFormat="1" ht="28.15" customHeight="1" x14ac:dyDescent="0.25">
      <c r="B143" s="378">
        <v>43149</v>
      </c>
      <c r="C143" s="370">
        <v>223512</v>
      </c>
      <c r="D143" s="370">
        <v>0</v>
      </c>
      <c r="E143" s="371">
        <v>0</v>
      </c>
      <c r="F143" s="371">
        <v>0</v>
      </c>
      <c r="G143" s="371">
        <v>0</v>
      </c>
      <c r="H143" s="371"/>
      <c r="I143" s="371"/>
      <c r="J143" s="371"/>
      <c r="K143" s="371"/>
      <c r="L143" s="371"/>
      <c r="M143" s="371">
        <v>650000</v>
      </c>
      <c r="N143" s="371">
        <v>44000</v>
      </c>
      <c r="O143" s="371">
        <v>1600</v>
      </c>
      <c r="P143" s="371">
        <f t="shared" si="2"/>
        <v>91683</v>
      </c>
      <c r="Q143" s="371">
        <v>-59825</v>
      </c>
      <c r="R143" s="372">
        <v>223512</v>
      </c>
      <c r="S143" s="400">
        <v>220699.03</v>
      </c>
      <c r="T143" s="400">
        <v>0</v>
      </c>
      <c r="U143" s="400">
        <v>0</v>
      </c>
      <c r="V143" s="400">
        <v>0</v>
      </c>
      <c r="W143" s="372">
        <v>220699.03</v>
      </c>
      <c r="X143" s="373">
        <v>220699.03</v>
      </c>
      <c r="Y143" s="372">
        <v>223512</v>
      </c>
      <c r="Z143" s="373">
        <v>950970</v>
      </c>
      <c r="AA143" s="400">
        <v>0</v>
      </c>
      <c r="AB143" s="400">
        <v>0</v>
      </c>
      <c r="AC143" s="400">
        <v>0</v>
      </c>
      <c r="AD143" s="400">
        <v>0</v>
      </c>
      <c r="AE143" s="372">
        <v>0</v>
      </c>
      <c r="AF143" s="372">
        <v>0</v>
      </c>
      <c r="AG143" s="400">
        <v>0</v>
      </c>
      <c r="AH143" s="374">
        <v>0</v>
      </c>
      <c r="AI143" s="375">
        <v>0</v>
      </c>
      <c r="AJ143" s="372">
        <v>250.94</v>
      </c>
      <c r="AK143" s="376">
        <v>0</v>
      </c>
      <c r="AL143" s="376">
        <v>0</v>
      </c>
      <c r="AM143" s="412"/>
    </row>
    <row r="144" spans="2:39" s="377" customFormat="1" ht="28.15" customHeight="1" x14ac:dyDescent="0.25">
      <c r="B144" s="369">
        <v>43150</v>
      </c>
      <c r="C144" s="370">
        <v>223512</v>
      </c>
      <c r="D144" s="370">
        <v>0</v>
      </c>
      <c r="E144" s="371">
        <v>0</v>
      </c>
      <c r="F144" s="371">
        <v>0</v>
      </c>
      <c r="G144" s="371">
        <v>0</v>
      </c>
      <c r="H144" s="371"/>
      <c r="I144" s="371"/>
      <c r="J144" s="371"/>
      <c r="K144" s="371"/>
      <c r="L144" s="371"/>
      <c r="M144" s="371">
        <v>650000</v>
      </c>
      <c r="N144" s="371">
        <v>44000</v>
      </c>
      <c r="O144" s="371">
        <v>1600</v>
      </c>
      <c r="P144" s="371">
        <f t="shared" si="2"/>
        <v>91683</v>
      </c>
      <c r="Q144" s="371">
        <v>-59825</v>
      </c>
      <c r="R144" s="372">
        <v>223512</v>
      </c>
      <c r="S144" s="400">
        <v>220699.03</v>
      </c>
      <c r="T144" s="400">
        <v>0</v>
      </c>
      <c r="U144" s="400">
        <v>0</v>
      </c>
      <c r="V144" s="400">
        <v>0</v>
      </c>
      <c r="W144" s="372">
        <v>220699.03</v>
      </c>
      <c r="X144" s="373">
        <v>220699.03</v>
      </c>
      <c r="Y144" s="372">
        <v>223512</v>
      </c>
      <c r="Z144" s="373">
        <v>950970</v>
      </c>
      <c r="AA144" s="400">
        <v>0</v>
      </c>
      <c r="AB144" s="400">
        <v>0</v>
      </c>
      <c r="AC144" s="400">
        <v>0</v>
      </c>
      <c r="AD144" s="400">
        <v>0</v>
      </c>
      <c r="AE144" s="372">
        <v>0</v>
      </c>
      <c r="AF144" s="372">
        <v>0</v>
      </c>
      <c r="AG144" s="400">
        <v>0</v>
      </c>
      <c r="AH144" s="374">
        <v>0</v>
      </c>
      <c r="AI144" s="375">
        <v>0</v>
      </c>
      <c r="AJ144" s="372">
        <v>250.94</v>
      </c>
      <c r="AK144" s="376">
        <v>0</v>
      </c>
      <c r="AL144" s="376">
        <v>0</v>
      </c>
      <c r="AM144" s="412"/>
    </row>
    <row r="145" spans="2:39" s="377" customFormat="1" ht="28.15" customHeight="1" x14ac:dyDescent="0.25">
      <c r="B145" s="369">
        <v>43151</v>
      </c>
      <c r="C145" s="370">
        <v>223512</v>
      </c>
      <c r="D145" s="370">
        <v>0</v>
      </c>
      <c r="E145" s="371">
        <v>0</v>
      </c>
      <c r="F145" s="371">
        <v>0</v>
      </c>
      <c r="G145" s="371">
        <v>0</v>
      </c>
      <c r="H145" s="371"/>
      <c r="I145" s="371"/>
      <c r="J145" s="371"/>
      <c r="K145" s="371"/>
      <c r="L145" s="371"/>
      <c r="M145" s="371">
        <v>650000</v>
      </c>
      <c r="N145" s="371">
        <v>44000</v>
      </c>
      <c r="O145" s="371">
        <v>1600</v>
      </c>
      <c r="P145" s="371">
        <f t="shared" si="2"/>
        <v>91683</v>
      </c>
      <c r="Q145" s="371">
        <v>-59825</v>
      </c>
      <c r="R145" s="372">
        <v>223512</v>
      </c>
      <c r="S145" s="400">
        <v>220699.03</v>
      </c>
      <c r="T145" s="400">
        <v>0</v>
      </c>
      <c r="U145" s="400">
        <v>0</v>
      </c>
      <c r="V145" s="400">
        <v>0</v>
      </c>
      <c r="W145" s="372">
        <v>220699.03</v>
      </c>
      <c r="X145" s="373">
        <v>220699.03</v>
      </c>
      <c r="Y145" s="372">
        <v>223512</v>
      </c>
      <c r="Z145" s="373">
        <v>950970</v>
      </c>
      <c r="AA145" s="400">
        <v>0</v>
      </c>
      <c r="AB145" s="400">
        <v>0</v>
      </c>
      <c r="AC145" s="400">
        <v>0</v>
      </c>
      <c r="AD145" s="400">
        <v>0</v>
      </c>
      <c r="AE145" s="372">
        <v>0</v>
      </c>
      <c r="AF145" s="372">
        <v>0</v>
      </c>
      <c r="AG145" s="400">
        <v>-1.5200000000000102</v>
      </c>
      <c r="AH145" s="374">
        <v>0</v>
      </c>
      <c r="AI145" s="375">
        <v>0</v>
      </c>
      <c r="AJ145" s="372">
        <v>249.42</v>
      </c>
      <c r="AK145" s="376">
        <v>-6.0941384010905712E-3</v>
      </c>
      <c r="AL145" s="376">
        <v>6.0941384010905712E-3</v>
      </c>
      <c r="AM145" s="412"/>
    </row>
    <row r="146" spans="2:39" s="377" customFormat="1" ht="28.15" customHeight="1" x14ac:dyDescent="0.25">
      <c r="B146" s="369">
        <v>43152</v>
      </c>
      <c r="C146" s="370">
        <v>223512</v>
      </c>
      <c r="D146" s="370">
        <v>0</v>
      </c>
      <c r="E146" s="371">
        <v>0</v>
      </c>
      <c r="F146" s="371">
        <v>0</v>
      </c>
      <c r="G146" s="371">
        <v>0</v>
      </c>
      <c r="H146" s="371"/>
      <c r="I146" s="371"/>
      <c r="J146" s="371"/>
      <c r="K146" s="371"/>
      <c r="L146" s="371"/>
      <c r="M146" s="371">
        <v>650000</v>
      </c>
      <c r="N146" s="371">
        <v>44000</v>
      </c>
      <c r="O146" s="371">
        <v>1600</v>
      </c>
      <c r="P146" s="371">
        <f t="shared" si="2"/>
        <v>91683</v>
      </c>
      <c r="Q146" s="371">
        <v>-59825</v>
      </c>
      <c r="R146" s="372">
        <v>223512</v>
      </c>
      <c r="S146" s="400">
        <v>220699.03</v>
      </c>
      <c r="T146" s="400">
        <v>0</v>
      </c>
      <c r="U146" s="400">
        <v>0</v>
      </c>
      <c r="V146" s="400">
        <v>0</v>
      </c>
      <c r="W146" s="372">
        <v>220699.03</v>
      </c>
      <c r="X146" s="373">
        <v>220699.03</v>
      </c>
      <c r="Y146" s="372">
        <v>223512</v>
      </c>
      <c r="Z146" s="373">
        <v>950970</v>
      </c>
      <c r="AA146" s="400">
        <v>0</v>
      </c>
      <c r="AB146" s="400">
        <v>0</v>
      </c>
      <c r="AC146" s="400">
        <v>0</v>
      </c>
      <c r="AD146" s="400">
        <v>0</v>
      </c>
      <c r="AE146" s="372">
        <v>0</v>
      </c>
      <c r="AF146" s="372">
        <v>0</v>
      </c>
      <c r="AG146" s="400">
        <v>-1.3099999999999739</v>
      </c>
      <c r="AH146" s="374">
        <v>0</v>
      </c>
      <c r="AI146" s="375">
        <v>0</v>
      </c>
      <c r="AJ146" s="372">
        <v>248.11</v>
      </c>
      <c r="AK146" s="376">
        <v>-5.2799161662164919E-3</v>
      </c>
      <c r="AL146" s="376">
        <v>5.2799161662164919E-3</v>
      </c>
      <c r="AM146" s="412"/>
    </row>
    <row r="147" spans="2:39" s="377" customFormat="1" ht="28.15" customHeight="1" x14ac:dyDescent="0.25">
      <c r="B147" s="369">
        <v>43153</v>
      </c>
      <c r="C147" s="370">
        <v>223512</v>
      </c>
      <c r="D147" s="370">
        <v>0</v>
      </c>
      <c r="E147" s="371">
        <v>0</v>
      </c>
      <c r="F147" s="371">
        <v>0</v>
      </c>
      <c r="G147" s="371">
        <v>0</v>
      </c>
      <c r="H147" s="371"/>
      <c r="I147" s="371"/>
      <c r="J147" s="371"/>
      <c r="K147" s="371"/>
      <c r="L147" s="371"/>
      <c r="M147" s="371">
        <v>650000</v>
      </c>
      <c r="N147" s="371">
        <v>44000</v>
      </c>
      <c r="O147" s="371">
        <v>1600</v>
      </c>
      <c r="P147" s="371">
        <f t="shared" si="2"/>
        <v>91683</v>
      </c>
      <c r="Q147" s="371">
        <v>-59825</v>
      </c>
      <c r="R147" s="372">
        <v>223512</v>
      </c>
      <c r="S147" s="400">
        <v>220699.03</v>
      </c>
      <c r="T147" s="400">
        <v>0</v>
      </c>
      <c r="U147" s="400">
        <v>0</v>
      </c>
      <c r="V147" s="400">
        <v>0</v>
      </c>
      <c r="W147" s="372">
        <v>220699.03</v>
      </c>
      <c r="X147" s="373">
        <v>220699.03</v>
      </c>
      <c r="Y147" s="372">
        <v>223512</v>
      </c>
      <c r="Z147" s="373">
        <v>950970</v>
      </c>
      <c r="AA147" s="400">
        <v>0</v>
      </c>
      <c r="AB147" s="400">
        <v>0</v>
      </c>
      <c r="AC147" s="400">
        <v>0</v>
      </c>
      <c r="AD147" s="400">
        <v>0</v>
      </c>
      <c r="AE147" s="372">
        <v>0</v>
      </c>
      <c r="AF147" s="372">
        <v>0</v>
      </c>
      <c r="AG147" s="400">
        <v>0.29999999999998295</v>
      </c>
      <c r="AH147" s="374">
        <v>0</v>
      </c>
      <c r="AI147" s="375">
        <v>0</v>
      </c>
      <c r="AJ147" s="372">
        <v>248.41</v>
      </c>
      <c r="AK147" s="376">
        <v>1.2076808502072499E-3</v>
      </c>
      <c r="AL147" s="376">
        <v>-1.2076808502072499E-3</v>
      </c>
      <c r="AM147" s="412"/>
    </row>
    <row r="148" spans="2:39" s="377" customFormat="1" ht="28.15" customHeight="1" x14ac:dyDescent="0.25">
      <c r="B148" s="369">
        <v>43154</v>
      </c>
      <c r="C148" s="370">
        <v>223512</v>
      </c>
      <c r="D148" s="370">
        <v>0</v>
      </c>
      <c r="E148" s="371">
        <v>0</v>
      </c>
      <c r="F148" s="371">
        <v>0</v>
      </c>
      <c r="G148" s="371">
        <v>0</v>
      </c>
      <c r="H148" s="371"/>
      <c r="I148" s="371"/>
      <c r="J148" s="371"/>
      <c r="K148" s="371"/>
      <c r="L148" s="371"/>
      <c r="M148" s="371">
        <v>650000</v>
      </c>
      <c r="N148" s="371">
        <v>44000</v>
      </c>
      <c r="O148" s="371">
        <v>1600</v>
      </c>
      <c r="P148" s="371">
        <f t="shared" si="2"/>
        <v>91683</v>
      </c>
      <c r="Q148" s="371">
        <v>-59825</v>
      </c>
      <c r="R148" s="372">
        <v>223512</v>
      </c>
      <c r="S148" s="400">
        <v>220699.03</v>
      </c>
      <c r="T148" s="400">
        <v>0</v>
      </c>
      <c r="U148" s="400">
        <v>0</v>
      </c>
      <c r="V148" s="400">
        <v>0</v>
      </c>
      <c r="W148" s="372">
        <v>220699.03</v>
      </c>
      <c r="X148" s="373">
        <v>220699.03</v>
      </c>
      <c r="Y148" s="372">
        <v>223512</v>
      </c>
      <c r="Z148" s="373">
        <v>950970</v>
      </c>
      <c r="AA148" s="400">
        <v>0</v>
      </c>
      <c r="AB148" s="400">
        <v>0</v>
      </c>
      <c r="AC148" s="400">
        <v>0</v>
      </c>
      <c r="AD148" s="400">
        <v>0</v>
      </c>
      <c r="AE148" s="372">
        <v>0</v>
      </c>
      <c r="AF148" s="372">
        <v>0</v>
      </c>
      <c r="AG148" s="400">
        <v>4.0800000000000125</v>
      </c>
      <c r="AH148" s="374">
        <v>0</v>
      </c>
      <c r="AI148" s="375">
        <v>0</v>
      </c>
      <c r="AJ148" s="372">
        <v>252.49</v>
      </c>
      <c r="AK148" s="376">
        <v>1.6159055804190314E-2</v>
      </c>
      <c r="AL148" s="376">
        <v>-1.6159055804190314E-2</v>
      </c>
      <c r="AM148" s="412"/>
    </row>
    <row r="149" spans="2:39" s="377" customFormat="1" ht="28.15" customHeight="1" x14ac:dyDescent="0.25">
      <c r="B149" s="378">
        <v>43155</v>
      </c>
      <c r="C149" s="370">
        <v>223512</v>
      </c>
      <c r="D149" s="370">
        <v>0</v>
      </c>
      <c r="E149" s="371">
        <v>0</v>
      </c>
      <c r="F149" s="371">
        <v>0</v>
      </c>
      <c r="G149" s="371">
        <v>0</v>
      </c>
      <c r="H149" s="371"/>
      <c r="I149" s="371"/>
      <c r="J149" s="371"/>
      <c r="K149" s="371"/>
      <c r="L149" s="371"/>
      <c r="M149" s="371">
        <v>650000</v>
      </c>
      <c r="N149" s="371">
        <v>44000</v>
      </c>
      <c r="O149" s="371">
        <v>1600</v>
      </c>
      <c r="P149" s="371">
        <f t="shared" si="2"/>
        <v>91683</v>
      </c>
      <c r="Q149" s="371">
        <v>-59825</v>
      </c>
      <c r="R149" s="372">
        <v>223512</v>
      </c>
      <c r="S149" s="400">
        <v>220699.03</v>
      </c>
      <c r="T149" s="400">
        <v>0</v>
      </c>
      <c r="U149" s="400">
        <v>0</v>
      </c>
      <c r="V149" s="400">
        <v>0</v>
      </c>
      <c r="W149" s="372">
        <v>220699.03</v>
      </c>
      <c r="X149" s="373">
        <v>220699.03</v>
      </c>
      <c r="Y149" s="372">
        <v>223512</v>
      </c>
      <c r="Z149" s="373">
        <v>950970</v>
      </c>
      <c r="AA149" s="400">
        <v>0</v>
      </c>
      <c r="AB149" s="400">
        <v>0</v>
      </c>
      <c r="AC149" s="400">
        <v>0</v>
      </c>
      <c r="AD149" s="400">
        <v>0</v>
      </c>
      <c r="AE149" s="372">
        <v>0</v>
      </c>
      <c r="AF149" s="372">
        <v>0</v>
      </c>
      <c r="AG149" s="400">
        <v>0</v>
      </c>
      <c r="AH149" s="374">
        <v>0</v>
      </c>
      <c r="AI149" s="375">
        <v>0</v>
      </c>
      <c r="AJ149" s="372">
        <v>252.49</v>
      </c>
      <c r="AK149" s="376">
        <v>0</v>
      </c>
      <c r="AL149" s="376">
        <v>0</v>
      </c>
      <c r="AM149" s="412"/>
    </row>
    <row r="150" spans="2:39" s="377" customFormat="1" ht="28.15" customHeight="1" x14ac:dyDescent="0.25">
      <c r="B150" s="378">
        <v>43156</v>
      </c>
      <c r="C150" s="370">
        <v>223512</v>
      </c>
      <c r="D150" s="370">
        <v>0</v>
      </c>
      <c r="E150" s="371">
        <v>0</v>
      </c>
      <c r="F150" s="371">
        <v>0</v>
      </c>
      <c r="G150" s="371">
        <v>0</v>
      </c>
      <c r="H150" s="371"/>
      <c r="I150" s="371"/>
      <c r="J150" s="371"/>
      <c r="K150" s="371"/>
      <c r="L150" s="371"/>
      <c r="M150" s="371">
        <v>650000</v>
      </c>
      <c r="N150" s="371">
        <v>44000</v>
      </c>
      <c r="O150" s="371">
        <v>1600</v>
      </c>
      <c r="P150" s="371">
        <f t="shared" si="2"/>
        <v>91683</v>
      </c>
      <c r="Q150" s="371">
        <v>-59825</v>
      </c>
      <c r="R150" s="372">
        <v>223512</v>
      </c>
      <c r="S150" s="400">
        <v>220699.03</v>
      </c>
      <c r="T150" s="400">
        <v>0</v>
      </c>
      <c r="U150" s="400">
        <v>0</v>
      </c>
      <c r="V150" s="400">
        <v>0</v>
      </c>
      <c r="W150" s="372">
        <v>220699.03</v>
      </c>
      <c r="X150" s="373">
        <v>220699.03</v>
      </c>
      <c r="Y150" s="372">
        <v>223512</v>
      </c>
      <c r="Z150" s="373">
        <v>950970</v>
      </c>
      <c r="AA150" s="400">
        <v>0</v>
      </c>
      <c r="AB150" s="400">
        <v>0</v>
      </c>
      <c r="AC150" s="400">
        <v>0</v>
      </c>
      <c r="AD150" s="400">
        <v>0</v>
      </c>
      <c r="AE150" s="372">
        <v>0</v>
      </c>
      <c r="AF150" s="372">
        <v>0</v>
      </c>
      <c r="AG150" s="400">
        <v>0</v>
      </c>
      <c r="AH150" s="374">
        <v>0</v>
      </c>
      <c r="AI150" s="375">
        <v>0</v>
      </c>
      <c r="AJ150" s="372">
        <v>252.49</v>
      </c>
      <c r="AK150" s="376">
        <v>0</v>
      </c>
      <c r="AL150" s="376">
        <v>0</v>
      </c>
      <c r="AM150" s="412"/>
    </row>
    <row r="151" spans="2:39" s="377" customFormat="1" ht="28.15" customHeight="1" x14ac:dyDescent="0.25">
      <c r="B151" s="369">
        <v>43157</v>
      </c>
      <c r="C151" s="370">
        <v>223512</v>
      </c>
      <c r="D151" s="370">
        <v>0</v>
      </c>
      <c r="E151" s="371">
        <v>0</v>
      </c>
      <c r="F151" s="371">
        <v>0</v>
      </c>
      <c r="G151" s="371">
        <v>0</v>
      </c>
      <c r="H151" s="371">
        <v>75</v>
      </c>
      <c r="I151" s="371"/>
      <c r="J151" s="371"/>
      <c r="K151" s="371"/>
      <c r="L151" s="371"/>
      <c r="M151" s="371">
        <v>650000</v>
      </c>
      <c r="N151" s="371">
        <v>44000</v>
      </c>
      <c r="O151" s="371">
        <v>1600</v>
      </c>
      <c r="P151" s="371">
        <f t="shared" si="2"/>
        <v>91683</v>
      </c>
      <c r="Q151" s="371">
        <v>-59825</v>
      </c>
      <c r="R151" s="372">
        <v>223512</v>
      </c>
      <c r="S151" s="400">
        <v>220774.03</v>
      </c>
      <c r="T151" s="400">
        <v>0</v>
      </c>
      <c r="U151" s="400">
        <v>0</v>
      </c>
      <c r="V151" s="400">
        <v>0</v>
      </c>
      <c r="W151" s="372">
        <v>220774.03</v>
      </c>
      <c r="X151" s="373">
        <v>220774.03</v>
      </c>
      <c r="Y151" s="372">
        <v>223512</v>
      </c>
      <c r="Z151" s="373">
        <v>950970</v>
      </c>
      <c r="AA151" s="400">
        <v>-75</v>
      </c>
      <c r="AB151" s="400">
        <v>0</v>
      </c>
      <c r="AC151" s="400">
        <v>0</v>
      </c>
      <c r="AD151" s="400">
        <v>0</v>
      </c>
      <c r="AE151" s="372">
        <v>-75</v>
      </c>
      <c r="AF151" s="372">
        <v>-75</v>
      </c>
      <c r="AG151" s="400">
        <v>2.9099999999999966</v>
      </c>
      <c r="AH151" s="374">
        <v>-3.3555245355954043E-4</v>
      </c>
      <c r="AI151" s="375">
        <v>0</v>
      </c>
      <c r="AJ151" s="372">
        <v>255.4</v>
      </c>
      <c r="AK151" s="376">
        <v>1.1393891934220817E-2</v>
      </c>
      <c r="AL151" s="376">
        <v>-1.1729444387780357E-2</v>
      </c>
      <c r="AM151" s="412"/>
    </row>
    <row r="152" spans="2:39" s="377" customFormat="1" ht="28.15" customHeight="1" x14ac:dyDescent="0.25">
      <c r="B152" s="369">
        <v>43158</v>
      </c>
      <c r="C152" s="370">
        <v>223512</v>
      </c>
      <c r="D152" s="370">
        <v>0</v>
      </c>
      <c r="E152" s="371">
        <v>0</v>
      </c>
      <c r="F152" s="371">
        <v>0</v>
      </c>
      <c r="G152" s="371">
        <v>0</v>
      </c>
      <c r="H152" s="371"/>
      <c r="I152" s="371"/>
      <c r="J152" s="371"/>
      <c r="K152" s="371"/>
      <c r="L152" s="371"/>
      <c r="M152" s="371">
        <v>650000</v>
      </c>
      <c r="N152" s="371">
        <v>44000</v>
      </c>
      <c r="O152" s="371">
        <v>1600</v>
      </c>
      <c r="P152" s="371">
        <f t="shared" si="2"/>
        <v>91683</v>
      </c>
      <c r="Q152" s="371">
        <v>-59825</v>
      </c>
      <c r="R152" s="372">
        <v>223512</v>
      </c>
      <c r="S152" s="400">
        <v>220774.03</v>
      </c>
      <c r="T152" s="400">
        <v>0</v>
      </c>
      <c r="U152" s="400">
        <v>0</v>
      </c>
      <c r="V152" s="400">
        <v>0</v>
      </c>
      <c r="W152" s="372">
        <v>220774.03</v>
      </c>
      <c r="X152" s="373">
        <v>220774.03</v>
      </c>
      <c r="Y152" s="372">
        <v>223512</v>
      </c>
      <c r="Z152" s="373">
        <v>950970</v>
      </c>
      <c r="AA152" s="400">
        <v>0</v>
      </c>
      <c r="AB152" s="400">
        <v>0</v>
      </c>
      <c r="AC152" s="400">
        <v>0</v>
      </c>
      <c r="AD152" s="400">
        <v>0</v>
      </c>
      <c r="AE152" s="372">
        <v>0</v>
      </c>
      <c r="AF152" s="372">
        <v>0</v>
      </c>
      <c r="AG152" s="400">
        <v>-3.2600000000000193</v>
      </c>
      <c r="AH152" s="374">
        <v>0</v>
      </c>
      <c r="AI152" s="375">
        <v>0</v>
      </c>
      <c r="AJ152" s="372">
        <v>252.14</v>
      </c>
      <c r="AK152" s="376">
        <v>-1.29293249781868E-2</v>
      </c>
      <c r="AL152" s="376">
        <v>1.29293249781868E-2</v>
      </c>
      <c r="AM152" s="412"/>
    </row>
    <row r="153" spans="2:39" s="377" customFormat="1" ht="28.15" customHeight="1" x14ac:dyDescent="0.25">
      <c r="B153" s="369">
        <v>43159</v>
      </c>
      <c r="C153" s="370">
        <v>223512</v>
      </c>
      <c r="D153" s="370">
        <v>0</v>
      </c>
      <c r="E153" s="371">
        <v>0</v>
      </c>
      <c r="F153" s="371">
        <v>0</v>
      </c>
      <c r="G153" s="371">
        <v>0</v>
      </c>
      <c r="H153" s="371"/>
      <c r="I153" s="371"/>
      <c r="J153" s="371"/>
      <c r="K153" s="371"/>
      <c r="L153" s="371"/>
      <c r="M153" s="371">
        <v>650000</v>
      </c>
      <c r="N153" s="371">
        <v>44000</v>
      </c>
      <c r="O153" s="371">
        <v>1600</v>
      </c>
      <c r="P153" s="371">
        <f t="shared" si="2"/>
        <v>91683</v>
      </c>
      <c r="Q153" s="371">
        <v>-59825</v>
      </c>
      <c r="R153" s="372">
        <v>223512</v>
      </c>
      <c r="S153" s="400">
        <v>220774.03</v>
      </c>
      <c r="T153" s="400">
        <v>0</v>
      </c>
      <c r="U153" s="400">
        <v>0</v>
      </c>
      <c r="V153" s="400">
        <v>0</v>
      </c>
      <c r="W153" s="372">
        <v>220774.03</v>
      </c>
      <c r="X153" s="373">
        <v>220774.03</v>
      </c>
      <c r="Y153" s="372">
        <v>223512</v>
      </c>
      <c r="Z153" s="373">
        <v>950970</v>
      </c>
      <c r="AA153" s="400">
        <v>0</v>
      </c>
      <c r="AB153" s="400">
        <v>0</v>
      </c>
      <c r="AC153" s="400">
        <v>0</v>
      </c>
      <c r="AD153" s="400">
        <v>0</v>
      </c>
      <c r="AE153" s="372">
        <v>0</v>
      </c>
      <c r="AF153" s="372">
        <v>0</v>
      </c>
      <c r="AG153" s="400">
        <v>-2.7999999999999829</v>
      </c>
      <c r="AH153" s="374">
        <v>0</v>
      </c>
      <c r="AI153" s="375">
        <v>0</v>
      </c>
      <c r="AJ153" s="372">
        <v>249.34</v>
      </c>
      <c r="AK153" s="376">
        <v>-1.1229646266142548E-2</v>
      </c>
      <c r="AL153" s="376">
        <v>1.1229646266142548E-2</v>
      </c>
      <c r="AM153" s="412"/>
    </row>
    <row r="154" spans="2:39" s="377" customFormat="1" ht="28.15" customHeight="1" x14ac:dyDescent="0.25">
      <c r="B154" s="369">
        <v>43160</v>
      </c>
      <c r="C154" s="370">
        <v>233259</v>
      </c>
      <c r="D154" s="370">
        <v>0</v>
      </c>
      <c r="E154" s="371">
        <v>0</v>
      </c>
      <c r="F154" s="371">
        <v>0</v>
      </c>
      <c r="G154" s="371">
        <v>0</v>
      </c>
      <c r="H154" s="371"/>
      <c r="I154" s="371"/>
      <c r="J154" s="371"/>
      <c r="K154" s="371"/>
      <c r="L154" s="371"/>
      <c r="M154" s="371">
        <v>650000</v>
      </c>
      <c r="N154" s="371">
        <v>44000</v>
      </c>
      <c r="O154" s="371">
        <v>1600</v>
      </c>
      <c r="P154" s="371">
        <f t="shared" si="2"/>
        <v>91683</v>
      </c>
      <c r="Q154" s="371">
        <v>-59825</v>
      </c>
      <c r="R154" s="372">
        <v>233259</v>
      </c>
      <c r="S154" s="400">
        <v>220774.03</v>
      </c>
      <c r="T154" s="400">
        <v>0</v>
      </c>
      <c r="U154" s="400">
        <v>0</v>
      </c>
      <c r="V154" s="400">
        <v>0</v>
      </c>
      <c r="W154" s="372">
        <v>220774.03</v>
      </c>
      <c r="X154" s="373">
        <v>220774.03</v>
      </c>
      <c r="Y154" s="372">
        <v>233259</v>
      </c>
      <c r="Z154" s="373">
        <v>960717</v>
      </c>
      <c r="AA154" s="400">
        <v>9747</v>
      </c>
      <c r="AB154" s="400">
        <v>0</v>
      </c>
      <c r="AC154" s="400">
        <v>0</v>
      </c>
      <c r="AD154" s="400">
        <v>0</v>
      </c>
      <c r="AE154" s="372">
        <v>9747</v>
      </c>
      <c r="AF154" s="372">
        <v>9747</v>
      </c>
      <c r="AG154" s="400">
        <v>-3.289999999999992</v>
      </c>
      <c r="AH154" s="374">
        <v>4.1786169022417143E-2</v>
      </c>
      <c r="AI154" s="375">
        <v>0</v>
      </c>
      <c r="AJ154" s="372">
        <v>246.05</v>
      </c>
      <c r="AK154" s="376">
        <v>-1.3371266002844917E-2</v>
      </c>
      <c r="AL154" s="376">
        <v>5.5157435025262061E-2</v>
      </c>
      <c r="AM154" s="412"/>
    </row>
    <row r="155" spans="2:39" s="377" customFormat="1" ht="28.15" customHeight="1" x14ac:dyDescent="0.25">
      <c r="B155" s="369">
        <v>43161</v>
      </c>
      <c r="C155" s="370">
        <v>233259</v>
      </c>
      <c r="D155" s="370">
        <v>0</v>
      </c>
      <c r="E155" s="371">
        <v>0</v>
      </c>
      <c r="F155" s="371">
        <v>0</v>
      </c>
      <c r="G155" s="371">
        <v>0</v>
      </c>
      <c r="H155" s="371"/>
      <c r="I155" s="371"/>
      <c r="J155" s="371"/>
      <c r="K155" s="371"/>
      <c r="L155" s="371"/>
      <c r="M155" s="371">
        <v>650000</v>
      </c>
      <c r="N155" s="371">
        <v>44000</v>
      </c>
      <c r="O155" s="371">
        <v>1600</v>
      </c>
      <c r="P155" s="371">
        <f t="shared" si="2"/>
        <v>91683</v>
      </c>
      <c r="Q155" s="371">
        <v>-59825</v>
      </c>
      <c r="R155" s="372">
        <v>233259</v>
      </c>
      <c r="S155" s="400">
        <v>220774.03</v>
      </c>
      <c r="T155" s="400">
        <v>0</v>
      </c>
      <c r="U155" s="400">
        <v>0</v>
      </c>
      <c r="V155" s="400">
        <v>0</v>
      </c>
      <c r="W155" s="372">
        <v>220774.03</v>
      </c>
      <c r="X155" s="373">
        <v>220774.03</v>
      </c>
      <c r="Y155" s="372">
        <v>233259</v>
      </c>
      <c r="Z155" s="373">
        <v>960717</v>
      </c>
      <c r="AA155" s="400">
        <v>0</v>
      </c>
      <c r="AB155" s="400">
        <v>0</v>
      </c>
      <c r="AC155" s="400">
        <v>0</v>
      </c>
      <c r="AD155" s="400">
        <v>0</v>
      </c>
      <c r="AE155" s="372">
        <v>0</v>
      </c>
      <c r="AF155" s="372">
        <v>0</v>
      </c>
      <c r="AG155" s="400">
        <v>1.3100000000000023</v>
      </c>
      <c r="AH155" s="374">
        <v>0</v>
      </c>
      <c r="AI155" s="375">
        <v>0</v>
      </c>
      <c r="AJ155" s="372">
        <v>247.36</v>
      </c>
      <c r="AK155" s="376">
        <v>5.2959249676584825E-3</v>
      </c>
      <c r="AL155" s="376">
        <v>-5.2959249676584825E-3</v>
      </c>
      <c r="AM155" s="412"/>
    </row>
    <row r="156" spans="2:39" s="377" customFormat="1" ht="28.15" customHeight="1" x14ac:dyDescent="0.25">
      <c r="B156" s="378">
        <v>43162</v>
      </c>
      <c r="C156" s="370">
        <v>233259</v>
      </c>
      <c r="D156" s="370">
        <v>0</v>
      </c>
      <c r="E156" s="371">
        <v>0</v>
      </c>
      <c r="F156" s="371">
        <v>0</v>
      </c>
      <c r="G156" s="371">
        <v>0</v>
      </c>
      <c r="H156" s="371"/>
      <c r="I156" s="371"/>
      <c r="J156" s="371"/>
      <c r="K156" s="371"/>
      <c r="L156" s="371"/>
      <c r="M156" s="371">
        <v>650000</v>
      </c>
      <c r="N156" s="371">
        <v>44000</v>
      </c>
      <c r="O156" s="371">
        <v>1600</v>
      </c>
      <c r="P156" s="371">
        <f t="shared" si="2"/>
        <v>91683</v>
      </c>
      <c r="Q156" s="371">
        <v>-59825</v>
      </c>
      <c r="R156" s="372">
        <v>233259</v>
      </c>
      <c r="S156" s="400">
        <v>220774.03</v>
      </c>
      <c r="T156" s="400">
        <v>0</v>
      </c>
      <c r="U156" s="400">
        <v>0</v>
      </c>
      <c r="V156" s="400">
        <v>0</v>
      </c>
      <c r="W156" s="372">
        <v>220774.03</v>
      </c>
      <c r="X156" s="373">
        <v>220774.03</v>
      </c>
      <c r="Y156" s="372">
        <v>233259</v>
      </c>
      <c r="Z156" s="373">
        <v>960717</v>
      </c>
      <c r="AA156" s="400">
        <v>0</v>
      </c>
      <c r="AB156" s="400">
        <v>0</v>
      </c>
      <c r="AC156" s="400">
        <v>0</v>
      </c>
      <c r="AD156" s="400">
        <v>0</v>
      </c>
      <c r="AE156" s="372">
        <v>0</v>
      </c>
      <c r="AF156" s="372">
        <v>0</v>
      </c>
      <c r="AG156" s="400">
        <v>0</v>
      </c>
      <c r="AH156" s="374">
        <v>0</v>
      </c>
      <c r="AI156" s="375">
        <v>0</v>
      </c>
      <c r="AJ156" s="372">
        <v>247.36</v>
      </c>
      <c r="AK156" s="376">
        <v>0</v>
      </c>
      <c r="AL156" s="376">
        <v>0</v>
      </c>
      <c r="AM156" s="412"/>
    </row>
    <row r="157" spans="2:39" s="377" customFormat="1" ht="28.15" customHeight="1" x14ac:dyDescent="0.25">
      <c r="B157" s="378">
        <v>43163</v>
      </c>
      <c r="C157" s="370">
        <v>233259</v>
      </c>
      <c r="D157" s="370">
        <v>0</v>
      </c>
      <c r="E157" s="371">
        <v>0</v>
      </c>
      <c r="F157" s="371">
        <v>0</v>
      </c>
      <c r="G157" s="371">
        <v>0</v>
      </c>
      <c r="H157" s="371"/>
      <c r="I157" s="371"/>
      <c r="J157" s="371"/>
      <c r="K157" s="371"/>
      <c r="L157" s="371"/>
      <c r="M157" s="371">
        <v>650000</v>
      </c>
      <c r="N157" s="371">
        <v>44000</v>
      </c>
      <c r="O157" s="371">
        <v>1600</v>
      </c>
      <c r="P157" s="371">
        <f t="shared" si="2"/>
        <v>91683</v>
      </c>
      <c r="Q157" s="371">
        <v>-59825</v>
      </c>
      <c r="R157" s="372">
        <v>233259</v>
      </c>
      <c r="S157" s="400">
        <v>220774.03</v>
      </c>
      <c r="T157" s="400">
        <v>0</v>
      </c>
      <c r="U157" s="400">
        <v>0</v>
      </c>
      <c r="V157" s="400">
        <v>0</v>
      </c>
      <c r="W157" s="372">
        <v>220774.03</v>
      </c>
      <c r="X157" s="373">
        <v>220774.03</v>
      </c>
      <c r="Y157" s="372">
        <v>233259</v>
      </c>
      <c r="Z157" s="373">
        <v>960717</v>
      </c>
      <c r="AA157" s="400">
        <v>0</v>
      </c>
      <c r="AB157" s="400">
        <v>0</v>
      </c>
      <c r="AC157" s="400">
        <v>0</v>
      </c>
      <c r="AD157" s="400">
        <v>0</v>
      </c>
      <c r="AE157" s="372">
        <v>0</v>
      </c>
      <c r="AF157" s="372">
        <v>0</v>
      </c>
      <c r="AG157" s="400">
        <v>0</v>
      </c>
      <c r="AH157" s="374">
        <v>0</v>
      </c>
      <c r="AI157" s="375">
        <v>0</v>
      </c>
      <c r="AJ157" s="372">
        <v>247.36</v>
      </c>
      <c r="AK157" s="376">
        <v>0</v>
      </c>
      <c r="AL157" s="376">
        <v>0</v>
      </c>
      <c r="AM157" s="412"/>
    </row>
    <row r="158" spans="2:39" s="377" customFormat="1" ht="28.15" customHeight="1" x14ac:dyDescent="0.25">
      <c r="B158" s="369">
        <v>43164</v>
      </c>
      <c r="C158" s="370">
        <v>233259</v>
      </c>
      <c r="D158" s="370">
        <v>0</v>
      </c>
      <c r="E158" s="371">
        <v>0</v>
      </c>
      <c r="F158" s="371">
        <v>0</v>
      </c>
      <c r="G158" s="371">
        <v>0</v>
      </c>
      <c r="H158" s="371"/>
      <c r="I158" s="371"/>
      <c r="J158" s="371"/>
      <c r="K158" s="371"/>
      <c r="L158" s="371"/>
      <c r="M158" s="371">
        <v>650000</v>
      </c>
      <c r="N158" s="371">
        <v>44000</v>
      </c>
      <c r="O158" s="371">
        <v>1600</v>
      </c>
      <c r="P158" s="371">
        <f t="shared" si="2"/>
        <v>91683</v>
      </c>
      <c r="Q158" s="371">
        <v>-59825</v>
      </c>
      <c r="R158" s="372">
        <v>233259</v>
      </c>
      <c r="S158" s="400">
        <v>220774.03</v>
      </c>
      <c r="T158" s="400">
        <v>0</v>
      </c>
      <c r="U158" s="400">
        <v>0</v>
      </c>
      <c r="V158" s="400">
        <v>0</v>
      </c>
      <c r="W158" s="372">
        <v>220774.03</v>
      </c>
      <c r="X158" s="373">
        <v>220774.03</v>
      </c>
      <c r="Y158" s="372">
        <v>233259</v>
      </c>
      <c r="Z158" s="373">
        <v>960717</v>
      </c>
      <c r="AA158" s="400">
        <v>0</v>
      </c>
      <c r="AB158" s="400">
        <v>0</v>
      </c>
      <c r="AC158" s="400">
        <v>0</v>
      </c>
      <c r="AD158" s="400">
        <v>0</v>
      </c>
      <c r="AE158" s="372">
        <v>0</v>
      </c>
      <c r="AF158" s="372">
        <v>0</v>
      </c>
      <c r="AG158" s="400">
        <v>2.839999999999975</v>
      </c>
      <c r="AH158" s="374">
        <v>0</v>
      </c>
      <c r="AI158" s="375">
        <v>0</v>
      </c>
      <c r="AJ158" s="372">
        <v>250.2</v>
      </c>
      <c r="AK158" s="376">
        <v>1.1350919264588229E-2</v>
      </c>
      <c r="AL158" s="376">
        <v>-1.1350919264588229E-2</v>
      </c>
      <c r="AM158" s="412"/>
    </row>
    <row r="159" spans="2:39" s="377" customFormat="1" ht="28.15" customHeight="1" x14ac:dyDescent="0.25">
      <c r="B159" s="369">
        <v>43165</v>
      </c>
      <c r="C159" s="370">
        <v>233259</v>
      </c>
      <c r="D159" s="370">
        <v>0</v>
      </c>
      <c r="E159" s="371">
        <v>0</v>
      </c>
      <c r="F159" s="371">
        <v>0</v>
      </c>
      <c r="G159" s="371">
        <v>0</v>
      </c>
      <c r="H159" s="371"/>
      <c r="I159" s="371"/>
      <c r="J159" s="371"/>
      <c r="K159" s="371"/>
      <c r="L159" s="371"/>
      <c r="M159" s="371">
        <v>650000</v>
      </c>
      <c r="N159" s="371">
        <v>44000</v>
      </c>
      <c r="O159" s="371">
        <v>1600</v>
      </c>
      <c r="P159" s="371">
        <f t="shared" si="2"/>
        <v>91683</v>
      </c>
      <c r="Q159" s="371">
        <v>-59825</v>
      </c>
      <c r="R159" s="372">
        <v>233259</v>
      </c>
      <c r="S159" s="400">
        <v>220774.03</v>
      </c>
      <c r="T159" s="400">
        <v>0</v>
      </c>
      <c r="U159" s="400">
        <v>0</v>
      </c>
      <c r="V159" s="400">
        <v>0</v>
      </c>
      <c r="W159" s="372">
        <v>220774.03</v>
      </c>
      <c r="X159" s="373">
        <v>220774.03</v>
      </c>
      <c r="Y159" s="372">
        <v>233259</v>
      </c>
      <c r="Z159" s="373">
        <v>960717</v>
      </c>
      <c r="AA159" s="400">
        <v>0</v>
      </c>
      <c r="AB159" s="400">
        <v>0</v>
      </c>
      <c r="AC159" s="400">
        <v>0</v>
      </c>
      <c r="AD159" s="400">
        <v>0</v>
      </c>
      <c r="AE159" s="372">
        <v>0</v>
      </c>
      <c r="AF159" s="372">
        <v>0</v>
      </c>
      <c r="AG159" s="400">
        <v>0.63000000000002387</v>
      </c>
      <c r="AH159" s="374">
        <v>0</v>
      </c>
      <c r="AI159" s="375">
        <v>0</v>
      </c>
      <c r="AJ159" s="372">
        <v>250.83</v>
      </c>
      <c r="AK159" s="376">
        <v>2.5116612845354378E-3</v>
      </c>
      <c r="AL159" s="376">
        <v>-2.5116612845354378E-3</v>
      </c>
      <c r="AM159" s="412"/>
    </row>
    <row r="160" spans="2:39" s="377" customFormat="1" ht="28.15" customHeight="1" x14ac:dyDescent="0.25">
      <c r="B160" s="369">
        <v>43166</v>
      </c>
      <c r="C160" s="370">
        <v>233259</v>
      </c>
      <c r="D160" s="370">
        <v>0</v>
      </c>
      <c r="E160" s="371">
        <v>0</v>
      </c>
      <c r="F160" s="371">
        <v>0</v>
      </c>
      <c r="G160" s="371">
        <v>0</v>
      </c>
      <c r="H160" s="371"/>
      <c r="I160" s="371"/>
      <c r="J160" s="371"/>
      <c r="K160" s="371"/>
      <c r="L160" s="371"/>
      <c r="M160" s="371">
        <v>650000</v>
      </c>
      <c r="N160" s="371">
        <v>44000</v>
      </c>
      <c r="O160" s="371">
        <v>1600</v>
      </c>
      <c r="P160" s="371">
        <f t="shared" si="2"/>
        <v>91683</v>
      </c>
      <c r="Q160" s="371">
        <v>-59825</v>
      </c>
      <c r="R160" s="372">
        <v>233259</v>
      </c>
      <c r="S160" s="400">
        <v>220774.03</v>
      </c>
      <c r="T160" s="400">
        <v>0</v>
      </c>
      <c r="U160" s="400">
        <v>0</v>
      </c>
      <c r="V160" s="400">
        <v>0</v>
      </c>
      <c r="W160" s="372">
        <v>220774.03</v>
      </c>
      <c r="X160" s="373">
        <v>220774.03</v>
      </c>
      <c r="Y160" s="372">
        <v>233259</v>
      </c>
      <c r="Z160" s="373">
        <v>960717</v>
      </c>
      <c r="AA160" s="400">
        <v>0</v>
      </c>
      <c r="AB160" s="400">
        <v>0</v>
      </c>
      <c r="AC160" s="400">
        <v>0</v>
      </c>
      <c r="AD160" s="400">
        <v>0</v>
      </c>
      <c r="AE160" s="372">
        <v>0</v>
      </c>
      <c r="AF160" s="372">
        <v>0</v>
      </c>
      <c r="AG160" s="400">
        <v>-0.11000000000001364</v>
      </c>
      <c r="AH160" s="374">
        <v>0</v>
      </c>
      <c r="AI160" s="375">
        <v>0</v>
      </c>
      <c r="AJ160" s="372">
        <v>250.72</v>
      </c>
      <c r="AK160" s="376">
        <v>-4.3873643905557451E-4</v>
      </c>
      <c r="AL160" s="376">
        <v>4.3873643905557451E-4</v>
      </c>
      <c r="AM160" s="412"/>
    </row>
    <row r="161" spans="2:39" s="377" customFormat="1" ht="28.15" customHeight="1" x14ac:dyDescent="0.25">
      <c r="B161" s="369">
        <v>43167</v>
      </c>
      <c r="C161" s="370">
        <v>233259</v>
      </c>
      <c r="D161" s="370">
        <v>0</v>
      </c>
      <c r="E161" s="371">
        <v>0</v>
      </c>
      <c r="F161" s="371">
        <v>0</v>
      </c>
      <c r="G161" s="371">
        <v>0</v>
      </c>
      <c r="H161" s="371"/>
      <c r="I161" s="371"/>
      <c r="J161" s="371"/>
      <c r="K161" s="371"/>
      <c r="L161" s="371"/>
      <c r="M161" s="371">
        <v>650000</v>
      </c>
      <c r="N161" s="371">
        <v>44000</v>
      </c>
      <c r="O161" s="371">
        <v>1600</v>
      </c>
      <c r="P161" s="371">
        <f t="shared" si="2"/>
        <v>91683</v>
      </c>
      <c r="Q161" s="371">
        <v>-59825</v>
      </c>
      <c r="R161" s="372">
        <v>233259</v>
      </c>
      <c r="S161" s="400">
        <v>220774.03</v>
      </c>
      <c r="T161" s="400">
        <v>0</v>
      </c>
      <c r="U161" s="400">
        <v>0</v>
      </c>
      <c r="V161" s="400">
        <v>0</v>
      </c>
      <c r="W161" s="372">
        <v>220774.03</v>
      </c>
      <c r="X161" s="373">
        <v>220774.03</v>
      </c>
      <c r="Y161" s="372">
        <v>233259</v>
      </c>
      <c r="Z161" s="373">
        <v>960717</v>
      </c>
      <c r="AA161" s="400">
        <v>0</v>
      </c>
      <c r="AB161" s="400">
        <v>0</v>
      </c>
      <c r="AC161" s="400">
        <v>0</v>
      </c>
      <c r="AD161" s="400">
        <v>0</v>
      </c>
      <c r="AE161" s="372">
        <v>0</v>
      </c>
      <c r="AF161" s="372">
        <v>0</v>
      </c>
      <c r="AG161" s="400">
        <v>1.1699999999999875</v>
      </c>
      <c r="AH161" s="374">
        <v>0</v>
      </c>
      <c r="AI161" s="375">
        <v>0</v>
      </c>
      <c r="AJ161" s="372">
        <v>251.89</v>
      </c>
      <c r="AK161" s="376">
        <v>4.6448846718805331E-3</v>
      </c>
      <c r="AL161" s="376">
        <v>-4.6448846718805331E-3</v>
      </c>
      <c r="AM161" s="412"/>
    </row>
    <row r="162" spans="2:39" s="377" customFormat="1" ht="28.15" customHeight="1" x14ac:dyDescent="0.25">
      <c r="B162" s="369">
        <v>43168</v>
      </c>
      <c r="C162" s="370">
        <v>233259</v>
      </c>
      <c r="D162" s="370">
        <v>0</v>
      </c>
      <c r="E162" s="371">
        <v>0</v>
      </c>
      <c r="F162" s="371">
        <v>0</v>
      </c>
      <c r="G162" s="371">
        <v>0</v>
      </c>
      <c r="H162" s="371"/>
      <c r="I162" s="371"/>
      <c r="J162" s="371"/>
      <c r="K162" s="371"/>
      <c r="L162" s="371"/>
      <c r="M162" s="371">
        <v>650000</v>
      </c>
      <c r="N162" s="371">
        <v>44000</v>
      </c>
      <c r="O162" s="371">
        <v>1600</v>
      </c>
      <c r="P162" s="371">
        <f t="shared" si="2"/>
        <v>91683</v>
      </c>
      <c r="Q162" s="371">
        <v>-59825</v>
      </c>
      <c r="R162" s="372">
        <v>233259</v>
      </c>
      <c r="S162" s="400">
        <v>220774.03</v>
      </c>
      <c r="T162" s="400">
        <v>0</v>
      </c>
      <c r="U162" s="400">
        <v>0</v>
      </c>
      <c r="V162" s="400">
        <v>0</v>
      </c>
      <c r="W162" s="372">
        <v>220774.03</v>
      </c>
      <c r="X162" s="373">
        <v>220774.03</v>
      </c>
      <c r="Y162" s="372">
        <v>233259</v>
      </c>
      <c r="Z162" s="373">
        <v>960717</v>
      </c>
      <c r="AA162" s="400">
        <v>0</v>
      </c>
      <c r="AB162" s="400">
        <v>0</v>
      </c>
      <c r="AC162" s="400">
        <v>0</v>
      </c>
      <c r="AD162" s="400">
        <v>0</v>
      </c>
      <c r="AE162" s="372">
        <v>0</v>
      </c>
      <c r="AF162" s="372">
        <v>0</v>
      </c>
      <c r="AG162" s="400">
        <v>4.3600000000000136</v>
      </c>
      <c r="AH162" s="374">
        <v>0</v>
      </c>
      <c r="AI162" s="375">
        <v>0</v>
      </c>
      <c r="AJ162" s="372">
        <v>256.25</v>
      </c>
      <c r="AK162" s="376">
        <v>1.7014634146341516E-2</v>
      </c>
      <c r="AL162" s="376">
        <v>-1.7014634146341516E-2</v>
      </c>
      <c r="AM162" s="412"/>
    </row>
    <row r="163" spans="2:39" s="377" customFormat="1" ht="28.15" customHeight="1" x14ac:dyDescent="0.25">
      <c r="B163" s="378">
        <v>43169</v>
      </c>
      <c r="C163" s="370">
        <v>233259</v>
      </c>
      <c r="D163" s="370">
        <v>0</v>
      </c>
      <c r="E163" s="371">
        <v>0</v>
      </c>
      <c r="F163" s="371">
        <v>0</v>
      </c>
      <c r="G163" s="371">
        <v>0</v>
      </c>
      <c r="H163" s="371"/>
      <c r="I163" s="371"/>
      <c r="J163" s="371"/>
      <c r="K163" s="371"/>
      <c r="L163" s="371"/>
      <c r="M163" s="371">
        <v>650000</v>
      </c>
      <c r="N163" s="371">
        <v>44000</v>
      </c>
      <c r="O163" s="371">
        <v>1600</v>
      </c>
      <c r="P163" s="371">
        <f t="shared" si="2"/>
        <v>91683</v>
      </c>
      <c r="Q163" s="371">
        <v>-59825</v>
      </c>
      <c r="R163" s="372">
        <v>233259</v>
      </c>
      <c r="S163" s="400">
        <v>220774.03</v>
      </c>
      <c r="T163" s="400">
        <v>0</v>
      </c>
      <c r="U163" s="400">
        <v>0</v>
      </c>
      <c r="V163" s="400">
        <v>0</v>
      </c>
      <c r="W163" s="372">
        <v>220774.03</v>
      </c>
      <c r="X163" s="373">
        <v>220774.03</v>
      </c>
      <c r="Y163" s="372">
        <v>233259</v>
      </c>
      <c r="Z163" s="373">
        <v>960717</v>
      </c>
      <c r="AA163" s="400">
        <v>0</v>
      </c>
      <c r="AB163" s="400">
        <v>0</v>
      </c>
      <c r="AC163" s="400">
        <v>0</v>
      </c>
      <c r="AD163" s="400">
        <v>0</v>
      </c>
      <c r="AE163" s="372">
        <v>0</v>
      </c>
      <c r="AF163" s="372">
        <v>0</v>
      </c>
      <c r="AG163" s="400">
        <v>0</v>
      </c>
      <c r="AH163" s="374">
        <v>0</v>
      </c>
      <c r="AI163" s="375">
        <v>0</v>
      </c>
      <c r="AJ163" s="372">
        <v>256.25</v>
      </c>
      <c r="AK163" s="376">
        <v>0</v>
      </c>
      <c r="AL163" s="376">
        <v>0</v>
      </c>
      <c r="AM163" s="412"/>
    </row>
    <row r="164" spans="2:39" s="377" customFormat="1" ht="28.15" customHeight="1" x14ac:dyDescent="0.25">
      <c r="B164" s="378">
        <v>43170</v>
      </c>
      <c r="C164" s="370">
        <v>233259</v>
      </c>
      <c r="D164" s="370">
        <v>0</v>
      </c>
      <c r="E164" s="371">
        <v>0</v>
      </c>
      <c r="F164" s="371">
        <v>0</v>
      </c>
      <c r="G164" s="371">
        <v>0</v>
      </c>
      <c r="H164" s="371"/>
      <c r="I164" s="371"/>
      <c r="J164" s="371"/>
      <c r="K164" s="371"/>
      <c r="L164" s="371"/>
      <c r="M164" s="371">
        <v>650000</v>
      </c>
      <c r="N164" s="371">
        <v>44000</v>
      </c>
      <c r="O164" s="371">
        <v>1600</v>
      </c>
      <c r="P164" s="371">
        <f t="shared" si="2"/>
        <v>91683</v>
      </c>
      <c r="Q164" s="371">
        <v>-59825</v>
      </c>
      <c r="R164" s="372">
        <v>233259</v>
      </c>
      <c r="S164" s="400">
        <v>220774.03</v>
      </c>
      <c r="T164" s="400">
        <v>0</v>
      </c>
      <c r="U164" s="400">
        <v>0</v>
      </c>
      <c r="V164" s="400">
        <v>0</v>
      </c>
      <c r="W164" s="372">
        <v>220774.03</v>
      </c>
      <c r="X164" s="373">
        <v>220774.03</v>
      </c>
      <c r="Y164" s="372">
        <v>233259</v>
      </c>
      <c r="Z164" s="373">
        <v>960717</v>
      </c>
      <c r="AA164" s="400">
        <v>0</v>
      </c>
      <c r="AB164" s="400">
        <v>0</v>
      </c>
      <c r="AC164" s="400">
        <v>0</v>
      </c>
      <c r="AD164" s="400">
        <v>0</v>
      </c>
      <c r="AE164" s="372">
        <v>0</v>
      </c>
      <c r="AF164" s="372">
        <v>0</v>
      </c>
      <c r="AG164" s="400">
        <v>0</v>
      </c>
      <c r="AH164" s="374">
        <v>0</v>
      </c>
      <c r="AI164" s="375">
        <v>0</v>
      </c>
      <c r="AJ164" s="372">
        <v>256.25</v>
      </c>
      <c r="AK164" s="376">
        <v>0</v>
      </c>
      <c r="AL164" s="376">
        <v>0</v>
      </c>
      <c r="AM164" s="412"/>
    </row>
    <row r="165" spans="2:39" s="377" customFormat="1" ht="28.15" customHeight="1" x14ac:dyDescent="0.25">
      <c r="B165" s="369">
        <v>43171</v>
      </c>
      <c r="C165" s="370">
        <v>233259</v>
      </c>
      <c r="D165" s="370">
        <v>0</v>
      </c>
      <c r="E165" s="371">
        <v>0</v>
      </c>
      <c r="F165" s="371">
        <v>0</v>
      </c>
      <c r="G165" s="371">
        <v>0</v>
      </c>
      <c r="H165" s="371">
        <v>75</v>
      </c>
      <c r="I165" s="371"/>
      <c r="J165" s="371"/>
      <c r="K165" s="371"/>
      <c r="L165" s="371"/>
      <c r="M165" s="371">
        <v>650000</v>
      </c>
      <c r="N165" s="371">
        <v>44000</v>
      </c>
      <c r="O165" s="371">
        <v>1600</v>
      </c>
      <c r="P165" s="371">
        <f t="shared" si="2"/>
        <v>91683</v>
      </c>
      <c r="Q165" s="371">
        <v>-59825</v>
      </c>
      <c r="R165" s="372">
        <v>233259</v>
      </c>
      <c r="S165" s="400">
        <v>220849.03</v>
      </c>
      <c r="T165" s="400">
        <v>0</v>
      </c>
      <c r="U165" s="400">
        <v>0</v>
      </c>
      <c r="V165" s="400">
        <v>0</v>
      </c>
      <c r="W165" s="372">
        <v>220849.03</v>
      </c>
      <c r="X165" s="373">
        <v>220849.03</v>
      </c>
      <c r="Y165" s="372">
        <v>233259</v>
      </c>
      <c r="Z165" s="373">
        <v>960717</v>
      </c>
      <c r="AA165" s="400">
        <v>-75</v>
      </c>
      <c r="AB165" s="400">
        <v>0</v>
      </c>
      <c r="AC165" s="400">
        <v>0</v>
      </c>
      <c r="AD165" s="400">
        <v>0</v>
      </c>
      <c r="AE165" s="372">
        <v>-75</v>
      </c>
      <c r="AF165" s="372">
        <v>-75</v>
      </c>
      <c r="AG165" s="400">
        <v>-0.25</v>
      </c>
      <c r="AH165" s="374">
        <v>-3.2153100201921472E-4</v>
      </c>
      <c r="AI165" s="375">
        <v>0</v>
      </c>
      <c r="AJ165" s="372">
        <v>256</v>
      </c>
      <c r="AK165" s="376">
        <v>-9.765625E-4</v>
      </c>
      <c r="AL165" s="376">
        <v>6.5503149798078523E-4</v>
      </c>
      <c r="AM165" s="412"/>
    </row>
    <row r="166" spans="2:39" s="377" customFormat="1" ht="28.15" customHeight="1" x14ac:dyDescent="0.25">
      <c r="B166" s="369">
        <v>43172</v>
      </c>
      <c r="C166" s="370">
        <v>233259</v>
      </c>
      <c r="D166" s="370">
        <v>0</v>
      </c>
      <c r="E166" s="371">
        <v>0</v>
      </c>
      <c r="F166" s="371">
        <v>0</v>
      </c>
      <c r="G166" s="371">
        <v>0</v>
      </c>
      <c r="H166" s="371"/>
      <c r="I166" s="371"/>
      <c r="J166" s="371"/>
      <c r="K166" s="371"/>
      <c r="L166" s="371"/>
      <c r="M166" s="371">
        <v>650000</v>
      </c>
      <c r="N166" s="371">
        <v>44000</v>
      </c>
      <c r="O166" s="371">
        <v>1600</v>
      </c>
      <c r="P166" s="371">
        <f t="shared" si="2"/>
        <v>91683</v>
      </c>
      <c r="Q166" s="371">
        <v>-59825</v>
      </c>
      <c r="R166" s="372">
        <v>233259</v>
      </c>
      <c r="S166" s="400">
        <v>220849.03</v>
      </c>
      <c r="T166" s="400">
        <v>0</v>
      </c>
      <c r="U166" s="400">
        <v>0</v>
      </c>
      <c r="V166" s="400">
        <v>0</v>
      </c>
      <c r="W166" s="372">
        <v>220849.03</v>
      </c>
      <c r="X166" s="373">
        <v>220849.03</v>
      </c>
      <c r="Y166" s="372">
        <v>233259</v>
      </c>
      <c r="Z166" s="373">
        <v>960717</v>
      </c>
      <c r="AA166" s="400">
        <v>0</v>
      </c>
      <c r="AB166" s="400">
        <v>0</v>
      </c>
      <c r="AC166" s="400">
        <v>0</v>
      </c>
      <c r="AD166" s="400">
        <v>0</v>
      </c>
      <c r="AE166" s="372">
        <v>0</v>
      </c>
      <c r="AF166" s="372">
        <v>0</v>
      </c>
      <c r="AG166" s="400">
        <v>-1.6899999999999977</v>
      </c>
      <c r="AH166" s="374">
        <v>0</v>
      </c>
      <c r="AI166" s="375">
        <v>0</v>
      </c>
      <c r="AJ166" s="372">
        <v>254.31</v>
      </c>
      <c r="AK166" s="376">
        <v>-6.645432739569807E-3</v>
      </c>
      <c r="AL166" s="376">
        <v>6.645432739569807E-3</v>
      </c>
      <c r="AM166" s="412"/>
    </row>
    <row r="167" spans="2:39" s="377" customFormat="1" ht="28.15" customHeight="1" x14ac:dyDescent="0.25">
      <c r="B167" s="369">
        <v>43173</v>
      </c>
      <c r="C167" s="370">
        <v>233259</v>
      </c>
      <c r="D167" s="370">
        <v>0</v>
      </c>
      <c r="E167" s="371">
        <v>0</v>
      </c>
      <c r="F167" s="371">
        <v>0</v>
      </c>
      <c r="G167" s="371">
        <v>0</v>
      </c>
      <c r="H167" s="371"/>
      <c r="I167" s="371"/>
      <c r="J167" s="371"/>
      <c r="K167" s="371"/>
      <c r="L167" s="371"/>
      <c r="M167" s="371">
        <v>650000</v>
      </c>
      <c r="N167" s="371">
        <v>44000</v>
      </c>
      <c r="O167" s="371">
        <v>1600</v>
      </c>
      <c r="P167" s="371">
        <f t="shared" si="2"/>
        <v>91683</v>
      </c>
      <c r="Q167" s="371">
        <v>-59825</v>
      </c>
      <c r="R167" s="372">
        <v>233259</v>
      </c>
      <c r="S167" s="400">
        <v>220849.03</v>
      </c>
      <c r="T167" s="400">
        <v>0</v>
      </c>
      <c r="U167" s="400">
        <v>0</v>
      </c>
      <c r="V167" s="400">
        <v>0</v>
      </c>
      <c r="W167" s="372">
        <v>220849.03</v>
      </c>
      <c r="X167" s="373">
        <v>220849.03</v>
      </c>
      <c r="Y167" s="372">
        <v>233259</v>
      </c>
      <c r="Z167" s="373">
        <v>960717</v>
      </c>
      <c r="AA167" s="400">
        <v>0</v>
      </c>
      <c r="AB167" s="400">
        <v>0</v>
      </c>
      <c r="AC167" s="400">
        <v>0</v>
      </c>
      <c r="AD167" s="400">
        <v>0</v>
      </c>
      <c r="AE167" s="372">
        <v>0</v>
      </c>
      <c r="AF167" s="372">
        <v>0</v>
      </c>
      <c r="AG167" s="400">
        <v>-1.3400000000000034</v>
      </c>
      <c r="AH167" s="374">
        <v>0</v>
      </c>
      <c r="AI167" s="375">
        <v>0</v>
      </c>
      <c r="AJ167" s="372">
        <v>252.97</v>
      </c>
      <c r="AK167" s="376">
        <v>-5.2970707989089746E-3</v>
      </c>
      <c r="AL167" s="376">
        <v>5.2970707989089746E-3</v>
      </c>
      <c r="AM167" s="412"/>
    </row>
    <row r="168" spans="2:39" s="377" customFormat="1" ht="28.15" customHeight="1" x14ac:dyDescent="0.25">
      <c r="B168" s="369">
        <v>43174</v>
      </c>
      <c r="C168" s="370">
        <v>233259</v>
      </c>
      <c r="D168" s="370">
        <v>0</v>
      </c>
      <c r="E168" s="371">
        <v>0</v>
      </c>
      <c r="F168" s="371">
        <v>0</v>
      </c>
      <c r="G168" s="371">
        <v>0</v>
      </c>
      <c r="H168" s="371"/>
      <c r="I168" s="371"/>
      <c r="J168" s="371"/>
      <c r="K168" s="371"/>
      <c r="L168" s="371"/>
      <c r="M168" s="371">
        <v>650000</v>
      </c>
      <c r="N168" s="371">
        <v>44000</v>
      </c>
      <c r="O168" s="371">
        <v>1600</v>
      </c>
      <c r="P168" s="371">
        <f t="shared" si="2"/>
        <v>91683</v>
      </c>
      <c r="Q168" s="371">
        <v>-59825</v>
      </c>
      <c r="R168" s="372">
        <v>233259</v>
      </c>
      <c r="S168" s="400">
        <v>220849.03</v>
      </c>
      <c r="T168" s="400">
        <v>0</v>
      </c>
      <c r="U168" s="400">
        <v>0</v>
      </c>
      <c r="V168" s="400">
        <v>0</v>
      </c>
      <c r="W168" s="372">
        <v>220849.03</v>
      </c>
      <c r="X168" s="373">
        <v>220849.03</v>
      </c>
      <c r="Y168" s="372">
        <v>233259</v>
      </c>
      <c r="Z168" s="373">
        <v>960717</v>
      </c>
      <c r="AA168" s="400">
        <v>0</v>
      </c>
      <c r="AB168" s="400">
        <v>0</v>
      </c>
      <c r="AC168" s="400">
        <v>0</v>
      </c>
      <c r="AD168" s="400">
        <v>0</v>
      </c>
      <c r="AE168" s="372">
        <v>0</v>
      </c>
      <c r="AF168" s="372">
        <v>0</v>
      </c>
      <c r="AG168" s="400">
        <v>-0.24000000000000909</v>
      </c>
      <c r="AH168" s="374">
        <v>0</v>
      </c>
      <c r="AI168" s="375">
        <v>0</v>
      </c>
      <c r="AJ168" s="372">
        <v>252.73</v>
      </c>
      <c r="AK168" s="376">
        <v>-9.4963003996363356E-4</v>
      </c>
      <c r="AL168" s="376">
        <v>9.4963003996363356E-4</v>
      </c>
      <c r="AM168" s="412"/>
    </row>
    <row r="169" spans="2:39" s="377" customFormat="1" ht="28.15" customHeight="1" x14ac:dyDescent="0.25">
      <c r="B169" s="369">
        <v>43175</v>
      </c>
      <c r="C169" s="370">
        <v>233259</v>
      </c>
      <c r="D169" s="370">
        <v>0</v>
      </c>
      <c r="E169" s="371">
        <v>0</v>
      </c>
      <c r="F169" s="371">
        <v>0</v>
      </c>
      <c r="G169" s="371">
        <v>0</v>
      </c>
      <c r="H169" s="371"/>
      <c r="I169" s="371"/>
      <c r="J169" s="371"/>
      <c r="K169" s="371"/>
      <c r="L169" s="371"/>
      <c r="M169" s="371">
        <v>650000</v>
      </c>
      <c r="N169" s="371">
        <v>44000</v>
      </c>
      <c r="O169" s="371">
        <v>1600</v>
      </c>
      <c r="P169" s="371">
        <f t="shared" si="2"/>
        <v>91683</v>
      </c>
      <c r="Q169" s="371">
        <v>-59825</v>
      </c>
      <c r="R169" s="372">
        <v>233259</v>
      </c>
      <c r="S169" s="400">
        <v>220849.03</v>
      </c>
      <c r="T169" s="400">
        <v>0</v>
      </c>
      <c r="U169" s="400">
        <v>0</v>
      </c>
      <c r="V169" s="400">
        <v>0</v>
      </c>
      <c r="W169" s="372">
        <v>220849.03</v>
      </c>
      <c r="X169" s="373">
        <v>220849.03</v>
      </c>
      <c r="Y169" s="372">
        <v>233259</v>
      </c>
      <c r="Z169" s="373">
        <v>960717</v>
      </c>
      <c r="AA169" s="400">
        <v>0</v>
      </c>
      <c r="AB169" s="400">
        <v>0</v>
      </c>
      <c r="AC169" s="400">
        <v>0</v>
      </c>
      <c r="AD169" s="400">
        <v>0</v>
      </c>
      <c r="AE169" s="372">
        <v>0</v>
      </c>
      <c r="AF169" s="372">
        <v>0</v>
      </c>
      <c r="AG169" s="400">
        <v>0.26000000000001933</v>
      </c>
      <c r="AH169" s="374">
        <v>0</v>
      </c>
      <c r="AI169" s="375">
        <v>0</v>
      </c>
      <c r="AJ169" s="372">
        <v>252.99</v>
      </c>
      <c r="AK169" s="376">
        <v>1.0277086050832812E-3</v>
      </c>
      <c r="AL169" s="376">
        <v>-1.0277086050832812E-3</v>
      </c>
      <c r="AM169" s="412"/>
    </row>
    <row r="170" spans="2:39" s="377" customFormat="1" ht="28.15" customHeight="1" x14ac:dyDescent="0.25">
      <c r="B170" s="378">
        <v>43176</v>
      </c>
      <c r="C170" s="370">
        <v>233259</v>
      </c>
      <c r="D170" s="370">
        <v>0</v>
      </c>
      <c r="E170" s="371">
        <v>0</v>
      </c>
      <c r="F170" s="371">
        <v>0</v>
      </c>
      <c r="G170" s="371">
        <v>0</v>
      </c>
      <c r="H170" s="371"/>
      <c r="I170" s="371"/>
      <c r="J170" s="371"/>
      <c r="K170" s="371"/>
      <c r="L170" s="371"/>
      <c r="M170" s="371">
        <v>650000</v>
      </c>
      <c r="N170" s="371">
        <v>44000</v>
      </c>
      <c r="O170" s="371">
        <v>1600</v>
      </c>
      <c r="P170" s="371">
        <f t="shared" si="2"/>
        <v>91683</v>
      </c>
      <c r="Q170" s="371">
        <v>-59825</v>
      </c>
      <c r="R170" s="372">
        <v>233259</v>
      </c>
      <c r="S170" s="400">
        <v>220849.03</v>
      </c>
      <c r="T170" s="400">
        <v>0</v>
      </c>
      <c r="U170" s="400">
        <v>0</v>
      </c>
      <c r="V170" s="400">
        <v>0</v>
      </c>
      <c r="W170" s="372">
        <v>220849.03</v>
      </c>
      <c r="X170" s="373">
        <v>220849.03</v>
      </c>
      <c r="Y170" s="372">
        <v>233259</v>
      </c>
      <c r="Z170" s="373">
        <v>960717</v>
      </c>
      <c r="AA170" s="400">
        <v>0</v>
      </c>
      <c r="AB170" s="400">
        <v>0</v>
      </c>
      <c r="AC170" s="400">
        <v>0</v>
      </c>
      <c r="AD170" s="400">
        <v>0</v>
      </c>
      <c r="AE170" s="372">
        <v>0</v>
      </c>
      <c r="AF170" s="372">
        <v>0</v>
      </c>
      <c r="AG170" s="400">
        <v>0</v>
      </c>
      <c r="AH170" s="374">
        <v>0</v>
      </c>
      <c r="AI170" s="375">
        <v>0</v>
      </c>
      <c r="AJ170" s="372">
        <v>252.99</v>
      </c>
      <c r="AK170" s="376">
        <v>0</v>
      </c>
      <c r="AL170" s="376">
        <v>0</v>
      </c>
      <c r="AM170" s="412"/>
    </row>
    <row r="171" spans="2:39" s="377" customFormat="1" ht="28.15" customHeight="1" x14ac:dyDescent="0.25">
      <c r="B171" s="378">
        <v>43177</v>
      </c>
      <c r="C171" s="370">
        <v>233259</v>
      </c>
      <c r="D171" s="370">
        <v>0</v>
      </c>
      <c r="E171" s="371">
        <v>0</v>
      </c>
      <c r="F171" s="371">
        <v>0</v>
      </c>
      <c r="G171" s="371">
        <v>0</v>
      </c>
      <c r="H171" s="371"/>
      <c r="I171" s="371"/>
      <c r="J171" s="371"/>
      <c r="K171" s="371"/>
      <c r="L171" s="371"/>
      <c r="M171" s="371">
        <v>650000</v>
      </c>
      <c r="N171" s="371">
        <v>44000</v>
      </c>
      <c r="O171" s="371">
        <v>1600</v>
      </c>
      <c r="P171" s="371">
        <f t="shared" si="2"/>
        <v>91683</v>
      </c>
      <c r="Q171" s="371">
        <v>-59825</v>
      </c>
      <c r="R171" s="372">
        <v>233259</v>
      </c>
      <c r="S171" s="400">
        <v>220849.03</v>
      </c>
      <c r="T171" s="400">
        <v>0</v>
      </c>
      <c r="U171" s="400">
        <v>0</v>
      </c>
      <c r="V171" s="400">
        <v>0</v>
      </c>
      <c r="W171" s="372">
        <v>220849.03</v>
      </c>
      <c r="X171" s="373">
        <v>220849.03</v>
      </c>
      <c r="Y171" s="372">
        <v>233259</v>
      </c>
      <c r="Z171" s="373">
        <v>960717</v>
      </c>
      <c r="AA171" s="400">
        <v>0</v>
      </c>
      <c r="AB171" s="400">
        <v>0</v>
      </c>
      <c r="AC171" s="400">
        <v>0</v>
      </c>
      <c r="AD171" s="400">
        <v>0</v>
      </c>
      <c r="AE171" s="372">
        <v>0</v>
      </c>
      <c r="AF171" s="372">
        <v>0</v>
      </c>
      <c r="AG171" s="400">
        <v>0</v>
      </c>
      <c r="AH171" s="374">
        <v>0</v>
      </c>
      <c r="AI171" s="375">
        <v>0</v>
      </c>
      <c r="AJ171" s="372">
        <v>252.99</v>
      </c>
      <c r="AK171" s="376">
        <v>0</v>
      </c>
      <c r="AL171" s="376">
        <v>0</v>
      </c>
      <c r="AM171" s="412"/>
    </row>
    <row r="172" spans="2:39" s="377" customFormat="1" ht="28.15" customHeight="1" x14ac:dyDescent="0.25">
      <c r="B172" s="369">
        <v>43178</v>
      </c>
      <c r="C172" s="370">
        <v>233259</v>
      </c>
      <c r="D172" s="370">
        <v>0</v>
      </c>
      <c r="E172" s="371">
        <v>0</v>
      </c>
      <c r="F172" s="371">
        <v>0</v>
      </c>
      <c r="G172" s="371">
        <v>0</v>
      </c>
      <c r="H172" s="371"/>
      <c r="I172" s="371"/>
      <c r="J172" s="371"/>
      <c r="K172" s="371"/>
      <c r="L172" s="371"/>
      <c r="M172" s="371">
        <v>650000</v>
      </c>
      <c r="N172" s="371">
        <v>44000</v>
      </c>
      <c r="O172" s="371">
        <v>1600</v>
      </c>
      <c r="P172" s="371">
        <f t="shared" si="2"/>
        <v>91683</v>
      </c>
      <c r="Q172" s="371">
        <v>-59825</v>
      </c>
      <c r="R172" s="372">
        <v>233259</v>
      </c>
      <c r="S172" s="400">
        <v>220849.03</v>
      </c>
      <c r="T172" s="400">
        <v>0</v>
      </c>
      <c r="U172" s="400">
        <v>0</v>
      </c>
      <c r="V172" s="400">
        <v>0</v>
      </c>
      <c r="W172" s="372">
        <v>220849.03</v>
      </c>
      <c r="X172" s="373">
        <v>220849.03</v>
      </c>
      <c r="Y172" s="372">
        <v>233259</v>
      </c>
      <c r="Z172" s="373">
        <v>960717</v>
      </c>
      <c r="AA172" s="400">
        <v>0</v>
      </c>
      <c r="AB172" s="400">
        <v>0</v>
      </c>
      <c r="AC172" s="400">
        <v>0</v>
      </c>
      <c r="AD172" s="400">
        <v>0</v>
      </c>
      <c r="AE172" s="372">
        <v>0</v>
      </c>
      <c r="AF172" s="372">
        <v>0</v>
      </c>
      <c r="AG172" s="400">
        <v>-3.3799999999999955</v>
      </c>
      <c r="AH172" s="374">
        <v>0</v>
      </c>
      <c r="AI172" s="375">
        <v>0</v>
      </c>
      <c r="AJ172" s="372">
        <v>249.61</v>
      </c>
      <c r="AK172" s="376">
        <v>-1.3541124153679722E-2</v>
      </c>
      <c r="AL172" s="376">
        <v>1.3541124153679722E-2</v>
      </c>
      <c r="AM172" s="412"/>
    </row>
    <row r="173" spans="2:39" s="377" customFormat="1" ht="28.15" customHeight="1" x14ac:dyDescent="0.25">
      <c r="B173" s="369">
        <v>43179</v>
      </c>
      <c r="C173" s="370">
        <v>233259</v>
      </c>
      <c r="D173" s="370">
        <v>0</v>
      </c>
      <c r="E173" s="371">
        <v>0</v>
      </c>
      <c r="F173" s="371">
        <v>0</v>
      </c>
      <c r="G173" s="371">
        <v>0</v>
      </c>
      <c r="H173" s="371"/>
      <c r="I173" s="371"/>
      <c r="J173" s="371"/>
      <c r="K173" s="371"/>
      <c r="L173" s="371"/>
      <c r="M173" s="371">
        <v>650000</v>
      </c>
      <c r="N173" s="371">
        <v>44000</v>
      </c>
      <c r="O173" s="371">
        <v>1600</v>
      </c>
      <c r="P173" s="371">
        <f t="shared" si="2"/>
        <v>91683</v>
      </c>
      <c r="Q173" s="371">
        <v>-59825</v>
      </c>
      <c r="R173" s="372">
        <v>233259</v>
      </c>
      <c r="S173" s="400">
        <v>220849.03</v>
      </c>
      <c r="T173" s="400">
        <v>0</v>
      </c>
      <c r="U173" s="400">
        <v>0</v>
      </c>
      <c r="V173" s="400">
        <v>0</v>
      </c>
      <c r="W173" s="372">
        <v>220849.03</v>
      </c>
      <c r="X173" s="373">
        <v>220849.03</v>
      </c>
      <c r="Y173" s="372">
        <v>233259</v>
      </c>
      <c r="Z173" s="373">
        <v>960717</v>
      </c>
      <c r="AA173" s="400">
        <v>0</v>
      </c>
      <c r="AB173" s="400">
        <v>0</v>
      </c>
      <c r="AC173" s="400">
        <v>0</v>
      </c>
      <c r="AD173" s="400">
        <v>0</v>
      </c>
      <c r="AE173" s="372">
        <v>0</v>
      </c>
      <c r="AF173" s="372">
        <v>0</v>
      </c>
      <c r="AG173" s="400">
        <v>0.43999999999999773</v>
      </c>
      <c r="AH173" s="374">
        <v>0</v>
      </c>
      <c r="AI173" s="375">
        <v>0</v>
      </c>
      <c r="AJ173" s="372">
        <v>250.05</v>
      </c>
      <c r="AK173" s="376">
        <v>1.7596480703859136E-3</v>
      </c>
      <c r="AL173" s="376">
        <v>-1.7596480703859136E-3</v>
      </c>
      <c r="AM173" s="412"/>
    </row>
    <row r="174" spans="2:39" s="377" customFormat="1" ht="28.15" customHeight="1" x14ac:dyDescent="0.25">
      <c r="B174" s="369">
        <v>43180</v>
      </c>
      <c r="C174" s="370">
        <v>233259</v>
      </c>
      <c r="D174" s="370">
        <v>0</v>
      </c>
      <c r="E174" s="371">
        <v>0</v>
      </c>
      <c r="F174" s="371">
        <v>0</v>
      </c>
      <c r="G174" s="371">
        <v>0</v>
      </c>
      <c r="H174" s="371"/>
      <c r="I174" s="371"/>
      <c r="J174" s="371"/>
      <c r="K174" s="371"/>
      <c r="L174" s="371"/>
      <c r="M174" s="371">
        <v>650000</v>
      </c>
      <c r="N174" s="371">
        <v>44000</v>
      </c>
      <c r="O174" s="371">
        <v>1600</v>
      </c>
      <c r="P174" s="371">
        <f t="shared" si="2"/>
        <v>91683</v>
      </c>
      <c r="Q174" s="371">
        <v>-59825</v>
      </c>
      <c r="R174" s="372">
        <v>233259</v>
      </c>
      <c r="S174" s="400">
        <v>220849.03</v>
      </c>
      <c r="T174" s="400">
        <v>0</v>
      </c>
      <c r="U174" s="400">
        <v>0</v>
      </c>
      <c r="V174" s="400">
        <v>0</v>
      </c>
      <c r="W174" s="372">
        <v>220849.03</v>
      </c>
      <c r="X174" s="373">
        <v>220849.03</v>
      </c>
      <c r="Y174" s="372">
        <v>233259</v>
      </c>
      <c r="Z174" s="373">
        <v>960717</v>
      </c>
      <c r="AA174" s="400">
        <v>0</v>
      </c>
      <c r="AB174" s="400">
        <v>0</v>
      </c>
      <c r="AC174" s="400">
        <v>0</v>
      </c>
      <c r="AD174" s="400">
        <v>0</v>
      </c>
      <c r="AE174" s="372">
        <v>0</v>
      </c>
      <c r="AF174" s="372">
        <v>0</v>
      </c>
      <c r="AG174" s="400">
        <v>-0.58000000000001251</v>
      </c>
      <c r="AH174" s="374">
        <v>0</v>
      </c>
      <c r="AI174" s="375">
        <v>0</v>
      </c>
      <c r="AJ174" s="372">
        <v>249.47</v>
      </c>
      <c r="AK174" s="376">
        <v>-2.3249288491602699E-3</v>
      </c>
      <c r="AL174" s="376">
        <v>2.3249288491602699E-3</v>
      </c>
      <c r="AM174" s="412"/>
    </row>
    <row r="175" spans="2:39" s="377" customFormat="1" ht="28.15" customHeight="1" x14ac:dyDescent="0.25">
      <c r="B175" s="369">
        <v>43181</v>
      </c>
      <c r="C175" s="370">
        <v>233259</v>
      </c>
      <c r="D175" s="370">
        <v>0</v>
      </c>
      <c r="E175" s="371">
        <v>0</v>
      </c>
      <c r="F175" s="371">
        <v>0</v>
      </c>
      <c r="G175" s="371">
        <v>0</v>
      </c>
      <c r="H175" s="371">
        <v>5900</v>
      </c>
      <c r="I175" s="371"/>
      <c r="J175" s="371"/>
      <c r="K175" s="371"/>
      <c r="L175" s="371"/>
      <c r="M175" s="371">
        <v>650000</v>
      </c>
      <c r="N175" s="371">
        <v>44000</v>
      </c>
      <c r="O175" s="371">
        <v>1600</v>
      </c>
      <c r="P175" s="371">
        <f t="shared" si="2"/>
        <v>91683</v>
      </c>
      <c r="Q175" s="371">
        <v>-59825</v>
      </c>
      <c r="R175" s="372">
        <v>233259</v>
      </c>
      <c r="S175" s="400">
        <v>226749.03</v>
      </c>
      <c r="T175" s="400">
        <v>0</v>
      </c>
      <c r="U175" s="400">
        <v>0</v>
      </c>
      <c r="V175" s="400">
        <v>0</v>
      </c>
      <c r="W175" s="372">
        <v>226749.03</v>
      </c>
      <c r="X175" s="373">
        <v>226749.03</v>
      </c>
      <c r="Y175" s="372">
        <v>233259</v>
      </c>
      <c r="Z175" s="373">
        <v>960717</v>
      </c>
      <c r="AA175" s="400">
        <v>-5900</v>
      </c>
      <c r="AB175" s="400">
        <v>0</v>
      </c>
      <c r="AC175" s="400">
        <v>0</v>
      </c>
      <c r="AD175" s="400">
        <v>0</v>
      </c>
      <c r="AE175" s="372">
        <v>-5900</v>
      </c>
      <c r="AF175" s="372">
        <v>-5900</v>
      </c>
      <c r="AG175" s="400">
        <v>-6.1999999999999886</v>
      </c>
      <c r="AH175" s="374">
        <v>-2.5293772158844888E-2</v>
      </c>
      <c r="AI175" s="375">
        <v>0</v>
      </c>
      <c r="AJ175" s="372">
        <v>243.27</v>
      </c>
      <c r="AK175" s="376">
        <v>-2.5486085419492696E-2</v>
      </c>
      <c r="AL175" s="376">
        <v>1.923132606478084E-4</v>
      </c>
      <c r="AM175" s="412"/>
    </row>
    <row r="176" spans="2:39" s="377" customFormat="1" ht="28.15" customHeight="1" x14ac:dyDescent="0.25">
      <c r="B176" s="369">
        <v>43182</v>
      </c>
      <c r="C176" s="370">
        <v>233259</v>
      </c>
      <c r="D176" s="370">
        <v>0</v>
      </c>
      <c r="E176" s="371">
        <v>0</v>
      </c>
      <c r="F176" s="371">
        <v>0</v>
      </c>
      <c r="G176" s="371">
        <v>0</v>
      </c>
      <c r="H176" s="371"/>
      <c r="I176" s="371"/>
      <c r="J176" s="371"/>
      <c r="K176" s="371"/>
      <c r="L176" s="371"/>
      <c r="M176" s="371">
        <v>650000</v>
      </c>
      <c r="N176" s="371">
        <v>44000</v>
      </c>
      <c r="O176" s="371">
        <v>1600</v>
      </c>
      <c r="P176" s="371">
        <f t="shared" si="2"/>
        <v>91683</v>
      </c>
      <c r="Q176" s="371">
        <v>-59825</v>
      </c>
      <c r="R176" s="372">
        <v>233259</v>
      </c>
      <c r="S176" s="400">
        <v>226749.03</v>
      </c>
      <c r="T176" s="400">
        <v>0</v>
      </c>
      <c r="U176" s="400">
        <v>0</v>
      </c>
      <c r="V176" s="400">
        <v>0</v>
      </c>
      <c r="W176" s="372">
        <v>226749.03</v>
      </c>
      <c r="X176" s="373">
        <v>226749.03</v>
      </c>
      <c r="Y176" s="372">
        <v>233259</v>
      </c>
      <c r="Z176" s="373">
        <v>960717</v>
      </c>
      <c r="AA176" s="400">
        <v>0</v>
      </c>
      <c r="AB176" s="400">
        <v>0</v>
      </c>
      <c r="AC176" s="400">
        <v>0</v>
      </c>
      <c r="AD176" s="400">
        <v>0</v>
      </c>
      <c r="AE176" s="372">
        <v>0</v>
      </c>
      <c r="AF176" s="372">
        <v>0</v>
      </c>
      <c r="AG176" s="400">
        <v>-5.1800000000000068</v>
      </c>
      <c r="AH176" s="374">
        <v>0</v>
      </c>
      <c r="AI176" s="375">
        <v>0</v>
      </c>
      <c r="AJ176" s="372">
        <v>238.09</v>
      </c>
      <c r="AK176" s="376">
        <v>-2.1756478642530164E-2</v>
      </c>
      <c r="AL176" s="376">
        <v>2.1756478642530164E-2</v>
      </c>
      <c r="AM176" s="412"/>
    </row>
    <row r="177" spans="2:39" s="377" customFormat="1" ht="28.15" customHeight="1" x14ac:dyDescent="0.25">
      <c r="B177" s="378">
        <v>43183</v>
      </c>
      <c r="C177" s="370">
        <v>233259</v>
      </c>
      <c r="D177" s="370">
        <v>0</v>
      </c>
      <c r="E177" s="371">
        <v>0</v>
      </c>
      <c r="F177" s="371">
        <v>0</v>
      </c>
      <c r="G177" s="371">
        <v>0</v>
      </c>
      <c r="H177" s="371"/>
      <c r="I177" s="371"/>
      <c r="J177" s="371"/>
      <c r="K177" s="371"/>
      <c r="L177" s="371"/>
      <c r="M177" s="371">
        <v>650000</v>
      </c>
      <c r="N177" s="371">
        <v>44000</v>
      </c>
      <c r="O177" s="371">
        <v>1600</v>
      </c>
      <c r="P177" s="371">
        <f t="shared" si="2"/>
        <v>91683</v>
      </c>
      <c r="Q177" s="371">
        <v>-59825</v>
      </c>
      <c r="R177" s="372">
        <v>233259</v>
      </c>
      <c r="S177" s="400">
        <v>226749.03</v>
      </c>
      <c r="T177" s="400">
        <v>0</v>
      </c>
      <c r="U177" s="400">
        <v>0</v>
      </c>
      <c r="V177" s="400">
        <v>0</v>
      </c>
      <c r="W177" s="372">
        <v>226749.03</v>
      </c>
      <c r="X177" s="373">
        <v>226749.03</v>
      </c>
      <c r="Y177" s="372">
        <v>233259</v>
      </c>
      <c r="Z177" s="373">
        <v>960717</v>
      </c>
      <c r="AA177" s="400">
        <v>0</v>
      </c>
      <c r="AB177" s="400">
        <v>0</v>
      </c>
      <c r="AC177" s="400">
        <v>0</v>
      </c>
      <c r="AD177" s="400">
        <v>0</v>
      </c>
      <c r="AE177" s="372">
        <v>0</v>
      </c>
      <c r="AF177" s="372">
        <v>0</v>
      </c>
      <c r="AG177" s="400">
        <v>0</v>
      </c>
      <c r="AH177" s="374">
        <v>0</v>
      </c>
      <c r="AI177" s="375">
        <v>0</v>
      </c>
      <c r="AJ177" s="372">
        <v>238.09</v>
      </c>
      <c r="AK177" s="376">
        <v>0</v>
      </c>
      <c r="AL177" s="376">
        <v>0</v>
      </c>
      <c r="AM177" s="412"/>
    </row>
    <row r="178" spans="2:39" s="377" customFormat="1" ht="28.15" customHeight="1" x14ac:dyDescent="0.25">
      <c r="B178" s="378">
        <v>43184</v>
      </c>
      <c r="C178" s="370">
        <v>233259</v>
      </c>
      <c r="D178" s="370">
        <v>0</v>
      </c>
      <c r="E178" s="371">
        <v>0</v>
      </c>
      <c r="F178" s="371">
        <v>0</v>
      </c>
      <c r="G178" s="371">
        <v>0</v>
      </c>
      <c r="H178" s="371"/>
      <c r="I178" s="371"/>
      <c r="J178" s="371"/>
      <c r="K178" s="371"/>
      <c r="L178" s="371"/>
      <c r="M178" s="371">
        <v>650000</v>
      </c>
      <c r="N178" s="371">
        <v>44000</v>
      </c>
      <c r="O178" s="371">
        <v>1600</v>
      </c>
      <c r="P178" s="371">
        <f t="shared" si="2"/>
        <v>91683</v>
      </c>
      <c r="Q178" s="371">
        <v>-59825</v>
      </c>
      <c r="R178" s="372">
        <v>233259</v>
      </c>
      <c r="S178" s="400">
        <v>226749.03</v>
      </c>
      <c r="T178" s="400">
        <v>0</v>
      </c>
      <c r="U178" s="400">
        <v>0</v>
      </c>
      <c r="V178" s="400">
        <v>0</v>
      </c>
      <c r="W178" s="372">
        <v>226749.03</v>
      </c>
      <c r="X178" s="373">
        <v>226749.03</v>
      </c>
      <c r="Y178" s="372">
        <v>233259</v>
      </c>
      <c r="Z178" s="373">
        <v>960717</v>
      </c>
      <c r="AA178" s="400">
        <v>0</v>
      </c>
      <c r="AB178" s="400">
        <v>0</v>
      </c>
      <c r="AC178" s="400">
        <v>0</v>
      </c>
      <c r="AD178" s="400">
        <v>0</v>
      </c>
      <c r="AE178" s="372">
        <v>0</v>
      </c>
      <c r="AF178" s="372">
        <v>0</v>
      </c>
      <c r="AG178" s="400">
        <v>0</v>
      </c>
      <c r="AH178" s="374">
        <v>0</v>
      </c>
      <c r="AI178" s="375">
        <v>0</v>
      </c>
      <c r="AJ178" s="372">
        <v>238.09</v>
      </c>
      <c r="AK178" s="376">
        <v>0</v>
      </c>
      <c r="AL178" s="376">
        <v>0</v>
      </c>
      <c r="AM178" s="412"/>
    </row>
    <row r="179" spans="2:39" s="377" customFormat="1" ht="28.15" customHeight="1" x14ac:dyDescent="0.25">
      <c r="B179" s="369">
        <v>43185</v>
      </c>
      <c r="C179" s="370">
        <v>233259</v>
      </c>
      <c r="D179" s="370">
        <v>0</v>
      </c>
      <c r="E179" s="371">
        <v>0</v>
      </c>
      <c r="F179" s="371">
        <v>0</v>
      </c>
      <c r="G179" s="371">
        <v>0</v>
      </c>
      <c r="H179" s="371">
        <v>75</v>
      </c>
      <c r="I179" s="371"/>
      <c r="J179" s="371"/>
      <c r="K179" s="371"/>
      <c r="L179" s="371"/>
      <c r="M179" s="371">
        <v>650000</v>
      </c>
      <c r="N179" s="371">
        <v>44000</v>
      </c>
      <c r="O179" s="371">
        <v>1600</v>
      </c>
      <c r="P179" s="371">
        <f t="shared" si="2"/>
        <v>91683</v>
      </c>
      <c r="Q179" s="371">
        <v>-59825</v>
      </c>
      <c r="R179" s="372">
        <v>233259</v>
      </c>
      <c r="S179" s="400">
        <v>226824.03</v>
      </c>
      <c r="T179" s="400">
        <v>0</v>
      </c>
      <c r="U179" s="400">
        <v>0</v>
      </c>
      <c r="V179" s="400">
        <v>0</v>
      </c>
      <c r="W179" s="372">
        <v>226824.03</v>
      </c>
      <c r="X179" s="373">
        <v>226824.03</v>
      </c>
      <c r="Y179" s="372">
        <v>233259</v>
      </c>
      <c r="Z179" s="373">
        <v>960717</v>
      </c>
      <c r="AA179" s="400">
        <v>-75</v>
      </c>
      <c r="AB179" s="400">
        <v>0</v>
      </c>
      <c r="AC179" s="400">
        <v>0</v>
      </c>
      <c r="AD179" s="400">
        <v>0</v>
      </c>
      <c r="AE179" s="372">
        <v>-75</v>
      </c>
      <c r="AF179" s="372">
        <v>-75</v>
      </c>
      <c r="AG179" s="400">
        <v>5.4399999999999977</v>
      </c>
      <c r="AH179" s="374">
        <v>-3.2153100201921472E-4</v>
      </c>
      <c r="AI179" s="375">
        <v>0</v>
      </c>
      <c r="AJ179" s="372">
        <v>243.53</v>
      </c>
      <c r="AK179" s="376">
        <v>2.233811029441957E-2</v>
      </c>
      <c r="AL179" s="376">
        <v>-2.2659641296438784E-2</v>
      </c>
      <c r="AM179" s="412"/>
    </row>
    <row r="180" spans="2:39" s="377" customFormat="1" ht="28.15" customHeight="1" x14ac:dyDescent="0.25">
      <c r="B180" s="369">
        <v>43186</v>
      </c>
      <c r="C180" s="370">
        <v>233259</v>
      </c>
      <c r="D180" s="370">
        <v>0</v>
      </c>
      <c r="E180" s="371">
        <v>0</v>
      </c>
      <c r="F180" s="371">
        <v>0</v>
      </c>
      <c r="G180" s="371">
        <v>0</v>
      </c>
      <c r="H180" s="371"/>
      <c r="I180" s="371"/>
      <c r="J180" s="371"/>
      <c r="K180" s="371"/>
      <c r="L180" s="371"/>
      <c r="M180" s="371">
        <v>650000</v>
      </c>
      <c r="N180" s="371">
        <v>44000</v>
      </c>
      <c r="O180" s="371">
        <v>1600</v>
      </c>
      <c r="P180" s="371">
        <f t="shared" si="2"/>
        <v>91683</v>
      </c>
      <c r="Q180" s="371">
        <v>-59825</v>
      </c>
      <c r="R180" s="372">
        <v>233259</v>
      </c>
      <c r="S180" s="400">
        <v>226824.03</v>
      </c>
      <c r="T180" s="400">
        <v>0</v>
      </c>
      <c r="U180" s="400">
        <v>0</v>
      </c>
      <c r="V180" s="400">
        <v>0</v>
      </c>
      <c r="W180" s="372">
        <v>226824.03</v>
      </c>
      <c r="X180" s="373">
        <v>226824.03</v>
      </c>
      <c r="Y180" s="372">
        <v>233259</v>
      </c>
      <c r="Z180" s="373">
        <v>960717</v>
      </c>
      <c r="AA180" s="400">
        <v>0</v>
      </c>
      <c r="AB180" s="400">
        <v>0</v>
      </c>
      <c r="AC180" s="400">
        <v>0</v>
      </c>
      <c r="AD180" s="400">
        <v>0</v>
      </c>
      <c r="AE180" s="372">
        <v>0</v>
      </c>
      <c r="AF180" s="372">
        <v>0</v>
      </c>
      <c r="AG180" s="400">
        <v>-4.2199999999999989</v>
      </c>
      <c r="AH180" s="374">
        <v>0</v>
      </c>
      <c r="AI180" s="375">
        <v>0</v>
      </c>
      <c r="AJ180" s="372">
        <v>239.31</v>
      </c>
      <c r="AK180" s="376">
        <v>-1.7634031172955575E-2</v>
      </c>
      <c r="AL180" s="376">
        <v>1.7634031172955575E-2</v>
      </c>
      <c r="AM180" s="412"/>
    </row>
    <row r="181" spans="2:39" s="377" customFormat="1" ht="28.15" customHeight="1" x14ac:dyDescent="0.25">
      <c r="B181" s="369">
        <v>43187</v>
      </c>
      <c r="C181" s="370">
        <v>233259</v>
      </c>
      <c r="D181" s="370">
        <v>0</v>
      </c>
      <c r="E181" s="371">
        <v>0</v>
      </c>
      <c r="F181" s="371">
        <v>0</v>
      </c>
      <c r="G181" s="371">
        <v>0</v>
      </c>
      <c r="H181" s="371"/>
      <c r="I181" s="371"/>
      <c r="J181" s="371"/>
      <c r="K181" s="371"/>
      <c r="L181" s="371"/>
      <c r="M181" s="371">
        <v>650000</v>
      </c>
      <c r="N181" s="371">
        <v>44000</v>
      </c>
      <c r="O181" s="371">
        <v>1600</v>
      </c>
      <c r="P181" s="371">
        <f t="shared" si="2"/>
        <v>91683</v>
      </c>
      <c r="Q181" s="371">
        <v>-59825</v>
      </c>
      <c r="R181" s="372">
        <v>233259</v>
      </c>
      <c r="S181" s="400">
        <v>226824.03</v>
      </c>
      <c r="T181" s="400">
        <v>0</v>
      </c>
      <c r="U181" s="400">
        <v>0</v>
      </c>
      <c r="V181" s="400">
        <v>0</v>
      </c>
      <c r="W181" s="372">
        <v>226824.03</v>
      </c>
      <c r="X181" s="373">
        <v>226824.03</v>
      </c>
      <c r="Y181" s="372">
        <v>233259</v>
      </c>
      <c r="Z181" s="373">
        <v>960717</v>
      </c>
      <c r="AA181" s="400">
        <v>0</v>
      </c>
      <c r="AB181" s="400">
        <v>0</v>
      </c>
      <c r="AC181" s="400">
        <v>0</v>
      </c>
      <c r="AD181" s="400">
        <v>0</v>
      </c>
      <c r="AE181" s="372">
        <v>0</v>
      </c>
      <c r="AF181" s="372">
        <v>0</v>
      </c>
      <c r="AG181" s="400">
        <v>-0.67000000000001592</v>
      </c>
      <c r="AH181" s="374">
        <v>0</v>
      </c>
      <c r="AI181" s="375">
        <v>0</v>
      </c>
      <c r="AJ181" s="372">
        <v>238.64</v>
      </c>
      <c r="AK181" s="376">
        <v>-2.8075762655045927E-3</v>
      </c>
      <c r="AL181" s="376">
        <v>2.8075762655045927E-3</v>
      </c>
      <c r="AM181" s="412"/>
    </row>
    <row r="182" spans="2:39" s="377" customFormat="1" ht="28.15" customHeight="1" x14ac:dyDescent="0.25">
      <c r="B182" s="369">
        <v>43188</v>
      </c>
      <c r="C182" s="370">
        <v>233259</v>
      </c>
      <c r="D182" s="370">
        <v>0</v>
      </c>
      <c r="E182" s="371">
        <v>0</v>
      </c>
      <c r="F182" s="371">
        <v>0</v>
      </c>
      <c r="G182" s="371">
        <v>0</v>
      </c>
      <c r="H182" s="371"/>
      <c r="I182" s="371"/>
      <c r="J182" s="371"/>
      <c r="K182" s="371"/>
      <c r="L182" s="371"/>
      <c r="M182" s="371">
        <v>650000</v>
      </c>
      <c r="N182" s="371">
        <v>44000</v>
      </c>
      <c r="O182" s="371">
        <v>1600</v>
      </c>
      <c r="P182" s="371">
        <f t="shared" si="2"/>
        <v>91683</v>
      </c>
      <c r="Q182" s="371">
        <v>-59825</v>
      </c>
      <c r="R182" s="372">
        <v>233259</v>
      </c>
      <c r="S182" s="400">
        <v>226824.03</v>
      </c>
      <c r="T182" s="400">
        <v>0</v>
      </c>
      <c r="U182" s="400">
        <v>0</v>
      </c>
      <c r="V182" s="400">
        <v>0</v>
      </c>
      <c r="W182" s="372">
        <v>226824.03</v>
      </c>
      <c r="X182" s="373">
        <v>226824.03</v>
      </c>
      <c r="Y182" s="372">
        <v>233259</v>
      </c>
      <c r="Z182" s="373">
        <v>960717</v>
      </c>
      <c r="AA182" s="400">
        <v>0</v>
      </c>
      <c r="AB182" s="400">
        <v>0</v>
      </c>
      <c r="AC182" s="400">
        <v>0</v>
      </c>
      <c r="AD182" s="400">
        <v>0</v>
      </c>
      <c r="AE182" s="372">
        <v>0</v>
      </c>
      <c r="AF182" s="372">
        <v>0</v>
      </c>
      <c r="AG182" s="400">
        <v>3.4400000000000261</v>
      </c>
      <c r="AH182" s="374">
        <v>0</v>
      </c>
      <c r="AI182" s="375">
        <v>0</v>
      </c>
      <c r="AJ182" s="372">
        <v>242.08</v>
      </c>
      <c r="AK182" s="376">
        <v>1.4210178453403942E-2</v>
      </c>
      <c r="AL182" s="376">
        <v>-1.4210178453403942E-2</v>
      </c>
      <c r="AM182" s="412"/>
    </row>
    <row r="183" spans="2:39" s="377" customFormat="1" ht="28.15" customHeight="1" x14ac:dyDescent="0.25">
      <c r="B183" s="369">
        <v>43189</v>
      </c>
      <c r="C183" s="370">
        <v>233259</v>
      </c>
      <c r="D183" s="370">
        <v>0</v>
      </c>
      <c r="E183" s="371">
        <v>0</v>
      </c>
      <c r="F183" s="371">
        <v>0</v>
      </c>
      <c r="G183" s="371">
        <v>0</v>
      </c>
      <c r="H183" s="371"/>
      <c r="I183" s="371"/>
      <c r="J183" s="371"/>
      <c r="K183" s="371"/>
      <c r="L183" s="371"/>
      <c r="M183" s="371">
        <v>650000</v>
      </c>
      <c r="N183" s="371">
        <v>44000</v>
      </c>
      <c r="O183" s="371">
        <v>1600</v>
      </c>
      <c r="P183" s="371">
        <f t="shared" si="2"/>
        <v>91683</v>
      </c>
      <c r="Q183" s="371">
        <v>-59825</v>
      </c>
      <c r="R183" s="372">
        <v>233259</v>
      </c>
      <c r="S183" s="400">
        <v>226824.03</v>
      </c>
      <c r="T183" s="400">
        <v>0</v>
      </c>
      <c r="U183" s="400">
        <v>0</v>
      </c>
      <c r="V183" s="400">
        <v>0</v>
      </c>
      <c r="W183" s="372">
        <v>226824.03</v>
      </c>
      <c r="X183" s="373">
        <v>226824.03</v>
      </c>
      <c r="Y183" s="372">
        <v>233259</v>
      </c>
      <c r="Z183" s="373">
        <v>960717</v>
      </c>
      <c r="AA183" s="400">
        <v>0</v>
      </c>
      <c r="AB183" s="400">
        <v>0</v>
      </c>
      <c r="AC183" s="400">
        <v>0</v>
      </c>
      <c r="AD183" s="400">
        <v>0</v>
      </c>
      <c r="AE183" s="372">
        <v>0</v>
      </c>
      <c r="AF183" s="372">
        <v>0</v>
      </c>
      <c r="AG183" s="400">
        <v>0</v>
      </c>
      <c r="AH183" s="374">
        <v>0</v>
      </c>
      <c r="AI183" s="375">
        <v>0</v>
      </c>
      <c r="AJ183" s="372">
        <v>242.08</v>
      </c>
      <c r="AK183" s="376">
        <v>0</v>
      </c>
      <c r="AL183" s="376">
        <v>0</v>
      </c>
      <c r="AM183" s="412"/>
    </row>
    <row r="184" spans="2:39" s="377" customFormat="1" ht="28.15" customHeight="1" x14ac:dyDescent="0.25">
      <c r="B184" s="378">
        <v>43190</v>
      </c>
      <c r="C184" s="370">
        <v>233259</v>
      </c>
      <c r="D184" s="370">
        <v>0</v>
      </c>
      <c r="E184" s="371">
        <v>0</v>
      </c>
      <c r="F184" s="371">
        <v>0</v>
      </c>
      <c r="G184" s="371">
        <v>0</v>
      </c>
      <c r="H184" s="371"/>
      <c r="I184" s="371"/>
      <c r="J184" s="371"/>
      <c r="K184" s="371"/>
      <c r="L184" s="371"/>
      <c r="M184" s="371">
        <v>650000</v>
      </c>
      <c r="N184" s="371">
        <v>44000</v>
      </c>
      <c r="O184" s="371">
        <v>1600</v>
      </c>
      <c r="P184" s="371">
        <f t="shared" si="2"/>
        <v>91683</v>
      </c>
      <c r="Q184" s="371">
        <v>-59825</v>
      </c>
      <c r="R184" s="372">
        <v>233259</v>
      </c>
      <c r="S184" s="400">
        <v>226824.03</v>
      </c>
      <c r="T184" s="400">
        <v>0</v>
      </c>
      <c r="U184" s="400">
        <v>0</v>
      </c>
      <c r="V184" s="400">
        <v>0</v>
      </c>
      <c r="W184" s="372">
        <v>226824.03</v>
      </c>
      <c r="X184" s="373">
        <v>226824.03</v>
      </c>
      <c r="Y184" s="372">
        <v>233259</v>
      </c>
      <c r="Z184" s="373">
        <v>960717</v>
      </c>
      <c r="AA184" s="400">
        <v>0</v>
      </c>
      <c r="AB184" s="400">
        <v>0</v>
      </c>
      <c r="AC184" s="400">
        <v>0</v>
      </c>
      <c r="AD184" s="400">
        <v>0</v>
      </c>
      <c r="AE184" s="372">
        <v>0</v>
      </c>
      <c r="AF184" s="372">
        <v>0</v>
      </c>
      <c r="AG184" s="400">
        <v>0</v>
      </c>
      <c r="AH184" s="374">
        <v>0</v>
      </c>
      <c r="AI184" s="375">
        <v>0</v>
      </c>
      <c r="AJ184" s="372">
        <v>242.08</v>
      </c>
      <c r="AK184" s="376">
        <v>0</v>
      </c>
      <c r="AL184" s="376">
        <v>0</v>
      </c>
      <c r="AM184" s="412"/>
    </row>
    <row r="185" spans="2:39" s="377" customFormat="1" ht="28.15" customHeight="1" x14ac:dyDescent="0.25">
      <c r="B185" s="378">
        <v>43191</v>
      </c>
      <c r="C185" s="370">
        <v>238010.73</v>
      </c>
      <c r="D185" s="370">
        <v>0</v>
      </c>
      <c r="E185" s="371">
        <v>0</v>
      </c>
      <c r="F185" s="371">
        <v>0</v>
      </c>
      <c r="G185" s="371">
        <v>0</v>
      </c>
      <c r="H185" s="371"/>
      <c r="I185" s="371"/>
      <c r="J185" s="371"/>
      <c r="K185" s="371"/>
      <c r="L185" s="371"/>
      <c r="M185" s="371">
        <v>650000</v>
      </c>
      <c r="N185" s="371">
        <v>44000</v>
      </c>
      <c r="O185" s="371">
        <v>1600</v>
      </c>
      <c r="P185" s="371">
        <f t="shared" si="2"/>
        <v>91683</v>
      </c>
      <c r="Q185" s="371">
        <v>-59825</v>
      </c>
      <c r="R185" s="372">
        <v>238010.73</v>
      </c>
      <c r="S185" s="400">
        <v>226824.03</v>
      </c>
      <c r="T185" s="400">
        <v>0</v>
      </c>
      <c r="U185" s="400">
        <v>0</v>
      </c>
      <c r="V185" s="400">
        <v>0</v>
      </c>
      <c r="W185" s="372">
        <v>226824.03</v>
      </c>
      <c r="X185" s="373">
        <v>226824.03</v>
      </c>
      <c r="Y185" s="372">
        <v>238010.73</v>
      </c>
      <c r="Z185" s="373">
        <v>965468.73</v>
      </c>
      <c r="AA185" s="400">
        <v>4751.7300000000105</v>
      </c>
      <c r="AB185" s="400">
        <v>0</v>
      </c>
      <c r="AC185" s="400">
        <v>0</v>
      </c>
      <c r="AD185" s="400">
        <v>0</v>
      </c>
      <c r="AE185" s="372">
        <v>4751.7300000000105</v>
      </c>
      <c r="AF185" s="372">
        <v>4751.7300000000105</v>
      </c>
      <c r="AG185" s="400">
        <v>0</v>
      </c>
      <c r="AH185" s="374">
        <v>1.996435202732251E-2</v>
      </c>
      <c r="AI185" s="375">
        <v>0</v>
      </c>
      <c r="AJ185" s="372">
        <v>242.08</v>
      </c>
      <c r="AK185" s="376">
        <v>0</v>
      </c>
      <c r="AL185" s="376">
        <v>1.996435202732251E-2</v>
      </c>
      <c r="AM185" s="412"/>
    </row>
    <row r="186" spans="2:39" s="377" customFormat="1" ht="28.15" customHeight="1" x14ac:dyDescent="0.25">
      <c r="B186" s="369">
        <v>43192</v>
      </c>
      <c r="C186" s="370">
        <v>238010.73</v>
      </c>
      <c r="D186" s="370">
        <v>0</v>
      </c>
      <c r="E186" s="371">
        <v>0</v>
      </c>
      <c r="F186" s="371">
        <v>0</v>
      </c>
      <c r="G186" s="371">
        <v>0</v>
      </c>
      <c r="H186" s="371"/>
      <c r="I186" s="371"/>
      <c r="J186" s="371"/>
      <c r="K186" s="371"/>
      <c r="L186" s="371"/>
      <c r="M186" s="371">
        <v>650000</v>
      </c>
      <c r="N186" s="371">
        <v>44000</v>
      </c>
      <c r="O186" s="371">
        <v>1600</v>
      </c>
      <c r="P186" s="371">
        <f t="shared" si="2"/>
        <v>91683</v>
      </c>
      <c r="Q186" s="371">
        <v>-59825</v>
      </c>
      <c r="R186" s="372">
        <v>238010.73</v>
      </c>
      <c r="S186" s="400">
        <v>226824.03</v>
      </c>
      <c r="T186" s="400">
        <v>0</v>
      </c>
      <c r="U186" s="400">
        <v>0</v>
      </c>
      <c r="V186" s="400">
        <v>0</v>
      </c>
      <c r="W186" s="372">
        <v>226824.03</v>
      </c>
      <c r="X186" s="373">
        <v>226824.03</v>
      </c>
      <c r="Y186" s="372">
        <v>238010.73</v>
      </c>
      <c r="Z186" s="373">
        <v>965468.73</v>
      </c>
      <c r="AA186" s="400">
        <v>0</v>
      </c>
      <c r="AB186" s="400">
        <v>0</v>
      </c>
      <c r="AC186" s="400">
        <v>0</v>
      </c>
      <c r="AD186" s="400">
        <v>0</v>
      </c>
      <c r="AE186" s="372">
        <v>0</v>
      </c>
      <c r="AF186" s="372">
        <v>0</v>
      </c>
      <c r="AG186" s="400">
        <v>-5.6000000000000227</v>
      </c>
      <c r="AH186" s="374">
        <v>0</v>
      </c>
      <c r="AI186" s="375">
        <v>0</v>
      </c>
      <c r="AJ186" s="372">
        <v>236.48</v>
      </c>
      <c r="AK186" s="376">
        <v>-2.3680649526387106E-2</v>
      </c>
      <c r="AL186" s="376">
        <v>2.3680649526387106E-2</v>
      </c>
      <c r="AM186" s="412"/>
    </row>
    <row r="187" spans="2:39" s="377" customFormat="1" ht="28.15" customHeight="1" x14ac:dyDescent="0.25">
      <c r="B187" s="369">
        <v>43193</v>
      </c>
      <c r="C187" s="370">
        <v>238010.73</v>
      </c>
      <c r="D187" s="370">
        <v>0</v>
      </c>
      <c r="E187" s="371">
        <v>0</v>
      </c>
      <c r="F187" s="371">
        <v>0</v>
      </c>
      <c r="G187" s="371">
        <v>0</v>
      </c>
      <c r="H187" s="371"/>
      <c r="I187" s="371"/>
      <c r="J187" s="371"/>
      <c r="K187" s="371"/>
      <c r="L187" s="371"/>
      <c r="M187" s="371">
        <v>650000</v>
      </c>
      <c r="N187" s="371">
        <v>44000</v>
      </c>
      <c r="O187" s="371">
        <v>1600</v>
      </c>
      <c r="P187" s="371">
        <f t="shared" si="2"/>
        <v>91683</v>
      </c>
      <c r="Q187" s="371">
        <v>-59825</v>
      </c>
      <c r="R187" s="372">
        <v>238010.73</v>
      </c>
      <c r="S187" s="400">
        <v>226824.03</v>
      </c>
      <c r="T187" s="400">
        <v>0</v>
      </c>
      <c r="U187" s="400">
        <v>0</v>
      </c>
      <c r="V187" s="400">
        <v>0</v>
      </c>
      <c r="W187" s="372">
        <v>226824.03</v>
      </c>
      <c r="X187" s="373">
        <v>226824.03</v>
      </c>
      <c r="Y187" s="372">
        <v>238010.73</v>
      </c>
      <c r="Z187" s="373">
        <v>965468.73</v>
      </c>
      <c r="AA187" s="400">
        <v>0</v>
      </c>
      <c r="AB187" s="400">
        <v>0</v>
      </c>
      <c r="AC187" s="400">
        <v>0</v>
      </c>
      <c r="AD187" s="400">
        <v>0</v>
      </c>
      <c r="AE187" s="372">
        <v>0</v>
      </c>
      <c r="AF187" s="372">
        <v>0</v>
      </c>
      <c r="AG187" s="400">
        <v>3</v>
      </c>
      <c r="AH187" s="374">
        <v>0</v>
      </c>
      <c r="AI187" s="375">
        <v>0</v>
      </c>
      <c r="AJ187" s="372">
        <v>239.48</v>
      </c>
      <c r="AK187" s="376">
        <v>1.2527142141306164E-2</v>
      </c>
      <c r="AL187" s="376">
        <v>-1.2527142141306164E-2</v>
      </c>
      <c r="AM187" s="412"/>
    </row>
    <row r="188" spans="2:39" s="377" customFormat="1" ht="28.15" customHeight="1" x14ac:dyDescent="0.25">
      <c r="B188" s="369">
        <v>43194</v>
      </c>
      <c r="C188" s="370">
        <v>238010.73</v>
      </c>
      <c r="D188" s="370">
        <v>0</v>
      </c>
      <c r="E188" s="371">
        <v>0</v>
      </c>
      <c r="F188" s="371">
        <v>0</v>
      </c>
      <c r="G188" s="371">
        <v>0</v>
      </c>
      <c r="H188" s="371"/>
      <c r="I188" s="371"/>
      <c r="J188" s="371"/>
      <c r="K188" s="371"/>
      <c r="L188" s="371"/>
      <c r="M188" s="371">
        <v>650000</v>
      </c>
      <c r="N188" s="371">
        <v>44000</v>
      </c>
      <c r="O188" s="371">
        <v>1600</v>
      </c>
      <c r="P188" s="371">
        <f t="shared" si="2"/>
        <v>91683</v>
      </c>
      <c r="Q188" s="371">
        <v>-59825</v>
      </c>
      <c r="R188" s="372">
        <v>238010.73</v>
      </c>
      <c r="S188" s="400">
        <v>226824.03</v>
      </c>
      <c r="T188" s="400">
        <v>0</v>
      </c>
      <c r="U188" s="400">
        <v>0</v>
      </c>
      <c r="V188" s="400">
        <v>0</v>
      </c>
      <c r="W188" s="372">
        <v>226824.03</v>
      </c>
      <c r="X188" s="373">
        <v>226824.03</v>
      </c>
      <c r="Y188" s="372">
        <v>238010.73</v>
      </c>
      <c r="Z188" s="373">
        <v>965468.73</v>
      </c>
      <c r="AA188" s="400">
        <v>0</v>
      </c>
      <c r="AB188" s="400">
        <v>0</v>
      </c>
      <c r="AC188" s="400">
        <v>0</v>
      </c>
      <c r="AD188" s="400">
        <v>0</v>
      </c>
      <c r="AE188" s="372">
        <v>0</v>
      </c>
      <c r="AF188" s="372">
        <v>0</v>
      </c>
      <c r="AG188" s="400">
        <v>2.7600000000000193</v>
      </c>
      <c r="AH188" s="374">
        <v>0</v>
      </c>
      <c r="AI188" s="375">
        <v>0</v>
      </c>
      <c r="AJ188" s="372">
        <v>242.24</v>
      </c>
      <c r="AK188" s="376">
        <v>1.1393659180977622E-2</v>
      </c>
      <c r="AL188" s="376">
        <v>-1.1393659180977622E-2</v>
      </c>
      <c r="AM188" s="412"/>
    </row>
    <row r="189" spans="2:39" s="377" customFormat="1" ht="28.15" customHeight="1" x14ac:dyDescent="0.25">
      <c r="B189" s="369">
        <v>43195</v>
      </c>
      <c r="C189" s="370">
        <v>238010.73</v>
      </c>
      <c r="D189" s="370">
        <v>0</v>
      </c>
      <c r="E189" s="371">
        <v>0</v>
      </c>
      <c r="F189" s="371">
        <v>0</v>
      </c>
      <c r="G189" s="371">
        <v>0</v>
      </c>
      <c r="H189" s="371"/>
      <c r="I189" s="371"/>
      <c r="J189" s="371"/>
      <c r="K189" s="371"/>
      <c r="L189" s="371"/>
      <c r="M189" s="371">
        <v>650000</v>
      </c>
      <c r="N189" s="371">
        <v>44000</v>
      </c>
      <c r="O189" s="371">
        <v>1600</v>
      </c>
      <c r="P189" s="371">
        <f t="shared" si="2"/>
        <v>91683</v>
      </c>
      <c r="Q189" s="371">
        <v>-59825</v>
      </c>
      <c r="R189" s="372">
        <v>238010.73</v>
      </c>
      <c r="S189" s="400">
        <v>226824.03</v>
      </c>
      <c r="T189" s="400">
        <v>0</v>
      </c>
      <c r="U189" s="400">
        <v>0</v>
      </c>
      <c r="V189" s="400">
        <v>0</v>
      </c>
      <c r="W189" s="372">
        <v>226824.03</v>
      </c>
      <c r="X189" s="373">
        <v>226824.03</v>
      </c>
      <c r="Y189" s="372">
        <v>238010.73</v>
      </c>
      <c r="Z189" s="373">
        <v>965468.73</v>
      </c>
      <c r="AA189" s="400">
        <v>0</v>
      </c>
      <c r="AB189" s="400">
        <v>0</v>
      </c>
      <c r="AC189" s="400">
        <v>0</v>
      </c>
      <c r="AD189" s="400">
        <v>0</v>
      </c>
      <c r="AE189" s="372">
        <v>0</v>
      </c>
      <c r="AF189" s="372">
        <v>0</v>
      </c>
      <c r="AG189" s="400">
        <v>1.75</v>
      </c>
      <c r="AH189" s="374">
        <v>0</v>
      </c>
      <c r="AI189" s="375">
        <v>0</v>
      </c>
      <c r="AJ189" s="372">
        <v>243.99</v>
      </c>
      <c r="AK189" s="376">
        <v>7.1724250993893193E-3</v>
      </c>
      <c r="AL189" s="376">
        <v>-7.1724250993893193E-3</v>
      </c>
      <c r="AM189" s="412"/>
    </row>
    <row r="190" spans="2:39" s="377" customFormat="1" ht="28.15" customHeight="1" x14ac:dyDescent="0.25">
      <c r="B190" s="369">
        <v>43196</v>
      </c>
      <c r="C190" s="370">
        <v>238010.73</v>
      </c>
      <c r="D190" s="370">
        <v>0</v>
      </c>
      <c r="E190" s="371">
        <v>0</v>
      </c>
      <c r="F190" s="371">
        <v>0</v>
      </c>
      <c r="G190" s="371">
        <v>0</v>
      </c>
      <c r="H190" s="371"/>
      <c r="I190" s="371"/>
      <c r="J190" s="371"/>
      <c r="K190" s="371"/>
      <c r="L190" s="371"/>
      <c r="M190" s="371">
        <v>650000</v>
      </c>
      <c r="N190" s="371">
        <v>44000</v>
      </c>
      <c r="O190" s="371">
        <v>1600</v>
      </c>
      <c r="P190" s="371">
        <f t="shared" si="2"/>
        <v>91683</v>
      </c>
      <c r="Q190" s="371">
        <v>-59825</v>
      </c>
      <c r="R190" s="372">
        <v>238010.73</v>
      </c>
      <c r="S190" s="400">
        <v>226824.03</v>
      </c>
      <c r="T190" s="400">
        <v>0</v>
      </c>
      <c r="U190" s="400">
        <v>0</v>
      </c>
      <c r="V190" s="400">
        <v>0</v>
      </c>
      <c r="W190" s="372">
        <v>226824.03</v>
      </c>
      <c r="X190" s="373">
        <v>226824.03</v>
      </c>
      <c r="Y190" s="372">
        <v>238010.73</v>
      </c>
      <c r="Z190" s="373">
        <v>965468.73</v>
      </c>
      <c r="AA190" s="400">
        <v>0</v>
      </c>
      <c r="AB190" s="400">
        <v>0</v>
      </c>
      <c r="AC190" s="400">
        <v>0</v>
      </c>
      <c r="AD190" s="400">
        <v>0</v>
      </c>
      <c r="AE190" s="372">
        <v>0</v>
      </c>
      <c r="AF190" s="372">
        <v>0</v>
      </c>
      <c r="AG190" s="400">
        <v>-5.3700000000000045</v>
      </c>
      <c r="AH190" s="374">
        <v>0</v>
      </c>
      <c r="AI190" s="375">
        <v>0</v>
      </c>
      <c r="AJ190" s="372">
        <v>238.62</v>
      </c>
      <c r="AK190" s="376">
        <v>-2.2504400301734995E-2</v>
      </c>
      <c r="AL190" s="376">
        <v>2.2504400301734995E-2</v>
      </c>
      <c r="AM190" s="412"/>
    </row>
    <row r="191" spans="2:39" s="377" customFormat="1" ht="28.15" customHeight="1" x14ac:dyDescent="0.25">
      <c r="B191" s="378">
        <v>43197</v>
      </c>
      <c r="C191" s="370">
        <v>238010.73</v>
      </c>
      <c r="D191" s="370">
        <v>0</v>
      </c>
      <c r="E191" s="371">
        <v>0</v>
      </c>
      <c r="F191" s="371">
        <v>0</v>
      </c>
      <c r="G191" s="371">
        <v>0</v>
      </c>
      <c r="H191" s="371"/>
      <c r="I191" s="371"/>
      <c r="J191" s="371"/>
      <c r="K191" s="371"/>
      <c r="L191" s="371"/>
      <c r="M191" s="371">
        <v>650000</v>
      </c>
      <c r="N191" s="371">
        <v>44000</v>
      </c>
      <c r="O191" s="371">
        <v>1600</v>
      </c>
      <c r="P191" s="371">
        <f t="shared" si="2"/>
        <v>91683</v>
      </c>
      <c r="Q191" s="371">
        <v>-59825</v>
      </c>
      <c r="R191" s="372">
        <v>238010.73</v>
      </c>
      <c r="S191" s="400">
        <v>226824.03</v>
      </c>
      <c r="T191" s="400">
        <v>0</v>
      </c>
      <c r="U191" s="400">
        <v>0</v>
      </c>
      <c r="V191" s="400">
        <v>0</v>
      </c>
      <c r="W191" s="372">
        <v>226824.03</v>
      </c>
      <c r="X191" s="373">
        <v>226824.03</v>
      </c>
      <c r="Y191" s="372">
        <v>238010.73</v>
      </c>
      <c r="Z191" s="373">
        <v>965468.73</v>
      </c>
      <c r="AA191" s="400">
        <v>0</v>
      </c>
      <c r="AB191" s="400">
        <v>0</v>
      </c>
      <c r="AC191" s="400">
        <v>0</v>
      </c>
      <c r="AD191" s="400">
        <v>0</v>
      </c>
      <c r="AE191" s="372">
        <v>0</v>
      </c>
      <c r="AF191" s="372">
        <v>0</v>
      </c>
      <c r="AG191" s="400">
        <v>0</v>
      </c>
      <c r="AH191" s="374">
        <v>0</v>
      </c>
      <c r="AI191" s="375">
        <v>0</v>
      </c>
      <c r="AJ191" s="372">
        <v>238.62</v>
      </c>
      <c r="AK191" s="376">
        <v>0</v>
      </c>
      <c r="AL191" s="376">
        <v>0</v>
      </c>
      <c r="AM191" s="412"/>
    </row>
    <row r="192" spans="2:39" s="377" customFormat="1" ht="28.15" customHeight="1" x14ac:dyDescent="0.25">
      <c r="B192" s="378">
        <v>43198</v>
      </c>
      <c r="C192" s="370">
        <v>238010.73</v>
      </c>
      <c r="D192" s="370">
        <v>0</v>
      </c>
      <c r="E192" s="371">
        <v>0</v>
      </c>
      <c r="F192" s="371">
        <v>0</v>
      </c>
      <c r="G192" s="371">
        <v>0</v>
      </c>
      <c r="H192" s="371"/>
      <c r="I192" s="371"/>
      <c r="J192" s="371"/>
      <c r="K192" s="371"/>
      <c r="L192" s="371"/>
      <c r="M192" s="371">
        <v>650000</v>
      </c>
      <c r="N192" s="371">
        <v>44000</v>
      </c>
      <c r="O192" s="371">
        <v>1600</v>
      </c>
      <c r="P192" s="371">
        <f t="shared" si="2"/>
        <v>91683</v>
      </c>
      <c r="Q192" s="371">
        <v>-59825</v>
      </c>
      <c r="R192" s="372">
        <v>238010.73</v>
      </c>
      <c r="S192" s="400">
        <v>226824.03</v>
      </c>
      <c r="T192" s="400">
        <v>0</v>
      </c>
      <c r="U192" s="400">
        <v>0</v>
      </c>
      <c r="V192" s="400">
        <v>0</v>
      </c>
      <c r="W192" s="372">
        <v>226824.03</v>
      </c>
      <c r="X192" s="373">
        <v>226824.03</v>
      </c>
      <c r="Y192" s="372">
        <v>238010.73</v>
      </c>
      <c r="Z192" s="373">
        <v>965468.73</v>
      </c>
      <c r="AA192" s="400">
        <v>0</v>
      </c>
      <c r="AB192" s="400">
        <v>0</v>
      </c>
      <c r="AC192" s="400">
        <v>0</v>
      </c>
      <c r="AD192" s="400">
        <v>0</v>
      </c>
      <c r="AE192" s="372">
        <v>0</v>
      </c>
      <c r="AF192" s="372">
        <v>0</v>
      </c>
      <c r="AG192" s="400">
        <v>0</v>
      </c>
      <c r="AH192" s="374">
        <v>0</v>
      </c>
      <c r="AI192" s="375">
        <v>0</v>
      </c>
      <c r="AJ192" s="372">
        <v>238.62</v>
      </c>
      <c r="AK192" s="376">
        <v>0</v>
      </c>
      <c r="AL192" s="376">
        <v>0</v>
      </c>
      <c r="AM192" s="412"/>
    </row>
    <row r="193" spans="2:39" s="377" customFormat="1" ht="28.15" customHeight="1" x14ac:dyDescent="0.25">
      <c r="B193" s="369">
        <v>43199</v>
      </c>
      <c r="C193" s="370">
        <v>238010.73</v>
      </c>
      <c r="D193" s="370">
        <v>0</v>
      </c>
      <c r="E193" s="371">
        <v>0</v>
      </c>
      <c r="F193" s="371">
        <v>0</v>
      </c>
      <c r="G193" s="371">
        <v>0</v>
      </c>
      <c r="H193" s="371">
        <v>75</v>
      </c>
      <c r="I193" s="371"/>
      <c r="J193" s="371"/>
      <c r="K193" s="371"/>
      <c r="L193" s="371"/>
      <c r="M193" s="371">
        <v>650000</v>
      </c>
      <c r="N193" s="371">
        <v>44000</v>
      </c>
      <c r="O193" s="371">
        <v>1600</v>
      </c>
      <c r="P193" s="371">
        <f t="shared" si="2"/>
        <v>91683</v>
      </c>
      <c r="Q193" s="371">
        <v>-59825</v>
      </c>
      <c r="R193" s="372">
        <v>238010.73</v>
      </c>
      <c r="S193" s="400">
        <v>226899.03</v>
      </c>
      <c r="T193" s="400">
        <v>0</v>
      </c>
      <c r="U193" s="400">
        <v>0</v>
      </c>
      <c r="V193" s="400">
        <v>0</v>
      </c>
      <c r="W193" s="372">
        <v>226899.03</v>
      </c>
      <c r="X193" s="373">
        <v>226899.03</v>
      </c>
      <c r="Y193" s="372">
        <v>238010.73</v>
      </c>
      <c r="Z193" s="373">
        <v>965468.73</v>
      </c>
      <c r="AA193" s="400">
        <v>-75</v>
      </c>
      <c r="AB193" s="400">
        <v>0</v>
      </c>
      <c r="AC193" s="400">
        <v>0</v>
      </c>
      <c r="AD193" s="400">
        <v>0</v>
      </c>
      <c r="AE193" s="372">
        <v>-75</v>
      </c>
      <c r="AF193" s="372">
        <v>-75</v>
      </c>
      <c r="AG193" s="400">
        <v>0.96999999999999886</v>
      </c>
      <c r="AH193" s="374">
        <v>-3.1511184390720532E-4</v>
      </c>
      <c r="AI193" s="375">
        <v>0</v>
      </c>
      <c r="AJ193" s="372">
        <v>239.59</v>
      </c>
      <c r="AK193" s="376">
        <v>4.0485829959514118E-3</v>
      </c>
      <c r="AL193" s="376">
        <v>-4.3636948398586171E-3</v>
      </c>
      <c r="AM193" s="412"/>
    </row>
    <row r="194" spans="2:39" s="377" customFormat="1" ht="28.15" customHeight="1" x14ac:dyDescent="0.25">
      <c r="B194" s="369">
        <v>43200</v>
      </c>
      <c r="C194" s="370">
        <v>238010.73</v>
      </c>
      <c r="D194" s="370">
        <v>0</v>
      </c>
      <c r="E194" s="371">
        <v>0</v>
      </c>
      <c r="F194" s="371">
        <v>0</v>
      </c>
      <c r="G194" s="371">
        <v>0</v>
      </c>
      <c r="H194" s="371"/>
      <c r="I194" s="371"/>
      <c r="J194" s="371"/>
      <c r="K194" s="371"/>
      <c r="L194" s="371"/>
      <c r="M194" s="371">
        <v>650000</v>
      </c>
      <c r="N194" s="371">
        <v>44000</v>
      </c>
      <c r="O194" s="371">
        <v>1600</v>
      </c>
      <c r="P194" s="371">
        <f t="shared" si="2"/>
        <v>91683</v>
      </c>
      <c r="Q194" s="371">
        <v>-59825</v>
      </c>
      <c r="R194" s="372">
        <v>238010.73</v>
      </c>
      <c r="S194" s="400">
        <v>226899.03</v>
      </c>
      <c r="T194" s="400">
        <v>0</v>
      </c>
      <c r="U194" s="400">
        <v>0</v>
      </c>
      <c r="V194" s="400">
        <v>0</v>
      </c>
      <c r="W194" s="372">
        <v>226899.03</v>
      </c>
      <c r="X194" s="373">
        <v>226899.03</v>
      </c>
      <c r="Y194" s="372">
        <v>238010.73</v>
      </c>
      <c r="Z194" s="373">
        <v>965468.73</v>
      </c>
      <c r="AA194" s="400">
        <v>0</v>
      </c>
      <c r="AB194" s="400">
        <v>0</v>
      </c>
      <c r="AC194" s="400">
        <v>0</v>
      </c>
      <c r="AD194" s="400">
        <v>0</v>
      </c>
      <c r="AE194" s="372">
        <v>0</v>
      </c>
      <c r="AF194" s="372">
        <v>0</v>
      </c>
      <c r="AG194" s="400">
        <v>3.9499999999999886</v>
      </c>
      <c r="AH194" s="374">
        <v>0</v>
      </c>
      <c r="AI194" s="375">
        <v>0</v>
      </c>
      <c r="AJ194" s="372">
        <v>243.54</v>
      </c>
      <c r="AK194" s="376">
        <v>1.6219101584955199E-2</v>
      </c>
      <c r="AL194" s="376">
        <v>-1.6219101584955199E-2</v>
      </c>
      <c r="AM194" s="412"/>
    </row>
    <row r="195" spans="2:39" s="377" customFormat="1" ht="28.15" customHeight="1" x14ac:dyDescent="0.25">
      <c r="B195" s="369">
        <v>43201</v>
      </c>
      <c r="C195" s="370">
        <v>238010.73</v>
      </c>
      <c r="D195" s="370">
        <v>0</v>
      </c>
      <c r="E195" s="371">
        <v>0</v>
      </c>
      <c r="F195" s="371">
        <v>0</v>
      </c>
      <c r="G195" s="371">
        <v>0</v>
      </c>
      <c r="H195" s="371"/>
      <c r="I195" s="371"/>
      <c r="J195" s="371"/>
      <c r="K195" s="371"/>
      <c r="L195" s="371"/>
      <c r="M195" s="371">
        <v>650000</v>
      </c>
      <c r="N195" s="371">
        <v>44000</v>
      </c>
      <c r="O195" s="371">
        <v>1600</v>
      </c>
      <c r="P195" s="371">
        <f t="shared" si="2"/>
        <v>91683</v>
      </c>
      <c r="Q195" s="371">
        <v>-59825</v>
      </c>
      <c r="R195" s="372">
        <v>238010.73</v>
      </c>
      <c r="S195" s="400">
        <v>226899.03</v>
      </c>
      <c r="T195" s="400">
        <v>0</v>
      </c>
      <c r="U195" s="400">
        <v>0</v>
      </c>
      <c r="V195" s="400">
        <v>0</v>
      </c>
      <c r="W195" s="372">
        <v>226899.03</v>
      </c>
      <c r="X195" s="373">
        <v>226899.03</v>
      </c>
      <c r="Y195" s="372">
        <v>238010.73</v>
      </c>
      <c r="Z195" s="373">
        <v>965468.73</v>
      </c>
      <c r="AA195" s="400">
        <v>0</v>
      </c>
      <c r="AB195" s="400">
        <v>0</v>
      </c>
      <c r="AC195" s="400">
        <v>0</v>
      </c>
      <c r="AD195" s="400">
        <v>0</v>
      </c>
      <c r="AE195" s="372">
        <v>0</v>
      </c>
      <c r="AF195" s="372">
        <v>0</v>
      </c>
      <c r="AG195" s="400">
        <v>-1.289999999999992</v>
      </c>
      <c r="AH195" s="374">
        <v>0</v>
      </c>
      <c r="AI195" s="375">
        <v>0</v>
      </c>
      <c r="AJ195" s="372">
        <v>242.25</v>
      </c>
      <c r="AK195" s="376">
        <v>-5.3250773993807725E-3</v>
      </c>
      <c r="AL195" s="376">
        <v>5.3250773993807725E-3</v>
      </c>
      <c r="AM195" s="412"/>
    </row>
    <row r="196" spans="2:39" s="377" customFormat="1" ht="28.15" customHeight="1" x14ac:dyDescent="0.25">
      <c r="B196" s="369">
        <v>43202</v>
      </c>
      <c r="C196" s="370">
        <v>238010.73</v>
      </c>
      <c r="D196" s="370">
        <v>0</v>
      </c>
      <c r="E196" s="371">
        <v>0</v>
      </c>
      <c r="F196" s="371">
        <v>0</v>
      </c>
      <c r="G196" s="371">
        <v>0</v>
      </c>
      <c r="H196" s="371"/>
      <c r="I196" s="371"/>
      <c r="J196" s="371"/>
      <c r="K196" s="371"/>
      <c r="L196" s="371"/>
      <c r="M196" s="371">
        <v>650000</v>
      </c>
      <c r="N196" s="371">
        <v>44000</v>
      </c>
      <c r="O196" s="371">
        <v>1600</v>
      </c>
      <c r="P196" s="371">
        <f t="shared" si="2"/>
        <v>91683</v>
      </c>
      <c r="Q196" s="371">
        <v>-59825</v>
      </c>
      <c r="R196" s="372">
        <v>238010.73</v>
      </c>
      <c r="S196" s="400">
        <v>226899.03</v>
      </c>
      <c r="T196" s="400">
        <v>0</v>
      </c>
      <c r="U196" s="400">
        <v>0</v>
      </c>
      <c r="V196" s="400">
        <v>0</v>
      </c>
      <c r="W196" s="372">
        <v>226899.03</v>
      </c>
      <c r="X196" s="373">
        <v>226899.03</v>
      </c>
      <c r="Y196" s="372">
        <v>238010.73</v>
      </c>
      <c r="Z196" s="373">
        <v>965468.73</v>
      </c>
      <c r="AA196" s="400">
        <v>0</v>
      </c>
      <c r="AB196" s="400">
        <v>0</v>
      </c>
      <c r="AC196" s="400">
        <v>0</v>
      </c>
      <c r="AD196" s="400">
        <v>0</v>
      </c>
      <c r="AE196" s="372">
        <v>0</v>
      </c>
      <c r="AF196" s="372">
        <v>0</v>
      </c>
      <c r="AG196" s="400">
        <v>2.0300000000000011</v>
      </c>
      <c r="AH196" s="374">
        <v>0</v>
      </c>
      <c r="AI196" s="375">
        <v>0</v>
      </c>
      <c r="AJ196" s="372">
        <v>244.28</v>
      </c>
      <c r="AK196" s="376">
        <v>8.3101359096119255E-3</v>
      </c>
      <c r="AL196" s="376">
        <v>-8.3101359096119255E-3</v>
      </c>
      <c r="AM196" s="412"/>
    </row>
    <row r="197" spans="2:39" s="377" customFormat="1" ht="28.15" customHeight="1" x14ac:dyDescent="0.25">
      <c r="B197" s="369">
        <v>43203</v>
      </c>
      <c r="C197" s="370">
        <v>238010.73</v>
      </c>
      <c r="D197" s="370">
        <v>0</v>
      </c>
      <c r="E197" s="371">
        <v>0</v>
      </c>
      <c r="F197" s="371">
        <v>0</v>
      </c>
      <c r="G197" s="371">
        <v>0</v>
      </c>
      <c r="H197" s="371"/>
      <c r="I197" s="371"/>
      <c r="J197" s="371"/>
      <c r="K197" s="371"/>
      <c r="L197" s="371"/>
      <c r="M197" s="371">
        <v>650000</v>
      </c>
      <c r="N197" s="371">
        <v>44000</v>
      </c>
      <c r="O197" s="371">
        <v>1600</v>
      </c>
      <c r="P197" s="371">
        <f t="shared" si="2"/>
        <v>91683</v>
      </c>
      <c r="Q197" s="371">
        <v>-59825</v>
      </c>
      <c r="R197" s="372">
        <v>238010.73</v>
      </c>
      <c r="S197" s="400">
        <v>226899.03</v>
      </c>
      <c r="T197" s="400">
        <v>0</v>
      </c>
      <c r="U197" s="400">
        <v>0</v>
      </c>
      <c r="V197" s="400">
        <v>0</v>
      </c>
      <c r="W197" s="372">
        <v>226899.03</v>
      </c>
      <c r="X197" s="373">
        <v>226899.03</v>
      </c>
      <c r="Y197" s="372">
        <v>238010.73</v>
      </c>
      <c r="Z197" s="373">
        <v>965468.73</v>
      </c>
      <c r="AA197" s="400">
        <v>0</v>
      </c>
      <c r="AB197" s="400">
        <v>0</v>
      </c>
      <c r="AC197" s="400">
        <v>0</v>
      </c>
      <c r="AD197" s="400">
        <v>0</v>
      </c>
      <c r="AE197" s="372">
        <v>0</v>
      </c>
      <c r="AF197" s="372">
        <v>0</v>
      </c>
      <c r="AG197" s="400">
        <v>-0.68000000000000682</v>
      </c>
      <c r="AH197" s="374">
        <v>0</v>
      </c>
      <c r="AI197" s="375">
        <v>0</v>
      </c>
      <c r="AJ197" s="372">
        <v>243.6</v>
      </c>
      <c r="AK197" s="376">
        <v>-2.7914614121510952E-3</v>
      </c>
      <c r="AL197" s="376">
        <v>2.7914614121510952E-3</v>
      </c>
      <c r="AM197" s="412"/>
    </row>
    <row r="198" spans="2:39" s="377" customFormat="1" ht="28.15" customHeight="1" x14ac:dyDescent="0.25">
      <c r="B198" s="378">
        <v>43204</v>
      </c>
      <c r="C198" s="370">
        <v>238010.73</v>
      </c>
      <c r="D198" s="370">
        <v>0</v>
      </c>
      <c r="E198" s="371">
        <v>0</v>
      </c>
      <c r="F198" s="371">
        <v>0</v>
      </c>
      <c r="G198" s="371">
        <v>0</v>
      </c>
      <c r="H198" s="371"/>
      <c r="I198" s="371"/>
      <c r="J198" s="371"/>
      <c r="K198" s="371"/>
      <c r="L198" s="371"/>
      <c r="M198" s="371">
        <v>650000</v>
      </c>
      <c r="N198" s="371">
        <v>44000</v>
      </c>
      <c r="O198" s="371">
        <v>1600</v>
      </c>
      <c r="P198" s="371">
        <f t="shared" si="2"/>
        <v>91683</v>
      </c>
      <c r="Q198" s="371">
        <v>-59825</v>
      </c>
      <c r="R198" s="372">
        <v>238010.73</v>
      </c>
      <c r="S198" s="400">
        <v>226899.03</v>
      </c>
      <c r="T198" s="400">
        <v>0</v>
      </c>
      <c r="U198" s="400">
        <v>0</v>
      </c>
      <c r="V198" s="400">
        <v>0</v>
      </c>
      <c r="W198" s="372">
        <v>226899.03</v>
      </c>
      <c r="X198" s="373">
        <v>226899.03</v>
      </c>
      <c r="Y198" s="372">
        <v>238010.73</v>
      </c>
      <c r="Z198" s="373">
        <v>965468.73</v>
      </c>
      <c r="AA198" s="400">
        <v>0</v>
      </c>
      <c r="AB198" s="400">
        <v>0</v>
      </c>
      <c r="AC198" s="400">
        <v>0</v>
      </c>
      <c r="AD198" s="400">
        <v>0</v>
      </c>
      <c r="AE198" s="372">
        <v>0</v>
      </c>
      <c r="AF198" s="372">
        <v>0</v>
      </c>
      <c r="AG198" s="400">
        <v>0</v>
      </c>
      <c r="AH198" s="374">
        <v>0</v>
      </c>
      <c r="AI198" s="375">
        <v>0</v>
      </c>
      <c r="AJ198" s="372">
        <v>243.6</v>
      </c>
      <c r="AK198" s="376">
        <v>0</v>
      </c>
      <c r="AL198" s="376">
        <v>0</v>
      </c>
      <c r="AM198" s="412"/>
    </row>
    <row r="199" spans="2:39" s="377" customFormat="1" ht="28.15" customHeight="1" x14ac:dyDescent="0.25">
      <c r="B199" s="378">
        <v>43205</v>
      </c>
      <c r="C199" s="370">
        <v>238010.73</v>
      </c>
      <c r="D199" s="370">
        <v>0</v>
      </c>
      <c r="E199" s="371">
        <v>0</v>
      </c>
      <c r="F199" s="371">
        <v>0</v>
      </c>
      <c r="G199" s="371">
        <v>0</v>
      </c>
      <c r="H199" s="371"/>
      <c r="I199" s="371"/>
      <c r="J199" s="371"/>
      <c r="K199" s="371"/>
      <c r="L199" s="371"/>
      <c r="M199" s="371">
        <v>650000</v>
      </c>
      <c r="N199" s="371">
        <v>44000</v>
      </c>
      <c r="O199" s="371">
        <v>1600</v>
      </c>
      <c r="P199" s="371">
        <f t="shared" si="2"/>
        <v>91683</v>
      </c>
      <c r="Q199" s="371">
        <v>-59825</v>
      </c>
      <c r="R199" s="372">
        <v>238010.73</v>
      </c>
      <c r="S199" s="400">
        <v>226899.03</v>
      </c>
      <c r="T199" s="400">
        <v>0</v>
      </c>
      <c r="U199" s="400">
        <v>0</v>
      </c>
      <c r="V199" s="400">
        <v>0</v>
      </c>
      <c r="W199" s="372">
        <v>226899.03</v>
      </c>
      <c r="X199" s="373">
        <v>226899.03</v>
      </c>
      <c r="Y199" s="372">
        <v>238010.73</v>
      </c>
      <c r="Z199" s="373">
        <v>965468.73</v>
      </c>
      <c r="AA199" s="400">
        <v>0</v>
      </c>
      <c r="AB199" s="400">
        <v>0</v>
      </c>
      <c r="AC199" s="400">
        <v>0</v>
      </c>
      <c r="AD199" s="400">
        <v>0</v>
      </c>
      <c r="AE199" s="372">
        <v>0</v>
      </c>
      <c r="AF199" s="372">
        <v>0</v>
      </c>
      <c r="AG199" s="400">
        <v>0</v>
      </c>
      <c r="AH199" s="374">
        <v>0</v>
      </c>
      <c r="AI199" s="375">
        <v>0</v>
      </c>
      <c r="AJ199" s="372">
        <v>243.6</v>
      </c>
      <c r="AK199" s="376">
        <v>0</v>
      </c>
      <c r="AL199" s="376">
        <v>0</v>
      </c>
      <c r="AM199" s="412"/>
    </row>
    <row r="200" spans="2:39" s="377" customFormat="1" ht="28.15" customHeight="1" x14ac:dyDescent="0.25">
      <c r="B200" s="369">
        <v>43206</v>
      </c>
      <c r="C200" s="370">
        <v>238010.73</v>
      </c>
      <c r="D200" s="370">
        <v>0</v>
      </c>
      <c r="E200" s="371">
        <v>0</v>
      </c>
      <c r="F200" s="371">
        <v>0</v>
      </c>
      <c r="G200" s="371">
        <v>0</v>
      </c>
      <c r="H200" s="371"/>
      <c r="I200" s="371"/>
      <c r="J200" s="371"/>
      <c r="K200" s="371"/>
      <c r="L200" s="371"/>
      <c r="M200" s="371">
        <v>650000</v>
      </c>
      <c r="N200" s="371">
        <v>44000</v>
      </c>
      <c r="O200" s="371">
        <v>1600</v>
      </c>
      <c r="P200" s="371">
        <f t="shared" si="2"/>
        <v>91683</v>
      </c>
      <c r="Q200" s="371">
        <v>-59825</v>
      </c>
      <c r="R200" s="372">
        <v>238010.73</v>
      </c>
      <c r="S200" s="400">
        <v>226899.03</v>
      </c>
      <c r="T200" s="400">
        <v>0</v>
      </c>
      <c r="U200" s="400">
        <v>0</v>
      </c>
      <c r="V200" s="400">
        <v>0</v>
      </c>
      <c r="W200" s="372">
        <v>226899.03</v>
      </c>
      <c r="X200" s="373">
        <v>226899.03</v>
      </c>
      <c r="Y200" s="372">
        <v>238010.73</v>
      </c>
      <c r="Z200" s="373">
        <v>965468.73</v>
      </c>
      <c r="AA200" s="400">
        <v>0</v>
      </c>
      <c r="AB200" s="400">
        <v>0</v>
      </c>
      <c r="AC200" s="400">
        <v>0</v>
      </c>
      <c r="AD200" s="400">
        <v>0</v>
      </c>
      <c r="AE200" s="372">
        <v>0</v>
      </c>
      <c r="AF200" s="372">
        <v>0</v>
      </c>
      <c r="AG200" s="400">
        <v>1.9800000000000182</v>
      </c>
      <c r="AH200" s="374">
        <v>0</v>
      </c>
      <c r="AI200" s="375">
        <v>0</v>
      </c>
      <c r="AJ200" s="372">
        <v>245.58</v>
      </c>
      <c r="AK200" s="376">
        <v>8.0625458099194483E-3</v>
      </c>
      <c r="AL200" s="376">
        <v>-8.0625458099194483E-3</v>
      </c>
      <c r="AM200" s="412">
        <v>244.70472081218276</v>
      </c>
    </row>
    <row r="201" spans="2:39" s="377" customFormat="1" ht="28.15" customHeight="1" x14ac:dyDescent="0.25">
      <c r="B201" s="369">
        <v>43207</v>
      </c>
      <c r="C201" s="370">
        <v>238010.73</v>
      </c>
      <c r="D201" s="370">
        <v>0</v>
      </c>
      <c r="E201" s="371">
        <v>0</v>
      </c>
      <c r="F201" s="371">
        <v>0</v>
      </c>
      <c r="G201" s="371">
        <v>0</v>
      </c>
      <c r="H201" s="371"/>
      <c r="I201" s="371"/>
      <c r="J201" s="371"/>
      <c r="K201" s="371"/>
      <c r="L201" s="371"/>
      <c r="M201" s="371">
        <v>650000</v>
      </c>
      <c r="N201" s="371">
        <v>44000</v>
      </c>
      <c r="O201" s="371">
        <v>1600</v>
      </c>
      <c r="P201" s="371">
        <f t="shared" si="2"/>
        <v>91683</v>
      </c>
      <c r="Q201" s="371">
        <v>-59825</v>
      </c>
      <c r="R201" s="372">
        <v>238010.73</v>
      </c>
      <c r="S201" s="400">
        <v>226899.03</v>
      </c>
      <c r="T201" s="400">
        <v>0</v>
      </c>
      <c r="U201" s="400">
        <v>0</v>
      </c>
      <c r="V201" s="400">
        <v>0</v>
      </c>
      <c r="W201" s="372">
        <v>226899.03</v>
      </c>
      <c r="X201" s="373">
        <v>226899.03</v>
      </c>
      <c r="Y201" s="372">
        <v>238010.73</v>
      </c>
      <c r="Z201" s="373">
        <v>965468.73</v>
      </c>
      <c r="AA201" s="400">
        <v>0</v>
      </c>
      <c r="AB201" s="400">
        <v>0</v>
      </c>
      <c r="AC201" s="400">
        <v>0</v>
      </c>
      <c r="AD201" s="400">
        <v>0</v>
      </c>
      <c r="AE201" s="372">
        <v>0</v>
      </c>
      <c r="AF201" s="372">
        <v>0</v>
      </c>
      <c r="AG201" s="400">
        <v>2.6399999999999864</v>
      </c>
      <c r="AH201" s="374">
        <v>0</v>
      </c>
      <c r="AI201" s="375">
        <v>0</v>
      </c>
      <c r="AJ201" s="372">
        <v>248.22</v>
      </c>
      <c r="AK201" s="376">
        <v>1.0635726371766926E-2</v>
      </c>
      <c r="AL201" s="376">
        <v>-1.0635726371766926E-2</v>
      </c>
      <c r="AM201" s="412">
        <v>244.77994923857872</v>
      </c>
    </row>
    <row r="202" spans="2:39" s="377" customFormat="1" ht="28.15" customHeight="1" x14ac:dyDescent="0.25">
      <c r="B202" s="369">
        <v>43208</v>
      </c>
      <c r="C202" s="370">
        <v>238010.73</v>
      </c>
      <c r="D202" s="370">
        <v>0</v>
      </c>
      <c r="E202" s="371">
        <v>0</v>
      </c>
      <c r="F202" s="371">
        <v>0</v>
      </c>
      <c r="G202" s="371">
        <v>0</v>
      </c>
      <c r="H202" s="371"/>
      <c r="I202" s="371"/>
      <c r="J202" s="371"/>
      <c r="K202" s="371"/>
      <c r="L202" s="371"/>
      <c r="M202" s="371">
        <v>650000</v>
      </c>
      <c r="N202" s="371">
        <v>44000</v>
      </c>
      <c r="O202" s="371">
        <v>1600</v>
      </c>
      <c r="P202" s="371">
        <f t="shared" si="2"/>
        <v>91683</v>
      </c>
      <c r="Q202" s="371">
        <v>-59825</v>
      </c>
      <c r="R202" s="372">
        <v>238010.73</v>
      </c>
      <c r="S202" s="400">
        <v>226899.03</v>
      </c>
      <c r="T202" s="400">
        <v>0</v>
      </c>
      <c r="U202" s="400">
        <v>0</v>
      </c>
      <c r="V202" s="400">
        <v>0</v>
      </c>
      <c r="W202" s="372">
        <v>226899.03</v>
      </c>
      <c r="X202" s="373">
        <v>226899.03</v>
      </c>
      <c r="Y202" s="372">
        <v>238010.73</v>
      </c>
      <c r="Z202" s="373">
        <v>965468.73</v>
      </c>
      <c r="AA202" s="400">
        <v>0</v>
      </c>
      <c r="AB202" s="400">
        <v>0</v>
      </c>
      <c r="AC202" s="400">
        <v>0</v>
      </c>
      <c r="AD202" s="400">
        <v>0</v>
      </c>
      <c r="AE202" s="372">
        <v>0</v>
      </c>
      <c r="AF202" s="372">
        <v>0</v>
      </c>
      <c r="AG202" s="400">
        <v>0.14000000000001478</v>
      </c>
      <c r="AH202" s="374">
        <v>0</v>
      </c>
      <c r="AI202" s="375">
        <v>0</v>
      </c>
      <c r="AJ202" s="372">
        <v>248.36</v>
      </c>
      <c r="AK202" s="376">
        <v>5.6369785794819929E-4</v>
      </c>
      <c r="AL202" s="376">
        <v>-5.6369785794819929E-4</v>
      </c>
      <c r="AM202" s="412">
        <v>244.86365482233506</v>
      </c>
    </row>
    <row r="203" spans="2:39" s="377" customFormat="1" ht="28.15" customHeight="1" x14ac:dyDescent="0.25">
      <c r="B203" s="369">
        <v>43209</v>
      </c>
      <c r="C203" s="370">
        <v>238010.73</v>
      </c>
      <c r="D203" s="370">
        <v>0</v>
      </c>
      <c r="E203" s="371">
        <v>0</v>
      </c>
      <c r="F203" s="371">
        <v>0</v>
      </c>
      <c r="G203" s="371">
        <v>0</v>
      </c>
      <c r="H203" s="371"/>
      <c r="I203" s="371"/>
      <c r="J203" s="371"/>
      <c r="K203" s="371"/>
      <c r="L203" s="371"/>
      <c r="M203" s="371">
        <v>650000</v>
      </c>
      <c r="N203" s="371">
        <v>44000</v>
      </c>
      <c r="O203" s="371">
        <v>1600</v>
      </c>
      <c r="P203" s="371">
        <f t="shared" si="2"/>
        <v>91683</v>
      </c>
      <c r="Q203" s="371">
        <v>-59825</v>
      </c>
      <c r="R203" s="372">
        <v>238010.73</v>
      </c>
      <c r="S203" s="400">
        <v>226899.03</v>
      </c>
      <c r="T203" s="400">
        <v>0</v>
      </c>
      <c r="U203" s="400">
        <v>0</v>
      </c>
      <c r="V203" s="400">
        <v>0</v>
      </c>
      <c r="W203" s="372">
        <v>226899.03</v>
      </c>
      <c r="X203" s="373">
        <v>226899.03</v>
      </c>
      <c r="Y203" s="372">
        <v>238010.73</v>
      </c>
      <c r="Z203" s="373">
        <v>965468.73</v>
      </c>
      <c r="AA203" s="400">
        <v>0</v>
      </c>
      <c r="AB203" s="400">
        <v>0</v>
      </c>
      <c r="AC203" s="400">
        <v>0</v>
      </c>
      <c r="AD203" s="400">
        <v>0</v>
      </c>
      <c r="AE203" s="372">
        <v>0</v>
      </c>
      <c r="AF203" s="372">
        <v>0</v>
      </c>
      <c r="AG203" s="400">
        <v>-1.3600000000000136</v>
      </c>
      <c r="AH203" s="374">
        <v>0</v>
      </c>
      <c r="AI203" s="375">
        <v>0</v>
      </c>
      <c r="AJ203" s="372">
        <v>247</v>
      </c>
      <c r="AK203" s="376">
        <v>-5.5060728744939823E-3</v>
      </c>
      <c r="AL203" s="376">
        <v>5.5060728744939823E-3</v>
      </c>
      <c r="AM203" s="412">
        <v>244.94568527918784</v>
      </c>
    </row>
    <row r="204" spans="2:39" s="377" customFormat="1" ht="28.15" customHeight="1" x14ac:dyDescent="0.25">
      <c r="B204" s="369">
        <v>43210</v>
      </c>
      <c r="C204" s="370">
        <v>238010.73</v>
      </c>
      <c r="D204" s="370">
        <v>0</v>
      </c>
      <c r="E204" s="371">
        <v>0</v>
      </c>
      <c r="F204" s="371">
        <v>0</v>
      </c>
      <c r="G204" s="371">
        <v>0</v>
      </c>
      <c r="H204" s="371"/>
      <c r="I204" s="371"/>
      <c r="J204" s="371"/>
      <c r="K204" s="371"/>
      <c r="L204" s="371"/>
      <c r="M204" s="371">
        <v>650000</v>
      </c>
      <c r="N204" s="371">
        <v>44000</v>
      </c>
      <c r="O204" s="371">
        <v>1600</v>
      </c>
      <c r="P204" s="371">
        <f t="shared" si="2"/>
        <v>91683</v>
      </c>
      <c r="Q204" s="371">
        <v>-59825</v>
      </c>
      <c r="R204" s="372">
        <v>238010.73</v>
      </c>
      <c r="S204" s="400">
        <v>226899.03</v>
      </c>
      <c r="T204" s="400">
        <v>0</v>
      </c>
      <c r="U204" s="400">
        <v>0</v>
      </c>
      <c r="V204" s="400">
        <v>0</v>
      </c>
      <c r="W204" s="372">
        <v>226899.03</v>
      </c>
      <c r="X204" s="373">
        <v>226899.03</v>
      </c>
      <c r="Y204" s="372">
        <v>238010.73</v>
      </c>
      <c r="Z204" s="373">
        <v>965468.73</v>
      </c>
      <c r="AA204" s="400">
        <v>0</v>
      </c>
      <c r="AB204" s="400">
        <v>0</v>
      </c>
      <c r="AC204" s="400">
        <v>0</v>
      </c>
      <c r="AD204" s="400">
        <v>0</v>
      </c>
      <c r="AE204" s="372">
        <v>0</v>
      </c>
      <c r="AF204" s="372">
        <v>0</v>
      </c>
      <c r="AG204" s="400">
        <v>-2</v>
      </c>
      <c r="AH204" s="374">
        <v>0</v>
      </c>
      <c r="AI204" s="375">
        <v>0</v>
      </c>
      <c r="AJ204" s="372">
        <v>245</v>
      </c>
      <c r="AK204" s="376">
        <v>-8.1632653061224497E-3</v>
      </c>
      <c r="AL204" s="376">
        <v>8.1632653061224497E-3</v>
      </c>
      <c r="AM204" s="412">
        <v>245.01918781725891</v>
      </c>
    </row>
    <row r="205" spans="2:39" s="377" customFormat="1" ht="28.15" customHeight="1" x14ac:dyDescent="0.25">
      <c r="B205" s="378">
        <v>43211</v>
      </c>
      <c r="C205" s="370">
        <v>238010.73</v>
      </c>
      <c r="D205" s="370">
        <v>0</v>
      </c>
      <c r="E205" s="371">
        <v>0</v>
      </c>
      <c r="F205" s="371">
        <v>0</v>
      </c>
      <c r="G205" s="371">
        <v>0</v>
      </c>
      <c r="H205" s="371"/>
      <c r="I205" s="371"/>
      <c r="J205" s="371"/>
      <c r="K205" s="371"/>
      <c r="L205" s="371"/>
      <c r="M205" s="371">
        <v>650000</v>
      </c>
      <c r="N205" s="371">
        <v>44000</v>
      </c>
      <c r="O205" s="371">
        <v>1600</v>
      </c>
      <c r="P205" s="371">
        <f t="shared" si="2"/>
        <v>91683</v>
      </c>
      <c r="Q205" s="371">
        <v>-59825</v>
      </c>
      <c r="R205" s="372">
        <v>238010.73</v>
      </c>
      <c r="S205" s="400">
        <v>226899.03</v>
      </c>
      <c r="T205" s="400">
        <v>0</v>
      </c>
      <c r="U205" s="400">
        <v>0</v>
      </c>
      <c r="V205" s="400">
        <v>0</v>
      </c>
      <c r="W205" s="372">
        <v>226899.03</v>
      </c>
      <c r="X205" s="373">
        <v>226899.03</v>
      </c>
      <c r="Y205" s="372">
        <v>238010.73</v>
      </c>
      <c r="Z205" s="373">
        <v>965468.73</v>
      </c>
      <c r="AA205" s="400">
        <v>0</v>
      </c>
      <c r="AB205" s="400">
        <v>0</v>
      </c>
      <c r="AC205" s="400">
        <v>0</v>
      </c>
      <c r="AD205" s="400">
        <v>0</v>
      </c>
      <c r="AE205" s="372">
        <v>0</v>
      </c>
      <c r="AF205" s="372">
        <v>0</v>
      </c>
      <c r="AG205" s="400">
        <v>0</v>
      </c>
      <c r="AH205" s="374">
        <v>0</v>
      </c>
      <c r="AI205" s="375">
        <v>0</v>
      </c>
      <c r="AJ205" s="372">
        <v>245</v>
      </c>
      <c r="AK205" s="376">
        <v>0</v>
      </c>
      <c r="AL205" s="376">
        <v>0</v>
      </c>
      <c r="AM205" s="412">
        <v>245.07553299492383</v>
      </c>
    </row>
    <row r="206" spans="2:39" s="377" customFormat="1" ht="28.15" customHeight="1" x14ac:dyDescent="0.25">
      <c r="B206" s="378">
        <v>43212</v>
      </c>
      <c r="C206" s="370">
        <v>238010.73</v>
      </c>
      <c r="D206" s="370">
        <v>0</v>
      </c>
      <c r="E206" s="371">
        <v>0</v>
      </c>
      <c r="F206" s="371">
        <v>0</v>
      </c>
      <c r="G206" s="371">
        <v>0</v>
      </c>
      <c r="H206" s="371"/>
      <c r="I206" s="371"/>
      <c r="J206" s="371"/>
      <c r="K206" s="371"/>
      <c r="L206" s="371"/>
      <c r="M206" s="371">
        <v>650000</v>
      </c>
      <c r="N206" s="371">
        <v>44000</v>
      </c>
      <c r="O206" s="371">
        <v>1600</v>
      </c>
      <c r="P206" s="371">
        <f t="shared" si="2"/>
        <v>91683</v>
      </c>
      <c r="Q206" s="371">
        <v>-59825</v>
      </c>
      <c r="R206" s="372">
        <v>238010.73</v>
      </c>
      <c r="S206" s="400">
        <v>226899.03</v>
      </c>
      <c r="T206" s="400">
        <v>0</v>
      </c>
      <c r="U206" s="400">
        <v>0</v>
      </c>
      <c r="V206" s="400">
        <v>0</v>
      </c>
      <c r="W206" s="372">
        <v>226899.03</v>
      </c>
      <c r="X206" s="373">
        <v>226899.03</v>
      </c>
      <c r="Y206" s="372">
        <v>238010.73</v>
      </c>
      <c r="Z206" s="373">
        <v>965468.73</v>
      </c>
      <c r="AA206" s="400">
        <v>0</v>
      </c>
      <c r="AB206" s="400">
        <v>0</v>
      </c>
      <c r="AC206" s="400">
        <v>0</v>
      </c>
      <c r="AD206" s="400">
        <v>0</v>
      </c>
      <c r="AE206" s="372">
        <v>0</v>
      </c>
      <c r="AF206" s="372">
        <v>0</v>
      </c>
      <c r="AG206" s="400">
        <v>0</v>
      </c>
      <c r="AH206" s="374">
        <v>0</v>
      </c>
      <c r="AI206" s="375">
        <v>0</v>
      </c>
      <c r="AJ206" s="372">
        <v>245</v>
      </c>
      <c r="AK206" s="376">
        <v>0</v>
      </c>
      <c r="AL206" s="376">
        <v>0</v>
      </c>
      <c r="AM206" s="412">
        <v>245.13299492385786</v>
      </c>
    </row>
    <row r="207" spans="2:39" s="377" customFormat="1" ht="28.15" customHeight="1" x14ac:dyDescent="0.25">
      <c r="B207" s="369">
        <v>43213</v>
      </c>
      <c r="C207" s="370">
        <v>238010.73</v>
      </c>
      <c r="D207" s="370">
        <v>0</v>
      </c>
      <c r="E207" s="371">
        <v>0</v>
      </c>
      <c r="F207" s="371">
        <v>0</v>
      </c>
      <c r="G207" s="371">
        <v>0</v>
      </c>
      <c r="H207" s="371">
        <v>75</v>
      </c>
      <c r="I207" s="371"/>
      <c r="J207" s="371"/>
      <c r="K207" s="371"/>
      <c r="L207" s="371"/>
      <c r="M207" s="371">
        <v>650000</v>
      </c>
      <c r="N207" s="371">
        <v>44000</v>
      </c>
      <c r="O207" s="371">
        <v>1600</v>
      </c>
      <c r="P207" s="371">
        <f t="shared" si="2"/>
        <v>91683</v>
      </c>
      <c r="Q207" s="371">
        <v>-59825</v>
      </c>
      <c r="R207" s="372">
        <v>238010.73</v>
      </c>
      <c r="S207" s="400">
        <v>226974.03</v>
      </c>
      <c r="T207" s="400">
        <v>0</v>
      </c>
      <c r="U207" s="400">
        <v>0</v>
      </c>
      <c r="V207" s="400">
        <v>0</v>
      </c>
      <c r="W207" s="372">
        <v>226974.03</v>
      </c>
      <c r="X207" s="373">
        <v>226974.03</v>
      </c>
      <c r="Y207" s="372">
        <v>238010.73</v>
      </c>
      <c r="Z207" s="373">
        <v>965468.73</v>
      </c>
      <c r="AA207" s="400">
        <v>-75</v>
      </c>
      <c r="AB207" s="400">
        <v>0</v>
      </c>
      <c r="AC207" s="400">
        <v>0</v>
      </c>
      <c r="AD207" s="400">
        <v>0</v>
      </c>
      <c r="AE207" s="372">
        <v>-75</v>
      </c>
      <c r="AF207" s="372">
        <v>-75</v>
      </c>
      <c r="AG207" s="400">
        <v>-0.11000000000001364</v>
      </c>
      <c r="AH207" s="374">
        <v>-3.1511184390720532E-4</v>
      </c>
      <c r="AI207" s="375">
        <v>0</v>
      </c>
      <c r="AJ207" s="372">
        <v>244.89</v>
      </c>
      <c r="AK207" s="376">
        <v>-4.4918126505783678E-4</v>
      </c>
      <c r="AL207" s="376">
        <v>1.3406942115063147E-4</v>
      </c>
      <c r="AM207" s="412">
        <v>245.19045685279187</v>
      </c>
    </row>
    <row r="208" spans="2:39" s="377" customFormat="1" ht="28.15" customHeight="1" x14ac:dyDescent="0.25">
      <c r="B208" s="369">
        <v>43214</v>
      </c>
      <c r="C208" s="370">
        <v>238010.73</v>
      </c>
      <c r="D208" s="370">
        <v>0</v>
      </c>
      <c r="E208" s="371">
        <v>0</v>
      </c>
      <c r="F208" s="371">
        <v>0</v>
      </c>
      <c r="G208" s="371">
        <v>0</v>
      </c>
      <c r="H208" s="371"/>
      <c r="I208" s="371">
        <v>732.45</v>
      </c>
      <c r="J208" s="371"/>
      <c r="K208" s="371"/>
      <c r="L208" s="371"/>
      <c r="M208" s="371">
        <v>650000</v>
      </c>
      <c r="N208" s="371">
        <v>44000</v>
      </c>
      <c r="O208" s="371">
        <v>1600</v>
      </c>
      <c r="P208" s="371">
        <f t="shared" si="2"/>
        <v>91683</v>
      </c>
      <c r="Q208" s="371">
        <v>-59825</v>
      </c>
      <c r="R208" s="372">
        <v>238010.73</v>
      </c>
      <c r="S208" s="400">
        <v>226974.03</v>
      </c>
      <c r="T208" s="400">
        <v>732.45</v>
      </c>
      <c r="U208" s="400">
        <v>0</v>
      </c>
      <c r="V208" s="400">
        <v>0</v>
      </c>
      <c r="W208" s="372">
        <v>226974.03</v>
      </c>
      <c r="X208" s="373">
        <v>227706.48</v>
      </c>
      <c r="Y208" s="372">
        <v>238010.73</v>
      </c>
      <c r="Z208" s="373">
        <v>965468.73</v>
      </c>
      <c r="AA208" s="400">
        <v>0</v>
      </c>
      <c r="AB208" s="400">
        <v>-732.45</v>
      </c>
      <c r="AC208" s="400">
        <v>0</v>
      </c>
      <c r="AD208" s="400">
        <v>0</v>
      </c>
      <c r="AE208" s="372">
        <v>0</v>
      </c>
      <c r="AF208" s="372">
        <v>-732.45</v>
      </c>
      <c r="AG208" s="400">
        <v>-3.339999999999975</v>
      </c>
      <c r="AH208" s="374">
        <v>0</v>
      </c>
      <c r="AI208" s="375">
        <v>0</v>
      </c>
      <c r="AJ208" s="372">
        <v>241.55</v>
      </c>
      <c r="AK208" s="376">
        <v>-1.3827364934796004E-2</v>
      </c>
      <c r="AL208" s="376">
        <v>1.3827364934796004E-2</v>
      </c>
      <c r="AM208" s="412">
        <v>245.24736040609136</v>
      </c>
    </row>
    <row r="209" spans="2:39" s="377" customFormat="1" ht="28.15" customHeight="1" x14ac:dyDescent="0.25">
      <c r="B209" s="369">
        <v>43215</v>
      </c>
      <c r="C209" s="370">
        <v>238010.73</v>
      </c>
      <c r="D209" s="370">
        <v>0</v>
      </c>
      <c r="E209" s="371">
        <v>0</v>
      </c>
      <c r="F209" s="371">
        <v>0</v>
      </c>
      <c r="G209" s="371">
        <v>0</v>
      </c>
      <c r="H209" s="371"/>
      <c r="I209" s="371"/>
      <c r="J209" s="371"/>
      <c r="K209" s="371"/>
      <c r="L209" s="371"/>
      <c r="M209" s="371">
        <v>650000</v>
      </c>
      <c r="N209" s="371">
        <v>44000</v>
      </c>
      <c r="O209" s="371">
        <v>1600</v>
      </c>
      <c r="P209" s="371">
        <f t="shared" si="2"/>
        <v>91683</v>
      </c>
      <c r="Q209" s="371">
        <v>-59825</v>
      </c>
      <c r="R209" s="372">
        <v>238010.73</v>
      </c>
      <c r="S209" s="400">
        <v>226974.03</v>
      </c>
      <c r="T209" s="400">
        <v>732.45</v>
      </c>
      <c r="U209" s="400">
        <v>0</v>
      </c>
      <c r="V209" s="400">
        <v>0</v>
      </c>
      <c r="W209" s="372">
        <v>226974.03</v>
      </c>
      <c r="X209" s="373">
        <v>227706.48</v>
      </c>
      <c r="Y209" s="372">
        <v>238010.73</v>
      </c>
      <c r="Z209" s="373">
        <v>965468.73</v>
      </c>
      <c r="AA209" s="400">
        <v>0</v>
      </c>
      <c r="AB209" s="400">
        <v>0</v>
      </c>
      <c r="AC209" s="400">
        <v>0</v>
      </c>
      <c r="AD209" s="400">
        <v>0</v>
      </c>
      <c r="AE209" s="372">
        <v>0</v>
      </c>
      <c r="AF209" s="372">
        <v>0</v>
      </c>
      <c r="AG209" s="400">
        <v>0.61999999999997613</v>
      </c>
      <c r="AH209" s="374">
        <v>0</v>
      </c>
      <c r="AI209" s="375">
        <v>0</v>
      </c>
      <c r="AJ209" s="372">
        <v>242.17</v>
      </c>
      <c r="AK209" s="376">
        <v>2.560184994012372E-3</v>
      </c>
      <c r="AL209" s="376">
        <v>-2.560184994012372E-3</v>
      </c>
      <c r="AM209" s="412">
        <v>245.28939086294417</v>
      </c>
    </row>
    <row r="210" spans="2:39" s="377" customFormat="1" ht="28.15" customHeight="1" x14ac:dyDescent="0.25">
      <c r="B210" s="369">
        <v>43216</v>
      </c>
      <c r="C210" s="370">
        <v>238010.73</v>
      </c>
      <c r="D210" s="370">
        <v>0</v>
      </c>
      <c r="E210" s="371">
        <v>0</v>
      </c>
      <c r="F210" s="371">
        <v>0</v>
      </c>
      <c r="G210" s="371">
        <v>0</v>
      </c>
      <c r="H210" s="371"/>
      <c r="I210" s="371"/>
      <c r="J210" s="371"/>
      <c r="K210" s="371"/>
      <c r="L210" s="371"/>
      <c r="M210" s="371">
        <v>650000</v>
      </c>
      <c r="N210" s="371">
        <v>44000</v>
      </c>
      <c r="O210" s="371">
        <v>1600</v>
      </c>
      <c r="P210" s="371">
        <f t="shared" si="2"/>
        <v>91683</v>
      </c>
      <c r="Q210" s="371">
        <v>-59825</v>
      </c>
      <c r="R210" s="372">
        <v>238010.73</v>
      </c>
      <c r="S210" s="400">
        <v>226974.03</v>
      </c>
      <c r="T210" s="400">
        <v>732.45</v>
      </c>
      <c r="U210" s="400">
        <v>0</v>
      </c>
      <c r="V210" s="400">
        <v>0</v>
      </c>
      <c r="W210" s="372">
        <v>226974.03</v>
      </c>
      <c r="X210" s="373">
        <v>227706.48</v>
      </c>
      <c r="Y210" s="372">
        <v>238010.73</v>
      </c>
      <c r="Z210" s="373">
        <v>965468.73</v>
      </c>
      <c r="AA210" s="400">
        <v>0</v>
      </c>
      <c r="AB210" s="400">
        <v>0</v>
      </c>
      <c r="AC210" s="400">
        <v>0</v>
      </c>
      <c r="AD210" s="400">
        <v>0</v>
      </c>
      <c r="AE210" s="372">
        <v>0</v>
      </c>
      <c r="AF210" s="372">
        <v>0</v>
      </c>
      <c r="AG210" s="400">
        <v>2.4900000000000091</v>
      </c>
      <c r="AH210" s="374">
        <v>0</v>
      </c>
      <c r="AI210" s="375">
        <v>0</v>
      </c>
      <c r="AJ210" s="372">
        <v>244.66</v>
      </c>
      <c r="AK210" s="376">
        <v>1.0177389029673871E-2</v>
      </c>
      <c r="AL210" s="376">
        <v>-1.0177389029673871E-2</v>
      </c>
      <c r="AM210" s="412">
        <v>245.33157360406088</v>
      </c>
    </row>
    <row r="211" spans="2:39" s="377" customFormat="1" ht="28.15" customHeight="1" x14ac:dyDescent="0.25">
      <c r="B211" s="369">
        <v>43217</v>
      </c>
      <c r="C211" s="370">
        <v>238010.73</v>
      </c>
      <c r="D211" s="370">
        <v>0</v>
      </c>
      <c r="E211" s="371">
        <v>0</v>
      </c>
      <c r="F211" s="371">
        <v>0</v>
      </c>
      <c r="G211" s="371">
        <v>0</v>
      </c>
      <c r="H211" s="371"/>
      <c r="I211" s="371"/>
      <c r="J211" s="371"/>
      <c r="K211" s="371"/>
      <c r="L211" s="371"/>
      <c r="M211" s="371">
        <v>650000</v>
      </c>
      <c r="N211" s="371">
        <v>44000</v>
      </c>
      <c r="O211" s="371">
        <v>1600</v>
      </c>
      <c r="P211" s="371">
        <f t="shared" si="2"/>
        <v>91683</v>
      </c>
      <c r="Q211" s="371">
        <v>-59825</v>
      </c>
      <c r="R211" s="372">
        <v>238010.73</v>
      </c>
      <c r="S211" s="400">
        <v>226974.03</v>
      </c>
      <c r="T211" s="400">
        <v>732.45</v>
      </c>
      <c r="U211" s="400">
        <v>0</v>
      </c>
      <c r="V211" s="400">
        <v>0</v>
      </c>
      <c r="W211" s="372">
        <v>226974.03</v>
      </c>
      <c r="X211" s="373">
        <v>227706.48</v>
      </c>
      <c r="Y211" s="372">
        <v>238010.73</v>
      </c>
      <c r="Z211" s="373">
        <v>965468.73</v>
      </c>
      <c r="AA211" s="400">
        <v>0</v>
      </c>
      <c r="AB211" s="400">
        <v>0</v>
      </c>
      <c r="AC211" s="400">
        <v>0</v>
      </c>
      <c r="AD211" s="400">
        <v>0</v>
      </c>
      <c r="AE211" s="372">
        <v>0</v>
      </c>
      <c r="AF211" s="372">
        <v>0</v>
      </c>
      <c r="AG211" s="400">
        <v>0.25999999999999091</v>
      </c>
      <c r="AH211" s="374">
        <v>0</v>
      </c>
      <c r="AI211" s="375">
        <v>0</v>
      </c>
      <c r="AJ211" s="372">
        <v>244.92</v>
      </c>
      <c r="AK211" s="376">
        <v>1.0615711252653557E-3</v>
      </c>
      <c r="AL211" s="376">
        <v>-1.0615711252653557E-3</v>
      </c>
      <c r="AM211" s="412">
        <v>245.38446700507609</v>
      </c>
    </row>
    <row r="212" spans="2:39" s="377" customFormat="1" ht="28.15" customHeight="1" x14ac:dyDescent="0.25">
      <c r="B212" s="378">
        <v>43218</v>
      </c>
      <c r="C212" s="370">
        <v>238010.73</v>
      </c>
      <c r="D212" s="370">
        <v>0</v>
      </c>
      <c r="E212" s="371">
        <v>0</v>
      </c>
      <c r="F212" s="371">
        <v>0</v>
      </c>
      <c r="G212" s="371">
        <v>0</v>
      </c>
      <c r="H212" s="371"/>
      <c r="I212" s="371"/>
      <c r="J212" s="371"/>
      <c r="K212" s="371"/>
      <c r="L212" s="371"/>
      <c r="M212" s="371">
        <v>650000</v>
      </c>
      <c r="N212" s="371">
        <v>44000</v>
      </c>
      <c r="O212" s="371">
        <v>1600</v>
      </c>
      <c r="P212" s="371">
        <f t="shared" si="2"/>
        <v>91683</v>
      </c>
      <c r="Q212" s="371">
        <v>-59825</v>
      </c>
      <c r="R212" s="372">
        <v>238010.73</v>
      </c>
      <c r="S212" s="400">
        <v>226974.03</v>
      </c>
      <c r="T212" s="400">
        <v>732.45</v>
      </c>
      <c r="U212" s="400">
        <v>0</v>
      </c>
      <c r="V212" s="400">
        <v>0</v>
      </c>
      <c r="W212" s="372">
        <v>226974.03</v>
      </c>
      <c r="X212" s="373">
        <v>227706.48</v>
      </c>
      <c r="Y212" s="372">
        <v>238010.73</v>
      </c>
      <c r="Z212" s="373">
        <v>965468.73</v>
      </c>
      <c r="AA212" s="400">
        <v>0</v>
      </c>
      <c r="AB212" s="400">
        <v>0</v>
      </c>
      <c r="AC212" s="400">
        <v>0</v>
      </c>
      <c r="AD212" s="400">
        <v>0</v>
      </c>
      <c r="AE212" s="372">
        <v>0</v>
      </c>
      <c r="AF212" s="372">
        <v>0</v>
      </c>
      <c r="AG212" s="400">
        <v>0</v>
      </c>
      <c r="AH212" s="374">
        <v>0</v>
      </c>
      <c r="AI212" s="375">
        <v>0</v>
      </c>
      <c r="AJ212" s="372">
        <v>244.92</v>
      </c>
      <c r="AK212" s="376">
        <v>0</v>
      </c>
      <c r="AL212" s="376">
        <v>0</v>
      </c>
      <c r="AM212" s="412">
        <v>245.44050761421315</v>
      </c>
    </row>
    <row r="213" spans="2:39" s="377" customFormat="1" ht="28.15" customHeight="1" x14ac:dyDescent="0.25">
      <c r="B213" s="378">
        <v>43219</v>
      </c>
      <c r="C213" s="370">
        <v>238010.73</v>
      </c>
      <c r="D213" s="370">
        <v>0</v>
      </c>
      <c r="E213" s="371">
        <v>0</v>
      </c>
      <c r="F213" s="371">
        <v>0</v>
      </c>
      <c r="G213" s="371">
        <v>0</v>
      </c>
      <c r="H213" s="371"/>
      <c r="I213" s="371"/>
      <c r="J213" s="371"/>
      <c r="K213" s="371"/>
      <c r="L213" s="371"/>
      <c r="M213" s="371">
        <v>650000</v>
      </c>
      <c r="N213" s="371">
        <v>44000</v>
      </c>
      <c r="O213" s="371">
        <v>1600</v>
      </c>
      <c r="P213" s="371">
        <f t="shared" si="2"/>
        <v>91683</v>
      </c>
      <c r="Q213" s="371">
        <v>-59825</v>
      </c>
      <c r="R213" s="372">
        <v>238010.73</v>
      </c>
      <c r="S213" s="400">
        <v>226974.03</v>
      </c>
      <c r="T213" s="400">
        <v>732.45</v>
      </c>
      <c r="U213" s="400">
        <v>0</v>
      </c>
      <c r="V213" s="400">
        <v>0</v>
      </c>
      <c r="W213" s="372">
        <v>226974.03</v>
      </c>
      <c r="X213" s="373">
        <v>227706.48</v>
      </c>
      <c r="Y213" s="372">
        <v>238010.73</v>
      </c>
      <c r="Z213" s="373">
        <v>965468.73</v>
      </c>
      <c r="AA213" s="400">
        <v>0</v>
      </c>
      <c r="AB213" s="400">
        <v>0</v>
      </c>
      <c r="AC213" s="400">
        <v>0</v>
      </c>
      <c r="AD213" s="400">
        <v>0</v>
      </c>
      <c r="AE213" s="372">
        <v>0</v>
      </c>
      <c r="AF213" s="372">
        <v>0</v>
      </c>
      <c r="AG213" s="400">
        <v>0</v>
      </c>
      <c r="AH213" s="374">
        <v>0</v>
      </c>
      <c r="AI213" s="375">
        <v>0</v>
      </c>
      <c r="AJ213" s="372">
        <v>244.92</v>
      </c>
      <c r="AK213" s="376">
        <v>0</v>
      </c>
      <c r="AL213" s="376">
        <v>0</v>
      </c>
      <c r="AM213" s="412">
        <v>245.4952284263959</v>
      </c>
    </row>
    <row r="214" spans="2:39" s="377" customFormat="1" ht="28.15" customHeight="1" x14ac:dyDescent="0.25">
      <c r="B214" s="369">
        <v>43220</v>
      </c>
      <c r="C214" s="370">
        <v>238010.73</v>
      </c>
      <c r="D214" s="370">
        <v>0</v>
      </c>
      <c r="E214" s="371">
        <v>0</v>
      </c>
      <c r="F214" s="371">
        <v>0</v>
      </c>
      <c r="G214" s="371">
        <v>0</v>
      </c>
      <c r="H214" s="371"/>
      <c r="I214" s="371"/>
      <c r="J214" s="371"/>
      <c r="K214" s="371"/>
      <c r="L214" s="371"/>
      <c r="M214" s="371">
        <v>650000</v>
      </c>
      <c r="N214" s="371">
        <v>44000</v>
      </c>
      <c r="O214" s="371">
        <v>1600</v>
      </c>
      <c r="P214" s="371">
        <f t="shared" si="2"/>
        <v>91683</v>
      </c>
      <c r="Q214" s="371">
        <v>-59825</v>
      </c>
      <c r="R214" s="372">
        <v>238010.73</v>
      </c>
      <c r="S214" s="400">
        <v>226974.03</v>
      </c>
      <c r="T214" s="400">
        <v>732.45</v>
      </c>
      <c r="U214" s="400">
        <v>0</v>
      </c>
      <c r="V214" s="400">
        <v>0</v>
      </c>
      <c r="W214" s="372">
        <v>226974.03</v>
      </c>
      <c r="X214" s="373">
        <v>227706.48</v>
      </c>
      <c r="Y214" s="372">
        <v>238010.73</v>
      </c>
      <c r="Z214" s="373">
        <v>965468.73</v>
      </c>
      <c r="AA214" s="400">
        <v>0</v>
      </c>
      <c r="AB214" s="400">
        <v>0</v>
      </c>
      <c r="AC214" s="400">
        <v>0</v>
      </c>
      <c r="AD214" s="400">
        <v>0</v>
      </c>
      <c r="AE214" s="372">
        <v>0</v>
      </c>
      <c r="AF214" s="372">
        <v>0</v>
      </c>
      <c r="AG214" s="400">
        <v>-2</v>
      </c>
      <c r="AH214" s="374">
        <v>0</v>
      </c>
      <c r="AI214" s="375">
        <v>0</v>
      </c>
      <c r="AJ214" s="372">
        <v>242.92</v>
      </c>
      <c r="AK214" s="376">
        <v>-8.2331631812942539E-3</v>
      </c>
      <c r="AL214" s="376">
        <v>8.2331631812942539E-3</v>
      </c>
      <c r="AM214" s="412">
        <v>245.54994923857868</v>
      </c>
    </row>
    <row r="215" spans="2:39" s="377" customFormat="1" ht="28.15" customHeight="1" x14ac:dyDescent="0.25">
      <c r="B215" s="369">
        <v>43221</v>
      </c>
      <c r="C215" s="370">
        <v>246760.5</v>
      </c>
      <c r="D215" s="370">
        <v>0</v>
      </c>
      <c r="E215" s="371">
        <v>0</v>
      </c>
      <c r="F215" s="371">
        <v>0</v>
      </c>
      <c r="G215" s="371">
        <v>0</v>
      </c>
      <c r="H215" s="371"/>
      <c r="I215" s="371"/>
      <c r="J215" s="371"/>
      <c r="K215" s="371"/>
      <c r="L215" s="371"/>
      <c r="M215" s="371">
        <v>650000</v>
      </c>
      <c r="N215" s="371">
        <v>44000</v>
      </c>
      <c r="O215" s="371">
        <v>1600</v>
      </c>
      <c r="P215" s="371">
        <f t="shared" si="2"/>
        <v>91683</v>
      </c>
      <c r="Q215" s="371">
        <v>-59825</v>
      </c>
      <c r="R215" s="372">
        <v>246760.5</v>
      </c>
      <c r="S215" s="400">
        <v>226974.03</v>
      </c>
      <c r="T215" s="400">
        <v>732.45</v>
      </c>
      <c r="U215" s="400">
        <v>0</v>
      </c>
      <c r="V215" s="400">
        <v>0</v>
      </c>
      <c r="W215" s="372">
        <v>226974.03</v>
      </c>
      <c r="X215" s="373">
        <v>227706.48</v>
      </c>
      <c r="Y215" s="372">
        <v>246760.5</v>
      </c>
      <c r="Z215" s="373">
        <v>974218.5</v>
      </c>
      <c r="AA215" s="400">
        <v>8749.7699999999895</v>
      </c>
      <c r="AB215" s="400">
        <v>0</v>
      </c>
      <c r="AC215" s="400">
        <v>0</v>
      </c>
      <c r="AD215" s="400">
        <v>0</v>
      </c>
      <c r="AE215" s="372">
        <v>8749.7699999999895</v>
      </c>
      <c r="AF215" s="372">
        <v>8749.7699999999895</v>
      </c>
      <c r="AG215" s="400">
        <v>0.52000000000001023</v>
      </c>
      <c r="AH215" s="374">
        <v>3.5458551915723911E-2</v>
      </c>
      <c r="AI215" s="375">
        <v>0</v>
      </c>
      <c r="AJ215" s="372">
        <v>243.44</v>
      </c>
      <c r="AK215" s="376">
        <v>2.1360499507065817E-3</v>
      </c>
      <c r="AL215" s="376">
        <v>3.3322501965017327E-2</v>
      </c>
      <c r="AM215" s="412">
        <v>245.59451776649743</v>
      </c>
    </row>
    <row r="216" spans="2:39" s="377" customFormat="1" ht="28.15" customHeight="1" x14ac:dyDescent="0.25">
      <c r="B216" s="369">
        <v>43222</v>
      </c>
      <c r="C216" s="370">
        <v>246760.5</v>
      </c>
      <c r="D216" s="370">
        <v>0</v>
      </c>
      <c r="E216" s="371">
        <v>0</v>
      </c>
      <c r="F216" s="371">
        <v>0</v>
      </c>
      <c r="G216" s="371">
        <v>0</v>
      </c>
      <c r="H216" s="371"/>
      <c r="I216" s="371"/>
      <c r="J216" s="371"/>
      <c r="K216" s="371"/>
      <c r="L216" s="371"/>
      <c r="M216" s="371">
        <v>650000</v>
      </c>
      <c r="N216" s="371">
        <v>44000</v>
      </c>
      <c r="O216" s="371">
        <v>1600</v>
      </c>
      <c r="P216" s="371">
        <f t="shared" si="2"/>
        <v>91683</v>
      </c>
      <c r="Q216" s="371">
        <v>-59825</v>
      </c>
      <c r="R216" s="372">
        <v>246760.5</v>
      </c>
      <c r="S216" s="400">
        <v>226974.03</v>
      </c>
      <c r="T216" s="400">
        <v>732.45</v>
      </c>
      <c r="U216" s="400">
        <v>0</v>
      </c>
      <c r="V216" s="400">
        <v>0</v>
      </c>
      <c r="W216" s="372">
        <v>226974.03</v>
      </c>
      <c r="X216" s="373">
        <v>227706.48</v>
      </c>
      <c r="Y216" s="372">
        <v>246760.5</v>
      </c>
      <c r="Z216" s="373">
        <v>974218.5</v>
      </c>
      <c r="AA216" s="400">
        <v>0</v>
      </c>
      <c r="AB216" s="400">
        <v>0</v>
      </c>
      <c r="AC216" s="400">
        <v>0</v>
      </c>
      <c r="AD216" s="400">
        <v>0</v>
      </c>
      <c r="AE216" s="372">
        <v>0</v>
      </c>
      <c r="AF216" s="372">
        <v>0</v>
      </c>
      <c r="AG216" s="400">
        <v>-1.6599999999999966</v>
      </c>
      <c r="AH216" s="374">
        <v>0</v>
      </c>
      <c r="AI216" s="375">
        <v>0</v>
      </c>
      <c r="AJ216" s="372">
        <v>241.78</v>
      </c>
      <c r="AK216" s="376">
        <v>-6.86574571924889E-3</v>
      </c>
      <c r="AL216" s="376">
        <v>6.86574571924889E-3</v>
      </c>
      <c r="AM216" s="412">
        <v>245.63984771573607</v>
      </c>
    </row>
    <row r="217" spans="2:39" s="377" customFormat="1" ht="28.15" customHeight="1" x14ac:dyDescent="0.25">
      <c r="B217" s="369">
        <v>43223</v>
      </c>
      <c r="C217" s="370">
        <v>246760.5</v>
      </c>
      <c r="D217" s="370">
        <v>0</v>
      </c>
      <c r="E217" s="371">
        <v>0</v>
      </c>
      <c r="F217" s="371">
        <v>0</v>
      </c>
      <c r="G217" s="371">
        <v>0</v>
      </c>
      <c r="H217" s="371"/>
      <c r="I217" s="371"/>
      <c r="J217" s="371"/>
      <c r="K217" s="371"/>
      <c r="L217" s="371"/>
      <c r="M217" s="371">
        <v>650000</v>
      </c>
      <c r="N217" s="371">
        <v>44000</v>
      </c>
      <c r="O217" s="371">
        <v>1600</v>
      </c>
      <c r="P217" s="371">
        <f t="shared" si="2"/>
        <v>91683</v>
      </c>
      <c r="Q217" s="371">
        <v>-59825</v>
      </c>
      <c r="R217" s="372">
        <v>246760.5</v>
      </c>
      <c r="S217" s="400">
        <v>226974.03</v>
      </c>
      <c r="T217" s="400">
        <v>732.45</v>
      </c>
      <c r="U217" s="400">
        <v>0</v>
      </c>
      <c r="V217" s="400">
        <v>0</v>
      </c>
      <c r="W217" s="372">
        <v>226974.03</v>
      </c>
      <c r="X217" s="373">
        <v>227706.48</v>
      </c>
      <c r="Y217" s="372">
        <v>246760.5</v>
      </c>
      <c r="Z217" s="373">
        <v>974218.5</v>
      </c>
      <c r="AA217" s="400">
        <v>0</v>
      </c>
      <c r="AB217" s="400">
        <v>0</v>
      </c>
      <c r="AC217" s="400">
        <v>0</v>
      </c>
      <c r="AD217" s="400">
        <v>0</v>
      </c>
      <c r="AE217" s="372">
        <v>0</v>
      </c>
      <c r="AF217" s="372">
        <v>0</v>
      </c>
      <c r="AG217" s="400">
        <v>-0.56999999999999318</v>
      </c>
      <c r="AH217" s="374">
        <v>0</v>
      </c>
      <c r="AI217" s="375">
        <v>0</v>
      </c>
      <c r="AJ217" s="372">
        <v>241.21</v>
      </c>
      <c r="AK217" s="376">
        <v>-2.3630861075411183E-3</v>
      </c>
      <c r="AL217" s="376">
        <v>2.3630861075411183E-3</v>
      </c>
      <c r="AM217" s="412">
        <v>245.67598984771573</v>
      </c>
    </row>
    <row r="218" spans="2:39" s="377" customFormat="1" ht="28.15" customHeight="1" x14ac:dyDescent="0.25">
      <c r="B218" s="369">
        <v>43224</v>
      </c>
      <c r="C218" s="370">
        <v>246760.5</v>
      </c>
      <c r="D218" s="370">
        <v>0</v>
      </c>
      <c r="E218" s="371">
        <v>0</v>
      </c>
      <c r="F218" s="371">
        <v>0</v>
      </c>
      <c r="G218" s="371">
        <v>0</v>
      </c>
      <c r="H218" s="371"/>
      <c r="I218" s="371"/>
      <c r="J218" s="371"/>
      <c r="K218" s="371"/>
      <c r="L218" s="371"/>
      <c r="M218" s="371">
        <v>650000</v>
      </c>
      <c r="N218" s="371">
        <v>44000</v>
      </c>
      <c r="O218" s="371">
        <v>1600</v>
      </c>
      <c r="P218" s="371">
        <f t="shared" si="2"/>
        <v>91683</v>
      </c>
      <c r="Q218" s="371">
        <v>-59825</v>
      </c>
      <c r="R218" s="372">
        <v>246760.5</v>
      </c>
      <c r="S218" s="400">
        <v>226974.03</v>
      </c>
      <c r="T218" s="400">
        <v>732.45</v>
      </c>
      <c r="U218" s="400">
        <v>0</v>
      </c>
      <c r="V218" s="400">
        <v>0</v>
      </c>
      <c r="W218" s="372">
        <v>226974.03</v>
      </c>
      <c r="X218" s="373">
        <v>227706.48</v>
      </c>
      <c r="Y218" s="372">
        <v>246760.5</v>
      </c>
      <c r="Z218" s="373">
        <v>974218.5</v>
      </c>
      <c r="AA218" s="400">
        <v>0</v>
      </c>
      <c r="AB218" s="400">
        <v>0</v>
      </c>
      <c r="AC218" s="400">
        <v>0</v>
      </c>
      <c r="AD218" s="400">
        <v>0</v>
      </c>
      <c r="AE218" s="372">
        <v>0</v>
      </c>
      <c r="AF218" s="372">
        <v>0</v>
      </c>
      <c r="AG218" s="400">
        <v>3.1999999999999886</v>
      </c>
      <c r="AH218" s="374">
        <v>0</v>
      </c>
      <c r="AI218" s="375">
        <v>0</v>
      </c>
      <c r="AJ218" s="372">
        <v>244.41</v>
      </c>
      <c r="AK218" s="376">
        <v>1.3092753978969718E-2</v>
      </c>
      <c r="AL218" s="376">
        <v>-1.3092753978969718E-2</v>
      </c>
      <c r="AM218" s="412">
        <v>245.7081725888325</v>
      </c>
    </row>
    <row r="219" spans="2:39" s="377" customFormat="1" ht="28.15" customHeight="1" x14ac:dyDescent="0.25">
      <c r="B219" s="378">
        <v>43225</v>
      </c>
      <c r="C219" s="370">
        <v>246760.5</v>
      </c>
      <c r="D219" s="370">
        <v>0</v>
      </c>
      <c r="E219" s="371">
        <v>0</v>
      </c>
      <c r="F219" s="371">
        <v>0</v>
      </c>
      <c r="G219" s="371">
        <v>0</v>
      </c>
      <c r="H219" s="371"/>
      <c r="I219" s="371"/>
      <c r="J219" s="371"/>
      <c r="K219" s="371"/>
      <c r="L219" s="371"/>
      <c r="M219" s="371">
        <v>650000</v>
      </c>
      <c r="N219" s="371">
        <v>44000</v>
      </c>
      <c r="O219" s="371">
        <v>1600</v>
      </c>
      <c r="P219" s="371">
        <f t="shared" si="2"/>
        <v>91683</v>
      </c>
      <c r="Q219" s="371">
        <v>-59825</v>
      </c>
      <c r="R219" s="372">
        <v>246760.5</v>
      </c>
      <c r="S219" s="400">
        <v>226974.03</v>
      </c>
      <c r="T219" s="400">
        <v>732.45</v>
      </c>
      <c r="U219" s="400">
        <v>0</v>
      </c>
      <c r="V219" s="400">
        <v>0</v>
      </c>
      <c r="W219" s="372">
        <v>226974.03</v>
      </c>
      <c r="X219" s="373">
        <v>227706.48</v>
      </c>
      <c r="Y219" s="372">
        <v>246760.5</v>
      </c>
      <c r="Z219" s="373">
        <v>974218.5</v>
      </c>
      <c r="AA219" s="400">
        <v>0</v>
      </c>
      <c r="AB219" s="400">
        <v>0</v>
      </c>
      <c r="AC219" s="400">
        <v>0</v>
      </c>
      <c r="AD219" s="400">
        <v>0</v>
      </c>
      <c r="AE219" s="372">
        <v>0</v>
      </c>
      <c r="AF219" s="372">
        <v>0</v>
      </c>
      <c r="AG219" s="400">
        <v>0</v>
      </c>
      <c r="AH219" s="374">
        <v>0</v>
      </c>
      <c r="AI219" s="375">
        <v>0</v>
      </c>
      <c r="AJ219" s="372">
        <v>244.41</v>
      </c>
      <c r="AK219" s="376">
        <v>0</v>
      </c>
      <c r="AL219" s="376">
        <v>0</v>
      </c>
      <c r="AM219" s="412">
        <v>245.75598984771574</v>
      </c>
    </row>
    <row r="220" spans="2:39" s="377" customFormat="1" ht="28.15" customHeight="1" x14ac:dyDescent="0.25">
      <c r="B220" s="378">
        <v>43226</v>
      </c>
      <c r="C220" s="370">
        <v>246760.5</v>
      </c>
      <c r="D220" s="370">
        <v>0</v>
      </c>
      <c r="E220" s="371">
        <v>0</v>
      </c>
      <c r="F220" s="371">
        <v>0</v>
      </c>
      <c r="G220" s="371">
        <v>0</v>
      </c>
      <c r="H220" s="371"/>
      <c r="I220" s="371"/>
      <c r="J220" s="371"/>
      <c r="K220" s="371"/>
      <c r="L220" s="371"/>
      <c r="M220" s="371">
        <v>650000</v>
      </c>
      <c r="N220" s="371">
        <v>44000</v>
      </c>
      <c r="O220" s="371">
        <v>1600</v>
      </c>
      <c r="P220" s="371">
        <f t="shared" si="2"/>
        <v>91683</v>
      </c>
      <c r="Q220" s="371">
        <v>-59825</v>
      </c>
      <c r="R220" s="372">
        <v>246760.5</v>
      </c>
      <c r="S220" s="400">
        <v>226974.03</v>
      </c>
      <c r="T220" s="400">
        <v>732.45</v>
      </c>
      <c r="U220" s="400">
        <v>0</v>
      </c>
      <c r="V220" s="400">
        <v>0</v>
      </c>
      <c r="W220" s="372">
        <v>226974.03</v>
      </c>
      <c r="X220" s="373">
        <v>227706.48</v>
      </c>
      <c r="Y220" s="372">
        <v>246760.5</v>
      </c>
      <c r="Z220" s="373">
        <v>974218.5</v>
      </c>
      <c r="AA220" s="400">
        <v>0</v>
      </c>
      <c r="AB220" s="400">
        <v>0</v>
      </c>
      <c r="AC220" s="400">
        <v>0</v>
      </c>
      <c r="AD220" s="400">
        <v>0</v>
      </c>
      <c r="AE220" s="372">
        <v>0</v>
      </c>
      <c r="AF220" s="372">
        <v>0</v>
      </c>
      <c r="AG220" s="400">
        <v>0</v>
      </c>
      <c r="AH220" s="374">
        <v>0</v>
      </c>
      <c r="AI220" s="375">
        <v>0</v>
      </c>
      <c r="AJ220" s="372">
        <v>244.41</v>
      </c>
      <c r="AK220" s="376">
        <v>0</v>
      </c>
      <c r="AL220" s="376">
        <v>0</v>
      </c>
      <c r="AM220" s="412">
        <v>245.79786802030458</v>
      </c>
    </row>
    <row r="221" spans="2:39" s="377" customFormat="1" ht="28.15" customHeight="1" x14ac:dyDescent="0.25">
      <c r="B221" s="369">
        <v>43227</v>
      </c>
      <c r="C221" s="370">
        <v>246760.5</v>
      </c>
      <c r="D221" s="370">
        <v>0</v>
      </c>
      <c r="E221" s="371">
        <v>0</v>
      </c>
      <c r="F221" s="371">
        <v>0</v>
      </c>
      <c r="G221" s="371">
        <v>0</v>
      </c>
      <c r="H221" s="371">
        <v>75</v>
      </c>
      <c r="I221" s="371"/>
      <c r="J221" s="371"/>
      <c r="K221" s="371"/>
      <c r="L221" s="371"/>
      <c r="M221" s="371">
        <v>650000</v>
      </c>
      <c r="N221" s="371">
        <v>44000</v>
      </c>
      <c r="O221" s="371">
        <v>1600</v>
      </c>
      <c r="P221" s="371">
        <f t="shared" si="2"/>
        <v>91683</v>
      </c>
      <c r="Q221" s="371">
        <v>-59825</v>
      </c>
      <c r="R221" s="372">
        <v>246760.5</v>
      </c>
      <c r="S221" s="400">
        <v>227049.03</v>
      </c>
      <c r="T221" s="400">
        <v>732.45</v>
      </c>
      <c r="U221" s="400">
        <v>0</v>
      </c>
      <c r="V221" s="400">
        <v>0</v>
      </c>
      <c r="W221" s="372">
        <v>227049.03</v>
      </c>
      <c r="X221" s="373">
        <v>227781.48</v>
      </c>
      <c r="Y221" s="372">
        <v>246760.5</v>
      </c>
      <c r="Z221" s="373">
        <v>974218.5</v>
      </c>
      <c r="AA221" s="400">
        <v>-75</v>
      </c>
      <c r="AB221" s="400">
        <v>0</v>
      </c>
      <c r="AC221" s="400">
        <v>0</v>
      </c>
      <c r="AD221" s="400">
        <v>0</v>
      </c>
      <c r="AE221" s="372">
        <v>-75</v>
      </c>
      <c r="AF221" s="372">
        <v>-75</v>
      </c>
      <c r="AG221" s="400">
        <v>0.75999999999999091</v>
      </c>
      <c r="AH221" s="374">
        <v>-3.039384342307622E-4</v>
      </c>
      <c r="AI221" s="375">
        <v>0</v>
      </c>
      <c r="AJ221" s="372">
        <v>245.17</v>
      </c>
      <c r="AK221" s="376">
        <v>3.0998898723334461E-3</v>
      </c>
      <c r="AL221" s="376">
        <v>-3.4038283065642083E-3</v>
      </c>
      <c r="AM221" s="412">
        <v>245.83974619289341</v>
      </c>
    </row>
    <row r="222" spans="2:39" s="377" customFormat="1" ht="28.15" customHeight="1" x14ac:dyDescent="0.25">
      <c r="B222" s="369">
        <v>43228</v>
      </c>
      <c r="C222" s="370">
        <v>246760.5</v>
      </c>
      <c r="D222" s="370">
        <v>0</v>
      </c>
      <c r="E222" s="371">
        <v>0</v>
      </c>
      <c r="F222" s="371">
        <v>0</v>
      </c>
      <c r="G222" s="371">
        <v>0</v>
      </c>
      <c r="H222" s="371"/>
      <c r="I222" s="371"/>
      <c r="J222" s="371"/>
      <c r="K222" s="371"/>
      <c r="L222" s="371"/>
      <c r="M222" s="371">
        <v>650000</v>
      </c>
      <c r="N222" s="371">
        <v>44000</v>
      </c>
      <c r="O222" s="371">
        <v>1600</v>
      </c>
      <c r="P222" s="371">
        <f t="shared" si="2"/>
        <v>91683</v>
      </c>
      <c r="Q222" s="371">
        <v>-59825</v>
      </c>
      <c r="R222" s="372">
        <v>246760.5</v>
      </c>
      <c r="S222" s="400">
        <v>227049.03</v>
      </c>
      <c r="T222" s="400">
        <v>732.45</v>
      </c>
      <c r="U222" s="400">
        <v>0</v>
      </c>
      <c r="V222" s="400">
        <v>0</v>
      </c>
      <c r="W222" s="372">
        <v>227049.03</v>
      </c>
      <c r="X222" s="373">
        <v>227781.48</v>
      </c>
      <c r="Y222" s="372">
        <v>246760.5</v>
      </c>
      <c r="Z222" s="373">
        <v>974218.5</v>
      </c>
      <c r="AA222" s="400">
        <v>0</v>
      </c>
      <c r="AB222" s="400">
        <v>0</v>
      </c>
      <c r="AC222" s="400">
        <v>0</v>
      </c>
      <c r="AD222" s="400">
        <v>0</v>
      </c>
      <c r="AE222" s="372">
        <v>0</v>
      </c>
      <c r="AF222" s="372">
        <v>0</v>
      </c>
      <c r="AG222" s="400">
        <v>-9.9999999999909051E-3</v>
      </c>
      <c r="AH222" s="374">
        <v>0</v>
      </c>
      <c r="AI222" s="375">
        <v>0</v>
      </c>
      <c r="AJ222" s="372">
        <v>245.16</v>
      </c>
      <c r="AK222" s="376">
        <v>-4.0789688366743779E-5</v>
      </c>
      <c r="AL222" s="376">
        <v>4.0789688366743779E-5</v>
      </c>
      <c r="AM222" s="412">
        <v>245.88548223350256</v>
      </c>
    </row>
    <row r="223" spans="2:39" s="377" customFormat="1" ht="28.15" customHeight="1" x14ac:dyDescent="0.25">
      <c r="B223" s="369">
        <v>43229</v>
      </c>
      <c r="C223" s="370">
        <v>246760.5</v>
      </c>
      <c r="D223" s="370">
        <v>32658.11</v>
      </c>
      <c r="E223" s="371">
        <v>0</v>
      </c>
      <c r="F223" s="371">
        <v>0</v>
      </c>
      <c r="G223" s="371">
        <v>0</v>
      </c>
      <c r="H223" s="371"/>
      <c r="I223" s="371">
        <f>14834+17094</f>
        <v>31928</v>
      </c>
      <c r="J223" s="371"/>
      <c r="K223" s="371"/>
      <c r="L223" s="371"/>
      <c r="M223" s="371">
        <v>650000</v>
      </c>
      <c r="N223" s="371">
        <v>44000</v>
      </c>
      <c r="O223" s="371">
        <v>1600</v>
      </c>
      <c r="P223" s="371">
        <f t="shared" si="2"/>
        <v>91683</v>
      </c>
      <c r="Q223" s="371">
        <v>-59825</v>
      </c>
      <c r="R223" s="372">
        <v>246760.5</v>
      </c>
      <c r="S223" s="400">
        <v>227049.03</v>
      </c>
      <c r="T223" s="400">
        <v>32660.45</v>
      </c>
      <c r="U223" s="400">
        <v>0</v>
      </c>
      <c r="V223" s="400">
        <v>0</v>
      </c>
      <c r="W223" s="372">
        <v>227049.03</v>
      </c>
      <c r="X223" s="373">
        <v>259709.48</v>
      </c>
      <c r="Y223" s="372">
        <v>279418.61</v>
      </c>
      <c r="Z223" s="373">
        <v>1006876.6099999999</v>
      </c>
      <c r="AA223" s="400">
        <v>0</v>
      </c>
      <c r="AB223" s="400">
        <v>730.11000000000058</v>
      </c>
      <c r="AC223" s="400">
        <v>0</v>
      </c>
      <c r="AD223" s="400">
        <v>0</v>
      </c>
      <c r="AE223" s="372">
        <v>0</v>
      </c>
      <c r="AF223" s="372">
        <v>730.11000000000058</v>
      </c>
      <c r="AG223" s="400">
        <v>2.3799999999999955</v>
      </c>
      <c r="AH223" s="374">
        <v>0</v>
      </c>
      <c r="AI223" s="375">
        <v>2.2356162068166239E-2</v>
      </c>
      <c r="AJ223" s="372">
        <v>247.54</v>
      </c>
      <c r="AK223" s="376">
        <v>9.6146077401631884E-3</v>
      </c>
      <c r="AL223" s="376">
        <v>-9.6146077401631884E-3</v>
      </c>
      <c r="AM223" s="412">
        <v>245.9355329949239</v>
      </c>
    </row>
    <row r="224" spans="2:39" s="377" customFormat="1" ht="28.15" customHeight="1" x14ac:dyDescent="0.25">
      <c r="B224" s="369">
        <v>43230</v>
      </c>
      <c r="C224" s="370">
        <v>246760.5</v>
      </c>
      <c r="D224" s="370">
        <v>32658.11</v>
      </c>
      <c r="E224" s="371">
        <v>0</v>
      </c>
      <c r="F224" s="371">
        <v>0</v>
      </c>
      <c r="G224" s="371">
        <v>0</v>
      </c>
      <c r="H224" s="371"/>
      <c r="I224" s="371"/>
      <c r="J224" s="371"/>
      <c r="K224" s="371"/>
      <c r="L224" s="371"/>
      <c r="M224" s="371">
        <v>650000</v>
      </c>
      <c r="N224" s="371">
        <v>44000</v>
      </c>
      <c r="O224" s="371">
        <v>1600</v>
      </c>
      <c r="P224" s="371">
        <f t="shared" si="2"/>
        <v>91683</v>
      </c>
      <c r="Q224" s="371">
        <v>-59825</v>
      </c>
      <c r="R224" s="372">
        <v>246760.5</v>
      </c>
      <c r="S224" s="400">
        <v>227049.03</v>
      </c>
      <c r="T224" s="400">
        <v>32660.45</v>
      </c>
      <c r="U224" s="400">
        <v>0</v>
      </c>
      <c r="V224" s="400">
        <v>0</v>
      </c>
      <c r="W224" s="372">
        <v>227049.03</v>
      </c>
      <c r="X224" s="373">
        <v>259709.48</v>
      </c>
      <c r="Y224" s="372">
        <v>279418.61</v>
      </c>
      <c r="Z224" s="373">
        <v>1006876.6099999999</v>
      </c>
      <c r="AA224" s="400">
        <v>0</v>
      </c>
      <c r="AB224" s="400">
        <v>0</v>
      </c>
      <c r="AC224" s="400">
        <v>0</v>
      </c>
      <c r="AD224" s="400">
        <v>0</v>
      </c>
      <c r="AE224" s="372">
        <v>0</v>
      </c>
      <c r="AF224" s="372">
        <v>0</v>
      </c>
      <c r="AG224" s="400">
        <v>2.3200000000000216</v>
      </c>
      <c r="AH224" s="374">
        <v>0</v>
      </c>
      <c r="AI224" s="375">
        <v>0</v>
      </c>
      <c r="AJ224" s="372">
        <v>249.86</v>
      </c>
      <c r="AK224" s="376">
        <v>9.2851997118387156E-3</v>
      </c>
      <c r="AL224" s="376">
        <v>-9.2851997118387156E-3</v>
      </c>
      <c r="AM224" s="412">
        <v>245.99598984771578</v>
      </c>
    </row>
    <row r="225" spans="2:39" s="377" customFormat="1" ht="28.15" customHeight="1" x14ac:dyDescent="0.25">
      <c r="B225" s="369">
        <v>43231</v>
      </c>
      <c r="C225" s="370">
        <v>246760.5</v>
      </c>
      <c r="D225" s="370">
        <v>32658.11</v>
      </c>
      <c r="E225" s="371">
        <v>0</v>
      </c>
      <c r="F225" s="371">
        <v>0</v>
      </c>
      <c r="G225" s="371">
        <v>0</v>
      </c>
      <c r="H225" s="371"/>
      <c r="I225" s="371"/>
      <c r="J225" s="371"/>
      <c r="K225" s="371"/>
      <c r="L225" s="371"/>
      <c r="M225" s="371">
        <v>650000</v>
      </c>
      <c r="N225" s="371">
        <v>44000</v>
      </c>
      <c r="O225" s="371">
        <v>1600</v>
      </c>
      <c r="P225" s="371">
        <f t="shared" si="2"/>
        <v>91683</v>
      </c>
      <c r="Q225" s="371">
        <v>-59825</v>
      </c>
      <c r="R225" s="372">
        <v>246760.5</v>
      </c>
      <c r="S225" s="400">
        <v>227049.03</v>
      </c>
      <c r="T225" s="400">
        <v>32660.45</v>
      </c>
      <c r="U225" s="400">
        <v>0</v>
      </c>
      <c r="V225" s="400">
        <v>0</v>
      </c>
      <c r="W225" s="372">
        <v>227049.03</v>
      </c>
      <c r="X225" s="373">
        <v>259709.48</v>
      </c>
      <c r="Y225" s="372">
        <v>279418.61</v>
      </c>
      <c r="Z225" s="373">
        <v>1006876.6099999999</v>
      </c>
      <c r="AA225" s="400">
        <v>0</v>
      </c>
      <c r="AB225" s="400">
        <v>0</v>
      </c>
      <c r="AC225" s="400">
        <v>0</v>
      </c>
      <c r="AD225" s="400">
        <v>0</v>
      </c>
      <c r="AE225" s="372">
        <v>0</v>
      </c>
      <c r="AF225" s="372">
        <v>0</v>
      </c>
      <c r="AG225" s="400">
        <v>0.60999999999998522</v>
      </c>
      <c r="AH225" s="374">
        <v>0</v>
      </c>
      <c r="AI225" s="375">
        <v>0</v>
      </c>
      <c r="AJ225" s="372">
        <v>250.47</v>
      </c>
      <c r="AK225" s="376">
        <v>2.4354214077533646E-3</v>
      </c>
      <c r="AL225" s="376">
        <v>-2.4354214077533646E-3</v>
      </c>
      <c r="AM225" s="412">
        <v>246.07395939086297</v>
      </c>
    </row>
    <row r="226" spans="2:39" s="377" customFormat="1" ht="28.15" customHeight="1" x14ac:dyDescent="0.25">
      <c r="B226" s="378">
        <v>43232</v>
      </c>
      <c r="C226" s="370">
        <v>246760.5</v>
      </c>
      <c r="D226" s="370">
        <v>32658.11</v>
      </c>
      <c r="E226" s="371">
        <v>0</v>
      </c>
      <c r="F226" s="371">
        <v>0</v>
      </c>
      <c r="G226" s="371">
        <v>0</v>
      </c>
      <c r="H226" s="371"/>
      <c r="I226" s="371"/>
      <c r="J226" s="371"/>
      <c r="K226" s="371"/>
      <c r="L226" s="371"/>
      <c r="M226" s="371">
        <v>650000</v>
      </c>
      <c r="N226" s="371">
        <v>44000</v>
      </c>
      <c r="O226" s="371">
        <v>1600</v>
      </c>
      <c r="P226" s="371">
        <f t="shared" si="2"/>
        <v>91683</v>
      </c>
      <c r="Q226" s="371">
        <v>-59825</v>
      </c>
      <c r="R226" s="372">
        <v>246760.5</v>
      </c>
      <c r="S226" s="400">
        <v>227049.03</v>
      </c>
      <c r="T226" s="400">
        <v>32660.45</v>
      </c>
      <c r="U226" s="400">
        <v>0</v>
      </c>
      <c r="V226" s="400">
        <v>0</v>
      </c>
      <c r="W226" s="372">
        <v>227049.03</v>
      </c>
      <c r="X226" s="373">
        <v>259709.48</v>
      </c>
      <c r="Y226" s="372">
        <v>279418.61</v>
      </c>
      <c r="Z226" s="373">
        <v>1006876.6099999999</v>
      </c>
      <c r="AA226" s="400">
        <v>0</v>
      </c>
      <c r="AB226" s="400">
        <v>0</v>
      </c>
      <c r="AC226" s="400">
        <v>0</v>
      </c>
      <c r="AD226" s="400">
        <v>0</v>
      </c>
      <c r="AE226" s="372">
        <v>0</v>
      </c>
      <c r="AF226" s="372">
        <v>0</v>
      </c>
      <c r="AG226" s="400">
        <v>0</v>
      </c>
      <c r="AH226" s="374">
        <v>0</v>
      </c>
      <c r="AI226" s="375">
        <v>0</v>
      </c>
      <c r="AJ226" s="372">
        <v>250.47</v>
      </c>
      <c r="AK226" s="376">
        <v>0</v>
      </c>
      <c r="AL226" s="376">
        <v>0</v>
      </c>
      <c r="AM226" s="412">
        <v>246.1539086294417</v>
      </c>
    </row>
    <row r="227" spans="2:39" s="377" customFormat="1" ht="28.15" customHeight="1" x14ac:dyDescent="0.25">
      <c r="B227" s="378">
        <v>43233</v>
      </c>
      <c r="C227" s="370">
        <v>246760.5</v>
      </c>
      <c r="D227" s="370">
        <v>32658.11</v>
      </c>
      <c r="E227" s="371">
        <v>0</v>
      </c>
      <c r="F227" s="371">
        <v>0</v>
      </c>
      <c r="G227" s="371">
        <v>0</v>
      </c>
      <c r="H227" s="371"/>
      <c r="I227" s="371"/>
      <c r="J227" s="371"/>
      <c r="K227" s="371"/>
      <c r="L227" s="371"/>
      <c r="M227" s="371">
        <v>650000</v>
      </c>
      <c r="N227" s="371">
        <v>44000</v>
      </c>
      <c r="O227" s="371">
        <v>1600</v>
      </c>
      <c r="P227" s="371">
        <f t="shared" si="2"/>
        <v>91683</v>
      </c>
      <c r="Q227" s="371">
        <v>-59825</v>
      </c>
      <c r="R227" s="372">
        <v>246760.5</v>
      </c>
      <c r="S227" s="400">
        <v>227049.03</v>
      </c>
      <c r="T227" s="400">
        <v>32660.45</v>
      </c>
      <c r="U227" s="400">
        <v>0</v>
      </c>
      <c r="V227" s="400">
        <v>0</v>
      </c>
      <c r="W227" s="372">
        <v>227049.03</v>
      </c>
      <c r="X227" s="373">
        <v>259709.48</v>
      </c>
      <c r="Y227" s="372">
        <v>279418.61</v>
      </c>
      <c r="Z227" s="373">
        <v>1006876.6099999999</v>
      </c>
      <c r="AA227" s="400">
        <v>0</v>
      </c>
      <c r="AB227" s="400">
        <v>0</v>
      </c>
      <c r="AC227" s="400">
        <v>0</v>
      </c>
      <c r="AD227" s="400">
        <v>0</v>
      </c>
      <c r="AE227" s="372">
        <v>0</v>
      </c>
      <c r="AF227" s="372">
        <v>0</v>
      </c>
      <c r="AG227" s="400">
        <v>0</v>
      </c>
      <c r="AH227" s="374">
        <v>0</v>
      </c>
      <c r="AI227" s="375">
        <v>0</v>
      </c>
      <c r="AJ227" s="372">
        <v>250.47</v>
      </c>
      <c r="AK227" s="376">
        <v>0</v>
      </c>
      <c r="AL227" s="376">
        <v>0</v>
      </c>
      <c r="AM227" s="412">
        <v>246.22370558375641</v>
      </c>
    </row>
    <row r="228" spans="2:39" s="377" customFormat="1" ht="28.15" customHeight="1" x14ac:dyDescent="0.25">
      <c r="B228" s="369">
        <v>43234</v>
      </c>
      <c r="C228" s="370">
        <v>246760.5</v>
      </c>
      <c r="D228" s="370">
        <v>32658.11</v>
      </c>
      <c r="E228" s="371">
        <v>0</v>
      </c>
      <c r="F228" s="371">
        <v>0</v>
      </c>
      <c r="G228" s="371">
        <v>0</v>
      </c>
      <c r="H228" s="371"/>
      <c r="I228" s="371"/>
      <c r="J228" s="371"/>
      <c r="K228" s="371"/>
      <c r="L228" s="371"/>
      <c r="M228" s="371">
        <v>650000</v>
      </c>
      <c r="N228" s="371">
        <v>44000</v>
      </c>
      <c r="O228" s="371">
        <v>1600</v>
      </c>
      <c r="P228" s="371">
        <f t="shared" si="2"/>
        <v>91683</v>
      </c>
      <c r="Q228" s="371">
        <v>-59825</v>
      </c>
      <c r="R228" s="372">
        <v>246760.5</v>
      </c>
      <c r="S228" s="400">
        <v>227049.03</v>
      </c>
      <c r="T228" s="400">
        <v>32660.45</v>
      </c>
      <c r="U228" s="400">
        <v>0</v>
      </c>
      <c r="V228" s="400">
        <v>0</v>
      </c>
      <c r="W228" s="372">
        <v>227049.03</v>
      </c>
      <c r="X228" s="373">
        <v>259709.48</v>
      </c>
      <c r="Y228" s="372">
        <v>279418.61</v>
      </c>
      <c r="Z228" s="373">
        <v>1006876.6099999999</v>
      </c>
      <c r="AA228" s="400">
        <v>0</v>
      </c>
      <c r="AB228" s="400">
        <v>0</v>
      </c>
      <c r="AC228" s="400">
        <v>0</v>
      </c>
      <c r="AD228" s="400">
        <v>0</v>
      </c>
      <c r="AE228" s="372">
        <v>0</v>
      </c>
      <c r="AF228" s="372">
        <v>0</v>
      </c>
      <c r="AG228" s="400">
        <v>0.28000000000000114</v>
      </c>
      <c r="AH228" s="374">
        <v>0</v>
      </c>
      <c r="AI228" s="375">
        <v>0</v>
      </c>
      <c r="AJ228" s="372">
        <v>250.75</v>
      </c>
      <c r="AK228" s="376">
        <v>1.1166500498504533E-3</v>
      </c>
      <c r="AL228" s="376">
        <v>-1.1166500498504533E-3</v>
      </c>
      <c r="AM228" s="412">
        <v>246.29350253807115</v>
      </c>
    </row>
    <row r="229" spans="2:39" s="377" customFormat="1" ht="28.15" customHeight="1" x14ac:dyDescent="0.25">
      <c r="B229" s="369">
        <v>43235</v>
      </c>
      <c r="C229" s="370">
        <v>246760.5</v>
      </c>
      <c r="D229" s="370">
        <v>32658.11</v>
      </c>
      <c r="E229" s="371">
        <v>0</v>
      </c>
      <c r="F229" s="371">
        <v>0</v>
      </c>
      <c r="G229" s="371">
        <v>0</v>
      </c>
      <c r="H229" s="371"/>
      <c r="I229" s="371">
        <v>210</v>
      </c>
      <c r="J229" s="371"/>
      <c r="K229" s="371"/>
      <c r="L229" s="371"/>
      <c r="M229" s="371">
        <v>650000</v>
      </c>
      <c r="N229" s="371">
        <v>44000</v>
      </c>
      <c r="O229" s="371">
        <v>1600</v>
      </c>
      <c r="P229" s="371">
        <f t="shared" si="2"/>
        <v>91683</v>
      </c>
      <c r="Q229" s="371">
        <v>-59825</v>
      </c>
      <c r="R229" s="372">
        <v>246760.5</v>
      </c>
      <c r="S229" s="400">
        <v>227049.03</v>
      </c>
      <c r="T229" s="400">
        <v>32870.449999999997</v>
      </c>
      <c r="U229" s="400">
        <v>0</v>
      </c>
      <c r="V229" s="400">
        <v>0</v>
      </c>
      <c r="W229" s="372">
        <v>227049.03</v>
      </c>
      <c r="X229" s="373">
        <v>259919.47999999998</v>
      </c>
      <c r="Y229" s="372">
        <v>279418.61</v>
      </c>
      <c r="Z229" s="373">
        <v>1006876.6099999999</v>
      </c>
      <c r="AA229" s="400">
        <v>0</v>
      </c>
      <c r="AB229" s="400">
        <v>-210</v>
      </c>
      <c r="AC229" s="400">
        <v>0</v>
      </c>
      <c r="AD229" s="400">
        <v>0</v>
      </c>
      <c r="AE229" s="372">
        <v>0</v>
      </c>
      <c r="AF229" s="372">
        <v>-210</v>
      </c>
      <c r="AG229" s="400">
        <v>-1.7199999999999989</v>
      </c>
      <c r="AH229" s="374">
        <v>0</v>
      </c>
      <c r="AI229" s="375">
        <v>-6.430255761891916E-3</v>
      </c>
      <c r="AJ229" s="372">
        <v>249.03</v>
      </c>
      <c r="AK229" s="376">
        <v>-6.9067983777054923E-3</v>
      </c>
      <c r="AL229" s="376">
        <v>6.9067983777054923E-3</v>
      </c>
      <c r="AM229" s="412">
        <v>246.36472081218281</v>
      </c>
    </row>
    <row r="230" spans="2:39" s="377" customFormat="1" ht="28.15" customHeight="1" x14ac:dyDescent="0.25">
      <c r="B230" s="369">
        <v>43236</v>
      </c>
      <c r="C230" s="370">
        <v>246760.5</v>
      </c>
      <c r="D230" s="370">
        <v>32658.11</v>
      </c>
      <c r="E230" s="371">
        <v>0</v>
      </c>
      <c r="F230" s="371">
        <v>0</v>
      </c>
      <c r="G230" s="371">
        <v>0</v>
      </c>
      <c r="H230" s="371"/>
      <c r="I230" s="371"/>
      <c r="J230" s="371"/>
      <c r="K230" s="371"/>
      <c r="L230" s="371"/>
      <c r="M230" s="371">
        <v>650000</v>
      </c>
      <c r="N230" s="371">
        <v>44000</v>
      </c>
      <c r="O230" s="371">
        <v>1600</v>
      </c>
      <c r="P230" s="371">
        <f t="shared" ref="P230:P243" si="3">91683</f>
        <v>91683</v>
      </c>
      <c r="Q230" s="371">
        <v>-59825</v>
      </c>
      <c r="R230" s="372">
        <v>246760.5</v>
      </c>
      <c r="S230" s="400">
        <v>227049.03</v>
      </c>
      <c r="T230" s="400">
        <v>32870.449999999997</v>
      </c>
      <c r="U230" s="400">
        <v>0</v>
      </c>
      <c r="V230" s="400">
        <v>0</v>
      </c>
      <c r="W230" s="372">
        <v>227049.03</v>
      </c>
      <c r="X230" s="373">
        <v>259919.47999999998</v>
      </c>
      <c r="Y230" s="372">
        <v>279418.61</v>
      </c>
      <c r="Z230" s="373">
        <v>1006876.6099999999</v>
      </c>
      <c r="AA230" s="400">
        <v>0</v>
      </c>
      <c r="AB230" s="400">
        <v>0</v>
      </c>
      <c r="AC230" s="400">
        <v>0</v>
      </c>
      <c r="AD230" s="400">
        <v>0</v>
      </c>
      <c r="AE230" s="372">
        <v>0</v>
      </c>
      <c r="AF230" s="372">
        <v>0</v>
      </c>
      <c r="AG230" s="400">
        <v>1.0600000000000023</v>
      </c>
      <c r="AH230" s="374">
        <v>0</v>
      </c>
      <c r="AI230" s="375">
        <v>0</v>
      </c>
      <c r="AJ230" s="372">
        <v>250.09</v>
      </c>
      <c r="AK230" s="376">
        <v>4.2384741493062591E-3</v>
      </c>
      <c r="AL230" s="376">
        <v>-4.2384741493062591E-3</v>
      </c>
      <c r="AM230" s="412">
        <v>246.43157360406096</v>
      </c>
    </row>
    <row r="231" spans="2:39" s="377" customFormat="1" ht="28.15" customHeight="1" x14ac:dyDescent="0.25">
      <c r="B231" s="369">
        <v>43237</v>
      </c>
      <c r="C231" s="370">
        <v>246760.5</v>
      </c>
      <c r="D231" s="370">
        <v>32658.11</v>
      </c>
      <c r="E231" s="371">
        <v>0</v>
      </c>
      <c r="F231" s="371">
        <v>0</v>
      </c>
      <c r="G231" s="371">
        <v>0</v>
      </c>
      <c r="H231" s="371"/>
      <c r="I231" s="371"/>
      <c r="J231" s="371"/>
      <c r="K231" s="371"/>
      <c r="L231" s="371"/>
      <c r="M231" s="371">
        <v>650000</v>
      </c>
      <c r="N231" s="371">
        <v>44000</v>
      </c>
      <c r="O231" s="371">
        <v>1600</v>
      </c>
      <c r="P231" s="371">
        <f t="shared" si="3"/>
        <v>91683</v>
      </c>
      <c r="Q231" s="371">
        <v>-59825</v>
      </c>
      <c r="R231" s="372">
        <v>246760.5</v>
      </c>
      <c r="S231" s="400">
        <v>227049.03</v>
      </c>
      <c r="T231" s="400">
        <v>32870.449999999997</v>
      </c>
      <c r="U231" s="400">
        <v>0</v>
      </c>
      <c r="V231" s="400">
        <v>0</v>
      </c>
      <c r="W231" s="372">
        <v>227049.03</v>
      </c>
      <c r="X231" s="373">
        <v>259919.47999999998</v>
      </c>
      <c r="Y231" s="372">
        <v>279418.61</v>
      </c>
      <c r="Z231" s="373">
        <v>1006876.6099999999</v>
      </c>
      <c r="AA231" s="400">
        <v>0</v>
      </c>
      <c r="AB231" s="400">
        <v>0</v>
      </c>
      <c r="AC231" s="400">
        <v>0</v>
      </c>
      <c r="AD231" s="400">
        <v>0</v>
      </c>
      <c r="AE231" s="372">
        <v>0</v>
      </c>
      <c r="AF231" s="372">
        <v>0</v>
      </c>
      <c r="AG231" s="400">
        <v>-0.21000000000000796</v>
      </c>
      <c r="AH231" s="374">
        <v>0</v>
      </c>
      <c r="AI231" s="375">
        <v>0</v>
      </c>
      <c r="AJ231" s="372">
        <v>249.88</v>
      </c>
      <c r="AK231" s="376">
        <v>-8.404033936289738E-4</v>
      </c>
      <c r="AL231" s="376">
        <v>8.404033936289738E-4</v>
      </c>
      <c r="AM231" s="412">
        <v>246.50243654822341</v>
      </c>
    </row>
    <row r="232" spans="2:39" s="377" customFormat="1" ht="28.15" customHeight="1" x14ac:dyDescent="0.25">
      <c r="B232" s="369">
        <v>43238</v>
      </c>
      <c r="C232" s="370">
        <v>246760.5</v>
      </c>
      <c r="D232" s="370">
        <v>32658.11</v>
      </c>
      <c r="E232" s="371">
        <v>0</v>
      </c>
      <c r="F232" s="371">
        <v>0</v>
      </c>
      <c r="G232" s="371">
        <v>0</v>
      </c>
      <c r="H232" s="371"/>
      <c r="I232" s="371"/>
      <c r="J232" s="371"/>
      <c r="K232" s="371"/>
      <c r="L232" s="371"/>
      <c r="M232" s="371">
        <v>650000</v>
      </c>
      <c r="N232" s="371">
        <v>44000</v>
      </c>
      <c r="O232" s="371">
        <v>1600</v>
      </c>
      <c r="P232" s="371">
        <f t="shared" si="3"/>
        <v>91683</v>
      </c>
      <c r="Q232" s="371">
        <v>-59825</v>
      </c>
      <c r="R232" s="372">
        <v>246760.5</v>
      </c>
      <c r="S232" s="400">
        <v>227049.03</v>
      </c>
      <c r="T232" s="400">
        <v>32870.449999999997</v>
      </c>
      <c r="U232" s="400">
        <v>0</v>
      </c>
      <c r="V232" s="400">
        <v>0</v>
      </c>
      <c r="W232" s="372">
        <v>227049.03</v>
      </c>
      <c r="X232" s="373">
        <v>259919.47999999998</v>
      </c>
      <c r="Y232" s="372">
        <v>279418.61</v>
      </c>
      <c r="Z232" s="373">
        <v>1006876.6099999999</v>
      </c>
      <c r="AA232" s="400">
        <v>0</v>
      </c>
      <c r="AB232" s="400">
        <v>0</v>
      </c>
      <c r="AC232" s="400">
        <v>0</v>
      </c>
      <c r="AD232" s="400">
        <v>0</v>
      </c>
      <c r="AE232" s="372">
        <v>0</v>
      </c>
      <c r="AF232" s="372">
        <v>0</v>
      </c>
      <c r="AG232" s="400">
        <v>-0.62000000000000455</v>
      </c>
      <c r="AH232" s="374">
        <v>0</v>
      </c>
      <c r="AI232" s="375">
        <v>0</v>
      </c>
      <c r="AJ232" s="372">
        <v>249.26</v>
      </c>
      <c r="AK232" s="376">
        <v>-2.4873625932761156E-3</v>
      </c>
      <c r="AL232" s="376">
        <v>2.4873625932761156E-3</v>
      </c>
      <c r="AM232" s="412">
        <v>246.570152284264</v>
      </c>
    </row>
    <row r="233" spans="2:39" s="377" customFormat="1" ht="28.15" customHeight="1" x14ac:dyDescent="0.25">
      <c r="B233" s="378">
        <v>43239</v>
      </c>
      <c r="C233" s="370">
        <v>246760.5</v>
      </c>
      <c r="D233" s="370">
        <v>32658.11</v>
      </c>
      <c r="E233" s="371">
        <v>0</v>
      </c>
      <c r="F233" s="371">
        <v>0</v>
      </c>
      <c r="G233" s="371">
        <v>0</v>
      </c>
      <c r="H233" s="371"/>
      <c r="I233" s="371"/>
      <c r="J233" s="371"/>
      <c r="K233" s="371"/>
      <c r="L233" s="371"/>
      <c r="M233" s="371">
        <v>650000</v>
      </c>
      <c r="N233" s="371">
        <v>44000</v>
      </c>
      <c r="O233" s="371">
        <v>1600</v>
      </c>
      <c r="P233" s="371">
        <f t="shared" si="3"/>
        <v>91683</v>
      </c>
      <c r="Q233" s="371">
        <v>-59825</v>
      </c>
      <c r="R233" s="372">
        <v>246760.5</v>
      </c>
      <c r="S233" s="400">
        <v>227049.03</v>
      </c>
      <c r="T233" s="400">
        <v>32870.449999999997</v>
      </c>
      <c r="U233" s="400">
        <v>0</v>
      </c>
      <c r="V233" s="400">
        <v>0</v>
      </c>
      <c r="W233" s="372">
        <v>227049.03</v>
      </c>
      <c r="X233" s="373">
        <v>259919.47999999998</v>
      </c>
      <c r="Y233" s="372">
        <v>279418.61</v>
      </c>
      <c r="Z233" s="373">
        <v>1006876.6099999999</v>
      </c>
      <c r="AA233" s="400">
        <v>0</v>
      </c>
      <c r="AB233" s="400">
        <v>0</v>
      </c>
      <c r="AC233" s="400">
        <v>0</v>
      </c>
      <c r="AD233" s="400">
        <v>0</v>
      </c>
      <c r="AE233" s="372">
        <v>0</v>
      </c>
      <c r="AF233" s="372">
        <v>0</v>
      </c>
      <c r="AG233" s="400">
        <v>0</v>
      </c>
      <c r="AH233" s="374">
        <v>0</v>
      </c>
      <c r="AI233" s="375">
        <v>0</v>
      </c>
      <c r="AJ233" s="372">
        <v>249.26</v>
      </c>
      <c r="AK233" s="376">
        <v>0</v>
      </c>
      <c r="AL233" s="376">
        <v>0</v>
      </c>
      <c r="AM233" s="412">
        <v>246.63421319796959</v>
      </c>
    </row>
    <row r="234" spans="2:39" s="377" customFormat="1" ht="28.15" customHeight="1" x14ac:dyDescent="0.25">
      <c r="B234" s="378">
        <v>43240</v>
      </c>
      <c r="C234" s="370">
        <v>246760.5</v>
      </c>
      <c r="D234" s="370">
        <v>32658.11</v>
      </c>
      <c r="E234" s="371">
        <v>0</v>
      </c>
      <c r="F234" s="371">
        <v>0</v>
      </c>
      <c r="G234" s="371">
        <v>0</v>
      </c>
      <c r="H234" s="371"/>
      <c r="I234" s="371"/>
      <c r="J234" s="371"/>
      <c r="K234" s="371"/>
      <c r="L234" s="371"/>
      <c r="M234" s="371">
        <v>650000</v>
      </c>
      <c r="N234" s="371">
        <v>44000</v>
      </c>
      <c r="O234" s="371">
        <v>1600</v>
      </c>
      <c r="P234" s="371">
        <f t="shared" si="3"/>
        <v>91683</v>
      </c>
      <c r="Q234" s="371">
        <v>-59825</v>
      </c>
      <c r="R234" s="372">
        <v>246760.5</v>
      </c>
      <c r="S234" s="400">
        <v>227049.03</v>
      </c>
      <c r="T234" s="400">
        <v>32870.449999999997</v>
      </c>
      <c r="U234" s="400">
        <v>0</v>
      </c>
      <c r="V234" s="400">
        <v>0</v>
      </c>
      <c r="W234" s="372">
        <v>227049.03</v>
      </c>
      <c r="X234" s="373">
        <v>259919.47999999998</v>
      </c>
      <c r="Y234" s="372">
        <v>279418.61</v>
      </c>
      <c r="Z234" s="373">
        <v>1006876.6099999999</v>
      </c>
      <c r="AA234" s="400">
        <v>0</v>
      </c>
      <c r="AB234" s="400">
        <v>0</v>
      </c>
      <c r="AC234" s="400">
        <v>0</v>
      </c>
      <c r="AD234" s="400">
        <v>0</v>
      </c>
      <c r="AE234" s="372">
        <v>0</v>
      </c>
      <c r="AF234" s="372">
        <v>0</v>
      </c>
      <c r="AG234" s="400">
        <v>0</v>
      </c>
      <c r="AH234" s="374">
        <v>0</v>
      </c>
      <c r="AI234" s="375">
        <v>0</v>
      </c>
      <c r="AJ234" s="372">
        <v>249.26</v>
      </c>
      <c r="AK234" s="376">
        <v>0</v>
      </c>
      <c r="AL234" s="376">
        <v>0</v>
      </c>
      <c r="AM234" s="412">
        <v>246.69426395939092</v>
      </c>
    </row>
    <row r="235" spans="2:39" s="377" customFormat="1" ht="28.15" customHeight="1" x14ac:dyDescent="0.25">
      <c r="B235" s="369">
        <v>43241</v>
      </c>
      <c r="C235" s="370">
        <v>246760.5</v>
      </c>
      <c r="D235" s="370">
        <v>32658.11</v>
      </c>
      <c r="E235" s="371">
        <v>0</v>
      </c>
      <c r="F235" s="371">
        <v>0</v>
      </c>
      <c r="G235" s="371">
        <v>0</v>
      </c>
      <c r="H235" s="371"/>
      <c r="I235" s="371"/>
      <c r="J235" s="371"/>
      <c r="K235" s="371"/>
      <c r="L235" s="371"/>
      <c r="M235" s="371">
        <v>650000</v>
      </c>
      <c r="N235" s="371">
        <v>44000</v>
      </c>
      <c r="O235" s="371">
        <v>1600</v>
      </c>
      <c r="P235" s="371">
        <f t="shared" si="3"/>
        <v>91683</v>
      </c>
      <c r="Q235" s="371">
        <v>-59825</v>
      </c>
      <c r="R235" s="372">
        <v>246760.5</v>
      </c>
      <c r="S235" s="400">
        <v>227049.03</v>
      </c>
      <c r="T235" s="400">
        <v>32870.449999999997</v>
      </c>
      <c r="U235" s="400">
        <v>0</v>
      </c>
      <c r="V235" s="400">
        <v>0</v>
      </c>
      <c r="W235" s="372">
        <v>227049.03</v>
      </c>
      <c r="X235" s="373">
        <v>259919.47999999998</v>
      </c>
      <c r="Y235" s="372">
        <v>279418.61</v>
      </c>
      <c r="Z235" s="373">
        <v>1006876.6099999999</v>
      </c>
      <c r="AA235" s="400">
        <v>0</v>
      </c>
      <c r="AB235" s="400">
        <v>0</v>
      </c>
      <c r="AC235" s="400">
        <v>0</v>
      </c>
      <c r="AD235" s="400">
        <v>0</v>
      </c>
      <c r="AE235" s="372">
        <v>0</v>
      </c>
      <c r="AF235" s="372">
        <v>0</v>
      </c>
      <c r="AG235" s="400">
        <v>1.8300000000000125</v>
      </c>
      <c r="AH235" s="374">
        <v>0</v>
      </c>
      <c r="AI235" s="375">
        <v>0</v>
      </c>
      <c r="AJ235" s="372">
        <v>251.09</v>
      </c>
      <c r="AK235" s="376">
        <v>7.2882233462105714E-3</v>
      </c>
      <c r="AL235" s="376">
        <v>-7.2882233462105714E-3</v>
      </c>
      <c r="AM235" s="412">
        <v>246.75431472081229</v>
      </c>
    </row>
    <row r="236" spans="2:39" s="377" customFormat="1" ht="28.15" customHeight="1" x14ac:dyDescent="0.25">
      <c r="B236" s="369">
        <v>43242</v>
      </c>
      <c r="C236" s="370">
        <v>246760.5</v>
      </c>
      <c r="D236" s="370">
        <v>32658.11</v>
      </c>
      <c r="E236" s="371">
        <v>0</v>
      </c>
      <c r="F236" s="371">
        <v>0</v>
      </c>
      <c r="G236" s="371">
        <v>0</v>
      </c>
      <c r="H236" s="371">
        <v>75</v>
      </c>
      <c r="I236" s="371"/>
      <c r="J236" s="371"/>
      <c r="K236" s="371"/>
      <c r="L236" s="371"/>
      <c r="M236" s="371">
        <v>650000</v>
      </c>
      <c r="N236" s="371">
        <v>44000</v>
      </c>
      <c r="O236" s="371">
        <v>1600</v>
      </c>
      <c r="P236" s="371">
        <f t="shared" si="3"/>
        <v>91683</v>
      </c>
      <c r="Q236" s="371">
        <v>-59825</v>
      </c>
      <c r="R236" s="372">
        <v>246760.5</v>
      </c>
      <c r="S236" s="400">
        <v>227124.03</v>
      </c>
      <c r="T236" s="400">
        <v>32870.449999999997</v>
      </c>
      <c r="U236" s="400">
        <v>0</v>
      </c>
      <c r="V236" s="400">
        <v>0</v>
      </c>
      <c r="W236" s="372">
        <v>227124.03</v>
      </c>
      <c r="X236" s="373">
        <v>259994.47999999998</v>
      </c>
      <c r="Y236" s="372">
        <v>279418.61</v>
      </c>
      <c r="Z236" s="373">
        <v>1006876.6099999999</v>
      </c>
      <c r="AA236" s="400">
        <v>-75</v>
      </c>
      <c r="AB236" s="400">
        <v>0</v>
      </c>
      <c r="AC236" s="400">
        <v>0</v>
      </c>
      <c r="AD236" s="400">
        <v>0</v>
      </c>
      <c r="AE236" s="372">
        <v>-75</v>
      </c>
      <c r="AF236" s="372">
        <v>-75</v>
      </c>
      <c r="AG236" s="400">
        <v>-0.71999999999999886</v>
      </c>
      <c r="AH236" s="374">
        <v>-3.039384342307622E-4</v>
      </c>
      <c r="AI236" s="375">
        <v>0</v>
      </c>
      <c r="AJ236" s="372">
        <v>250.37</v>
      </c>
      <c r="AK236" s="376">
        <v>-2.8757438990294317E-3</v>
      </c>
      <c r="AL236" s="376">
        <v>2.5718054647986695E-3</v>
      </c>
      <c r="AM236" s="412">
        <v>246.82365482233516</v>
      </c>
    </row>
    <row r="237" spans="2:39" s="377" customFormat="1" ht="28.15" customHeight="1" x14ac:dyDescent="0.25">
      <c r="B237" s="369">
        <v>43243</v>
      </c>
      <c r="C237" s="370">
        <v>246760.5</v>
      </c>
      <c r="D237" s="370">
        <v>32658.11</v>
      </c>
      <c r="E237" s="371">
        <v>0</v>
      </c>
      <c r="F237" s="371">
        <v>0</v>
      </c>
      <c r="G237" s="371">
        <v>0</v>
      </c>
      <c r="H237" s="371"/>
      <c r="I237" s="371"/>
      <c r="J237" s="371"/>
      <c r="K237" s="371"/>
      <c r="L237" s="371"/>
      <c r="M237" s="371">
        <v>650000</v>
      </c>
      <c r="N237" s="371">
        <v>44000</v>
      </c>
      <c r="O237" s="371">
        <v>1600</v>
      </c>
      <c r="P237" s="371">
        <f t="shared" si="3"/>
        <v>91683</v>
      </c>
      <c r="Q237" s="371">
        <v>-59825</v>
      </c>
      <c r="R237" s="372">
        <v>246760.5</v>
      </c>
      <c r="S237" s="400">
        <v>227124.03</v>
      </c>
      <c r="T237" s="400">
        <v>32870.449999999997</v>
      </c>
      <c r="U237" s="400">
        <v>0</v>
      </c>
      <c r="V237" s="400">
        <v>0</v>
      </c>
      <c r="W237" s="372">
        <v>227124.03</v>
      </c>
      <c r="X237" s="373">
        <v>259994.47999999998</v>
      </c>
      <c r="Y237" s="372">
        <v>279418.61</v>
      </c>
      <c r="Z237" s="373">
        <v>1006876.6099999999</v>
      </c>
      <c r="AA237" s="400">
        <v>0</v>
      </c>
      <c r="AB237" s="400">
        <v>0</v>
      </c>
      <c r="AC237" s="400">
        <v>0</v>
      </c>
      <c r="AD237" s="400">
        <v>0</v>
      </c>
      <c r="AE237" s="372">
        <v>0</v>
      </c>
      <c r="AF237" s="372">
        <v>0</v>
      </c>
      <c r="AG237" s="400">
        <v>0.78000000000000114</v>
      </c>
      <c r="AH237" s="374">
        <v>0</v>
      </c>
      <c r="AI237" s="375">
        <v>0</v>
      </c>
      <c r="AJ237" s="372">
        <v>251.15</v>
      </c>
      <c r="AK237" s="376">
        <v>3.1057137169022541E-3</v>
      </c>
      <c r="AL237" s="376">
        <v>-3.1057137169022541E-3</v>
      </c>
      <c r="AM237" s="412">
        <v>246.88751269035546</v>
      </c>
    </row>
    <row r="238" spans="2:39" s="377" customFormat="1" ht="28.15" customHeight="1" x14ac:dyDescent="0.25">
      <c r="B238" s="369">
        <v>43244</v>
      </c>
      <c r="C238" s="370">
        <v>246760.5</v>
      </c>
      <c r="D238" s="370">
        <v>32658.11</v>
      </c>
      <c r="E238" s="371">
        <v>0</v>
      </c>
      <c r="F238" s="371">
        <v>0</v>
      </c>
      <c r="G238" s="371">
        <v>0</v>
      </c>
      <c r="H238" s="371"/>
      <c r="I238" s="371"/>
      <c r="J238" s="371"/>
      <c r="K238" s="371"/>
      <c r="L238" s="371"/>
      <c r="M238" s="371">
        <v>650000</v>
      </c>
      <c r="N238" s="371">
        <v>44000</v>
      </c>
      <c r="O238" s="371">
        <v>1600</v>
      </c>
      <c r="P238" s="371">
        <f t="shared" si="3"/>
        <v>91683</v>
      </c>
      <c r="Q238" s="371">
        <v>-59825</v>
      </c>
      <c r="R238" s="372">
        <v>246760.5</v>
      </c>
      <c r="S238" s="400">
        <v>227124.03</v>
      </c>
      <c r="T238" s="400">
        <v>32870.449999999997</v>
      </c>
      <c r="U238" s="400">
        <v>0</v>
      </c>
      <c r="V238" s="400">
        <v>0</v>
      </c>
      <c r="W238" s="372">
        <v>227124.03</v>
      </c>
      <c r="X238" s="373">
        <v>259994.47999999998</v>
      </c>
      <c r="Y238" s="372">
        <v>279418.61</v>
      </c>
      <c r="Z238" s="373">
        <v>1006876.6099999999</v>
      </c>
      <c r="AA238" s="400">
        <v>0</v>
      </c>
      <c r="AB238" s="400">
        <v>0</v>
      </c>
      <c r="AC238" s="400">
        <v>0</v>
      </c>
      <c r="AD238" s="400">
        <v>0</v>
      </c>
      <c r="AE238" s="372">
        <v>0</v>
      </c>
      <c r="AF238" s="372">
        <v>0</v>
      </c>
      <c r="AG238" s="400">
        <v>-0.48000000000001819</v>
      </c>
      <c r="AH238" s="374">
        <v>0</v>
      </c>
      <c r="AI238" s="375">
        <v>0</v>
      </c>
      <c r="AJ238" s="372">
        <v>250.67</v>
      </c>
      <c r="AK238" s="376">
        <v>-1.9148681533490972E-3</v>
      </c>
      <c r="AL238" s="376">
        <v>1.9148681533490972E-3</v>
      </c>
      <c r="AM238" s="412">
        <v>246.95583756345189</v>
      </c>
    </row>
    <row r="239" spans="2:39" s="377" customFormat="1" ht="28.15" customHeight="1" x14ac:dyDescent="0.25">
      <c r="B239" s="369">
        <v>43245</v>
      </c>
      <c r="C239" s="370">
        <v>246760.5</v>
      </c>
      <c r="D239" s="370">
        <v>32658.11</v>
      </c>
      <c r="E239" s="371">
        <v>0</v>
      </c>
      <c r="F239" s="371">
        <v>0</v>
      </c>
      <c r="G239" s="371">
        <v>0</v>
      </c>
      <c r="H239" s="371"/>
      <c r="I239" s="371"/>
      <c r="J239" s="371"/>
      <c r="K239" s="371"/>
      <c r="L239" s="371"/>
      <c r="M239" s="371">
        <v>650000</v>
      </c>
      <c r="N239" s="371">
        <v>44000</v>
      </c>
      <c r="O239" s="371">
        <v>1600</v>
      </c>
      <c r="P239" s="371">
        <f t="shared" si="3"/>
        <v>91683</v>
      </c>
      <c r="Q239" s="371">
        <v>-59825</v>
      </c>
      <c r="R239" s="372">
        <v>246760.5</v>
      </c>
      <c r="S239" s="400">
        <v>227124.03</v>
      </c>
      <c r="T239" s="400">
        <v>32870.449999999997</v>
      </c>
      <c r="U239" s="400">
        <v>0</v>
      </c>
      <c r="V239" s="400">
        <v>0</v>
      </c>
      <c r="W239" s="372">
        <v>227124.03</v>
      </c>
      <c r="X239" s="373">
        <v>259994.47999999998</v>
      </c>
      <c r="Y239" s="372">
        <v>279418.61</v>
      </c>
      <c r="Z239" s="373">
        <v>1006876.6099999999</v>
      </c>
      <c r="AA239" s="400">
        <v>0</v>
      </c>
      <c r="AB239" s="400">
        <v>0</v>
      </c>
      <c r="AC239" s="400">
        <v>0</v>
      </c>
      <c r="AD239" s="400">
        <v>0</v>
      </c>
      <c r="AE239" s="372">
        <v>0</v>
      </c>
      <c r="AF239" s="372">
        <v>0</v>
      </c>
      <c r="AG239" s="400">
        <v>-0.62999999999999545</v>
      </c>
      <c r="AH239" s="374">
        <v>0</v>
      </c>
      <c r="AI239" s="375">
        <v>0</v>
      </c>
      <c r="AJ239" s="372">
        <v>250.04</v>
      </c>
      <c r="AK239" s="376">
        <v>-2.5195968645016615E-3</v>
      </c>
      <c r="AL239" s="376">
        <v>2.5195968645016615E-3</v>
      </c>
      <c r="AM239" s="412">
        <v>247.01994923857879</v>
      </c>
    </row>
    <row r="240" spans="2:39" s="377" customFormat="1" ht="28.15" customHeight="1" x14ac:dyDescent="0.25">
      <c r="B240" s="369">
        <v>43246</v>
      </c>
      <c r="C240" s="370">
        <v>246760.5</v>
      </c>
      <c r="D240" s="370">
        <v>32658.11</v>
      </c>
      <c r="E240" s="371">
        <v>0</v>
      </c>
      <c r="F240" s="371">
        <v>0</v>
      </c>
      <c r="G240" s="371">
        <v>0</v>
      </c>
      <c r="H240" s="371"/>
      <c r="I240" s="371"/>
      <c r="J240" s="371"/>
      <c r="K240" s="371"/>
      <c r="L240" s="371"/>
      <c r="M240" s="371">
        <v>650000</v>
      </c>
      <c r="N240" s="371">
        <v>44000</v>
      </c>
      <c r="O240" s="371">
        <v>1600</v>
      </c>
      <c r="P240" s="371">
        <f t="shared" si="3"/>
        <v>91683</v>
      </c>
      <c r="Q240" s="371">
        <v>-59825</v>
      </c>
      <c r="R240" s="372">
        <v>246760.5</v>
      </c>
      <c r="S240" s="400">
        <v>227124.03</v>
      </c>
      <c r="T240" s="400">
        <v>32870.449999999997</v>
      </c>
      <c r="U240" s="400">
        <v>0</v>
      </c>
      <c r="V240" s="400">
        <v>0</v>
      </c>
      <c r="W240" s="372">
        <v>227124.03</v>
      </c>
      <c r="X240" s="373">
        <v>259994.47999999998</v>
      </c>
      <c r="Y240" s="372">
        <v>279418.61</v>
      </c>
      <c r="Z240" s="373">
        <v>1006876.6099999999</v>
      </c>
      <c r="AA240" s="400">
        <v>0</v>
      </c>
      <c r="AB240" s="400">
        <v>0</v>
      </c>
      <c r="AC240" s="400">
        <v>0</v>
      </c>
      <c r="AD240" s="400">
        <v>0</v>
      </c>
      <c r="AE240" s="372">
        <v>0</v>
      </c>
      <c r="AF240" s="372">
        <v>0</v>
      </c>
      <c r="AG240" s="400">
        <v>0</v>
      </c>
      <c r="AH240" s="374">
        <v>0</v>
      </c>
      <c r="AI240" s="375">
        <v>0</v>
      </c>
      <c r="AJ240" s="372">
        <v>250.04</v>
      </c>
      <c r="AK240" s="376">
        <v>0</v>
      </c>
      <c r="AL240" s="376">
        <v>0</v>
      </c>
      <c r="AM240" s="412">
        <v>247.08522842639604</v>
      </c>
    </row>
    <row r="241" spans="2:39" s="377" customFormat="1" ht="28.15" customHeight="1" x14ac:dyDescent="0.25">
      <c r="B241" s="369">
        <v>43247</v>
      </c>
      <c r="C241" s="370">
        <v>246760.5</v>
      </c>
      <c r="D241" s="370">
        <v>32658.11</v>
      </c>
      <c r="E241" s="371">
        <v>0</v>
      </c>
      <c r="F241" s="371">
        <v>0</v>
      </c>
      <c r="G241" s="371">
        <v>0</v>
      </c>
      <c r="H241" s="371"/>
      <c r="I241" s="371"/>
      <c r="J241" s="371"/>
      <c r="K241" s="371"/>
      <c r="L241" s="371"/>
      <c r="M241" s="371">
        <v>650000</v>
      </c>
      <c r="N241" s="371">
        <v>44000</v>
      </c>
      <c r="O241" s="371">
        <v>1600</v>
      </c>
      <c r="P241" s="371">
        <f t="shared" si="3"/>
        <v>91683</v>
      </c>
      <c r="Q241" s="371">
        <v>-59825</v>
      </c>
      <c r="R241" s="372">
        <v>246760.5</v>
      </c>
      <c r="S241" s="400">
        <v>227124.03</v>
      </c>
      <c r="T241" s="400">
        <v>32870.449999999997</v>
      </c>
      <c r="U241" s="400">
        <v>0</v>
      </c>
      <c r="V241" s="400">
        <v>0</v>
      </c>
      <c r="W241" s="372">
        <v>227124.03</v>
      </c>
      <c r="X241" s="373">
        <v>259994.47999999998</v>
      </c>
      <c r="Y241" s="372">
        <v>279418.61</v>
      </c>
      <c r="Z241" s="373">
        <v>1006876.6099999999</v>
      </c>
      <c r="AA241" s="400">
        <v>0</v>
      </c>
      <c r="AB241" s="400">
        <v>0</v>
      </c>
      <c r="AC241" s="400">
        <v>0</v>
      </c>
      <c r="AD241" s="400">
        <v>0</v>
      </c>
      <c r="AE241" s="372">
        <v>0</v>
      </c>
      <c r="AF241" s="372">
        <v>0</v>
      </c>
      <c r="AG241" s="400">
        <v>0</v>
      </c>
      <c r="AH241" s="374">
        <v>0</v>
      </c>
      <c r="AI241" s="375">
        <v>0</v>
      </c>
      <c r="AJ241" s="372">
        <v>250.04</v>
      </c>
      <c r="AK241" s="376">
        <v>0</v>
      </c>
      <c r="AL241" s="376">
        <v>0</v>
      </c>
      <c r="AM241" s="412">
        <v>247.15121827411184</v>
      </c>
    </row>
    <row r="242" spans="2:39" s="377" customFormat="1" ht="28.15" customHeight="1" x14ac:dyDescent="0.25">
      <c r="B242" s="369">
        <v>43248</v>
      </c>
      <c r="C242" s="370">
        <v>246760.5</v>
      </c>
      <c r="D242" s="370">
        <v>32658.11</v>
      </c>
      <c r="E242" s="371">
        <v>0</v>
      </c>
      <c r="F242" s="371">
        <v>0</v>
      </c>
      <c r="G242" s="371">
        <v>0</v>
      </c>
      <c r="H242" s="371"/>
      <c r="I242" s="371"/>
      <c r="J242" s="371"/>
      <c r="K242" s="371"/>
      <c r="L242" s="371"/>
      <c r="M242" s="371">
        <v>650000</v>
      </c>
      <c r="N242" s="371">
        <v>44000</v>
      </c>
      <c r="O242" s="371">
        <v>1600</v>
      </c>
      <c r="P242" s="371">
        <f t="shared" si="3"/>
        <v>91683</v>
      </c>
      <c r="Q242" s="371">
        <v>-59825</v>
      </c>
      <c r="R242" s="372">
        <v>246760.5</v>
      </c>
      <c r="S242" s="400">
        <v>227124.03</v>
      </c>
      <c r="T242" s="400">
        <v>32870.449999999997</v>
      </c>
      <c r="U242" s="400">
        <v>0</v>
      </c>
      <c r="V242" s="400">
        <v>0</v>
      </c>
      <c r="W242" s="372">
        <v>227124.03</v>
      </c>
      <c r="X242" s="373">
        <v>259994.47999999998</v>
      </c>
      <c r="Y242" s="372">
        <v>279418.61</v>
      </c>
      <c r="Z242" s="373">
        <v>1006876.6099999999</v>
      </c>
      <c r="AA242" s="400">
        <v>0</v>
      </c>
      <c r="AB242" s="400">
        <v>0</v>
      </c>
      <c r="AC242" s="400">
        <v>0</v>
      </c>
      <c r="AD242" s="400">
        <v>0</v>
      </c>
      <c r="AE242" s="372">
        <v>0</v>
      </c>
      <c r="AF242" s="372">
        <v>0</v>
      </c>
      <c r="AG242" s="400">
        <v>0</v>
      </c>
      <c r="AH242" s="374">
        <v>0</v>
      </c>
      <c r="AI242" s="375">
        <v>0</v>
      </c>
      <c r="AJ242" s="372">
        <v>250.04</v>
      </c>
      <c r="AK242" s="376">
        <v>0</v>
      </c>
      <c r="AL242" s="376">
        <v>0</v>
      </c>
      <c r="AM242" s="412">
        <v>247.21720812182755</v>
      </c>
    </row>
    <row r="243" spans="2:39" s="377" customFormat="1" ht="28.15" customHeight="1" x14ac:dyDescent="0.25">
      <c r="B243" s="369">
        <v>43249</v>
      </c>
      <c r="C243" s="370">
        <v>246760.5</v>
      </c>
      <c r="D243" s="370">
        <v>32658.11</v>
      </c>
      <c r="E243" s="371">
        <v>0</v>
      </c>
      <c r="F243" s="371">
        <v>0</v>
      </c>
      <c r="G243" s="371">
        <v>0</v>
      </c>
      <c r="H243" s="371"/>
      <c r="I243" s="371"/>
      <c r="J243" s="371"/>
      <c r="K243" s="371"/>
      <c r="L243" s="371"/>
      <c r="M243" s="371">
        <v>650000</v>
      </c>
      <c r="N243" s="371">
        <v>44000</v>
      </c>
      <c r="O243" s="371">
        <v>1600</v>
      </c>
      <c r="P243" s="371">
        <f t="shared" si="3"/>
        <v>91683</v>
      </c>
      <c r="Q243" s="371">
        <v>-59825</v>
      </c>
      <c r="R243" s="372">
        <v>246760.5</v>
      </c>
      <c r="S243" s="400">
        <v>227124.03</v>
      </c>
      <c r="T243" s="400">
        <v>32870.449999999997</v>
      </c>
      <c r="U243" s="400">
        <v>0</v>
      </c>
      <c r="V243" s="400">
        <v>0</v>
      </c>
      <c r="W243" s="372">
        <v>227124.03</v>
      </c>
      <c r="X243" s="373">
        <v>259994.47999999998</v>
      </c>
      <c r="Y243" s="372">
        <v>279418.61</v>
      </c>
      <c r="Z243" s="373">
        <v>1006876.6099999999</v>
      </c>
      <c r="AA243" s="400">
        <v>0</v>
      </c>
      <c r="AB243" s="400">
        <v>0</v>
      </c>
      <c r="AC243" s="400">
        <v>0</v>
      </c>
      <c r="AD243" s="400">
        <v>0</v>
      </c>
      <c r="AE243" s="372">
        <v>0</v>
      </c>
      <c r="AF243" s="372">
        <v>0</v>
      </c>
      <c r="AG243" s="400">
        <v>-2.8899999999999864</v>
      </c>
      <c r="AH243" s="374">
        <v>0</v>
      </c>
      <c r="AI243" s="375">
        <v>0</v>
      </c>
      <c r="AJ243" s="372">
        <v>247.15</v>
      </c>
      <c r="AK243" s="376">
        <v>-1.1693303661743825E-2</v>
      </c>
      <c r="AL243" s="376">
        <v>1.1693303661743825E-2</v>
      </c>
      <c r="AM243" s="412">
        <v>247.28319796954332</v>
      </c>
    </row>
    <row r="244" spans="2:39" s="377" customFormat="1" ht="28.15" customHeight="1" x14ac:dyDescent="0.25">
      <c r="B244" s="369">
        <v>43250</v>
      </c>
      <c r="C244" s="370">
        <v>246760.5</v>
      </c>
      <c r="D244" s="370">
        <v>32658.11</v>
      </c>
      <c r="E244" s="371">
        <v>0</v>
      </c>
      <c r="F244" s="371">
        <v>0</v>
      </c>
      <c r="G244" s="371">
        <v>0</v>
      </c>
      <c r="H244" s="371"/>
      <c r="I244" s="371"/>
      <c r="J244" s="371"/>
      <c r="K244" s="371"/>
      <c r="L244" s="371"/>
      <c r="M244" s="371">
        <v>650000</v>
      </c>
      <c r="N244" s="371">
        <v>44000</v>
      </c>
      <c r="O244" s="371">
        <v>1600</v>
      </c>
      <c r="P244" s="371">
        <f t="shared" ref="P244:P272" si="4">91683</f>
        <v>91683</v>
      </c>
      <c r="Q244" s="371">
        <v>-59825</v>
      </c>
      <c r="R244" s="372">
        <v>246760.5</v>
      </c>
      <c r="S244" s="400">
        <v>227124.03</v>
      </c>
      <c r="T244" s="400">
        <v>32870.449999999997</v>
      </c>
      <c r="U244" s="400">
        <v>0</v>
      </c>
      <c r="V244" s="400">
        <v>0</v>
      </c>
      <c r="W244" s="372">
        <v>227124.03</v>
      </c>
      <c r="X244" s="373">
        <v>259994.47999999998</v>
      </c>
      <c r="Y244" s="372">
        <v>279418.61</v>
      </c>
      <c r="Z244" s="373">
        <v>1006876.6099999999</v>
      </c>
      <c r="AA244" s="400">
        <v>0</v>
      </c>
      <c r="AB244" s="400">
        <v>0</v>
      </c>
      <c r="AC244" s="400">
        <v>0</v>
      </c>
      <c r="AD244" s="400">
        <v>0</v>
      </c>
      <c r="AE244" s="372">
        <v>0</v>
      </c>
      <c r="AF244" s="372">
        <v>0</v>
      </c>
      <c r="AG244" s="400">
        <v>3.2599999999999909</v>
      </c>
      <c r="AH244" s="374">
        <v>0</v>
      </c>
      <c r="AI244" s="374">
        <v>0</v>
      </c>
      <c r="AJ244" s="372">
        <v>250.41</v>
      </c>
      <c r="AK244" s="376">
        <v>1.301864941495943E-2</v>
      </c>
      <c r="AL244" s="376">
        <v>-1.301864941495943E-2</v>
      </c>
      <c r="AM244" s="412">
        <v>247.33309644670069</v>
      </c>
    </row>
    <row r="245" spans="2:39" s="377" customFormat="1" ht="28.15" customHeight="1" x14ac:dyDescent="0.25">
      <c r="B245" s="369">
        <v>43251</v>
      </c>
      <c r="C245" s="370">
        <v>246760.5</v>
      </c>
      <c r="D245" s="370">
        <v>32658.11</v>
      </c>
      <c r="E245" s="371">
        <v>0</v>
      </c>
      <c r="F245" s="371">
        <v>0</v>
      </c>
      <c r="G245" s="371">
        <v>0</v>
      </c>
      <c r="H245" s="371"/>
      <c r="I245" s="371"/>
      <c r="J245" s="371"/>
      <c r="K245" s="371"/>
      <c r="L245" s="371"/>
      <c r="M245" s="371">
        <v>650000</v>
      </c>
      <c r="N245" s="371">
        <v>44000</v>
      </c>
      <c r="O245" s="371">
        <v>1600</v>
      </c>
      <c r="P245" s="371">
        <f t="shared" si="4"/>
        <v>91683</v>
      </c>
      <c r="Q245" s="371">
        <v>-59825</v>
      </c>
      <c r="R245" s="372">
        <v>246760.5</v>
      </c>
      <c r="S245" s="400">
        <v>227124.03</v>
      </c>
      <c r="T245" s="400">
        <v>32870.449999999997</v>
      </c>
      <c r="U245" s="400">
        <v>0</v>
      </c>
      <c r="V245" s="400">
        <v>0</v>
      </c>
      <c r="W245" s="372">
        <v>227124.03</v>
      </c>
      <c r="X245" s="373">
        <v>259994.47999999998</v>
      </c>
      <c r="Y245" s="372">
        <v>279418.61</v>
      </c>
      <c r="Z245" s="373">
        <v>1006876.6099999999</v>
      </c>
      <c r="AA245" s="400">
        <v>0</v>
      </c>
      <c r="AB245" s="400">
        <v>0</v>
      </c>
      <c r="AC245" s="400">
        <v>0</v>
      </c>
      <c r="AD245" s="400">
        <v>0</v>
      </c>
      <c r="AE245" s="372">
        <v>0</v>
      </c>
      <c r="AF245" s="372">
        <v>0</v>
      </c>
      <c r="AG245" s="400">
        <v>-1.6200000000000045</v>
      </c>
      <c r="AH245" s="374">
        <v>0</v>
      </c>
      <c r="AI245" s="374">
        <v>0</v>
      </c>
      <c r="AJ245" s="372">
        <v>248.79</v>
      </c>
      <c r="AK245" s="376">
        <v>-6.5115157361630479E-3</v>
      </c>
      <c r="AL245" s="376">
        <v>6.5115157361630479E-3</v>
      </c>
      <c r="AM245" s="412">
        <v>247.4024873096449</v>
      </c>
    </row>
    <row r="246" spans="2:39" s="377" customFormat="1" ht="28.15" customHeight="1" x14ac:dyDescent="0.25">
      <c r="B246" s="369">
        <v>43252</v>
      </c>
      <c r="C246" s="370">
        <v>253890.24659999998</v>
      </c>
      <c r="D246" s="370">
        <v>34648</v>
      </c>
      <c r="E246" s="371">
        <v>0</v>
      </c>
      <c r="F246" s="371">
        <v>0</v>
      </c>
      <c r="G246" s="371">
        <v>0</v>
      </c>
      <c r="H246" s="371"/>
      <c r="I246" s="371"/>
      <c r="J246" s="371"/>
      <c r="K246" s="371"/>
      <c r="L246" s="371"/>
      <c r="M246" s="371">
        <v>650000</v>
      </c>
      <c r="N246" s="371">
        <v>44000</v>
      </c>
      <c r="O246" s="371">
        <v>1600</v>
      </c>
      <c r="P246" s="371">
        <f t="shared" si="4"/>
        <v>91683</v>
      </c>
      <c r="Q246" s="371">
        <v>-59825</v>
      </c>
      <c r="R246" s="372">
        <v>253890.24659999998</v>
      </c>
      <c r="S246" s="400">
        <v>227124.03</v>
      </c>
      <c r="T246" s="400">
        <v>32870.449999999997</v>
      </c>
      <c r="U246" s="400">
        <v>0</v>
      </c>
      <c r="V246" s="400">
        <v>0</v>
      </c>
      <c r="W246" s="372">
        <v>227124.03</v>
      </c>
      <c r="X246" s="373">
        <v>259994.47999999998</v>
      </c>
      <c r="Y246" s="372">
        <v>288538.24659999995</v>
      </c>
      <c r="Z246" s="373">
        <v>1015996.2466</v>
      </c>
      <c r="AA246" s="400">
        <v>7129.746599999984</v>
      </c>
      <c r="AB246" s="400">
        <v>1989.8899999999994</v>
      </c>
      <c r="AC246" s="400">
        <v>0</v>
      </c>
      <c r="AD246" s="400">
        <v>0</v>
      </c>
      <c r="AE246" s="372">
        <v>7129.746599999984</v>
      </c>
      <c r="AF246" s="372">
        <v>9119.6365999999834</v>
      </c>
      <c r="AG246" s="400">
        <v>2.6200000000000045</v>
      </c>
      <c r="AH246" s="374">
        <v>2.8082002737319742E-2</v>
      </c>
      <c r="AI246" s="374">
        <v>5.7431597783421828E-2</v>
      </c>
      <c r="AJ246" s="372">
        <v>251.41</v>
      </c>
      <c r="AK246" s="376">
        <v>1.0421224294976352E-2</v>
      </c>
      <c r="AL246" s="376">
        <v>1.766077844234339E-2</v>
      </c>
      <c r="AM246" s="412">
        <v>247.46979695431494</v>
      </c>
    </row>
    <row r="247" spans="2:39" s="377" customFormat="1" ht="28.15" customHeight="1" x14ac:dyDescent="0.25">
      <c r="B247" s="378">
        <v>43253</v>
      </c>
      <c r="C247" s="370">
        <v>253890.24659999998</v>
      </c>
      <c r="D247" s="370">
        <v>34648</v>
      </c>
      <c r="E247" s="371">
        <v>0</v>
      </c>
      <c r="F247" s="371">
        <v>0</v>
      </c>
      <c r="G247" s="371">
        <v>0</v>
      </c>
      <c r="H247" s="371"/>
      <c r="I247" s="371"/>
      <c r="J247" s="371"/>
      <c r="K247" s="371"/>
      <c r="L247" s="371"/>
      <c r="M247" s="371">
        <v>650000</v>
      </c>
      <c r="N247" s="371">
        <v>44000</v>
      </c>
      <c r="O247" s="371">
        <v>1600</v>
      </c>
      <c r="P247" s="371">
        <f t="shared" si="4"/>
        <v>91683</v>
      </c>
      <c r="Q247" s="371">
        <v>-59825</v>
      </c>
      <c r="R247" s="372">
        <v>253890.24659999998</v>
      </c>
      <c r="S247" s="400">
        <v>227124.03</v>
      </c>
      <c r="T247" s="400">
        <v>32870.449999999997</v>
      </c>
      <c r="U247" s="400">
        <v>0</v>
      </c>
      <c r="V247" s="400">
        <v>0</v>
      </c>
      <c r="W247" s="372">
        <v>227124.03</v>
      </c>
      <c r="X247" s="373">
        <v>259994.47999999998</v>
      </c>
      <c r="Y247" s="372">
        <v>288538.24659999995</v>
      </c>
      <c r="Z247" s="373">
        <v>1015996.2466</v>
      </c>
      <c r="AA247" s="400">
        <v>0</v>
      </c>
      <c r="AB247" s="400">
        <v>0</v>
      </c>
      <c r="AC247" s="400">
        <v>0</v>
      </c>
      <c r="AD247" s="400">
        <v>0</v>
      </c>
      <c r="AE247" s="372">
        <v>0</v>
      </c>
      <c r="AF247" s="372">
        <v>0</v>
      </c>
      <c r="AG247" s="400">
        <v>0</v>
      </c>
      <c r="AH247" s="374">
        <v>0</v>
      </c>
      <c r="AI247" s="374">
        <v>0</v>
      </c>
      <c r="AJ247" s="372">
        <v>251.41</v>
      </c>
      <c r="AK247" s="376">
        <v>0</v>
      </c>
      <c r="AL247" s="376">
        <v>0</v>
      </c>
      <c r="AM247" s="412">
        <v>247.54020304568556</v>
      </c>
    </row>
    <row r="248" spans="2:39" s="377" customFormat="1" ht="28.15" customHeight="1" x14ac:dyDescent="0.25">
      <c r="B248" s="378">
        <v>43254</v>
      </c>
      <c r="C248" s="370">
        <v>253890.24659999998</v>
      </c>
      <c r="D248" s="370">
        <v>34648</v>
      </c>
      <c r="E248" s="371">
        <v>0</v>
      </c>
      <c r="F248" s="371">
        <v>0</v>
      </c>
      <c r="G248" s="371">
        <v>0</v>
      </c>
      <c r="H248" s="371"/>
      <c r="I248" s="371"/>
      <c r="J248" s="371"/>
      <c r="K248" s="371"/>
      <c r="L248" s="371"/>
      <c r="M248" s="371">
        <v>650000</v>
      </c>
      <c r="N248" s="371">
        <v>44000</v>
      </c>
      <c r="O248" s="371">
        <v>1600</v>
      </c>
      <c r="P248" s="371">
        <f t="shared" si="4"/>
        <v>91683</v>
      </c>
      <c r="Q248" s="371">
        <v>-59825</v>
      </c>
      <c r="R248" s="372">
        <v>253890.24659999998</v>
      </c>
      <c r="S248" s="400">
        <v>227124.03</v>
      </c>
      <c r="T248" s="400">
        <v>32870.449999999997</v>
      </c>
      <c r="U248" s="400">
        <v>0</v>
      </c>
      <c r="V248" s="400">
        <v>0</v>
      </c>
      <c r="W248" s="372">
        <v>227124.03</v>
      </c>
      <c r="X248" s="373">
        <v>259994.47999999998</v>
      </c>
      <c r="Y248" s="372">
        <v>288538.24659999995</v>
      </c>
      <c r="Z248" s="373">
        <v>1015996.2466</v>
      </c>
      <c r="AA248" s="400">
        <v>0</v>
      </c>
      <c r="AB248" s="400">
        <v>0</v>
      </c>
      <c r="AC248" s="400">
        <v>0</v>
      </c>
      <c r="AD248" s="400">
        <v>0</v>
      </c>
      <c r="AE248" s="372">
        <v>0</v>
      </c>
      <c r="AF248" s="372">
        <v>0</v>
      </c>
      <c r="AG248" s="400">
        <v>0</v>
      </c>
      <c r="AH248" s="374">
        <v>0</v>
      </c>
      <c r="AI248" s="374">
        <v>0</v>
      </c>
      <c r="AJ248" s="372">
        <v>251.41</v>
      </c>
      <c r="AK248" s="376">
        <v>0</v>
      </c>
      <c r="AL248" s="376">
        <v>0</v>
      </c>
      <c r="AM248" s="412">
        <v>247.6138578680206</v>
      </c>
    </row>
    <row r="249" spans="2:39" s="377" customFormat="1" ht="28.15" customHeight="1" x14ac:dyDescent="0.25">
      <c r="B249" s="369">
        <v>43255</v>
      </c>
      <c r="C249" s="370">
        <v>253890.24659999998</v>
      </c>
      <c r="D249" s="370">
        <v>34648</v>
      </c>
      <c r="E249" s="371">
        <v>0</v>
      </c>
      <c r="F249" s="371">
        <v>0</v>
      </c>
      <c r="G249" s="371">
        <v>0</v>
      </c>
      <c r="H249" s="371">
        <v>75</v>
      </c>
      <c r="I249" s="371"/>
      <c r="J249" s="371"/>
      <c r="K249" s="371"/>
      <c r="L249" s="371"/>
      <c r="M249" s="371">
        <v>650000</v>
      </c>
      <c r="N249" s="371">
        <v>44000</v>
      </c>
      <c r="O249" s="371">
        <v>1600</v>
      </c>
      <c r="P249" s="371">
        <f t="shared" si="4"/>
        <v>91683</v>
      </c>
      <c r="Q249" s="371">
        <v>-59825</v>
      </c>
      <c r="R249" s="372">
        <v>253890.24659999998</v>
      </c>
      <c r="S249" s="400">
        <v>227199.03</v>
      </c>
      <c r="T249" s="400">
        <v>32870.449999999997</v>
      </c>
      <c r="U249" s="400">
        <v>0</v>
      </c>
      <c r="V249" s="400">
        <v>0</v>
      </c>
      <c r="W249" s="372">
        <v>227199.03</v>
      </c>
      <c r="X249" s="373">
        <v>260069.47999999998</v>
      </c>
      <c r="Y249" s="372">
        <v>288538.24659999995</v>
      </c>
      <c r="Z249" s="373">
        <v>1015996.2466</v>
      </c>
      <c r="AA249" s="400">
        <v>-75</v>
      </c>
      <c r="AB249" s="400">
        <v>0</v>
      </c>
      <c r="AC249" s="400">
        <v>0</v>
      </c>
      <c r="AD249" s="400">
        <v>0</v>
      </c>
      <c r="AE249" s="372">
        <v>-75</v>
      </c>
      <c r="AF249" s="372">
        <v>-75</v>
      </c>
      <c r="AG249" s="400">
        <v>1.1100000000000136</v>
      </c>
      <c r="AH249" s="374">
        <v>-2.954032342887173E-4</v>
      </c>
      <c r="AI249" s="374">
        <v>0</v>
      </c>
      <c r="AJ249" s="372">
        <v>252.52</v>
      </c>
      <c r="AK249" s="376">
        <v>4.3956914303818059E-3</v>
      </c>
      <c r="AL249" s="376">
        <v>-4.6910946646705233E-3</v>
      </c>
      <c r="AM249" s="412">
        <v>247.68751269035565</v>
      </c>
    </row>
    <row r="250" spans="2:39" s="377" customFormat="1" ht="28.15" customHeight="1" x14ac:dyDescent="0.25">
      <c r="B250" s="369">
        <v>43256</v>
      </c>
      <c r="C250" s="370">
        <v>253890.24659999998</v>
      </c>
      <c r="D250" s="370">
        <v>34648</v>
      </c>
      <c r="E250" s="371">
        <v>0</v>
      </c>
      <c r="F250" s="371">
        <v>0</v>
      </c>
      <c r="G250" s="371">
        <v>0</v>
      </c>
      <c r="H250" s="371"/>
      <c r="I250" s="371"/>
      <c r="J250" s="371"/>
      <c r="K250" s="371"/>
      <c r="L250" s="371"/>
      <c r="M250" s="371">
        <v>650000</v>
      </c>
      <c r="N250" s="371">
        <v>44000</v>
      </c>
      <c r="O250" s="371">
        <v>1600</v>
      </c>
      <c r="P250" s="371">
        <f t="shared" si="4"/>
        <v>91683</v>
      </c>
      <c r="Q250" s="371">
        <v>-59825</v>
      </c>
      <c r="R250" s="372">
        <v>253890.24659999998</v>
      </c>
      <c r="S250" s="400">
        <v>227199.03</v>
      </c>
      <c r="T250" s="400">
        <v>32870.449999999997</v>
      </c>
      <c r="U250" s="400">
        <v>0</v>
      </c>
      <c r="V250" s="400">
        <v>0</v>
      </c>
      <c r="W250" s="372">
        <v>227199.03</v>
      </c>
      <c r="X250" s="373">
        <v>260069.47999999998</v>
      </c>
      <c r="Y250" s="372">
        <v>288538.24659999995</v>
      </c>
      <c r="Z250" s="373">
        <v>1015996.2466</v>
      </c>
      <c r="AA250" s="400">
        <v>0</v>
      </c>
      <c r="AB250" s="400">
        <v>0</v>
      </c>
      <c r="AC250" s="400">
        <v>0</v>
      </c>
      <c r="AD250" s="400">
        <v>0</v>
      </c>
      <c r="AE250" s="372">
        <v>0</v>
      </c>
      <c r="AF250" s="372">
        <v>0</v>
      </c>
      <c r="AG250" s="400">
        <v>0.34999999999999432</v>
      </c>
      <c r="AH250" s="374">
        <v>0</v>
      </c>
      <c r="AI250" s="374">
        <v>0</v>
      </c>
      <c r="AJ250" s="372">
        <v>252.87</v>
      </c>
      <c r="AK250" s="376">
        <v>1.3841104124648804E-3</v>
      </c>
      <c r="AL250" s="376">
        <v>-1.3841104124648804E-3</v>
      </c>
      <c r="AM250" s="412">
        <v>247.76680203045714</v>
      </c>
    </row>
    <row r="251" spans="2:39" s="377" customFormat="1" ht="28.15" customHeight="1" x14ac:dyDescent="0.25">
      <c r="B251" s="369">
        <v>43257</v>
      </c>
      <c r="C251" s="370">
        <v>253890.24659999998</v>
      </c>
      <c r="D251" s="370">
        <v>34648</v>
      </c>
      <c r="E251" s="371">
        <v>0</v>
      </c>
      <c r="F251" s="371">
        <v>0</v>
      </c>
      <c r="G251" s="371">
        <v>0</v>
      </c>
      <c r="H251" s="371"/>
      <c r="I251" s="371"/>
      <c r="J251" s="371"/>
      <c r="K251" s="371"/>
      <c r="L251" s="371"/>
      <c r="M251" s="371">
        <v>650000</v>
      </c>
      <c r="N251" s="371">
        <v>44000</v>
      </c>
      <c r="O251" s="371">
        <v>1600</v>
      </c>
      <c r="P251" s="371">
        <f t="shared" si="4"/>
        <v>91683</v>
      </c>
      <c r="Q251" s="371">
        <v>-59825</v>
      </c>
      <c r="R251" s="372">
        <v>253890.24659999998</v>
      </c>
      <c r="S251" s="400">
        <v>227199.03</v>
      </c>
      <c r="T251" s="400">
        <v>32870.449999999997</v>
      </c>
      <c r="U251" s="400">
        <v>0</v>
      </c>
      <c r="V251" s="400">
        <v>0</v>
      </c>
      <c r="W251" s="372">
        <v>227199.03</v>
      </c>
      <c r="X251" s="373">
        <v>260069.47999999998</v>
      </c>
      <c r="Y251" s="372">
        <v>288538.24659999995</v>
      </c>
      <c r="Z251" s="373">
        <v>1015996.2466</v>
      </c>
      <c r="AA251" s="400">
        <v>0</v>
      </c>
      <c r="AB251" s="400">
        <v>0</v>
      </c>
      <c r="AC251" s="400">
        <v>0</v>
      </c>
      <c r="AD251" s="400">
        <v>0</v>
      </c>
      <c r="AE251" s="372">
        <v>0</v>
      </c>
      <c r="AF251" s="372">
        <v>0</v>
      </c>
      <c r="AG251" s="400">
        <v>2.0199999999999818</v>
      </c>
      <c r="AH251" s="374">
        <v>0</v>
      </c>
      <c r="AI251" s="374">
        <v>0</v>
      </c>
      <c r="AJ251" s="372">
        <v>254.89</v>
      </c>
      <c r="AK251" s="376">
        <v>7.9249872494016309E-3</v>
      </c>
      <c r="AL251" s="376">
        <v>-7.9249872494016309E-3</v>
      </c>
      <c r="AM251" s="412">
        <v>247.84629441624395</v>
      </c>
    </row>
    <row r="252" spans="2:39" s="377" customFormat="1" ht="28.15" customHeight="1" x14ac:dyDescent="0.25">
      <c r="B252" s="369">
        <v>43258</v>
      </c>
      <c r="C252" s="370">
        <v>253890.24659999998</v>
      </c>
      <c r="D252" s="370">
        <v>34648</v>
      </c>
      <c r="E252" s="371">
        <v>0</v>
      </c>
      <c r="F252" s="371">
        <v>0</v>
      </c>
      <c r="G252" s="371">
        <v>0</v>
      </c>
      <c r="H252" s="371"/>
      <c r="I252" s="371"/>
      <c r="J252" s="371"/>
      <c r="K252" s="371"/>
      <c r="L252" s="371"/>
      <c r="M252" s="371">
        <v>650000</v>
      </c>
      <c r="N252" s="371">
        <v>44000</v>
      </c>
      <c r="O252" s="371">
        <v>1600</v>
      </c>
      <c r="P252" s="371">
        <f t="shared" si="4"/>
        <v>91683</v>
      </c>
      <c r="Q252" s="371">
        <v>-59825</v>
      </c>
      <c r="R252" s="372">
        <v>253890.24659999998</v>
      </c>
      <c r="S252" s="400">
        <v>227199.03</v>
      </c>
      <c r="T252" s="400">
        <v>32870.449999999997</v>
      </c>
      <c r="U252" s="400">
        <v>0</v>
      </c>
      <c r="V252" s="400">
        <v>0</v>
      </c>
      <c r="W252" s="372">
        <v>227199.03</v>
      </c>
      <c r="X252" s="373">
        <v>260069.47999999998</v>
      </c>
      <c r="Y252" s="372">
        <v>288538.24659999995</v>
      </c>
      <c r="Z252" s="373">
        <v>1015996.2466</v>
      </c>
      <c r="AA252" s="400">
        <v>0</v>
      </c>
      <c r="AB252" s="400">
        <v>0</v>
      </c>
      <c r="AC252" s="400">
        <v>0</v>
      </c>
      <c r="AD252" s="400">
        <v>0</v>
      </c>
      <c r="AE252" s="372">
        <v>0</v>
      </c>
      <c r="AF252" s="372">
        <v>0</v>
      </c>
      <c r="AG252" s="400">
        <v>-0.11999999999997613</v>
      </c>
      <c r="AH252" s="374">
        <v>0</v>
      </c>
      <c r="AI252" s="374">
        <v>0</v>
      </c>
      <c r="AJ252" s="372">
        <v>254.77</v>
      </c>
      <c r="AK252" s="376">
        <v>-4.710130706126158E-4</v>
      </c>
      <c r="AL252" s="376">
        <v>4.710130706126158E-4</v>
      </c>
      <c r="AM252" s="412">
        <v>247.92802030456883</v>
      </c>
    </row>
    <row r="253" spans="2:39" s="377" customFormat="1" ht="28.15" customHeight="1" x14ac:dyDescent="0.25">
      <c r="B253" s="369">
        <v>43259</v>
      </c>
      <c r="C253" s="370">
        <v>253890.24659999998</v>
      </c>
      <c r="D253" s="370">
        <v>34648</v>
      </c>
      <c r="E253" s="371">
        <v>0</v>
      </c>
      <c r="F253" s="371">
        <v>0</v>
      </c>
      <c r="G253" s="371">
        <v>0</v>
      </c>
      <c r="H253" s="371"/>
      <c r="I253" s="371"/>
      <c r="J253" s="371"/>
      <c r="K253" s="371"/>
      <c r="L253" s="371"/>
      <c r="M253" s="371">
        <v>650000</v>
      </c>
      <c r="N253" s="371">
        <v>44000</v>
      </c>
      <c r="O253" s="371">
        <v>1600</v>
      </c>
      <c r="P253" s="371">
        <f t="shared" si="4"/>
        <v>91683</v>
      </c>
      <c r="Q253" s="371">
        <v>-59825</v>
      </c>
      <c r="R253" s="372">
        <v>253890.24659999998</v>
      </c>
      <c r="S253" s="400">
        <v>227199.03</v>
      </c>
      <c r="T253" s="400">
        <v>32870.449999999997</v>
      </c>
      <c r="U253" s="400">
        <v>0</v>
      </c>
      <c r="V253" s="400">
        <v>0</v>
      </c>
      <c r="W253" s="372">
        <v>227199.03</v>
      </c>
      <c r="X253" s="373">
        <v>260069.47999999998</v>
      </c>
      <c r="Y253" s="372">
        <v>288538.24659999995</v>
      </c>
      <c r="Z253" s="373">
        <v>1015996.2466</v>
      </c>
      <c r="AA253" s="400">
        <v>0</v>
      </c>
      <c r="AB253" s="400">
        <v>0</v>
      </c>
      <c r="AC253" s="400">
        <v>0</v>
      </c>
      <c r="AD253" s="400">
        <v>0</v>
      </c>
      <c r="AE253" s="372">
        <v>0</v>
      </c>
      <c r="AF253" s="372">
        <v>0</v>
      </c>
      <c r="AG253" s="400">
        <v>0.79999999999998295</v>
      </c>
      <c r="AH253" s="374">
        <v>0</v>
      </c>
      <c r="AI253" s="374">
        <v>0</v>
      </c>
      <c r="AJ253" s="372">
        <v>255.57</v>
      </c>
      <c r="AK253" s="376">
        <v>3.1302578549907384E-3</v>
      </c>
      <c r="AL253" s="376">
        <v>-3.1302578549907384E-3</v>
      </c>
      <c r="AM253" s="412">
        <v>248.01000000000028</v>
      </c>
    </row>
    <row r="254" spans="2:39" s="377" customFormat="1" ht="28.15" customHeight="1" x14ac:dyDescent="0.25">
      <c r="B254" s="378">
        <v>43260</v>
      </c>
      <c r="C254" s="370">
        <v>253890.24659999998</v>
      </c>
      <c r="D254" s="370">
        <v>34648</v>
      </c>
      <c r="E254" s="371">
        <v>0</v>
      </c>
      <c r="F254" s="371">
        <v>0</v>
      </c>
      <c r="G254" s="371">
        <v>0</v>
      </c>
      <c r="H254" s="371"/>
      <c r="I254" s="371"/>
      <c r="J254" s="371"/>
      <c r="K254" s="371"/>
      <c r="L254" s="371"/>
      <c r="M254" s="371">
        <v>650000</v>
      </c>
      <c r="N254" s="371">
        <v>44000</v>
      </c>
      <c r="O254" s="371">
        <v>1600</v>
      </c>
      <c r="P254" s="371">
        <f t="shared" si="4"/>
        <v>91683</v>
      </c>
      <c r="Q254" s="371">
        <v>-59825</v>
      </c>
      <c r="R254" s="372">
        <v>253890.24659999998</v>
      </c>
      <c r="S254" s="400">
        <v>227199.03</v>
      </c>
      <c r="T254" s="400">
        <v>32870.449999999997</v>
      </c>
      <c r="U254" s="400">
        <v>0</v>
      </c>
      <c r="V254" s="400">
        <v>0</v>
      </c>
      <c r="W254" s="372">
        <v>227199.03</v>
      </c>
      <c r="X254" s="373">
        <v>260069.47999999998</v>
      </c>
      <c r="Y254" s="372">
        <v>288538.24659999995</v>
      </c>
      <c r="Z254" s="373">
        <v>1015996.2466</v>
      </c>
      <c r="AA254" s="400">
        <v>0</v>
      </c>
      <c r="AB254" s="400">
        <v>0</v>
      </c>
      <c r="AC254" s="400">
        <v>0</v>
      </c>
      <c r="AD254" s="400">
        <v>0</v>
      </c>
      <c r="AE254" s="372">
        <v>0</v>
      </c>
      <c r="AF254" s="372">
        <v>0</v>
      </c>
      <c r="AG254" s="400">
        <v>0</v>
      </c>
      <c r="AH254" s="374">
        <v>0</v>
      </c>
      <c r="AI254" s="374">
        <v>0</v>
      </c>
      <c r="AJ254" s="372">
        <v>255.57</v>
      </c>
      <c r="AK254" s="376">
        <v>0</v>
      </c>
      <c r="AL254" s="376">
        <v>0</v>
      </c>
      <c r="AM254" s="412">
        <v>248.0960406091373</v>
      </c>
    </row>
    <row r="255" spans="2:39" s="377" customFormat="1" ht="28.15" customHeight="1" x14ac:dyDescent="0.25">
      <c r="B255" s="378">
        <v>43261</v>
      </c>
      <c r="C255" s="370">
        <v>253890.24659999998</v>
      </c>
      <c r="D255" s="370">
        <v>34648</v>
      </c>
      <c r="E255" s="371">
        <v>0</v>
      </c>
      <c r="F255" s="371">
        <v>0</v>
      </c>
      <c r="G255" s="371">
        <v>0</v>
      </c>
      <c r="H255" s="371"/>
      <c r="I255" s="371"/>
      <c r="J255" s="371"/>
      <c r="K255" s="371"/>
      <c r="L255" s="371"/>
      <c r="M255" s="371">
        <v>650000</v>
      </c>
      <c r="N255" s="371">
        <v>44000</v>
      </c>
      <c r="O255" s="371">
        <v>1600</v>
      </c>
      <c r="P255" s="371">
        <f t="shared" si="4"/>
        <v>91683</v>
      </c>
      <c r="Q255" s="371">
        <v>-59825</v>
      </c>
      <c r="R255" s="372">
        <v>253890.24659999998</v>
      </c>
      <c r="S255" s="400">
        <v>227199.03</v>
      </c>
      <c r="T255" s="400">
        <v>32870.449999999997</v>
      </c>
      <c r="U255" s="400">
        <v>0</v>
      </c>
      <c r="V255" s="400">
        <v>0</v>
      </c>
      <c r="W255" s="372">
        <v>227199.03</v>
      </c>
      <c r="X255" s="373">
        <v>260069.47999999998</v>
      </c>
      <c r="Y255" s="372">
        <v>288538.24659999995</v>
      </c>
      <c r="Z255" s="373">
        <v>1015996.2466</v>
      </c>
      <c r="AA255" s="400">
        <v>0</v>
      </c>
      <c r="AB255" s="400">
        <v>0</v>
      </c>
      <c r="AC255" s="400">
        <v>0</v>
      </c>
      <c r="AD255" s="400">
        <v>0</v>
      </c>
      <c r="AE255" s="372">
        <v>0</v>
      </c>
      <c r="AF255" s="372">
        <v>0</v>
      </c>
      <c r="AG255" s="400">
        <v>0</v>
      </c>
      <c r="AH255" s="374">
        <v>0</v>
      </c>
      <c r="AI255" s="374">
        <v>0</v>
      </c>
      <c r="AJ255" s="372">
        <v>255.57</v>
      </c>
      <c r="AK255" s="376">
        <v>0</v>
      </c>
      <c r="AL255" s="376">
        <v>0</v>
      </c>
      <c r="AM255" s="412">
        <v>248.17954314720839</v>
      </c>
    </row>
    <row r="256" spans="2:39" s="377" customFormat="1" ht="28.15" customHeight="1" x14ac:dyDescent="0.25">
      <c r="B256" s="369">
        <v>43262</v>
      </c>
      <c r="C256" s="370">
        <v>253890.24659999998</v>
      </c>
      <c r="D256" s="370">
        <v>34648</v>
      </c>
      <c r="E256" s="371">
        <v>0</v>
      </c>
      <c r="F256" s="371">
        <v>0</v>
      </c>
      <c r="G256" s="371">
        <v>0</v>
      </c>
      <c r="H256" s="371"/>
      <c r="I256" s="371"/>
      <c r="J256" s="371"/>
      <c r="K256" s="371"/>
      <c r="L256" s="371"/>
      <c r="M256" s="371">
        <v>650000</v>
      </c>
      <c r="N256" s="371">
        <v>44000</v>
      </c>
      <c r="O256" s="371">
        <v>1600</v>
      </c>
      <c r="P256" s="371">
        <f t="shared" si="4"/>
        <v>91683</v>
      </c>
      <c r="Q256" s="371">
        <v>-59825</v>
      </c>
      <c r="R256" s="372">
        <v>253890.24659999998</v>
      </c>
      <c r="S256" s="400">
        <v>227199.03</v>
      </c>
      <c r="T256" s="400">
        <v>32870.449999999997</v>
      </c>
      <c r="U256" s="400">
        <v>0</v>
      </c>
      <c r="V256" s="400">
        <v>0</v>
      </c>
      <c r="W256" s="372">
        <v>227199.03</v>
      </c>
      <c r="X256" s="373">
        <v>260069.47999999998</v>
      </c>
      <c r="Y256" s="372">
        <v>288538.24659999995</v>
      </c>
      <c r="Z256" s="373">
        <v>1015996.2466</v>
      </c>
      <c r="AA256" s="400">
        <v>0</v>
      </c>
      <c r="AB256" s="400">
        <v>0</v>
      </c>
      <c r="AC256" s="400">
        <v>0</v>
      </c>
      <c r="AD256" s="400">
        <v>0</v>
      </c>
      <c r="AE256" s="372">
        <v>0</v>
      </c>
      <c r="AF256" s="372">
        <v>0</v>
      </c>
      <c r="AG256" s="400">
        <v>0.33000000000001251</v>
      </c>
      <c r="AH256" s="374">
        <v>0</v>
      </c>
      <c r="AI256" s="374">
        <v>0</v>
      </c>
      <c r="AJ256" s="372">
        <v>255.9</v>
      </c>
      <c r="AK256" s="376">
        <v>1.2895662368113032E-3</v>
      </c>
      <c r="AL256" s="376">
        <v>-1.2895662368113032E-3</v>
      </c>
      <c r="AM256" s="412">
        <v>248.26304568527945</v>
      </c>
    </row>
    <row r="257" spans="2:39" s="377" customFormat="1" ht="28.15" customHeight="1" x14ac:dyDescent="0.25">
      <c r="B257" s="369">
        <v>43263</v>
      </c>
      <c r="C257" s="370">
        <v>253890.24659999998</v>
      </c>
      <c r="D257" s="370">
        <v>34648</v>
      </c>
      <c r="E257" s="371">
        <v>0</v>
      </c>
      <c r="F257" s="371">
        <v>0</v>
      </c>
      <c r="G257" s="371">
        <v>0</v>
      </c>
      <c r="H257" s="371"/>
      <c r="I257" s="371"/>
      <c r="J257" s="371"/>
      <c r="K257" s="371"/>
      <c r="L257" s="371"/>
      <c r="M257" s="371">
        <v>650000</v>
      </c>
      <c r="N257" s="371">
        <v>44000</v>
      </c>
      <c r="O257" s="371">
        <v>1600</v>
      </c>
      <c r="P257" s="371">
        <f t="shared" si="4"/>
        <v>91683</v>
      </c>
      <c r="Q257" s="371">
        <v>-59825</v>
      </c>
      <c r="R257" s="372">
        <v>253890.24659999998</v>
      </c>
      <c r="S257" s="400">
        <v>227199.03</v>
      </c>
      <c r="T257" s="400">
        <v>32870.449999999997</v>
      </c>
      <c r="U257" s="400">
        <v>0</v>
      </c>
      <c r="V257" s="400">
        <v>0</v>
      </c>
      <c r="W257" s="372">
        <v>227199.03</v>
      </c>
      <c r="X257" s="373">
        <v>260069.47999999998</v>
      </c>
      <c r="Y257" s="372">
        <v>288538.24659999995</v>
      </c>
      <c r="Z257" s="373">
        <v>1015996.2466</v>
      </c>
      <c r="AA257" s="400">
        <v>0</v>
      </c>
      <c r="AB257" s="400">
        <v>0</v>
      </c>
      <c r="AC257" s="400">
        <v>0</v>
      </c>
      <c r="AD257" s="400">
        <v>0</v>
      </c>
      <c r="AE257" s="372">
        <v>0</v>
      </c>
      <c r="AF257" s="372">
        <v>0</v>
      </c>
      <c r="AG257" s="400">
        <v>0.4299999999999784</v>
      </c>
      <c r="AH257" s="374">
        <v>0</v>
      </c>
      <c r="AI257" s="374">
        <v>0</v>
      </c>
      <c r="AJ257" s="372">
        <v>256.33</v>
      </c>
      <c r="AK257" s="376">
        <v>1.6775250653453689E-3</v>
      </c>
      <c r="AL257" s="376">
        <v>-1.6775250653453689E-3</v>
      </c>
      <c r="AM257" s="412">
        <v>248.34822335025405</v>
      </c>
    </row>
    <row r="258" spans="2:39" s="377" customFormat="1" ht="28.15" customHeight="1" x14ac:dyDescent="0.25">
      <c r="B258" s="369">
        <v>43264</v>
      </c>
      <c r="C258" s="370">
        <v>253890.24659999998</v>
      </c>
      <c r="D258" s="370">
        <v>34648</v>
      </c>
      <c r="E258" s="371">
        <v>0</v>
      </c>
      <c r="F258" s="371">
        <v>0</v>
      </c>
      <c r="G258" s="371">
        <v>0</v>
      </c>
      <c r="H258" s="371"/>
      <c r="I258" s="371"/>
      <c r="J258" s="371"/>
      <c r="K258" s="371"/>
      <c r="L258" s="371"/>
      <c r="M258" s="371">
        <v>650000</v>
      </c>
      <c r="N258" s="371">
        <v>44000</v>
      </c>
      <c r="O258" s="371">
        <v>1600</v>
      </c>
      <c r="P258" s="371">
        <f t="shared" si="4"/>
        <v>91683</v>
      </c>
      <c r="Q258" s="371">
        <v>-59825</v>
      </c>
      <c r="R258" s="372">
        <v>253890.24659999998</v>
      </c>
      <c r="S258" s="400">
        <v>227199.03</v>
      </c>
      <c r="T258" s="400">
        <v>32870.449999999997</v>
      </c>
      <c r="U258" s="400">
        <v>0</v>
      </c>
      <c r="V258" s="400">
        <v>0</v>
      </c>
      <c r="W258" s="372">
        <v>227199.03</v>
      </c>
      <c r="X258" s="373">
        <v>260069.47999999998</v>
      </c>
      <c r="Y258" s="372">
        <v>288538.24659999995</v>
      </c>
      <c r="Z258" s="373">
        <v>1015996.2466</v>
      </c>
      <c r="AA258" s="400">
        <v>0</v>
      </c>
      <c r="AB258" s="400">
        <v>0</v>
      </c>
      <c r="AC258" s="400">
        <v>0</v>
      </c>
      <c r="AD258" s="400">
        <v>0</v>
      </c>
      <c r="AE258" s="372">
        <v>0</v>
      </c>
      <c r="AF258" s="372">
        <v>0</v>
      </c>
      <c r="AG258" s="400">
        <v>-1.0199999999999818</v>
      </c>
      <c r="AH258" s="374">
        <v>0</v>
      </c>
      <c r="AI258" s="374">
        <v>0</v>
      </c>
      <c r="AJ258" s="372">
        <v>255.31</v>
      </c>
      <c r="AK258" s="376">
        <v>-3.9951431592964706E-3</v>
      </c>
      <c r="AL258" s="376">
        <v>3.9951431592964706E-3</v>
      </c>
      <c r="AM258" s="412">
        <v>248.43593908629467</v>
      </c>
    </row>
    <row r="259" spans="2:39" s="377" customFormat="1" ht="28.15" customHeight="1" x14ac:dyDescent="0.25">
      <c r="B259" s="369">
        <v>43265</v>
      </c>
      <c r="C259" s="370">
        <v>253890.24659999998</v>
      </c>
      <c r="D259" s="370">
        <v>34648</v>
      </c>
      <c r="E259" s="371">
        <v>0</v>
      </c>
      <c r="F259" s="371">
        <v>0</v>
      </c>
      <c r="G259" s="371">
        <v>0</v>
      </c>
      <c r="H259" s="371"/>
      <c r="I259" s="371"/>
      <c r="J259" s="371"/>
      <c r="K259" s="371"/>
      <c r="L259" s="371"/>
      <c r="M259" s="371">
        <v>650000</v>
      </c>
      <c r="N259" s="371">
        <v>44000</v>
      </c>
      <c r="O259" s="371">
        <v>1600</v>
      </c>
      <c r="P259" s="371">
        <f t="shared" si="4"/>
        <v>91683</v>
      </c>
      <c r="Q259" s="371">
        <v>-59825</v>
      </c>
      <c r="R259" s="372">
        <v>253890.24659999998</v>
      </c>
      <c r="S259" s="400">
        <v>227199.03</v>
      </c>
      <c r="T259" s="400">
        <v>32870.449999999997</v>
      </c>
      <c r="U259" s="400">
        <v>0</v>
      </c>
      <c r="V259" s="400">
        <v>0</v>
      </c>
      <c r="W259" s="372">
        <v>227199.03</v>
      </c>
      <c r="X259" s="373">
        <v>260069.47999999998</v>
      </c>
      <c r="Y259" s="372">
        <v>288538.24659999995</v>
      </c>
      <c r="Z259" s="373">
        <v>1015996.2466</v>
      </c>
      <c r="AA259" s="400">
        <v>0</v>
      </c>
      <c r="AB259" s="400">
        <v>0</v>
      </c>
      <c r="AC259" s="400">
        <v>0</v>
      </c>
      <c r="AD259" s="400">
        <v>0</v>
      </c>
      <c r="AE259" s="372">
        <v>0</v>
      </c>
      <c r="AF259" s="372">
        <v>0</v>
      </c>
      <c r="AG259" s="400">
        <v>0.74000000000000909</v>
      </c>
      <c r="AH259" s="374">
        <v>0</v>
      </c>
      <c r="AI259" s="374">
        <v>0</v>
      </c>
      <c r="AJ259" s="372">
        <v>256.05</v>
      </c>
      <c r="AK259" s="376">
        <v>2.8900605350517831E-3</v>
      </c>
      <c r="AL259" s="376">
        <v>-2.8900605350517831E-3</v>
      </c>
      <c r="AM259" s="412">
        <v>248.50644670050781</v>
      </c>
    </row>
    <row r="260" spans="2:39" s="377" customFormat="1" ht="28.15" customHeight="1" x14ac:dyDescent="0.25">
      <c r="B260" s="369">
        <v>43266</v>
      </c>
      <c r="C260" s="370">
        <v>253890.24659999998</v>
      </c>
      <c r="D260" s="370">
        <v>34648</v>
      </c>
      <c r="E260" s="371">
        <v>0</v>
      </c>
      <c r="F260" s="371">
        <v>0</v>
      </c>
      <c r="G260" s="371">
        <v>0</v>
      </c>
      <c r="H260" s="371"/>
      <c r="I260" s="371">
        <v>210</v>
      </c>
      <c r="J260" s="371"/>
      <c r="K260" s="371"/>
      <c r="L260" s="371"/>
      <c r="M260" s="371">
        <v>650000</v>
      </c>
      <c r="N260" s="371">
        <v>44000</v>
      </c>
      <c r="O260" s="371">
        <v>1600</v>
      </c>
      <c r="P260" s="371">
        <f t="shared" si="4"/>
        <v>91683</v>
      </c>
      <c r="Q260" s="371">
        <v>-59825</v>
      </c>
      <c r="R260" s="372">
        <v>253890.24659999998</v>
      </c>
      <c r="S260" s="400">
        <v>227199.03</v>
      </c>
      <c r="T260" s="400">
        <v>33080.449999999997</v>
      </c>
      <c r="U260" s="400">
        <v>0</v>
      </c>
      <c r="V260" s="400">
        <v>0</v>
      </c>
      <c r="W260" s="372">
        <v>227199.03</v>
      </c>
      <c r="X260" s="373">
        <v>260279.47999999998</v>
      </c>
      <c r="Y260" s="372">
        <v>288538.24659999995</v>
      </c>
      <c r="Z260" s="373">
        <v>1015996.2466</v>
      </c>
      <c r="AA260" s="400">
        <v>0</v>
      </c>
      <c r="AB260" s="400">
        <v>-210</v>
      </c>
      <c r="AC260" s="400">
        <v>0</v>
      </c>
      <c r="AD260" s="400">
        <v>0</v>
      </c>
      <c r="AE260" s="372">
        <v>0</v>
      </c>
      <c r="AF260" s="372">
        <v>-210</v>
      </c>
      <c r="AG260" s="400">
        <v>-0.21999999999999886</v>
      </c>
      <c r="AH260" s="374">
        <v>0</v>
      </c>
      <c r="AI260" s="374">
        <v>-6.0609558993304086E-3</v>
      </c>
      <c r="AJ260" s="372">
        <v>255.83</v>
      </c>
      <c r="AK260" s="376">
        <v>-8.5994605792908904E-4</v>
      </c>
      <c r="AL260" s="376">
        <v>8.5994605792908904E-4</v>
      </c>
      <c r="AM260" s="412">
        <v>248.5811675126906</v>
      </c>
    </row>
    <row r="261" spans="2:39" s="377" customFormat="1" ht="28.15" customHeight="1" x14ac:dyDescent="0.25">
      <c r="B261" s="378">
        <v>43267</v>
      </c>
      <c r="C261" s="370">
        <v>253890.24659999998</v>
      </c>
      <c r="D261" s="370">
        <v>34648</v>
      </c>
      <c r="E261" s="371">
        <v>0</v>
      </c>
      <c r="F261" s="371">
        <v>0</v>
      </c>
      <c r="G261" s="371">
        <v>0</v>
      </c>
      <c r="H261" s="371"/>
      <c r="I261" s="371"/>
      <c r="J261" s="371"/>
      <c r="K261" s="371"/>
      <c r="L261" s="371"/>
      <c r="M261" s="371">
        <v>650000</v>
      </c>
      <c r="N261" s="371">
        <v>44000</v>
      </c>
      <c r="O261" s="371">
        <v>1600</v>
      </c>
      <c r="P261" s="371">
        <f t="shared" si="4"/>
        <v>91683</v>
      </c>
      <c r="Q261" s="371">
        <v>-59825</v>
      </c>
      <c r="R261" s="372">
        <v>253890.24659999998</v>
      </c>
      <c r="S261" s="400">
        <v>227199.03</v>
      </c>
      <c r="T261" s="400">
        <v>33080.449999999997</v>
      </c>
      <c r="U261" s="400">
        <v>0</v>
      </c>
      <c r="V261" s="400">
        <v>0</v>
      </c>
      <c r="W261" s="372">
        <v>227199.03</v>
      </c>
      <c r="X261" s="373">
        <v>260279.47999999998</v>
      </c>
      <c r="Y261" s="372">
        <v>288538.24659999995</v>
      </c>
      <c r="Z261" s="373">
        <v>1015996.2466</v>
      </c>
      <c r="AA261" s="400">
        <v>0</v>
      </c>
      <c r="AB261" s="400">
        <v>0</v>
      </c>
      <c r="AC261" s="400">
        <v>0</v>
      </c>
      <c r="AD261" s="400">
        <v>0</v>
      </c>
      <c r="AE261" s="372">
        <v>0</v>
      </c>
      <c r="AF261" s="372">
        <v>0</v>
      </c>
      <c r="AG261" s="400">
        <v>0</v>
      </c>
      <c r="AH261" s="374">
        <v>0</v>
      </c>
      <c r="AI261" s="374">
        <v>0</v>
      </c>
      <c r="AJ261" s="372">
        <v>255.83</v>
      </c>
      <c r="AK261" s="376">
        <v>0</v>
      </c>
      <c r="AL261" s="376">
        <v>0</v>
      </c>
      <c r="AM261" s="412">
        <v>248.64451776649773</v>
      </c>
    </row>
    <row r="262" spans="2:39" s="377" customFormat="1" ht="28.15" customHeight="1" x14ac:dyDescent="0.25">
      <c r="B262" s="378">
        <v>43268</v>
      </c>
      <c r="C262" s="370">
        <v>253890.24659999998</v>
      </c>
      <c r="D262" s="370">
        <v>34648</v>
      </c>
      <c r="E262" s="371">
        <v>0</v>
      </c>
      <c r="F262" s="371">
        <v>0</v>
      </c>
      <c r="G262" s="371">
        <v>0</v>
      </c>
      <c r="H262" s="371"/>
      <c r="I262" s="371"/>
      <c r="J262" s="371"/>
      <c r="K262" s="371"/>
      <c r="L262" s="371"/>
      <c r="M262" s="371">
        <v>650000</v>
      </c>
      <c r="N262" s="371">
        <v>44000</v>
      </c>
      <c r="O262" s="371">
        <v>1600</v>
      </c>
      <c r="P262" s="371">
        <f t="shared" si="4"/>
        <v>91683</v>
      </c>
      <c r="Q262" s="371">
        <v>-59825</v>
      </c>
      <c r="R262" s="372">
        <v>253890.24659999998</v>
      </c>
      <c r="S262" s="400">
        <v>227199.03</v>
      </c>
      <c r="T262" s="400">
        <v>33080.449999999997</v>
      </c>
      <c r="U262" s="400">
        <v>0</v>
      </c>
      <c r="V262" s="400">
        <v>0</v>
      </c>
      <c r="W262" s="372">
        <v>227199.03</v>
      </c>
      <c r="X262" s="373">
        <v>260279.47999999998</v>
      </c>
      <c r="Y262" s="372">
        <v>288538.24659999995</v>
      </c>
      <c r="Z262" s="373">
        <v>1015996.2466</v>
      </c>
      <c r="AA262" s="400">
        <v>0</v>
      </c>
      <c r="AB262" s="400">
        <v>0</v>
      </c>
      <c r="AC262" s="400">
        <v>0</v>
      </c>
      <c r="AD262" s="400">
        <v>0</v>
      </c>
      <c r="AE262" s="372">
        <v>0</v>
      </c>
      <c r="AF262" s="372">
        <v>0</v>
      </c>
      <c r="AG262" s="400">
        <v>0</v>
      </c>
      <c r="AH262" s="374">
        <v>0</v>
      </c>
      <c r="AI262" s="374">
        <v>0</v>
      </c>
      <c r="AJ262" s="372">
        <v>255.83</v>
      </c>
      <c r="AK262" s="376">
        <v>0</v>
      </c>
      <c r="AL262" s="376">
        <v>0</v>
      </c>
      <c r="AM262" s="412">
        <v>248.71015228426427</v>
      </c>
    </row>
    <row r="263" spans="2:39" s="377" customFormat="1" ht="28.15" customHeight="1" x14ac:dyDescent="0.25">
      <c r="B263" s="369">
        <v>43269</v>
      </c>
      <c r="C263" s="370">
        <v>253890.24659999998</v>
      </c>
      <c r="D263" s="370">
        <v>34648</v>
      </c>
      <c r="E263" s="371">
        <v>0</v>
      </c>
      <c r="F263" s="371">
        <v>0</v>
      </c>
      <c r="G263" s="371">
        <v>0</v>
      </c>
      <c r="H263" s="371">
        <v>75</v>
      </c>
      <c r="I263" s="371"/>
      <c r="J263" s="371"/>
      <c r="K263" s="371"/>
      <c r="L263" s="371"/>
      <c r="M263" s="371">
        <v>650000</v>
      </c>
      <c r="N263" s="371">
        <v>44000</v>
      </c>
      <c r="O263" s="371">
        <v>1600</v>
      </c>
      <c r="P263" s="371">
        <f t="shared" si="4"/>
        <v>91683</v>
      </c>
      <c r="Q263" s="371">
        <v>-59825</v>
      </c>
      <c r="R263" s="372">
        <v>253890.24659999998</v>
      </c>
      <c r="S263" s="400">
        <v>227274.03</v>
      </c>
      <c r="T263" s="400">
        <v>33080.449999999997</v>
      </c>
      <c r="U263" s="400">
        <v>0</v>
      </c>
      <c r="V263" s="400">
        <v>0</v>
      </c>
      <c r="W263" s="372">
        <v>227274.03</v>
      </c>
      <c r="X263" s="373">
        <v>260354.47999999998</v>
      </c>
      <c r="Y263" s="372">
        <v>288538.24659999995</v>
      </c>
      <c r="Z263" s="373">
        <v>1015996.2466</v>
      </c>
      <c r="AA263" s="400">
        <v>-75</v>
      </c>
      <c r="AB263" s="400">
        <v>0</v>
      </c>
      <c r="AC263" s="400">
        <v>0</v>
      </c>
      <c r="AD263" s="400">
        <v>0</v>
      </c>
      <c r="AE263" s="372">
        <v>-75</v>
      </c>
      <c r="AF263" s="372">
        <v>-75</v>
      </c>
      <c r="AG263" s="400">
        <v>-0.61000000000001364</v>
      </c>
      <c r="AH263" s="374">
        <v>-2.954032342887173E-4</v>
      </c>
      <c r="AI263" s="374">
        <v>0</v>
      </c>
      <c r="AJ263" s="372">
        <v>255.22</v>
      </c>
      <c r="AK263" s="376">
        <v>-2.3900948201552139E-3</v>
      </c>
      <c r="AL263" s="376">
        <v>2.0946915858664965E-3</v>
      </c>
      <c r="AM263" s="412">
        <v>248.77578680203075</v>
      </c>
    </row>
    <row r="264" spans="2:39" s="377" customFormat="1" ht="28.15" customHeight="1" x14ac:dyDescent="0.25">
      <c r="B264" s="369">
        <v>43270</v>
      </c>
      <c r="C264" s="370">
        <v>253890.24659999998</v>
      </c>
      <c r="D264" s="370">
        <v>34648</v>
      </c>
      <c r="E264" s="371">
        <v>0</v>
      </c>
      <c r="F264" s="371">
        <v>0</v>
      </c>
      <c r="G264" s="371">
        <v>0</v>
      </c>
      <c r="H264" s="371"/>
      <c r="I264" s="371"/>
      <c r="J264" s="371"/>
      <c r="K264" s="371"/>
      <c r="L264" s="371"/>
      <c r="M264" s="371">
        <v>650000</v>
      </c>
      <c r="N264" s="371">
        <v>44000</v>
      </c>
      <c r="O264" s="371">
        <v>1600</v>
      </c>
      <c r="P264" s="371">
        <f t="shared" si="4"/>
        <v>91683</v>
      </c>
      <c r="Q264" s="371">
        <v>-59825</v>
      </c>
      <c r="R264" s="372">
        <v>253890.24659999998</v>
      </c>
      <c r="S264" s="400">
        <v>227274.03</v>
      </c>
      <c r="T264" s="400">
        <v>33080.449999999997</v>
      </c>
      <c r="U264" s="400">
        <v>0</v>
      </c>
      <c r="V264" s="400">
        <v>0</v>
      </c>
      <c r="W264" s="372">
        <v>227274.03</v>
      </c>
      <c r="X264" s="373">
        <v>260354.47999999998</v>
      </c>
      <c r="Y264" s="372">
        <v>288538.24659999995</v>
      </c>
      <c r="Z264" s="373">
        <v>1015996.2466</v>
      </c>
      <c r="AA264" s="400">
        <v>0</v>
      </c>
      <c r="AB264" s="400">
        <v>0</v>
      </c>
      <c r="AC264" s="400">
        <v>0</v>
      </c>
      <c r="AD264" s="400">
        <v>0</v>
      </c>
      <c r="AE264" s="372">
        <v>0</v>
      </c>
      <c r="AF264" s="372">
        <v>0</v>
      </c>
      <c r="AG264" s="400">
        <v>-0.96999999999999886</v>
      </c>
      <c r="AH264" s="374">
        <v>0</v>
      </c>
      <c r="AI264" s="374">
        <v>0</v>
      </c>
      <c r="AJ264" s="372">
        <v>254.25</v>
      </c>
      <c r="AK264" s="376">
        <v>-3.8151425762045187E-3</v>
      </c>
      <c r="AL264" s="376">
        <v>3.8151425762045187E-3</v>
      </c>
      <c r="AM264" s="412">
        <v>248.83832487309675</v>
      </c>
    </row>
    <row r="265" spans="2:39" s="377" customFormat="1" ht="28.15" customHeight="1" x14ac:dyDescent="0.25">
      <c r="B265" s="369">
        <v>43271</v>
      </c>
      <c r="C265" s="370">
        <v>253890.24659999998</v>
      </c>
      <c r="D265" s="370">
        <v>34648</v>
      </c>
      <c r="E265" s="371">
        <v>0</v>
      </c>
      <c r="F265" s="371">
        <v>0</v>
      </c>
      <c r="G265" s="371">
        <v>0</v>
      </c>
      <c r="H265" s="371"/>
      <c r="I265" s="371"/>
      <c r="J265" s="371"/>
      <c r="K265" s="371"/>
      <c r="L265" s="371"/>
      <c r="M265" s="371">
        <v>650000</v>
      </c>
      <c r="N265" s="371">
        <v>44000</v>
      </c>
      <c r="O265" s="371">
        <v>1600</v>
      </c>
      <c r="P265" s="371">
        <f t="shared" si="4"/>
        <v>91683</v>
      </c>
      <c r="Q265" s="371">
        <v>-59825</v>
      </c>
      <c r="R265" s="372">
        <v>253890.24659999998</v>
      </c>
      <c r="S265" s="400">
        <v>227274.03</v>
      </c>
      <c r="T265" s="400">
        <v>33080.449999999997</v>
      </c>
      <c r="U265" s="400">
        <v>0</v>
      </c>
      <c r="V265" s="400">
        <v>0</v>
      </c>
      <c r="W265" s="372">
        <v>227274.03</v>
      </c>
      <c r="X265" s="373">
        <v>260354.47999999998</v>
      </c>
      <c r="Y265" s="372">
        <v>288538.24659999995</v>
      </c>
      <c r="Z265" s="373">
        <v>1015996.2466</v>
      </c>
      <c r="AA265" s="400">
        <v>0</v>
      </c>
      <c r="AB265" s="400">
        <v>0</v>
      </c>
      <c r="AC265" s="400">
        <v>0</v>
      </c>
      <c r="AD265" s="400">
        <v>0</v>
      </c>
      <c r="AE265" s="372">
        <v>0</v>
      </c>
      <c r="AF265" s="372">
        <v>0</v>
      </c>
      <c r="AG265" s="400">
        <v>0.46000000000000796</v>
      </c>
      <c r="AH265" s="374">
        <v>0</v>
      </c>
      <c r="AI265" s="374">
        <v>0</v>
      </c>
      <c r="AJ265" s="372">
        <v>254.71</v>
      </c>
      <c r="AK265" s="376">
        <v>1.8059754230301439E-3</v>
      </c>
      <c r="AL265" s="376">
        <v>-1.8059754230301439E-3</v>
      </c>
      <c r="AM265" s="412">
        <v>248.89725888324904</v>
      </c>
    </row>
    <row r="266" spans="2:39" s="377" customFormat="1" ht="28.15" customHeight="1" x14ac:dyDescent="0.25">
      <c r="B266" s="369">
        <v>43272</v>
      </c>
      <c r="C266" s="370">
        <v>253890.24659999998</v>
      </c>
      <c r="D266" s="370">
        <v>34648</v>
      </c>
      <c r="E266" s="371">
        <v>0</v>
      </c>
      <c r="F266" s="371">
        <v>0</v>
      </c>
      <c r="G266" s="371">
        <v>0</v>
      </c>
      <c r="H266" s="371"/>
      <c r="I266" s="371"/>
      <c r="J266" s="371"/>
      <c r="K266" s="371"/>
      <c r="L266" s="371"/>
      <c r="M266" s="371">
        <v>650000</v>
      </c>
      <c r="N266" s="371">
        <v>44000</v>
      </c>
      <c r="O266" s="371">
        <v>1600</v>
      </c>
      <c r="P266" s="371">
        <f t="shared" si="4"/>
        <v>91683</v>
      </c>
      <c r="Q266" s="371">
        <v>-59825</v>
      </c>
      <c r="R266" s="372">
        <v>253890.24659999998</v>
      </c>
      <c r="S266" s="400">
        <v>227274.03</v>
      </c>
      <c r="T266" s="400">
        <v>33080.449999999997</v>
      </c>
      <c r="U266" s="400">
        <v>0</v>
      </c>
      <c r="V266" s="400">
        <v>0</v>
      </c>
      <c r="W266" s="372">
        <v>227274.03</v>
      </c>
      <c r="X266" s="373">
        <v>260354.47999999998</v>
      </c>
      <c r="Y266" s="372">
        <v>288538.24659999995</v>
      </c>
      <c r="Z266" s="373">
        <v>1015996.2466</v>
      </c>
      <c r="AA266" s="400">
        <v>0</v>
      </c>
      <c r="AB266" s="400">
        <v>0</v>
      </c>
      <c r="AC266" s="400">
        <v>0</v>
      </c>
      <c r="AD266" s="400">
        <v>0</v>
      </c>
      <c r="AE266" s="372">
        <v>0</v>
      </c>
      <c r="AF266" s="372">
        <v>0</v>
      </c>
      <c r="AG266" s="400">
        <v>-1.5900000000000034</v>
      </c>
      <c r="AH266" s="374">
        <v>0</v>
      </c>
      <c r="AI266" s="374">
        <v>0</v>
      </c>
      <c r="AJ266" s="372">
        <v>253.12</v>
      </c>
      <c r="AK266" s="376">
        <v>-6.2816055625790276E-3</v>
      </c>
      <c r="AL266" s="376">
        <v>6.2816055625790276E-3</v>
      </c>
      <c r="AM266" s="412">
        <v>248.96289340101555</v>
      </c>
    </row>
    <row r="267" spans="2:39" s="377" customFormat="1" ht="28.15" customHeight="1" x14ac:dyDescent="0.25">
      <c r="B267" s="369">
        <v>43273</v>
      </c>
      <c r="C267" s="370">
        <v>253890.24659999998</v>
      </c>
      <c r="D267" s="370">
        <v>34648</v>
      </c>
      <c r="E267" s="371">
        <v>0</v>
      </c>
      <c r="F267" s="371">
        <v>0</v>
      </c>
      <c r="G267" s="371">
        <v>0</v>
      </c>
      <c r="H267" s="371"/>
      <c r="I267" s="371"/>
      <c r="J267" s="371"/>
      <c r="K267" s="371"/>
      <c r="L267" s="371"/>
      <c r="M267" s="371">
        <v>650000</v>
      </c>
      <c r="N267" s="371">
        <v>44000</v>
      </c>
      <c r="O267" s="371">
        <v>1600</v>
      </c>
      <c r="P267" s="371">
        <f t="shared" si="4"/>
        <v>91683</v>
      </c>
      <c r="Q267" s="371">
        <v>-59825</v>
      </c>
      <c r="R267" s="372">
        <v>253890.24659999998</v>
      </c>
      <c r="S267" s="400">
        <v>227274.03</v>
      </c>
      <c r="T267" s="400">
        <v>33080.449999999997</v>
      </c>
      <c r="U267" s="400">
        <v>0</v>
      </c>
      <c r="V267" s="400">
        <v>0</v>
      </c>
      <c r="W267" s="372">
        <v>227274.03</v>
      </c>
      <c r="X267" s="373">
        <v>260354.47999999998</v>
      </c>
      <c r="Y267" s="372">
        <v>288538.24659999995</v>
      </c>
      <c r="Z267" s="373">
        <v>1015996.2466</v>
      </c>
      <c r="AA267" s="400">
        <v>0</v>
      </c>
      <c r="AB267" s="400">
        <v>0</v>
      </c>
      <c r="AC267" s="400">
        <v>0</v>
      </c>
      <c r="AD267" s="400">
        <v>0</v>
      </c>
      <c r="AE267" s="372">
        <v>0</v>
      </c>
      <c r="AF267" s="372">
        <v>0</v>
      </c>
      <c r="AG267" s="400">
        <v>0.44999999999998863</v>
      </c>
      <c r="AH267" s="374">
        <v>0</v>
      </c>
      <c r="AI267" s="374">
        <v>0</v>
      </c>
      <c r="AJ267" s="372">
        <v>253.57</v>
      </c>
      <c r="AK267" s="376">
        <v>1.7746578853964927E-3</v>
      </c>
      <c r="AL267" s="376">
        <v>-1.7746578853964927E-3</v>
      </c>
      <c r="AM267" s="412">
        <v>249.0205076142135</v>
      </c>
    </row>
    <row r="268" spans="2:39" s="377" customFormat="1" ht="28.15" customHeight="1" x14ac:dyDescent="0.25">
      <c r="B268" s="369">
        <v>43274</v>
      </c>
      <c r="C268" s="370">
        <v>253890.24659999998</v>
      </c>
      <c r="D268" s="370">
        <v>34648</v>
      </c>
      <c r="E268" s="371">
        <v>0</v>
      </c>
      <c r="F268" s="371">
        <v>0</v>
      </c>
      <c r="G268" s="371">
        <v>0</v>
      </c>
      <c r="H268" s="371"/>
      <c r="I268" s="371"/>
      <c r="J268" s="371"/>
      <c r="K268" s="371"/>
      <c r="L268" s="371"/>
      <c r="M268" s="371">
        <v>650000</v>
      </c>
      <c r="N268" s="371">
        <v>44000</v>
      </c>
      <c r="O268" s="371">
        <v>1600</v>
      </c>
      <c r="P268" s="371">
        <f t="shared" si="4"/>
        <v>91683</v>
      </c>
      <c r="Q268" s="371">
        <v>-59825</v>
      </c>
      <c r="R268" s="372">
        <v>253890.24659999998</v>
      </c>
      <c r="S268" s="400">
        <v>227274.03</v>
      </c>
      <c r="T268" s="400">
        <v>33080.449999999997</v>
      </c>
      <c r="U268" s="400">
        <v>0</v>
      </c>
      <c r="V268" s="400">
        <v>0</v>
      </c>
      <c r="W268" s="372">
        <v>227274.03</v>
      </c>
      <c r="X268" s="373">
        <v>260354.47999999998</v>
      </c>
      <c r="Y268" s="372">
        <v>288538.24659999995</v>
      </c>
      <c r="Z268" s="373">
        <v>1015996.2466</v>
      </c>
      <c r="AA268" s="400">
        <v>0</v>
      </c>
      <c r="AB268" s="400">
        <v>0</v>
      </c>
      <c r="AC268" s="400">
        <v>0</v>
      </c>
      <c r="AD268" s="400">
        <v>0</v>
      </c>
      <c r="AE268" s="372">
        <v>0</v>
      </c>
      <c r="AF268" s="372">
        <v>0</v>
      </c>
      <c r="AG268" s="400">
        <v>0</v>
      </c>
      <c r="AH268" s="374">
        <v>0</v>
      </c>
      <c r="AI268" s="374">
        <v>0</v>
      </c>
      <c r="AJ268" s="372">
        <v>253.57</v>
      </c>
      <c r="AK268" s="376">
        <v>0</v>
      </c>
      <c r="AL268" s="376">
        <v>0</v>
      </c>
      <c r="AM268" s="412">
        <v>249.0763451776653</v>
      </c>
    </row>
    <row r="269" spans="2:39" s="377" customFormat="1" ht="28.15" customHeight="1" x14ac:dyDescent="0.25">
      <c r="B269" s="369">
        <v>43275</v>
      </c>
      <c r="C269" s="370">
        <v>253890.24659999998</v>
      </c>
      <c r="D269" s="370">
        <v>34648</v>
      </c>
      <c r="E269" s="371">
        <v>0</v>
      </c>
      <c r="F269" s="371">
        <v>0</v>
      </c>
      <c r="G269" s="371">
        <v>0</v>
      </c>
      <c r="H269" s="371"/>
      <c r="I269" s="371"/>
      <c r="J269" s="371"/>
      <c r="K269" s="371"/>
      <c r="L269" s="371"/>
      <c r="M269" s="371">
        <v>650000</v>
      </c>
      <c r="N269" s="371">
        <v>44000</v>
      </c>
      <c r="O269" s="371">
        <v>1600</v>
      </c>
      <c r="P269" s="371">
        <f t="shared" si="4"/>
        <v>91683</v>
      </c>
      <c r="Q269" s="371">
        <v>-59825</v>
      </c>
      <c r="R269" s="372">
        <v>253890.24659999998</v>
      </c>
      <c r="S269" s="400">
        <v>227274.03</v>
      </c>
      <c r="T269" s="400">
        <v>33080.449999999997</v>
      </c>
      <c r="U269" s="400">
        <v>0</v>
      </c>
      <c r="V269" s="400">
        <v>0</v>
      </c>
      <c r="W269" s="372">
        <v>227274.03</v>
      </c>
      <c r="X269" s="373">
        <v>260354.47999999998</v>
      </c>
      <c r="Y269" s="372">
        <v>288538.24659999995</v>
      </c>
      <c r="Z269" s="373">
        <v>1015996.2466</v>
      </c>
      <c r="AA269" s="400">
        <v>0</v>
      </c>
      <c r="AB269" s="400">
        <v>0</v>
      </c>
      <c r="AC269" s="400">
        <v>0</v>
      </c>
      <c r="AD269" s="400">
        <v>0</v>
      </c>
      <c r="AE269" s="372">
        <v>0</v>
      </c>
      <c r="AF269" s="372">
        <v>0</v>
      </c>
      <c r="AG269" s="400">
        <v>0</v>
      </c>
      <c r="AH269" s="374">
        <v>0</v>
      </c>
      <c r="AI269" s="374">
        <v>0</v>
      </c>
      <c r="AJ269" s="372">
        <v>253.57</v>
      </c>
      <c r="AK269" s="376">
        <v>0</v>
      </c>
      <c r="AL269" s="376">
        <v>0</v>
      </c>
      <c r="AM269" s="412">
        <v>249.12548223350288</v>
      </c>
    </row>
    <row r="270" spans="2:39" s="377" customFormat="1" ht="28.15" customHeight="1" x14ac:dyDescent="0.25">
      <c r="B270" s="369">
        <v>43276</v>
      </c>
      <c r="C270" s="370">
        <v>253890.24659999998</v>
      </c>
      <c r="D270" s="370">
        <v>34648</v>
      </c>
      <c r="E270" s="371">
        <v>0</v>
      </c>
      <c r="F270" s="371">
        <v>0</v>
      </c>
      <c r="G270" s="371">
        <v>0</v>
      </c>
      <c r="H270" s="371"/>
      <c r="I270" s="371"/>
      <c r="J270" s="371"/>
      <c r="K270" s="371"/>
      <c r="L270" s="371"/>
      <c r="M270" s="371">
        <v>650000</v>
      </c>
      <c r="N270" s="371">
        <v>44000</v>
      </c>
      <c r="O270" s="371">
        <v>1600</v>
      </c>
      <c r="P270" s="371">
        <f t="shared" si="4"/>
        <v>91683</v>
      </c>
      <c r="Q270" s="371">
        <v>-59825</v>
      </c>
      <c r="R270" s="372">
        <v>253890.24659999998</v>
      </c>
      <c r="S270" s="400">
        <v>227274.03</v>
      </c>
      <c r="T270" s="400">
        <v>33080.449999999997</v>
      </c>
      <c r="U270" s="400">
        <v>0</v>
      </c>
      <c r="V270" s="400">
        <v>0</v>
      </c>
      <c r="W270" s="372">
        <v>227274.03</v>
      </c>
      <c r="X270" s="373">
        <v>260354.47999999998</v>
      </c>
      <c r="Y270" s="372">
        <v>288538.24659999995</v>
      </c>
      <c r="Z270" s="373">
        <v>1015996.2466</v>
      </c>
      <c r="AA270" s="400">
        <v>0</v>
      </c>
      <c r="AB270" s="400">
        <v>0</v>
      </c>
      <c r="AC270" s="400">
        <v>0</v>
      </c>
      <c r="AD270" s="400">
        <v>0</v>
      </c>
      <c r="AE270" s="372">
        <v>0</v>
      </c>
      <c r="AF270" s="372">
        <v>0</v>
      </c>
      <c r="AG270" s="400">
        <v>-3.5099999999999909</v>
      </c>
      <c r="AH270" s="374">
        <v>0</v>
      </c>
      <c r="AI270" s="374">
        <v>0</v>
      </c>
      <c r="AJ270" s="372">
        <v>250.06</v>
      </c>
      <c r="AK270" s="376">
        <v>-1.4036631208509922E-2</v>
      </c>
      <c r="AL270" s="376">
        <v>1.4036631208509922E-2</v>
      </c>
      <c r="AM270" s="412">
        <v>249.17461928934046</v>
      </c>
    </row>
    <row r="271" spans="2:39" s="377" customFormat="1" ht="28.15" customHeight="1" x14ac:dyDescent="0.25">
      <c r="B271" s="369">
        <v>43277</v>
      </c>
      <c r="C271" s="370">
        <v>253890.24659999998</v>
      </c>
      <c r="D271" s="370">
        <v>34648</v>
      </c>
      <c r="E271" s="371">
        <v>0</v>
      </c>
      <c r="F271" s="371">
        <v>0</v>
      </c>
      <c r="G271" s="371">
        <v>0</v>
      </c>
      <c r="H271" s="371"/>
      <c r="I271" s="371"/>
      <c r="J271" s="371"/>
      <c r="K271" s="371"/>
      <c r="L271" s="371"/>
      <c r="M271" s="371">
        <v>650000</v>
      </c>
      <c r="N271" s="371">
        <v>44000</v>
      </c>
      <c r="O271" s="371">
        <v>1600</v>
      </c>
      <c r="P271" s="371">
        <f t="shared" si="4"/>
        <v>91683</v>
      </c>
      <c r="Q271" s="371">
        <v>-59825</v>
      </c>
      <c r="R271" s="372">
        <v>253890.24659999998</v>
      </c>
      <c r="S271" s="400">
        <v>227274.03</v>
      </c>
      <c r="T271" s="400">
        <v>33080.449999999997</v>
      </c>
      <c r="U271" s="400">
        <v>0</v>
      </c>
      <c r="V271" s="400">
        <v>0</v>
      </c>
      <c r="W271" s="372">
        <v>227274.03</v>
      </c>
      <c r="X271" s="373">
        <v>260354.47999999998</v>
      </c>
      <c r="Y271" s="372">
        <v>288538.24659999995</v>
      </c>
      <c r="Z271" s="373">
        <v>1015996.2466</v>
      </c>
      <c r="AA271" s="400">
        <v>0</v>
      </c>
      <c r="AB271" s="400">
        <v>0</v>
      </c>
      <c r="AC271" s="400">
        <v>0</v>
      </c>
      <c r="AD271" s="400">
        <v>0</v>
      </c>
      <c r="AE271" s="372">
        <v>0</v>
      </c>
      <c r="AF271" s="372">
        <v>0</v>
      </c>
      <c r="AG271" s="400">
        <v>0.55000000000001137</v>
      </c>
      <c r="AH271" s="374">
        <v>0</v>
      </c>
      <c r="AI271" s="374">
        <v>0</v>
      </c>
      <c r="AJ271" s="372">
        <v>250.61</v>
      </c>
      <c r="AK271" s="376">
        <v>2.1946450660389103E-3</v>
      </c>
      <c r="AL271" s="376">
        <v>-2.1946450660389103E-3</v>
      </c>
      <c r="AM271" s="412">
        <v>249.20593908629473</v>
      </c>
    </row>
    <row r="272" spans="2:39" s="377" customFormat="1" ht="28.15" customHeight="1" x14ac:dyDescent="0.25">
      <c r="B272" s="369">
        <v>43278</v>
      </c>
      <c r="C272" s="370">
        <v>253890.24659999998</v>
      </c>
      <c r="D272" s="370">
        <v>34648</v>
      </c>
      <c r="E272" s="371">
        <v>0</v>
      </c>
      <c r="F272" s="371">
        <v>0</v>
      </c>
      <c r="G272" s="371">
        <v>0</v>
      </c>
      <c r="H272" s="371"/>
      <c r="I272" s="371"/>
      <c r="J272" s="371"/>
      <c r="K272" s="371"/>
      <c r="L272" s="371"/>
      <c r="M272" s="371">
        <v>650000</v>
      </c>
      <c r="N272" s="371">
        <v>44000</v>
      </c>
      <c r="O272" s="371">
        <v>1600</v>
      </c>
      <c r="P272" s="371">
        <f t="shared" si="4"/>
        <v>91683</v>
      </c>
      <c r="Q272" s="371">
        <v>-59825</v>
      </c>
      <c r="R272" s="372">
        <v>253890.24659999998</v>
      </c>
      <c r="S272" s="400">
        <v>227274.03</v>
      </c>
      <c r="T272" s="400">
        <v>33080.449999999997</v>
      </c>
      <c r="U272" s="400">
        <v>0</v>
      </c>
      <c r="V272" s="400">
        <v>0</v>
      </c>
      <c r="W272" s="372">
        <v>227274.03</v>
      </c>
      <c r="X272" s="373">
        <v>260354.47999999998</v>
      </c>
      <c r="Y272" s="372">
        <v>288538.24659999995</v>
      </c>
      <c r="Z272" s="373">
        <v>1015996.2466</v>
      </c>
      <c r="AA272" s="400">
        <v>0</v>
      </c>
      <c r="AB272" s="400">
        <v>0</v>
      </c>
      <c r="AC272" s="400">
        <v>0</v>
      </c>
      <c r="AD272" s="400">
        <v>0</v>
      </c>
      <c r="AE272" s="372">
        <v>0</v>
      </c>
      <c r="AF272" s="372">
        <v>0</v>
      </c>
      <c r="AG272" s="400">
        <v>-2.0800000000000125</v>
      </c>
      <c r="AH272" s="374">
        <v>0</v>
      </c>
      <c r="AI272" s="374">
        <v>0</v>
      </c>
      <c r="AJ272" s="372">
        <v>248.53</v>
      </c>
      <c r="AK272" s="376">
        <v>-8.3692109604474804E-3</v>
      </c>
      <c r="AL272" s="376">
        <v>8.3692109604474804E-3</v>
      </c>
      <c r="AM272" s="412">
        <v>249.23604060913735</v>
      </c>
    </row>
    <row r="273" spans="2:39" s="377" customFormat="1" ht="28.15" customHeight="1" x14ac:dyDescent="0.25">
      <c r="B273" s="369">
        <v>43279</v>
      </c>
      <c r="C273" s="370">
        <v>253890.24659999998</v>
      </c>
      <c r="D273" s="370">
        <v>34648</v>
      </c>
      <c r="E273" s="371">
        <v>0</v>
      </c>
      <c r="F273" s="371">
        <v>0</v>
      </c>
      <c r="G273" s="371">
        <v>0</v>
      </c>
      <c r="H273" s="371"/>
      <c r="I273" s="371"/>
      <c r="J273" s="371"/>
      <c r="K273" s="371"/>
      <c r="L273" s="371"/>
      <c r="M273" s="371">
        <v>650000</v>
      </c>
      <c r="N273" s="371">
        <v>44000</v>
      </c>
      <c r="O273" s="371">
        <v>1600</v>
      </c>
      <c r="P273" s="371">
        <f t="shared" ref="P273:P362" si="5">91683</f>
        <v>91683</v>
      </c>
      <c r="Q273" s="371">
        <v>-59825</v>
      </c>
      <c r="R273" s="372">
        <v>253890.24659999998</v>
      </c>
      <c r="S273" s="400">
        <v>227274.03</v>
      </c>
      <c r="T273" s="400">
        <v>33080.449999999997</v>
      </c>
      <c r="U273" s="400">
        <v>0</v>
      </c>
      <c r="V273" s="400">
        <v>0</v>
      </c>
      <c r="W273" s="372">
        <v>227274.03</v>
      </c>
      <c r="X273" s="373">
        <v>260354.47999999998</v>
      </c>
      <c r="Y273" s="372">
        <v>288538.24659999995</v>
      </c>
      <c r="Z273" s="373">
        <v>1015996.2466</v>
      </c>
      <c r="AA273" s="400">
        <v>0</v>
      </c>
      <c r="AB273" s="400">
        <v>0</v>
      </c>
      <c r="AC273" s="400">
        <v>0</v>
      </c>
      <c r="AD273" s="400">
        <v>0</v>
      </c>
      <c r="AE273" s="372">
        <v>0</v>
      </c>
      <c r="AF273" s="372">
        <v>0</v>
      </c>
      <c r="AG273" s="400">
        <v>0.34999999999999432</v>
      </c>
      <c r="AH273" s="374">
        <v>0</v>
      </c>
      <c r="AI273" s="374">
        <v>0</v>
      </c>
      <c r="AJ273" s="372">
        <v>248.88</v>
      </c>
      <c r="AK273" s="376">
        <v>1.4063002250080132E-3</v>
      </c>
      <c r="AL273" s="376">
        <v>-1.4063002250080132E-3</v>
      </c>
      <c r="AM273" s="412">
        <v>249.25345177665005</v>
      </c>
    </row>
    <row r="274" spans="2:39" s="377" customFormat="1" ht="28.15" customHeight="1" x14ac:dyDescent="0.25">
      <c r="B274" s="369">
        <v>43280</v>
      </c>
      <c r="C274" s="370">
        <v>251764.95600000001</v>
      </c>
      <c r="D274" s="370">
        <v>34648</v>
      </c>
      <c r="E274" s="371">
        <v>0</v>
      </c>
      <c r="F274" s="371">
        <v>0</v>
      </c>
      <c r="G274" s="371">
        <v>0</v>
      </c>
      <c r="H274" s="371"/>
      <c r="I274" s="371"/>
      <c r="J274" s="371"/>
      <c r="K274" s="371"/>
      <c r="L274" s="371"/>
      <c r="M274" s="371">
        <v>650000</v>
      </c>
      <c r="N274" s="371">
        <v>44000</v>
      </c>
      <c r="O274" s="371">
        <v>1600</v>
      </c>
      <c r="P274" s="371">
        <f t="shared" si="5"/>
        <v>91683</v>
      </c>
      <c r="Q274" s="371">
        <v>-59825</v>
      </c>
      <c r="R274" s="372">
        <v>251764.95600000001</v>
      </c>
      <c r="S274" s="400">
        <v>227274.03</v>
      </c>
      <c r="T274" s="400">
        <v>33080.449999999997</v>
      </c>
      <c r="U274" s="400">
        <v>0</v>
      </c>
      <c r="V274" s="400">
        <v>0</v>
      </c>
      <c r="W274" s="372">
        <v>227274.03</v>
      </c>
      <c r="X274" s="373">
        <v>260354.47999999998</v>
      </c>
      <c r="Y274" s="372">
        <v>286412.95600000001</v>
      </c>
      <c r="Z274" s="373">
        <v>1013870.956</v>
      </c>
      <c r="AA274" s="400">
        <v>-2125.2905999999784</v>
      </c>
      <c r="AB274" s="400">
        <v>0</v>
      </c>
      <c r="AC274" s="400">
        <v>0</v>
      </c>
      <c r="AD274" s="400">
        <v>0</v>
      </c>
      <c r="AE274" s="372">
        <v>-2125.2905999999784</v>
      </c>
      <c r="AF274" s="372">
        <v>-2125.2905999999784</v>
      </c>
      <c r="AG274" s="400">
        <v>0.62999999999999545</v>
      </c>
      <c r="AH274" s="374">
        <v>-8.4415664267428001E-3</v>
      </c>
      <c r="AI274" s="375">
        <v>0</v>
      </c>
      <c r="AJ274" s="372">
        <v>249.51</v>
      </c>
      <c r="AK274" s="376">
        <v>2.5249488998436757E-3</v>
      </c>
      <c r="AL274" s="376">
        <v>-1.0966515326586476E-2</v>
      </c>
      <c r="AM274" s="412">
        <v>249.27294416243683</v>
      </c>
    </row>
    <row r="275" spans="2:39" s="377" customFormat="1" ht="28.15" customHeight="1" x14ac:dyDescent="0.25">
      <c r="B275" s="378">
        <v>43281</v>
      </c>
      <c r="C275" s="370">
        <v>251764.95600000001</v>
      </c>
      <c r="D275" s="370">
        <v>34648</v>
      </c>
      <c r="E275" s="371">
        <v>0</v>
      </c>
      <c r="F275" s="371">
        <v>0</v>
      </c>
      <c r="G275" s="371">
        <v>13065</v>
      </c>
      <c r="H275" s="371"/>
      <c r="I275" s="371"/>
      <c r="J275" s="371"/>
      <c r="K275" s="371"/>
      <c r="L275" s="371"/>
      <c r="M275" s="371">
        <v>650000</v>
      </c>
      <c r="N275" s="371">
        <v>44000</v>
      </c>
      <c r="O275" s="371">
        <v>1600</v>
      </c>
      <c r="P275" s="371">
        <f t="shared" si="5"/>
        <v>91683</v>
      </c>
      <c r="Q275" s="371">
        <v>-59825</v>
      </c>
      <c r="R275" s="372">
        <v>264829.95600000001</v>
      </c>
      <c r="S275" s="400">
        <v>227274.03</v>
      </c>
      <c r="T275" s="400">
        <v>33080.449999999997</v>
      </c>
      <c r="U275" s="400">
        <v>0</v>
      </c>
      <c r="V275" s="400">
        <v>0</v>
      </c>
      <c r="W275" s="372">
        <v>227274.03</v>
      </c>
      <c r="X275" s="373">
        <v>260354.47999999998</v>
      </c>
      <c r="Y275" s="372">
        <v>299477.95600000001</v>
      </c>
      <c r="Z275" s="373">
        <v>1026935.956</v>
      </c>
      <c r="AA275" s="400">
        <v>0</v>
      </c>
      <c r="AB275" s="400">
        <v>0</v>
      </c>
      <c r="AC275" s="400">
        <v>0</v>
      </c>
      <c r="AD275" s="400">
        <v>13065</v>
      </c>
      <c r="AE275" s="372">
        <v>13065</v>
      </c>
      <c r="AF275" s="372">
        <v>13065</v>
      </c>
      <c r="AG275" s="400">
        <v>0</v>
      </c>
      <c r="AH275" s="374">
        <v>4.9333542916874557E-2</v>
      </c>
      <c r="AI275" s="375">
        <v>0</v>
      </c>
      <c r="AJ275" s="372">
        <v>249.51</v>
      </c>
      <c r="AK275" s="376">
        <v>0</v>
      </c>
      <c r="AL275" s="376">
        <v>4.9333542916874557E-2</v>
      </c>
      <c r="AM275" s="412">
        <v>249.30055837563481</v>
      </c>
    </row>
    <row r="276" spans="2:39" s="377" customFormat="1" ht="28.15" customHeight="1" x14ac:dyDescent="0.25">
      <c r="B276" s="378">
        <v>43282</v>
      </c>
      <c r="C276" s="370">
        <v>251764.95600000001</v>
      </c>
      <c r="D276" s="370">
        <v>34648</v>
      </c>
      <c r="E276" s="371">
        <v>0</v>
      </c>
      <c r="F276" s="371">
        <v>0</v>
      </c>
      <c r="G276" s="371">
        <v>13065</v>
      </c>
      <c r="H276" s="371"/>
      <c r="I276" s="371"/>
      <c r="J276" s="371"/>
      <c r="K276" s="371"/>
      <c r="L276" s="371"/>
      <c r="M276" s="371">
        <v>650000</v>
      </c>
      <c r="N276" s="371">
        <v>44000</v>
      </c>
      <c r="O276" s="371">
        <v>1600</v>
      </c>
      <c r="P276" s="371">
        <f t="shared" si="5"/>
        <v>91683</v>
      </c>
      <c r="Q276" s="371">
        <v>-59825</v>
      </c>
      <c r="R276" s="372">
        <v>264829.95600000001</v>
      </c>
      <c r="S276" s="400">
        <v>227274.03</v>
      </c>
      <c r="T276" s="400">
        <v>33080.449999999997</v>
      </c>
      <c r="U276" s="400">
        <v>0</v>
      </c>
      <c r="V276" s="400">
        <v>0</v>
      </c>
      <c r="W276" s="372">
        <v>227274.03</v>
      </c>
      <c r="X276" s="373">
        <v>260354.47999999998</v>
      </c>
      <c r="Y276" s="372">
        <v>299477.95600000001</v>
      </c>
      <c r="Z276" s="373">
        <v>1026935.956</v>
      </c>
      <c r="AA276" s="400">
        <v>0</v>
      </c>
      <c r="AB276" s="400">
        <v>0</v>
      </c>
      <c r="AC276" s="400">
        <v>0</v>
      </c>
      <c r="AD276" s="400">
        <v>0</v>
      </c>
      <c r="AE276" s="372">
        <v>0</v>
      </c>
      <c r="AF276" s="372">
        <v>0</v>
      </c>
      <c r="AG276" s="400">
        <v>0</v>
      </c>
      <c r="AH276" s="374">
        <v>0</v>
      </c>
      <c r="AI276" s="375">
        <v>0</v>
      </c>
      <c r="AJ276" s="372">
        <v>249.51</v>
      </c>
      <c r="AK276" s="376">
        <v>0</v>
      </c>
      <c r="AL276" s="376">
        <v>0</v>
      </c>
      <c r="AM276" s="412">
        <v>249.31776649746223</v>
      </c>
    </row>
    <row r="277" spans="2:39" s="377" customFormat="1" ht="28.15" customHeight="1" x14ac:dyDescent="0.25">
      <c r="B277" s="369">
        <v>43283</v>
      </c>
      <c r="C277" s="370">
        <v>253088.60189999998</v>
      </c>
      <c r="D277" s="370">
        <v>34648</v>
      </c>
      <c r="E277" s="371">
        <v>0</v>
      </c>
      <c r="F277" s="371">
        <v>0</v>
      </c>
      <c r="G277" s="371">
        <v>13065</v>
      </c>
      <c r="H277" s="371"/>
      <c r="I277" s="371"/>
      <c r="J277" s="371"/>
      <c r="K277" s="371"/>
      <c r="L277" s="371"/>
      <c r="M277" s="371">
        <v>650000</v>
      </c>
      <c r="N277" s="371">
        <v>44000</v>
      </c>
      <c r="O277" s="371">
        <v>1600</v>
      </c>
      <c r="P277" s="371">
        <f t="shared" si="5"/>
        <v>91683</v>
      </c>
      <c r="Q277" s="371">
        <v>-59825</v>
      </c>
      <c r="R277" s="372">
        <v>266153.60190000001</v>
      </c>
      <c r="S277" s="400">
        <v>227274.03</v>
      </c>
      <c r="T277" s="400">
        <v>33080.449999999997</v>
      </c>
      <c r="U277" s="400">
        <v>0</v>
      </c>
      <c r="V277" s="400">
        <v>0</v>
      </c>
      <c r="W277" s="372">
        <v>227274.03</v>
      </c>
      <c r="X277" s="373">
        <v>260354.47999999998</v>
      </c>
      <c r="Y277" s="372">
        <v>300801.60190000001</v>
      </c>
      <c r="Z277" s="373">
        <v>1028259.6019000001</v>
      </c>
      <c r="AA277" s="400">
        <v>1323.6458999999741</v>
      </c>
      <c r="AB277" s="400">
        <v>0</v>
      </c>
      <c r="AC277" s="400">
        <v>0</v>
      </c>
      <c r="AD277" s="400">
        <v>0</v>
      </c>
      <c r="AE277" s="372">
        <v>1323.6458999999741</v>
      </c>
      <c r="AF277" s="372">
        <v>1323.6458999999741</v>
      </c>
      <c r="AG277" s="400">
        <v>0.29000000000002046</v>
      </c>
      <c r="AH277" s="374">
        <v>4.9732406044885992E-3</v>
      </c>
      <c r="AI277" s="375">
        <v>0</v>
      </c>
      <c r="AJ277" s="372">
        <v>249.8</v>
      </c>
      <c r="AK277" s="376">
        <v>1.1609287429944774E-3</v>
      </c>
      <c r="AL277" s="376">
        <v>3.8123118614941218E-3</v>
      </c>
      <c r="AM277" s="412">
        <v>249.33497461928965</v>
      </c>
    </row>
    <row r="278" spans="2:39" s="377" customFormat="1" ht="28.15" customHeight="1" x14ac:dyDescent="0.25">
      <c r="B278" s="369">
        <v>43284</v>
      </c>
      <c r="C278" s="370">
        <v>252025.95659999998</v>
      </c>
      <c r="D278" s="370">
        <v>34648</v>
      </c>
      <c r="E278" s="371">
        <v>0</v>
      </c>
      <c r="F278" s="371">
        <v>0</v>
      </c>
      <c r="G278" s="371">
        <v>13065</v>
      </c>
      <c r="H278" s="371">
        <v>75</v>
      </c>
      <c r="I278" s="371"/>
      <c r="J278" s="371"/>
      <c r="K278" s="371"/>
      <c r="L278" s="371"/>
      <c r="M278" s="371">
        <v>650000</v>
      </c>
      <c r="N278" s="371">
        <v>44000</v>
      </c>
      <c r="O278" s="371">
        <v>1600</v>
      </c>
      <c r="P278" s="371">
        <f t="shared" si="5"/>
        <v>91683</v>
      </c>
      <c r="Q278" s="371">
        <v>-59825</v>
      </c>
      <c r="R278" s="372">
        <v>265090.95659999998</v>
      </c>
      <c r="S278" s="400">
        <v>227349.03</v>
      </c>
      <c r="T278" s="400">
        <v>33080.449999999997</v>
      </c>
      <c r="U278" s="400">
        <v>0</v>
      </c>
      <c r="V278" s="400">
        <v>0</v>
      </c>
      <c r="W278" s="372">
        <v>227349.03</v>
      </c>
      <c r="X278" s="373">
        <v>260429.47999999998</v>
      </c>
      <c r="Y278" s="372">
        <v>299738.95659999998</v>
      </c>
      <c r="Z278" s="373">
        <v>1027196.9565999999</v>
      </c>
      <c r="AA278" s="400">
        <v>-1137.6453000000038</v>
      </c>
      <c r="AB278" s="400">
        <v>0</v>
      </c>
      <c r="AC278" s="400">
        <v>0</v>
      </c>
      <c r="AD278" s="400">
        <v>0</v>
      </c>
      <c r="AE278" s="372">
        <v>-1137.6453000000038</v>
      </c>
      <c r="AF278" s="372">
        <v>-1137.6453000000038</v>
      </c>
      <c r="AG278" s="400">
        <v>-1.0100000000000193</v>
      </c>
      <c r="AH278" s="374">
        <v>-4.2915281403454854E-3</v>
      </c>
      <c r="AI278" s="375">
        <v>0</v>
      </c>
      <c r="AJ278" s="372">
        <v>248.79</v>
      </c>
      <c r="AK278" s="376">
        <v>-4.059648699706658E-3</v>
      </c>
      <c r="AL278" s="376">
        <v>-2.3187944063882745E-4</v>
      </c>
      <c r="AM278" s="412">
        <v>249.35365482233536</v>
      </c>
    </row>
    <row r="279" spans="2:39" s="377" customFormat="1" ht="28.15" customHeight="1" x14ac:dyDescent="0.25">
      <c r="B279" s="369">
        <v>43285</v>
      </c>
      <c r="C279" s="370">
        <v>263545.13944300008</v>
      </c>
      <c r="D279" s="370">
        <v>34736.810000000005</v>
      </c>
      <c r="E279" s="371">
        <v>0</v>
      </c>
      <c r="F279" s="371">
        <v>0</v>
      </c>
      <c r="G279" s="371">
        <v>12998</v>
      </c>
      <c r="H279" s="371"/>
      <c r="I279" s="371"/>
      <c r="J279" s="371"/>
      <c r="K279" s="371"/>
      <c r="L279" s="371"/>
      <c r="M279" s="371">
        <v>650000</v>
      </c>
      <c r="N279" s="371">
        <v>44000</v>
      </c>
      <c r="O279" s="371">
        <v>1600</v>
      </c>
      <c r="P279" s="371">
        <f t="shared" si="5"/>
        <v>91683</v>
      </c>
      <c r="Q279" s="379">
        <v>-59552</v>
      </c>
      <c r="R279" s="372">
        <v>276543.13944300008</v>
      </c>
      <c r="S279" s="400">
        <v>227349.03</v>
      </c>
      <c r="T279" s="400">
        <v>33080.449999999997</v>
      </c>
      <c r="U279" s="400">
        <v>0</v>
      </c>
      <c r="V279" s="400">
        <v>0</v>
      </c>
      <c r="W279" s="372">
        <v>227349.03</v>
      </c>
      <c r="X279" s="373">
        <v>260429.47999999998</v>
      </c>
      <c r="Y279" s="372">
        <v>311279.94944300008</v>
      </c>
      <c r="Z279" s="373">
        <v>1039010.9494430001</v>
      </c>
      <c r="AA279" s="400">
        <v>11519.182843000104</v>
      </c>
      <c r="AB279" s="400">
        <v>88.810000000004948</v>
      </c>
      <c r="AC279" s="400">
        <v>0</v>
      </c>
      <c r="AD279" s="400">
        <v>-67</v>
      </c>
      <c r="AE279" s="372">
        <v>11452.182843000104</v>
      </c>
      <c r="AF279" s="372">
        <v>11540.992843000109</v>
      </c>
      <c r="AG279" s="400">
        <v>0</v>
      </c>
      <c r="AH279" s="374">
        <v>4.1411921720663693E-2</v>
      </c>
      <c r="AI279" s="375">
        <v>2.5566538781196355E-3</v>
      </c>
      <c r="AJ279" s="372">
        <v>248.79</v>
      </c>
      <c r="AK279" s="376">
        <v>0</v>
      </c>
      <c r="AL279" s="376">
        <v>4.1411921720663693E-2</v>
      </c>
      <c r="AM279" s="412">
        <v>249.35944162436584</v>
      </c>
    </row>
    <row r="280" spans="2:39" s="377" customFormat="1" ht="28.15" customHeight="1" x14ac:dyDescent="0.25">
      <c r="B280" s="369">
        <v>43286</v>
      </c>
      <c r="C280" s="370">
        <v>283111.86022199999</v>
      </c>
      <c r="D280" s="370">
        <v>34937.72</v>
      </c>
      <c r="E280" s="371">
        <v>0</v>
      </c>
      <c r="F280" s="371">
        <v>0</v>
      </c>
      <c r="G280" s="371">
        <v>12998</v>
      </c>
      <c r="H280" s="371"/>
      <c r="I280" s="371"/>
      <c r="J280" s="371"/>
      <c r="K280" s="371"/>
      <c r="L280" s="371"/>
      <c r="M280" s="371">
        <v>650000</v>
      </c>
      <c r="N280" s="371">
        <v>44000</v>
      </c>
      <c r="O280" s="371">
        <v>1600</v>
      </c>
      <c r="P280" s="371">
        <f t="shared" si="5"/>
        <v>91683</v>
      </c>
      <c r="Q280" s="379">
        <v>-59552</v>
      </c>
      <c r="R280" s="372">
        <v>296109.86022199999</v>
      </c>
      <c r="S280" s="400">
        <v>227349.03</v>
      </c>
      <c r="T280" s="400">
        <v>33080.449999999997</v>
      </c>
      <c r="U280" s="400">
        <v>0</v>
      </c>
      <c r="V280" s="400">
        <v>0</v>
      </c>
      <c r="W280" s="372">
        <v>227349.03</v>
      </c>
      <c r="X280" s="373">
        <v>260429.47999999998</v>
      </c>
      <c r="Y280" s="372">
        <v>331047.58022200002</v>
      </c>
      <c r="Z280" s="373">
        <v>1058778.5802219999</v>
      </c>
      <c r="AA280" s="400">
        <v>19566.720778999908</v>
      </c>
      <c r="AB280" s="400">
        <v>200.90999999999622</v>
      </c>
      <c r="AC280" s="400">
        <v>0</v>
      </c>
      <c r="AD280" s="400">
        <v>0</v>
      </c>
      <c r="AE280" s="372">
        <v>19566.720778999908</v>
      </c>
      <c r="AF280" s="372">
        <v>19767.630778999905</v>
      </c>
      <c r="AG280" s="400">
        <v>2.1299999999999955</v>
      </c>
      <c r="AH280" s="374">
        <v>6.6079261137505896E-2</v>
      </c>
      <c r="AI280" s="375">
        <v>5.7505183509397925E-3</v>
      </c>
      <c r="AJ280" s="372">
        <v>250.92</v>
      </c>
      <c r="AK280" s="376">
        <v>8.488761358201799E-3</v>
      </c>
      <c r="AL280" s="376">
        <v>5.7590499779304097E-2</v>
      </c>
      <c r="AM280" s="412">
        <v>249.36979695431504</v>
      </c>
    </row>
    <row r="281" spans="2:39" s="377" customFormat="1" ht="28.15" customHeight="1" x14ac:dyDescent="0.25">
      <c r="B281" s="369">
        <v>43287</v>
      </c>
      <c r="C281" s="370">
        <v>282311.97553599998</v>
      </c>
      <c r="D281" s="370">
        <v>34937.72</v>
      </c>
      <c r="E281" s="371">
        <v>0</v>
      </c>
      <c r="F281" s="371">
        <v>0</v>
      </c>
      <c r="G281" s="371">
        <v>12998</v>
      </c>
      <c r="H281" s="371"/>
      <c r="I281" s="371"/>
      <c r="J281" s="371"/>
      <c r="K281" s="371"/>
      <c r="L281" s="371"/>
      <c r="M281" s="371">
        <v>650000</v>
      </c>
      <c r="N281" s="371">
        <v>44000</v>
      </c>
      <c r="O281" s="371">
        <v>1600</v>
      </c>
      <c r="P281" s="371">
        <f t="shared" si="5"/>
        <v>91683</v>
      </c>
      <c r="Q281" s="379">
        <v>-59552</v>
      </c>
      <c r="R281" s="372">
        <v>295309.97553599998</v>
      </c>
      <c r="S281" s="400">
        <v>227349.03</v>
      </c>
      <c r="T281" s="400">
        <v>33080.449999999997</v>
      </c>
      <c r="U281" s="400">
        <v>0</v>
      </c>
      <c r="V281" s="400">
        <v>0</v>
      </c>
      <c r="W281" s="372">
        <v>227349.03</v>
      </c>
      <c r="X281" s="373">
        <v>260429.47999999998</v>
      </c>
      <c r="Y281" s="372">
        <v>330247.69553599996</v>
      </c>
      <c r="Z281" s="373">
        <v>1057978.695536</v>
      </c>
      <c r="AA281" s="400">
        <v>-799.88468600000488</v>
      </c>
      <c r="AB281" s="400">
        <v>0</v>
      </c>
      <c r="AC281" s="400">
        <v>0</v>
      </c>
      <c r="AD281" s="400">
        <v>0</v>
      </c>
      <c r="AE281" s="372">
        <v>-799.88468600000488</v>
      </c>
      <c r="AF281" s="372">
        <v>-799.88468600000488</v>
      </c>
      <c r="AG281" s="400">
        <v>2.0900000000000034</v>
      </c>
      <c r="AH281" s="374">
        <v>-2.7086273822893407E-3</v>
      </c>
      <c r="AI281" s="375">
        <v>0</v>
      </c>
      <c r="AJ281" s="372">
        <v>253.01</v>
      </c>
      <c r="AK281" s="376">
        <v>8.2605430615390833E-3</v>
      </c>
      <c r="AL281" s="376">
        <v>-1.0969170443828424E-2</v>
      </c>
      <c r="AM281" s="412">
        <v>249.39192893401045</v>
      </c>
    </row>
    <row r="282" spans="2:39" s="377" customFormat="1" ht="28.15" customHeight="1" x14ac:dyDescent="0.25">
      <c r="B282" s="378">
        <v>43288</v>
      </c>
      <c r="C282" s="370">
        <v>282311.97553599998</v>
      </c>
      <c r="D282" s="370">
        <v>34937.72</v>
      </c>
      <c r="E282" s="371">
        <v>0</v>
      </c>
      <c r="F282" s="371">
        <v>0</v>
      </c>
      <c r="G282" s="371">
        <v>12998</v>
      </c>
      <c r="H282" s="371"/>
      <c r="I282" s="371"/>
      <c r="J282" s="371"/>
      <c r="K282" s="371"/>
      <c r="L282" s="371"/>
      <c r="M282" s="371">
        <v>650000</v>
      </c>
      <c r="N282" s="371">
        <v>44000</v>
      </c>
      <c r="O282" s="371">
        <v>1600</v>
      </c>
      <c r="P282" s="371">
        <f t="shared" si="5"/>
        <v>91683</v>
      </c>
      <c r="Q282" s="379">
        <v>-59552</v>
      </c>
      <c r="R282" s="372">
        <v>295309.97553599998</v>
      </c>
      <c r="S282" s="400">
        <v>227349.03</v>
      </c>
      <c r="T282" s="400">
        <v>33080.449999999997</v>
      </c>
      <c r="U282" s="400">
        <v>0</v>
      </c>
      <c r="V282" s="400">
        <v>0</v>
      </c>
      <c r="W282" s="372">
        <v>227349.03</v>
      </c>
      <c r="X282" s="373">
        <v>260429.47999999998</v>
      </c>
      <c r="Y282" s="372">
        <v>330247.69553599996</v>
      </c>
      <c r="Z282" s="373">
        <v>1057978.695536</v>
      </c>
      <c r="AA282" s="400">
        <v>0</v>
      </c>
      <c r="AB282" s="400">
        <v>0</v>
      </c>
      <c r="AC282" s="400">
        <v>0</v>
      </c>
      <c r="AD282" s="400">
        <v>0</v>
      </c>
      <c r="AE282" s="372">
        <v>0</v>
      </c>
      <c r="AF282" s="372">
        <v>0</v>
      </c>
      <c r="AG282" s="400">
        <v>0</v>
      </c>
      <c r="AH282" s="374">
        <v>0</v>
      </c>
      <c r="AI282" s="375">
        <v>0</v>
      </c>
      <c r="AJ282" s="372">
        <v>253.01</v>
      </c>
      <c r="AK282" s="376">
        <v>0</v>
      </c>
      <c r="AL282" s="376">
        <v>0</v>
      </c>
      <c r="AM282" s="412">
        <v>249.42213197969573</v>
      </c>
    </row>
    <row r="283" spans="2:39" s="377" customFormat="1" ht="28.15" customHeight="1" x14ac:dyDescent="0.25">
      <c r="B283" s="378">
        <v>43289</v>
      </c>
      <c r="C283" s="370">
        <v>282311.97553599998</v>
      </c>
      <c r="D283" s="370">
        <v>34937.72</v>
      </c>
      <c r="E283" s="371">
        <v>0</v>
      </c>
      <c r="F283" s="371">
        <v>0</v>
      </c>
      <c r="G283" s="371">
        <v>12998</v>
      </c>
      <c r="H283" s="371"/>
      <c r="I283" s="371"/>
      <c r="J283" s="371"/>
      <c r="K283" s="371"/>
      <c r="L283" s="371"/>
      <c r="M283" s="371">
        <v>650000</v>
      </c>
      <c r="N283" s="371">
        <v>44000</v>
      </c>
      <c r="O283" s="371">
        <v>1600</v>
      </c>
      <c r="P283" s="371">
        <f t="shared" si="5"/>
        <v>91683</v>
      </c>
      <c r="Q283" s="379">
        <v>-59552</v>
      </c>
      <c r="R283" s="372">
        <v>295309.97553599998</v>
      </c>
      <c r="S283" s="400">
        <v>227349.03</v>
      </c>
      <c r="T283" s="400">
        <v>33080.449999999997</v>
      </c>
      <c r="U283" s="400">
        <v>0</v>
      </c>
      <c r="V283" s="400">
        <v>0</v>
      </c>
      <c r="W283" s="372">
        <v>227349.03</v>
      </c>
      <c r="X283" s="373">
        <v>260429.47999999998</v>
      </c>
      <c r="Y283" s="372">
        <v>330247.69553599996</v>
      </c>
      <c r="Z283" s="373">
        <v>1057978.695536</v>
      </c>
      <c r="AA283" s="400">
        <v>0</v>
      </c>
      <c r="AB283" s="400">
        <v>0</v>
      </c>
      <c r="AC283" s="400">
        <v>0</v>
      </c>
      <c r="AD283" s="400">
        <v>0</v>
      </c>
      <c r="AE283" s="372">
        <v>0</v>
      </c>
      <c r="AF283" s="372">
        <v>0</v>
      </c>
      <c r="AG283" s="400">
        <v>0</v>
      </c>
      <c r="AH283" s="374">
        <v>0</v>
      </c>
      <c r="AI283" s="375">
        <v>0</v>
      </c>
      <c r="AJ283" s="372">
        <v>253.01</v>
      </c>
      <c r="AK283" s="376">
        <v>0</v>
      </c>
      <c r="AL283" s="376">
        <v>0</v>
      </c>
      <c r="AM283" s="412">
        <v>249.45258883248763</v>
      </c>
    </row>
    <row r="284" spans="2:39" s="377" customFormat="1" ht="28.15" customHeight="1" x14ac:dyDescent="0.25">
      <c r="B284" s="369">
        <v>43290</v>
      </c>
      <c r="C284" s="370">
        <v>253199.734</v>
      </c>
      <c r="D284" s="370">
        <v>35144.519999999997</v>
      </c>
      <c r="E284" s="371">
        <v>0</v>
      </c>
      <c r="F284" s="371">
        <v>0</v>
      </c>
      <c r="G284" s="371">
        <v>13011</v>
      </c>
      <c r="H284" s="371"/>
      <c r="I284" s="371"/>
      <c r="J284" s="371"/>
      <c r="K284" s="371"/>
      <c r="L284" s="371"/>
      <c r="M284" s="371">
        <v>650000</v>
      </c>
      <c r="N284" s="371">
        <v>44000</v>
      </c>
      <c r="O284" s="371">
        <v>1600</v>
      </c>
      <c r="P284" s="371">
        <f t="shared" si="5"/>
        <v>91683</v>
      </c>
      <c r="Q284" s="371">
        <v>-59552</v>
      </c>
      <c r="R284" s="372">
        <v>266210.734</v>
      </c>
      <c r="S284" s="400">
        <v>227349.03</v>
      </c>
      <c r="T284" s="400">
        <v>33080.449999999997</v>
      </c>
      <c r="U284" s="400">
        <v>0</v>
      </c>
      <c r="V284" s="400">
        <v>0</v>
      </c>
      <c r="W284" s="372">
        <v>227349.03</v>
      </c>
      <c r="X284" s="373">
        <v>260429.47999999998</v>
      </c>
      <c r="Y284" s="372">
        <v>301355.25400000002</v>
      </c>
      <c r="Z284" s="373">
        <v>1029086.254</v>
      </c>
      <c r="AA284" s="400">
        <v>-29112.241535999987</v>
      </c>
      <c r="AB284" s="400">
        <v>206.79999999999563</v>
      </c>
      <c r="AC284" s="400">
        <v>0</v>
      </c>
      <c r="AD284" s="400">
        <v>13</v>
      </c>
      <c r="AE284" s="372">
        <v>-29099.241535999987</v>
      </c>
      <c r="AF284" s="372">
        <v>-28892.441535999991</v>
      </c>
      <c r="AG284" s="400">
        <v>2.2400000000000091</v>
      </c>
      <c r="AH284" s="374">
        <v>-0.10930904662920161</v>
      </c>
      <c r="AI284" s="375">
        <v>5.8842744188850968E-3</v>
      </c>
      <c r="AJ284" s="372">
        <v>255.25</v>
      </c>
      <c r="AK284" s="376">
        <v>8.7757100881489091E-3</v>
      </c>
      <c r="AL284" s="376">
        <v>-0.11808475671735053</v>
      </c>
      <c r="AM284" s="412">
        <v>249.48304568527951</v>
      </c>
    </row>
    <row r="285" spans="2:39" s="377" customFormat="1" ht="28.15" customHeight="1" x14ac:dyDescent="0.25">
      <c r="B285" s="369">
        <v>43291</v>
      </c>
      <c r="C285" s="370">
        <v>253350.04920000004</v>
      </c>
      <c r="D285" s="370">
        <v>35144.519999999997</v>
      </c>
      <c r="E285" s="371">
        <v>0</v>
      </c>
      <c r="F285" s="371">
        <v>0</v>
      </c>
      <c r="G285" s="371">
        <v>13011</v>
      </c>
      <c r="H285" s="371"/>
      <c r="I285" s="371"/>
      <c r="J285" s="371"/>
      <c r="K285" s="371"/>
      <c r="L285" s="371"/>
      <c r="M285" s="371">
        <v>650000</v>
      </c>
      <c r="N285" s="371">
        <v>44000</v>
      </c>
      <c r="O285" s="371">
        <v>1600</v>
      </c>
      <c r="P285" s="371">
        <f t="shared" si="5"/>
        <v>91683</v>
      </c>
      <c r="Q285" s="371">
        <v>-59552</v>
      </c>
      <c r="R285" s="372">
        <v>266361.04920000001</v>
      </c>
      <c r="S285" s="400">
        <v>227349.03</v>
      </c>
      <c r="T285" s="400">
        <v>33080.449999999997</v>
      </c>
      <c r="U285" s="400">
        <v>0</v>
      </c>
      <c r="V285" s="400">
        <v>0</v>
      </c>
      <c r="W285" s="372">
        <v>227349.03</v>
      </c>
      <c r="X285" s="373">
        <v>260429.47999999998</v>
      </c>
      <c r="Y285" s="372">
        <v>301505.56920000003</v>
      </c>
      <c r="Z285" s="373">
        <v>1029236.5692</v>
      </c>
      <c r="AA285" s="400">
        <v>150.31520000004093</v>
      </c>
      <c r="AB285" s="400">
        <v>0</v>
      </c>
      <c r="AC285" s="400">
        <v>0</v>
      </c>
      <c r="AD285" s="400">
        <v>0</v>
      </c>
      <c r="AE285" s="372">
        <v>150.31520000004093</v>
      </c>
      <c r="AF285" s="372">
        <v>150.31520000004093</v>
      </c>
      <c r="AG285" s="400">
        <v>0.88999999999998636</v>
      </c>
      <c r="AH285" s="374">
        <v>5.6432875772003429E-4</v>
      </c>
      <c r="AI285" s="375">
        <v>0</v>
      </c>
      <c r="AJ285" s="372">
        <v>256.14</v>
      </c>
      <c r="AK285" s="376">
        <v>3.4746622940578838E-3</v>
      </c>
      <c r="AL285" s="376">
        <v>-2.9103335363378493E-3</v>
      </c>
      <c r="AM285" s="412">
        <v>249.52487309644695</v>
      </c>
    </row>
    <row r="286" spans="2:39" s="377" customFormat="1" ht="28.15" customHeight="1" x14ac:dyDescent="0.25">
      <c r="B286" s="369">
        <v>43292</v>
      </c>
      <c r="C286" s="370">
        <v>253556.73260000002</v>
      </c>
      <c r="D286" s="370">
        <v>35144.519999999997</v>
      </c>
      <c r="E286" s="371">
        <v>0</v>
      </c>
      <c r="F286" s="371">
        <v>0</v>
      </c>
      <c r="G286" s="371">
        <v>13011</v>
      </c>
      <c r="H286" s="371"/>
      <c r="I286" s="371"/>
      <c r="J286" s="371"/>
      <c r="K286" s="371"/>
      <c r="L286" s="371"/>
      <c r="M286" s="371">
        <v>650000</v>
      </c>
      <c r="N286" s="371">
        <v>44000</v>
      </c>
      <c r="O286" s="371">
        <v>1600</v>
      </c>
      <c r="P286" s="371">
        <f t="shared" si="5"/>
        <v>91683</v>
      </c>
      <c r="Q286" s="371">
        <v>-59552</v>
      </c>
      <c r="R286" s="372">
        <v>266567.73259999999</v>
      </c>
      <c r="S286" s="400">
        <v>227349.03</v>
      </c>
      <c r="T286" s="400">
        <v>33080.449999999997</v>
      </c>
      <c r="U286" s="400">
        <v>0</v>
      </c>
      <c r="V286" s="400">
        <v>0</v>
      </c>
      <c r="W286" s="372">
        <v>227349.03</v>
      </c>
      <c r="X286" s="373">
        <v>260429.47999999998</v>
      </c>
      <c r="Y286" s="372">
        <v>301712.25260000001</v>
      </c>
      <c r="Z286" s="373">
        <v>1029443.2526</v>
      </c>
      <c r="AA286" s="400">
        <v>206.68339999997988</v>
      </c>
      <c r="AB286" s="400">
        <v>0</v>
      </c>
      <c r="AC286" s="400">
        <v>0</v>
      </c>
      <c r="AD286" s="400">
        <v>0</v>
      </c>
      <c r="AE286" s="372">
        <v>206.68339999997988</v>
      </c>
      <c r="AF286" s="372">
        <v>206.68339999997988</v>
      </c>
      <c r="AG286" s="400">
        <v>-1.75</v>
      </c>
      <c r="AH286" s="374">
        <v>7.7535040713318465E-4</v>
      </c>
      <c r="AI286" s="375">
        <v>0</v>
      </c>
      <c r="AJ286" s="372">
        <v>254.39</v>
      </c>
      <c r="AK286" s="376">
        <v>-6.8792012264633044E-3</v>
      </c>
      <c r="AL286" s="376">
        <v>7.6545516335964894E-3</v>
      </c>
      <c r="AM286" s="412">
        <v>249.57121827411191</v>
      </c>
    </row>
    <row r="287" spans="2:39" s="377" customFormat="1" ht="28.15" customHeight="1" x14ac:dyDescent="0.25">
      <c r="B287" s="369">
        <v>43293</v>
      </c>
      <c r="C287" s="370">
        <v>254064.04640000002</v>
      </c>
      <c r="D287" s="370">
        <v>35144.519999999997</v>
      </c>
      <c r="E287" s="371">
        <v>0</v>
      </c>
      <c r="F287" s="371">
        <v>0</v>
      </c>
      <c r="G287" s="371">
        <v>13011</v>
      </c>
      <c r="H287" s="371"/>
      <c r="I287" s="371"/>
      <c r="J287" s="371"/>
      <c r="K287" s="371"/>
      <c r="L287" s="371"/>
      <c r="M287" s="371">
        <v>650000</v>
      </c>
      <c r="N287" s="371">
        <v>44000</v>
      </c>
      <c r="O287" s="371">
        <v>1600</v>
      </c>
      <c r="P287" s="371">
        <f t="shared" si="5"/>
        <v>91683</v>
      </c>
      <c r="Q287" s="371">
        <v>-59552</v>
      </c>
      <c r="R287" s="372">
        <v>267075.04639999999</v>
      </c>
      <c r="S287" s="400">
        <v>227349.03</v>
      </c>
      <c r="T287" s="400">
        <v>33080.449999999997</v>
      </c>
      <c r="U287" s="400">
        <v>0</v>
      </c>
      <c r="V287" s="400">
        <v>0</v>
      </c>
      <c r="W287" s="372">
        <v>227349.03</v>
      </c>
      <c r="X287" s="373">
        <v>260429.47999999998</v>
      </c>
      <c r="Y287" s="372">
        <v>302219.56640000001</v>
      </c>
      <c r="Z287" s="373">
        <v>1029950.5663999999</v>
      </c>
      <c r="AA287" s="400">
        <v>507.31380000000354</v>
      </c>
      <c r="AB287" s="400">
        <v>0</v>
      </c>
      <c r="AC287" s="400">
        <v>0</v>
      </c>
      <c r="AD287" s="400">
        <v>0</v>
      </c>
      <c r="AE287" s="372">
        <v>507.31380000000354</v>
      </c>
      <c r="AF287" s="372">
        <v>507.31380000000354</v>
      </c>
      <c r="AG287" s="400">
        <v>2.1800000000000068</v>
      </c>
      <c r="AH287" s="374">
        <v>1.8995177828788857E-3</v>
      </c>
      <c r="AI287" s="375">
        <v>0</v>
      </c>
      <c r="AJ287" s="372">
        <v>256.57</v>
      </c>
      <c r="AK287" s="376">
        <v>8.4967065518182436E-3</v>
      </c>
      <c r="AL287" s="376">
        <v>-6.5971887689393579E-3</v>
      </c>
      <c r="AM287" s="412">
        <v>249.61614213197993</v>
      </c>
    </row>
    <row r="288" spans="2:39" s="377" customFormat="1" ht="28.15" customHeight="1" x14ac:dyDescent="0.25">
      <c r="B288" s="369">
        <v>43294</v>
      </c>
      <c r="C288" s="370">
        <v>254308.30860000002</v>
      </c>
      <c r="D288" s="370">
        <v>35144.519999999997</v>
      </c>
      <c r="E288" s="371">
        <v>0</v>
      </c>
      <c r="F288" s="371">
        <v>0</v>
      </c>
      <c r="G288" s="371">
        <v>13011</v>
      </c>
      <c r="H288" s="371"/>
      <c r="I288" s="371"/>
      <c r="J288" s="371"/>
      <c r="K288" s="371"/>
      <c r="L288" s="371"/>
      <c r="M288" s="371">
        <v>650000</v>
      </c>
      <c r="N288" s="371">
        <v>44000</v>
      </c>
      <c r="O288" s="371">
        <v>1600</v>
      </c>
      <c r="P288" s="371">
        <f t="shared" si="5"/>
        <v>91683</v>
      </c>
      <c r="Q288" s="371">
        <v>-59552</v>
      </c>
      <c r="R288" s="372">
        <v>267319.30859999999</v>
      </c>
      <c r="S288" s="400">
        <v>227349.03</v>
      </c>
      <c r="T288" s="400">
        <v>33080.449999999997</v>
      </c>
      <c r="U288" s="400">
        <v>0</v>
      </c>
      <c r="V288" s="400">
        <v>0</v>
      </c>
      <c r="W288" s="372">
        <v>227349.03</v>
      </c>
      <c r="X288" s="373">
        <v>260429.47999999998</v>
      </c>
      <c r="Y288" s="372">
        <v>302463.82860000001</v>
      </c>
      <c r="Z288" s="373">
        <v>1030194.8286000001</v>
      </c>
      <c r="AA288" s="400">
        <v>244.26219999999739</v>
      </c>
      <c r="AB288" s="400">
        <v>0</v>
      </c>
      <c r="AC288" s="400">
        <v>0</v>
      </c>
      <c r="AD288" s="400">
        <v>0</v>
      </c>
      <c r="AE288" s="372">
        <v>244.26219999999739</v>
      </c>
      <c r="AF288" s="372">
        <v>244.26219999999739</v>
      </c>
      <c r="AG288" s="400">
        <v>0.22000000000002728</v>
      </c>
      <c r="AH288" s="374">
        <v>9.1374693911653118E-4</v>
      </c>
      <c r="AI288" s="375">
        <v>0</v>
      </c>
      <c r="AJ288" s="372">
        <v>256.79000000000002</v>
      </c>
      <c r="AK288" s="376">
        <v>8.5673118112086636E-4</v>
      </c>
      <c r="AL288" s="376">
        <v>5.701575799566482E-5</v>
      </c>
      <c r="AM288" s="412">
        <v>249.67142131979716</v>
      </c>
    </row>
    <row r="289" spans="2:39" s="377" customFormat="1" ht="28.15" customHeight="1" x14ac:dyDescent="0.25">
      <c r="B289" s="378">
        <v>43295</v>
      </c>
      <c r="C289" s="370">
        <v>254308.30860000002</v>
      </c>
      <c r="D289" s="370">
        <v>35144.519999999997</v>
      </c>
      <c r="E289" s="371">
        <v>0</v>
      </c>
      <c r="F289" s="371">
        <v>0</v>
      </c>
      <c r="G289" s="371">
        <v>13011</v>
      </c>
      <c r="H289" s="371"/>
      <c r="I289" s="371"/>
      <c r="J289" s="371"/>
      <c r="K289" s="371"/>
      <c r="L289" s="371"/>
      <c r="M289" s="371">
        <v>650000</v>
      </c>
      <c r="N289" s="371">
        <v>44000</v>
      </c>
      <c r="O289" s="371">
        <v>1600</v>
      </c>
      <c r="P289" s="371">
        <f t="shared" si="5"/>
        <v>91683</v>
      </c>
      <c r="Q289" s="371">
        <v>-59552</v>
      </c>
      <c r="R289" s="372">
        <v>267319.30859999999</v>
      </c>
      <c r="S289" s="400">
        <v>227349.03</v>
      </c>
      <c r="T289" s="400">
        <v>33080.449999999997</v>
      </c>
      <c r="U289" s="400">
        <v>0</v>
      </c>
      <c r="V289" s="400">
        <v>0</v>
      </c>
      <c r="W289" s="372">
        <v>227349.03</v>
      </c>
      <c r="X289" s="373">
        <v>260429.47999999998</v>
      </c>
      <c r="Y289" s="372">
        <v>302463.82860000001</v>
      </c>
      <c r="Z289" s="373">
        <v>1030194.8286000001</v>
      </c>
      <c r="AA289" s="400">
        <v>0</v>
      </c>
      <c r="AB289" s="400">
        <v>0</v>
      </c>
      <c r="AC289" s="400">
        <v>0</v>
      </c>
      <c r="AD289" s="400">
        <v>0</v>
      </c>
      <c r="AE289" s="372">
        <v>0</v>
      </c>
      <c r="AF289" s="372">
        <v>0</v>
      </c>
      <c r="AG289" s="400">
        <v>0</v>
      </c>
      <c r="AH289" s="374">
        <v>0</v>
      </c>
      <c r="AI289" s="375">
        <v>0</v>
      </c>
      <c r="AJ289" s="372">
        <v>256.79000000000002</v>
      </c>
      <c r="AK289" s="376">
        <v>0</v>
      </c>
      <c r="AL289" s="376">
        <v>0</v>
      </c>
      <c r="AM289" s="412">
        <v>249.72548223350276</v>
      </c>
    </row>
    <row r="290" spans="2:39" s="377" customFormat="1" ht="28.15" customHeight="1" x14ac:dyDescent="0.25">
      <c r="B290" s="378">
        <v>43296</v>
      </c>
      <c r="C290" s="370">
        <v>254308.30860000002</v>
      </c>
      <c r="D290" s="370">
        <v>35144.519999999997</v>
      </c>
      <c r="E290" s="371">
        <v>0</v>
      </c>
      <c r="F290" s="371">
        <v>0</v>
      </c>
      <c r="G290" s="371">
        <v>13011</v>
      </c>
      <c r="H290" s="371"/>
      <c r="I290" s="371"/>
      <c r="J290" s="371"/>
      <c r="K290" s="371"/>
      <c r="L290" s="371"/>
      <c r="M290" s="371">
        <v>650000</v>
      </c>
      <c r="N290" s="371">
        <v>44000</v>
      </c>
      <c r="O290" s="371">
        <v>1600</v>
      </c>
      <c r="P290" s="371">
        <f t="shared" si="5"/>
        <v>91683</v>
      </c>
      <c r="Q290" s="371">
        <v>-59552</v>
      </c>
      <c r="R290" s="372">
        <v>267319.30859999999</v>
      </c>
      <c r="S290" s="400">
        <v>227349.03</v>
      </c>
      <c r="T290" s="400">
        <v>33080.449999999997</v>
      </c>
      <c r="U290" s="400">
        <v>0</v>
      </c>
      <c r="V290" s="400">
        <v>0</v>
      </c>
      <c r="W290" s="372">
        <v>227349.03</v>
      </c>
      <c r="X290" s="373">
        <v>260429.47999999998</v>
      </c>
      <c r="Y290" s="372">
        <v>302463.82860000001</v>
      </c>
      <c r="Z290" s="373">
        <v>1030194.8286000001</v>
      </c>
      <c r="AA290" s="400">
        <v>0</v>
      </c>
      <c r="AB290" s="400">
        <v>0</v>
      </c>
      <c r="AC290" s="400">
        <v>0</v>
      </c>
      <c r="AD290" s="400">
        <v>0</v>
      </c>
      <c r="AE290" s="372">
        <v>0</v>
      </c>
      <c r="AF290" s="372">
        <v>0</v>
      </c>
      <c r="AG290" s="400">
        <v>0</v>
      </c>
      <c r="AH290" s="374">
        <v>0</v>
      </c>
      <c r="AI290" s="375">
        <v>0</v>
      </c>
      <c r="AJ290" s="372">
        <v>256.79000000000002</v>
      </c>
      <c r="AK290" s="376">
        <v>0</v>
      </c>
      <c r="AL290" s="376">
        <v>0</v>
      </c>
      <c r="AM290" s="412">
        <v>249.7838578680205</v>
      </c>
    </row>
    <row r="291" spans="2:39" s="377" customFormat="1" ht="28.15" customHeight="1" x14ac:dyDescent="0.25">
      <c r="B291" s="369">
        <v>43297</v>
      </c>
      <c r="C291" s="370">
        <v>253594.31140000001</v>
      </c>
      <c r="D291" s="370">
        <v>35144.519999999997</v>
      </c>
      <c r="E291" s="371">
        <v>0</v>
      </c>
      <c r="F291" s="371">
        <v>0</v>
      </c>
      <c r="G291" s="371">
        <v>13011</v>
      </c>
      <c r="H291" s="371">
        <v>75</v>
      </c>
      <c r="I291" s="371"/>
      <c r="J291" s="371"/>
      <c r="K291" s="371"/>
      <c r="L291" s="371"/>
      <c r="M291" s="371">
        <v>650000</v>
      </c>
      <c r="N291" s="371">
        <v>44000</v>
      </c>
      <c r="O291" s="371">
        <v>1600</v>
      </c>
      <c r="P291" s="371">
        <f t="shared" si="5"/>
        <v>91683</v>
      </c>
      <c r="Q291" s="371">
        <v>-59552</v>
      </c>
      <c r="R291" s="372">
        <v>266605.31140000001</v>
      </c>
      <c r="S291" s="400">
        <v>227424.03</v>
      </c>
      <c r="T291" s="400">
        <v>33080.449999999997</v>
      </c>
      <c r="U291" s="400">
        <v>0</v>
      </c>
      <c r="V291" s="400">
        <v>0</v>
      </c>
      <c r="W291" s="372">
        <v>227424.03</v>
      </c>
      <c r="X291" s="373">
        <v>260504.47999999998</v>
      </c>
      <c r="Y291" s="372">
        <v>301749.83140000002</v>
      </c>
      <c r="Z291" s="373">
        <v>1029480.8314</v>
      </c>
      <c r="AA291" s="400">
        <v>-788.99720000001253</v>
      </c>
      <c r="AB291" s="400">
        <v>0</v>
      </c>
      <c r="AC291" s="400">
        <v>0</v>
      </c>
      <c r="AD291" s="400">
        <v>0</v>
      </c>
      <c r="AE291" s="372">
        <v>-788.99720000001253</v>
      </c>
      <c r="AF291" s="372">
        <v>-788.99720000001253</v>
      </c>
      <c r="AG291" s="400">
        <v>-0.16000000000002501</v>
      </c>
      <c r="AH291" s="374">
        <v>-2.9594204101067003E-3</v>
      </c>
      <c r="AI291" s="375">
        <v>0</v>
      </c>
      <c r="AJ291" s="372">
        <v>256.63</v>
      </c>
      <c r="AK291" s="376">
        <v>-6.2346568990385E-4</v>
      </c>
      <c r="AL291" s="376">
        <v>-2.3359547202028504E-3</v>
      </c>
      <c r="AM291" s="412">
        <v>249.84223350253828</v>
      </c>
    </row>
    <row r="292" spans="2:39" s="377" customFormat="1" ht="28.15" customHeight="1" x14ac:dyDescent="0.25">
      <c r="B292" s="369">
        <v>43298</v>
      </c>
      <c r="C292" s="370">
        <v>254778.0436</v>
      </c>
      <c r="D292" s="370">
        <v>35144.519999999997</v>
      </c>
      <c r="E292" s="371">
        <v>0</v>
      </c>
      <c r="F292" s="371">
        <v>0</v>
      </c>
      <c r="G292" s="371">
        <v>13011</v>
      </c>
      <c r="H292" s="371"/>
      <c r="I292" s="371"/>
      <c r="J292" s="371"/>
      <c r="K292" s="371"/>
      <c r="L292" s="371"/>
      <c r="M292" s="371">
        <v>650000</v>
      </c>
      <c r="N292" s="371">
        <v>44000</v>
      </c>
      <c r="O292" s="371">
        <v>1600</v>
      </c>
      <c r="P292" s="371">
        <f t="shared" si="5"/>
        <v>91683</v>
      </c>
      <c r="Q292" s="371">
        <v>-59552</v>
      </c>
      <c r="R292" s="372">
        <v>267789.04359999998</v>
      </c>
      <c r="S292" s="400">
        <v>227424.03</v>
      </c>
      <c r="T292" s="400">
        <v>33080.449999999997</v>
      </c>
      <c r="U292" s="400">
        <v>0</v>
      </c>
      <c r="V292" s="400">
        <v>0</v>
      </c>
      <c r="W292" s="372">
        <v>227424.03</v>
      </c>
      <c r="X292" s="373">
        <v>260504.47999999998</v>
      </c>
      <c r="Y292" s="372">
        <v>302933.56359999999</v>
      </c>
      <c r="Z292" s="373">
        <v>1030664.5636</v>
      </c>
      <c r="AA292" s="400">
        <v>1183.7321999999986</v>
      </c>
      <c r="AB292" s="400">
        <v>0</v>
      </c>
      <c r="AC292" s="400">
        <v>0</v>
      </c>
      <c r="AD292" s="400">
        <v>0</v>
      </c>
      <c r="AE292" s="372">
        <v>1183.7321999999986</v>
      </c>
      <c r="AF292" s="372">
        <v>1183.7321999999986</v>
      </c>
      <c r="AG292" s="400">
        <v>1.1000000000000227</v>
      </c>
      <c r="AH292" s="374">
        <v>4.4203907078743483E-3</v>
      </c>
      <c r="AI292" s="375">
        <v>0</v>
      </c>
      <c r="AJ292" s="372">
        <v>257.73</v>
      </c>
      <c r="AK292" s="376">
        <v>4.2680324370466096E-3</v>
      </c>
      <c r="AL292" s="376">
        <v>1.5235827082773871E-4</v>
      </c>
      <c r="AM292" s="412">
        <v>249.89979695431492</v>
      </c>
    </row>
    <row r="293" spans="2:39" s="377" customFormat="1" ht="28.15" customHeight="1" x14ac:dyDescent="0.25">
      <c r="B293" s="369">
        <v>43299</v>
      </c>
      <c r="C293" s="370">
        <v>254984.72700000001</v>
      </c>
      <c r="D293" s="370">
        <v>35144.519999999997</v>
      </c>
      <c r="E293" s="371">
        <v>0</v>
      </c>
      <c r="F293" s="371">
        <v>0</v>
      </c>
      <c r="G293" s="371">
        <v>13011</v>
      </c>
      <c r="H293" s="371"/>
      <c r="I293" s="371"/>
      <c r="J293" s="371"/>
      <c r="K293" s="371"/>
      <c r="L293" s="371"/>
      <c r="M293" s="371">
        <v>650000</v>
      </c>
      <c r="N293" s="371">
        <v>44000</v>
      </c>
      <c r="O293" s="371">
        <v>1600</v>
      </c>
      <c r="P293" s="371">
        <f t="shared" si="5"/>
        <v>91683</v>
      </c>
      <c r="Q293" s="371">
        <v>-59552</v>
      </c>
      <c r="R293" s="372">
        <v>267995.72700000001</v>
      </c>
      <c r="S293" s="400">
        <v>227424.03</v>
      </c>
      <c r="T293" s="400">
        <v>33080.449999999997</v>
      </c>
      <c r="U293" s="400">
        <v>0</v>
      </c>
      <c r="V293" s="400">
        <v>0</v>
      </c>
      <c r="W293" s="372">
        <v>227424.03</v>
      </c>
      <c r="X293" s="373">
        <v>260504.47999999998</v>
      </c>
      <c r="Y293" s="372">
        <v>303140.24700000003</v>
      </c>
      <c r="Z293" s="373">
        <v>1030871.247</v>
      </c>
      <c r="AA293" s="400">
        <v>206.68340000000899</v>
      </c>
      <c r="AB293" s="400">
        <v>0</v>
      </c>
      <c r="AC293" s="400">
        <v>0</v>
      </c>
      <c r="AD293" s="400">
        <v>0</v>
      </c>
      <c r="AE293" s="372">
        <v>206.68340000000899</v>
      </c>
      <c r="AF293" s="372">
        <v>206.68340000000899</v>
      </c>
      <c r="AG293" s="400">
        <v>0.46999999999997044</v>
      </c>
      <c r="AH293" s="374">
        <v>7.7121901275690476E-4</v>
      </c>
      <c r="AI293" s="375">
        <v>0</v>
      </c>
      <c r="AJ293" s="372">
        <v>258.2</v>
      </c>
      <c r="AK293" s="376">
        <v>1.8202943454685146E-3</v>
      </c>
      <c r="AL293" s="376">
        <v>-1.0490753327116098E-3</v>
      </c>
      <c r="AM293" s="412">
        <v>249.96294416243674</v>
      </c>
    </row>
    <row r="294" spans="2:39" s="377" customFormat="1" ht="28.15" customHeight="1" x14ac:dyDescent="0.25">
      <c r="B294" s="369">
        <v>43300</v>
      </c>
      <c r="C294" s="370">
        <v>256262.4062</v>
      </c>
      <c r="D294" s="370">
        <v>35144.519999999997</v>
      </c>
      <c r="E294" s="371">
        <v>0</v>
      </c>
      <c r="F294" s="371">
        <v>0</v>
      </c>
      <c r="G294" s="371">
        <v>13011</v>
      </c>
      <c r="H294" s="371"/>
      <c r="I294" s="371"/>
      <c r="J294" s="371"/>
      <c r="K294" s="371"/>
      <c r="L294" s="371"/>
      <c r="M294" s="371">
        <v>650000</v>
      </c>
      <c r="N294" s="371">
        <v>44000</v>
      </c>
      <c r="O294" s="371">
        <v>1600</v>
      </c>
      <c r="P294" s="371">
        <f t="shared" si="5"/>
        <v>91683</v>
      </c>
      <c r="Q294" s="371">
        <v>-59552</v>
      </c>
      <c r="R294" s="372">
        <v>269273.40619999997</v>
      </c>
      <c r="S294" s="400">
        <v>227424.03</v>
      </c>
      <c r="T294" s="400">
        <v>33080.449999999997</v>
      </c>
      <c r="U294" s="400">
        <v>0</v>
      </c>
      <c r="V294" s="400">
        <v>0</v>
      </c>
      <c r="W294" s="372">
        <v>227424.03</v>
      </c>
      <c r="X294" s="373">
        <v>260504.47999999998</v>
      </c>
      <c r="Y294" s="372">
        <v>304417.92619999999</v>
      </c>
      <c r="Z294" s="373">
        <v>1032148.9262000001</v>
      </c>
      <c r="AA294" s="400">
        <v>1277.6791999999841</v>
      </c>
      <c r="AB294" s="400">
        <v>0</v>
      </c>
      <c r="AC294" s="400">
        <v>0</v>
      </c>
      <c r="AD294" s="400">
        <v>0</v>
      </c>
      <c r="AE294" s="372">
        <v>1277.6791999999841</v>
      </c>
      <c r="AF294" s="372">
        <v>1277.6791999999841</v>
      </c>
      <c r="AG294" s="400">
        <v>-0.97999999999996135</v>
      </c>
      <c r="AH294" s="374">
        <v>4.7449141674651731E-3</v>
      </c>
      <c r="AI294" s="375">
        <v>0</v>
      </c>
      <c r="AJ294" s="372">
        <v>257.22000000000003</v>
      </c>
      <c r="AK294" s="376">
        <v>-3.8099681206747579E-3</v>
      </c>
      <c r="AL294" s="376">
        <v>8.5548822881399318E-3</v>
      </c>
      <c r="AM294" s="412">
        <v>250.01934010152303</v>
      </c>
    </row>
    <row r="295" spans="2:39" s="377" customFormat="1" ht="28.15" customHeight="1" x14ac:dyDescent="0.25">
      <c r="B295" s="369">
        <v>43301</v>
      </c>
      <c r="C295" s="370">
        <v>253857.36300000001</v>
      </c>
      <c r="D295" s="370">
        <v>35144.519999999997</v>
      </c>
      <c r="E295" s="371">
        <v>0</v>
      </c>
      <c r="F295" s="371">
        <v>0</v>
      </c>
      <c r="G295" s="371">
        <v>13011</v>
      </c>
      <c r="H295" s="371"/>
      <c r="I295" s="371"/>
      <c r="J295" s="371"/>
      <c r="K295" s="371"/>
      <c r="L295" s="371"/>
      <c r="M295" s="371">
        <v>650000</v>
      </c>
      <c r="N295" s="371">
        <v>44000</v>
      </c>
      <c r="O295" s="371">
        <v>1600</v>
      </c>
      <c r="P295" s="371">
        <f t="shared" si="5"/>
        <v>91683</v>
      </c>
      <c r="Q295" s="371">
        <v>-59552</v>
      </c>
      <c r="R295" s="372">
        <v>266868.36300000001</v>
      </c>
      <c r="S295" s="400">
        <v>227424.03</v>
      </c>
      <c r="T295" s="400">
        <v>33080.449999999997</v>
      </c>
      <c r="U295" s="400">
        <v>0</v>
      </c>
      <c r="V295" s="400">
        <v>0</v>
      </c>
      <c r="W295" s="372">
        <v>227424.03</v>
      </c>
      <c r="X295" s="373">
        <v>260504.47999999998</v>
      </c>
      <c r="Y295" s="372">
        <v>302012.88300000003</v>
      </c>
      <c r="Z295" s="373">
        <v>1029743.8829999999</v>
      </c>
      <c r="AA295" s="400">
        <v>-2405.0431999999855</v>
      </c>
      <c r="AB295" s="400">
        <v>0</v>
      </c>
      <c r="AC295" s="400">
        <v>0</v>
      </c>
      <c r="AD295" s="400">
        <v>0</v>
      </c>
      <c r="AE295" s="372">
        <v>-2405.0431999999855</v>
      </c>
      <c r="AF295" s="372">
        <v>-2405.0431999999855</v>
      </c>
      <c r="AG295" s="400">
        <v>-0.24000000000000909</v>
      </c>
      <c r="AH295" s="374">
        <v>-9.0120956001067294E-3</v>
      </c>
      <c r="AI295" s="375">
        <v>0</v>
      </c>
      <c r="AJ295" s="372">
        <v>256.98</v>
      </c>
      <c r="AK295" s="376">
        <v>-9.3392481905210168E-4</v>
      </c>
      <c r="AL295" s="376">
        <v>-8.0781707810546281E-3</v>
      </c>
      <c r="AM295" s="412">
        <v>250.06329949238597</v>
      </c>
    </row>
    <row r="296" spans="2:39" s="377" customFormat="1" ht="28.15" customHeight="1" x14ac:dyDescent="0.25">
      <c r="B296" s="378">
        <v>43302</v>
      </c>
      <c r="C296" s="370">
        <v>253857.36300000001</v>
      </c>
      <c r="D296" s="370">
        <v>35144.519999999997</v>
      </c>
      <c r="E296" s="371">
        <v>0</v>
      </c>
      <c r="F296" s="371">
        <v>0</v>
      </c>
      <c r="G296" s="371">
        <v>13011</v>
      </c>
      <c r="H296" s="371"/>
      <c r="I296" s="371"/>
      <c r="J296" s="371"/>
      <c r="K296" s="371"/>
      <c r="L296" s="371"/>
      <c r="M296" s="371">
        <v>650000</v>
      </c>
      <c r="N296" s="371">
        <v>44000</v>
      </c>
      <c r="O296" s="371">
        <v>1600</v>
      </c>
      <c r="P296" s="371">
        <f t="shared" si="5"/>
        <v>91683</v>
      </c>
      <c r="Q296" s="371">
        <v>-59552</v>
      </c>
      <c r="R296" s="372">
        <v>266868.36300000001</v>
      </c>
      <c r="S296" s="400">
        <v>227424.03</v>
      </c>
      <c r="T296" s="400">
        <v>33080.449999999997</v>
      </c>
      <c r="U296" s="400">
        <v>0</v>
      </c>
      <c r="V296" s="400">
        <v>0</v>
      </c>
      <c r="W296" s="372">
        <v>227424.03</v>
      </c>
      <c r="X296" s="373">
        <v>260504.47999999998</v>
      </c>
      <c r="Y296" s="372">
        <v>302012.88300000003</v>
      </c>
      <c r="Z296" s="373">
        <v>1029743.8829999999</v>
      </c>
      <c r="AA296" s="400">
        <v>0</v>
      </c>
      <c r="AB296" s="400">
        <v>0</v>
      </c>
      <c r="AC296" s="400">
        <v>0</v>
      </c>
      <c r="AD296" s="400">
        <v>0</v>
      </c>
      <c r="AE296" s="372">
        <v>0</v>
      </c>
      <c r="AF296" s="372">
        <v>0</v>
      </c>
      <c r="AG296" s="400">
        <v>0</v>
      </c>
      <c r="AH296" s="374">
        <v>0</v>
      </c>
      <c r="AI296" s="375">
        <v>0</v>
      </c>
      <c r="AJ296" s="372">
        <v>256.98</v>
      </c>
      <c r="AK296" s="376">
        <v>0</v>
      </c>
      <c r="AL296" s="376">
        <v>0</v>
      </c>
      <c r="AM296" s="412">
        <v>250.1005076142134</v>
      </c>
    </row>
    <row r="297" spans="2:39" s="377" customFormat="1" ht="28.15" customHeight="1" x14ac:dyDescent="0.25">
      <c r="B297" s="378">
        <v>43303</v>
      </c>
      <c r="C297" s="370">
        <v>253857.36300000001</v>
      </c>
      <c r="D297" s="370">
        <v>35144.519999999997</v>
      </c>
      <c r="E297" s="371">
        <v>0</v>
      </c>
      <c r="F297" s="371">
        <v>0</v>
      </c>
      <c r="G297" s="371">
        <v>13011</v>
      </c>
      <c r="H297" s="371"/>
      <c r="I297" s="371"/>
      <c r="J297" s="371"/>
      <c r="K297" s="371"/>
      <c r="L297" s="371"/>
      <c r="M297" s="371">
        <v>650000</v>
      </c>
      <c r="N297" s="371">
        <v>44000</v>
      </c>
      <c r="O297" s="371">
        <v>1600</v>
      </c>
      <c r="P297" s="371">
        <f t="shared" si="5"/>
        <v>91683</v>
      </c>
      <c r="Q297" s="371">
        <v>-59552</v>
      </c>
      <c r="R297" s="372">
        <v>266868.36300000001</v>
      </c>
      <c r="S297" s="400">
        <v>227424.03</v>
      </c>
      <c r="T297" s="400">
        <v>33080.449999999997</v>
      </c>
      <c r="U297" s="400">
        <v>0</v>
      </c>
      <c r="V297" s="400">
        <v>0</v>
      </c>
      <c r="W297" s="372">
        <v>227424.03</v>
      </c>
      <c r="X297" s="373">
        <v>260504.47999999998</v>
      </c>
      <c r="Y297" s="372">
        <v>302012.88300000003</v>
      </c>
      <c r="Z297" s="373">
        <v>1029743.8829999999</v>
      </c>
      <c r="AA297" s="400">
        <v>0</v>
      </c>
      <c r="AB297" s="400">
        <v>0</v>
      </c>
      <c r="AC297" s="400">
        <v>0</v>
      </c>
      <c r="AD297" s="400">
        <v>0</v>
      </c>
      <c r="AE297" s="372">
        <v>0</v>
      </c>
      <c r="AF297" s="372">
        <v>0</v>
      </c>
      <c r="AG297" s="400">
        <v>0</v>
      </c>
      <c r="AH297" s="374">
        <v>0</v>
      </c>
      <c r="AI297" s="375">
        <v>0</v>
      </c>
      <c r="AJ297" s="372">
        <v>256.98</v>
      </c>
      <c r="AK297" s="376">
        <v>0</v>
      </c>
      <c r="AL297" s="376">
        <v>0</v>
      </c>
      <c r="AM297" s="412">
        <v>250.12959390862969</v>
      </c>
    </row>
    <row r="298" spans="2:39" s="377" customFormat="1" ht="28.15" customHeight="1" x14ac:dyDescent="0.25">
      <c r="B298" s="369">
        <v>43304</v>
      </c>
      <c r="C298" s="370">
        <v>252486.66462799997</v>
      </c>
      <c r="D298" s="370">
        <v>35108.089999999997</v>
      </c>
      <c r="E298" s="371">
        <v>0</v>
      </c>
      <c r="F298" s="371">
        <v>0</v>
      </c>
      <c r="G298" s="371">
        <v>14916</v>
      </c>
      <c r="H298" s="371"/>
      <c r="I298" s="371">
        <v>210</v>
      </c>
      <c r="J298" s="371"/>
      <c r="K298" s="371"/>
      <c r="L298" s="371">
        <v>1822.18</v>
      </c>
      <c r="M298" s="371">
        <v>650000</v>
      </c>
      <c r="N298" s="371">
        <v>44000</v>
      </c>
      <c r="O298" s="371">
        <v>1600</v>
      </c>
      <c r="P298" s="371">
        <f t="shared" si="5"/>
        <v>91683</v>
      </c>
      <c r="Q298" s="371">
        <v>-59552</v>
      </c>
      <c r="R298" s="372">
        <v>267402.664628</v>
      </c>
      <c r="S298" s="400">
        <v>227424.03</v>
      </c>
      <c r="T298" s="400">
        <v>33290.449999999997</v>
      </c>
      <c r="U298" s="400">
        <v>0</v>
      </c>
      <c r="V298" s="400">
        <v>1822.18</v>
      </c>
      <c r="W298" s="372">
        <v>229246.21</v>
      </c>
      <c r="X298" s="373">
        <v>262536.65999999997</v>
      </c>
      <c r="Y298" s="372">
        <v>302510.75462799997</v>
      </c>
      <c r="Z298" s="373">
        <v>1030241.7546279998</v>
      </c>
      <c r="AA298" s="400">
        <v>-1370.6983720000426</v>
      </c>
      <c r="AB298" s="400">
        <v>-246.43000000000029</v>
      </c>
      <c r="AC298" s="400">
        <v>0</v>
      </c>
      <c r="AD298" s="400">
        <v>82.819999999999936</v>
      </c>
      <c r="AE298" s="372">
        <v>-1287.8783720000426</v>
      </c>
      <c r="AF298" s="372">
        <v>-1534.3083720000429</v>
      </c>
      <c r="AG298" s="400">
        <v>0.49000000000000909</v>
      </c>
      <c r="AH298" s="374">
        <v>-4.8162510788427931E-3</v>
      </c>
      <c r="AI298" s="375">
        <v>-7.0191799098156668E-3</v>
      </c>
      <c r="AJ298" s="372">
        <v>257.47000000000003</v>
      </c>
      <c r="AK298" s="376">
        <v>1.9031343457490545E-3</v>
      </c>
      <c r="AL298" s="376">
        <v>-6.7193854245918474E-3</v>
      </c>
      <c r="AM298" s="412">
        <v>250.15868020304595</v>
      </c>
    </row>
    <row r="299" spans="2:39" s="377" customFormat="1" ht="28.15" customHeight="1" x14ac:dyDescent="0.25">
      <c r="B299" s="369">
        <v>43305</v>
      </c>
      <c r="C299" s="370">
        <v>253923.46023999999</v>
      </c>
      <c r="D299" s="370">
        <v>35156.269999999997</v>
      </c>
      <c r="E299" s="371">
        <v>0</v>
      </c>
      <c r="F299" s="371">
        <v>0</v>
      </c>
      <c r="G299" s="371">
        <v>14816</v>
      </c>
      <c r="H299" s="371"/>
      <c r="I299" s="371"/>
      <c r="J299" s="371"/>
      <c r="K299" s="371"/>
      <c r="L299" s="371"/>
      <c r="M299" s="371">
        <v>650000</v>
      </c>
      <c r="N299" s="371">
        <v>44000</v>
      </c>
      <c r="O299" s="371">
        <v>1600</v>
      </c>
      <c r="P299" s="371">
        <f t="shared" si="5"/>
        <v>91683</v>
      </c>
      <c r="Q299" s="371">
        <v>-59552</v>
      </c>
      <c r="R299" s="372">
        <v>268739.46023999999</v>
      </c>
      <c r="S299" s="400">
        <v>227424.03</v>
      </c>
      <c r="T299" s="400">
        <v>33290.449999999997</v>
      </c>
      <c r="U299" s="400">
        <v>0</v>
      </c>
      <c r="V299" s="400">
        <v>1822.18</v>
      </c>
      <c r="W299" s="372">
        <v>229246.21</v>
      </c>
      <c r="X299" s="373">
        <v>262536.65999999997</v>
      </c>
      <c r="Y299" s="372">
        <v>303895.73024</v>
      </c>
      <c r="Z299" s="373">
        <v>1031626.7302399999</v>
      </c>
      <c r="AA299" s="400">
        <v>1436.7956120000163</v>
      </c>
      <c r="AB299" s="400">
        <v>48.180000000000291</v>
      </c>
      <c r="AC299" s="400">
        <v>0</v>
      </c>
      <c r="AD299" s="400">
        <v>-100</v>
      </c>
      <c r="AE299" s="372">
        <v>1336.7956120000163</v>
      </c>
      <c r="AF299" s="372">
        <v>1384.9756120000166</v>
      </c>
      <c r="AG299" s="400">
        <v>1.2099999999999795</v>
      </c>
      <c r="AH299" s="374">
        <v>4.9743182888221174E-3</v>
      </c>
      <c r="AI299" s="375">
        <v>1.3704525536981111E-3</v>
      </c>
      <c r="AJ299" s="372">
        <v>258.68</v>
      </c>
      <c r="AK299" s="376">
        <v>4.6775939384567011E-3</v>
      </c>
      <c r="AL299" s="376">
        <v>2.9672435036541631E-4</v>
      </c>
      <c r="AM299" s="412">
        <v>250.19025380710684</v>
      </c>
    </row>
    <row r="300" spans="2:39" s="377" customFormat="1" ht="28.15" customHeight="1" x14ac:dyDescent="0.25">
      <c r="B300" s="369">
        <v>43306</v>
      </c>
      <c r="C300" s="370">
        <v>251041.03400000001</v>
      </c>
      <c r="D300" s="370">
        <v>35115.269999999997</v>
      </c>
      <c r="E300" s="371">
        <v>0</v>
      </c>
      <c r="F300" s="371">
        <v>0</v>
      </c>
      <c r="G300" s="371">
        <v>14811</v>
      </c>
      <c r="H300" s="371"/>
      <c r="I300" s="371"/>
      <c r="J300" s="371"/>
      <c r="K300" s="371"/>
      <c r="L300" s="371"/>
      <c r="M300" s="371">
        <v>650000</v>
      </c>
      <c r="N300" s="371">
        <v>44000</v>
      </c>
      <c r="O300" s="371">
        <v>1600</v>
      </c>
      <c r="P300" s="371">
        <f t="shared" si="5"/>
        <v>91683</v>
      </c>
      <c r="Q300" s="371">
        <v>-59552</v>
      </c>
      <c r="R300" s="372">
        <v>265852.03399999999</v>
      </c>
      <c r="S300" s="400">
        <v>227424.03</v>
      </c>
      <c r="T300" s="400">
        <v>33290.449999999997</v>
      </c>
      <c r="U300" s="400">
        <v>0</v>
      </c>
      <c r="V300" s="400">
        <v>1822.18</v>
      </c>
      <c r="W300" s="372">
        <v>229246.21</v>
      </c>
      <c r="X300" s="373">
        <v>262536.65999999997</v>
      </c>
      <c r="Y300" s="372">
        <v>300967.304</v>
      </c>
      <c r="Z300" s="373">
        <v>1028698.304</v>
      </c>
      <c r="AA300" s="400">
        <v>-2882.4262399999716</v>
      </c>
      <c r="AB300" s="400">
        <v>-41</v>
      </c>
      <c r="AC300" s="400">
        <v>0</v>
      </c>
      <c r="AD300" s="400">
        <v>-5</v>
      </c>
      <c r="AE300" s="372">
        <v>-2887.4262399999716</v>
      </c>
      <c r="AF300" s="372">
        <v>-2928.4262399999716</v>
      </c>
      <c r="AG300" s="400">
        <v>2.3700000000000045</v>
      </c>
      <c r="AH300" s="374">
        <v>-1.0861027454091142E-2</v>
      </c>
      <c r="AI300" s="375">
        <v>-1.1675832194939695E-3</v>
      </c>
      <c r="AJ300" s="372">
        <v>261.05</v>
      </c>
      <c r="AK300" s="376">
        <v>9.0787205516184803E-3</v>
      </c>
      <c r="AL300" s="376">
        <v>-1.993974800570962E-2</v>
      </c>
      <c r="AM300" s="412">
        <v>250.22532994923876</v>
      </c>
    </row>
    <row r="301" spans="2:39" s="377" customFormat="1" ht="28.15" customHeight="1" x14ac:dyDescent="0.25">
      <c r="B301" s="369">
        <v>43307</v>
      </c>
      <c r="C301" s="370">
        <v>251041.03400000001</v>
      </c>
      <c r="D301" s="370">
        <v>35115.269999999997</v>
      </c>
      <c r="E301" s="371">
        <v>0</v>
      </c>
      <c r="F301" s="371">
        <v>0</v>
      </c>
      <c r="G301" s="371">
        <v>14811</v>
      </c>
      <c r="H301" s="371"/>
      <c r="I301" s="371"/>
      <c r="J301" s="371"/>
      <c r="K301" s="371"/>
      <c r="L301" s="371"/>
      <c r="M301" s="371">
        <v>650000</v>
      </c>
      <c r="N301" s="371">
        <v>44000</v>
      </c>
      <c r="O301" s="371">
        <v>1600</v>
      </c>
      <c r="P301" s="371">
        <f t="shared" si="5"/>
        <v>91683</v>
      </c>
      <c r="Q301" s="371">
        <v>-59552</v>
      </c>
      <c r="R301" s="372">
        <v>265852.03399999999</v>
      </c>
      <c r="S301" s="400">
        <v>227424.03</v>
      </c>
      <c r="T301" s="400">
        <v>33290.449999999997</v>
      </c>
      <c r="U301" s="400">
        <v>0</v>
      </c>
      <c r="V301" s="400">
        <v>1822.18</v>
      </c>
      <c r="W301" s="372">
        <v>229246.21</v>
      </c>
      <c r="X301" s="373">
        <v>262536.65999999997</v>
      </c>
      <c r="Y301" s="372">
        <v>300967.304</v>
      </c>
      <c r="Z301" s="373">
        <v>1028698.304</v>
      </c>
      <c r="AA301" s="400">
        <v>0</v>
      </c>
      <c r="AB301" s="400">
        <v>0</v>
      </c>
      <c r="AC301" s="400">
        <v>0</v>
      </c>
      <c r="AD301" s="400">
        <v>0</v>
      </c>
      <c r="AE301" s="372">
        <v>0</v>
      </c>
      <c r="AF301" s="372">
        <v>0</v>
      </c>
      <c r="AG301" s="400">
        <v>-0.77000000000003865</v>
      </c>
      <c r="AH301" s="374">
        <v>0</v>
      </c>
      <c r="AI301" s="375">
        <v>0</v>
      </c>
      <c r="AJ301" s="372">
        <v>260.27999999999997</v>
      </c>
      <c r="AK301" s="376">
        <v>-2.9583525434149329E-3</v>
      </c>
      <c r="AL301" s="376">
        <v>2.9583525434149329E-3</v>
      </c>
      <c r="AM301" s="412">
        <v>250.26974619289362</v>
      </c>
    </row>
    <row r="302" spans="2:39" s="377" customFormat="1" ht="28.15" customHeight="1" x14ac:dyDescent="0.25">
      <c r="B302" s="369">
        <v>43308</v>
      </c>
      <c r="C302" s="370">
        <v>249918.67084360003</v>
      </c>
      <c r="D302" s="370">
        <v>35268.269999999997</v>
      </c>
      <c r="E302" s="371">
        <v>0</v>
      </c>
      <c r="F302" s="371">
        <v>0</v>
      </c>
      <c r="G302" s="371">
        <v>14853</v>
      </c>
      <c r="H302" s="371"/>
      <c r="I302" s="371"/>
      <c r="J302" s="371"/>
      <c r="K302" s="371"/>
      <c r="L302" s="371"/>
      <c r="M302" s="371">
        <v>650000</v>
      </c>
      <c r="N302" s="371">
        <v>44000</v>
      </c>
      <c r="O302" s="371">
        <v>1600</v>
      </c>
      <c r="P302" s="371">
        <f t="shared" si="5"/>
        <v>91683</v>
      </c>
      <c r="Q302" s="371">
        <v>-59552</v>
      </c>
      <c r="R302" s="372">
        <v>264771.67084360006</v>
      </c>
      <c r="S302" s="400">
        <v>227424.03</v>
      </c>
      <c r="T302" s="400">
        <v>33290.449999999997</v>
      </c>
      <c r="U302" s="400">
        <v>0</v>
      </c>
      <c r="V302" s="400">
        <v>1822.18</v>
      </c>
      <c r="W302" s="372">
        <v>229246.21</v>
      </c>
      <c r="X302" s="373">
        <v>262536.65999999997</v>
      </c>
      <c r="Y302" s="372">
        <v>300039.94084360002</v>
      </c>
      <c r="Z302" s="373">
        <v>1027770.9408436001</v>
      </c>
      <c r="AA302" s="400">
        <v>-1122.3631563999807</v>
      </c>
      <c r="AB302" s="400">
        <v>153</v>
      </c>
      <c r="AC302" s="400">
        <v>0</v>
      </c>
      <c r="AD302" s="400">
        <v>42</v>
      </c>
      <c r="AE302" s="372">
        <v>-1080.3631563999807</v>
      </c>
      <c r="AF302" s="372">
        <v>-927.36315639998065</v>
      </c>
      <c r="AG302" s="400">
        <v>-1.6899999999999977</v>
      </c>
      <c r="AH302" s="374">
        <v>-4.0803578153123053E-3</v>
      </c>
      <c r="AI302" s="375">
        <v>4.3381770639728005E-3</v>
      </c>
      <c r="AJ302" s="372">
        <v>258.58999999999997</v>
      </c>
      <c r="AK302" s="376">
        <v>-6.5354422058084144E-3</v>
      </c>
      <c r="AL302" s="376">
        <v>2.4550843904961091E-3</v>
      </c>
      <c r="AM302" s="412">
        <v>250.31243654822356</v>
      </c>
    </row>
    <row r="303" spans="2:39" s="377" customFormat="1" ht="28.15" customHeight="1" x14ac:dyDescent="0.25">
      <c r="B303" s="378">
        <v>43309</v>
      </c>
      <c r="C303" s="370">
        <v>249918.67084360003</v>
      </c>
      <c r="D303" s="370">
        <v>35268.269999999997</v>
      </c>
      <c r="E303" s="371">
        <v>0</v>
      </c>
      <c r="F303" s="371">
        <v>0</v>
      </c>
      <c r="G303" s="371">
        <v>14853</v>
      </c>
      <c r="H303" s="371"/>
      <c r="I303" s="371"/>
      <c r="J303" s="371"/>
      <c r="K303" s="371"/>
      <c r="L303" s="371"/>
      <c r="M303" s="371">
        <v>650000</v>
      </c>
      <c r="N303" s="371">
        <v>44000</v>
      </c>
      <c r="O303" s="371">
        <v>1600</v>
      </c>
      <c r="P303" s="371">
        <f t="shared" si="5"/>
        <v>91683</v>
      </c>
      <c r="Q303" s="371">
        <v>-59552</v>
      </c>
      <c r="R303" s="372">
        <v>264771.67084360006</v>
      </c>
      <c r="S303" s="400">
        <v>227424.03</v>
      </c>
      <c r="T303" s="400">
        <v>33290.449999999997</v>
      </c>
      <c r="U303" s="400">
        <v>0</v>
      </c>
      <c r="V303" s="400">
        <v>1822.18</v>
      </c>
      <c r="W303" s="372">
        <v>229246.21</v>
      </c>
      <c r="X303" s="373">
        <v>262536.65999999997</v>
      </c>
      <c r="Y303" s="372">
        <v>300039.94084360002</v>
      </c>
      <c r="Z303" s="373">
        <v>1027770.9408436001</v>
      </c>
      <c r="AA303" s="400">
        <v>0</v>
      </c>
      <c r="AB303" s="400">
        <v>0</v>
      </c>
      <c r="AC303" s="400">
        <v>0</v>
      </c>
      <c r="AD303" s="400">
        <v>0</v>
      </c>
      <c r="AE303" s="372">
        <v>0</v>
      </c>
      <c r="AF303" s="372">
        <v>0</v>
      </c>
      <c r="AG303" s="400">
        <v>0</v>
      </c>
      <c r="AH303" s="374">
        <v>0</v>
      </c>
      <c r="AI303" s="375">
        <v>0</v>
      </c>
      <c r="AJ303" s="372">
        <v>258.58999999999997</v>
      </c>
      <c r="AK303" s="376">
        <v>0</v>
      </c>
      <c r="AL303" s="376">
        <v>0</v>
      </c>
      <c r="AM303" s="412">
        <v>250.33710659898495</v>
      </c>
    </row>
    <row r="304" spans="2:39" s="377" customFormat="1" ht="28.15" customHeight="1" x14ac:dyDescent="0.25">
      <c r="B304" s="378">
        <v>43310</v>
      </c>
      <c r="C304" s="370">
        <v>249918.67084360003</v>
      </c>
      <c r="D304" s="370">
        <v>35268.269999999997</v>
      </c>
      <c r="E304" s="371">
        <v>0</v>
      </c>
      <c r="F304" s="371">
        <v>0</v>
      </c>
      <c r="G304" s="371">
        <v>14853</v>
      </c>
      <c r="H304" s="371"/>
      <c r="I304" s="371"/>
      <c r="J304" s="371"/>
      <c r="K304" s="371"/>
      <c r="L304" s="371"/>
      <c r="M304" s="371">
        <v>650000</v>
      </c>
      <c r="N304" s="371">
        <v>44000</v>
      </c>
      <c r="O304" s="371">
        <v>1600</v>
      </c>
      <c r="P304" s="371">
        <f t="shared" si="5"/>
        <v>91683</v>
      </c>
      <c r="Q304" s="371">
        <v>-59552</v>
      </c>
      <c r="R304" s="372">
        <v>264771.67084360006</v>
      </c>
      <c r="S304" s="400">
        <v>227424.03</v>
      </c>
      <c r="T304" s="400">
        <v>33290.449999999997</v>
      </c>
      <c r="U304" s="400">
        <v>0</v>
      </c>
      <c r="V304" s="400">
        <v>1822.18</v>
      </c>
      <c r="W304" s="372">
        <v>229246.21</v>
      </c>
      <c r="X304" s="373">
        <v>262536.65999999997</v>
      </c>
      <c r="Y304" s="372">
        <v>300039.94084360002</v>
      </c>
      <c r="Z304" s="373">
        <v>1027770.9408436001</v>
      </c>
      <c r="AA304" s="400">
        <v>0</v>
      </c>
      <c r="AB304" s="400">
        <v>0</v>
      </c>
      <c r="AC304" s="400">
        <v>0</v>
      </c>
      <c r="AD304" s="400">
        <v>0</v>
      </c>
      <c r="AE304" s="372">
        <v>0</v>
      </c>
      <c r="AF304" s="372">
        <v>0</v>
      </c>
      <c r="AG304" s="400">
        <v>0</v>
      </c>
      <c r="AH304" s="374">
        <v>0</v>
      </c>
      <c r="AI304" s="375">
        <v>0</v>
      </c>
      <c r="AJ304" s="372">
        <v>258.58999999999997</v>
      </c>
      <c r="AK304" s="376">
        <v>0</v>
      </c>
      <c r="AL304" s="376">
        <v>0</v>
      </c>
      <c r="AM304" s="412">
        <v>250.35324873096462</v>
      </c>
    </row>
    <row r="305" spans="2:39" s="377" customFormat="1" ht="28.15" customHeight="1" x14ac:dyDescent="0.25">
      <c r="B305" s="369">
        <v>43311</v>
      </c>
      <c r="C305" s="370">
        <v>249333.92264800001</v>
      </c>
      <c r="D305" s="370">
        <v>35228.269999999997</v>
      </c>
      <c r="E305" s="371">
        <v>0</v>
      </c>
      <c r="F305" s="371">
        <v>0</v>
      </c>
      <c r="G305" s="371">
        <v>14853</v>
      </c>
      <c r="H305" s="371">
        <v>75</v>
      </c>
      <c r="I305" s="371"/>
      <c r="J305" s="371"/>
      <c r="K305" s="371"/>
      <c r="L305" s="371"/>
      <c r="M305" s="371">
        <v>650000</v>
      </c>
      <c r="N305" s="371">
        <v>44000</v>
      </c>
      <c r="O305" s="371">
        <v>1600</v>
      </c>
      <c r="P305" s="371">
        <f t="shared" si="5"/>
        <v>91683</v>
      </c>
      <c r="Q305" s="371">
        <v>-59552</v>
      </c>
      <c r="R305" s="372">
        <v>264186.92264800001</v>
      </c>
      <c r="S305" s="400">
        <v>227499.03</v>
      </c>
      <c r="T305" s="400">
        <v>33290.449999999997</v>
      </c>
      <c r="U305" s="400">
        <v>0</v>
      </c>
      <c r="V305" s="400">
        <v>1822.18</v>
      </c>
      <c r="W305" s="372">
        <v>229321.21</v>
      </c>
      <c r="X305" s="373">
        <v>262611.65999999997</v>
      </c>
      <c r="Y305" s="372">
        <v>299415.19264800003</v>
      </c>
      <c r="Z305" s="373">
        <v>1027146.1926480001</v>
      </c>
      <c r="AA305" s="400">
        <v>-659.74819560002652</v>
      </c>
      <c r="AB305" s="400">
        <v>-40</v>
      </c>
      <c r="AC305" s="400">
        <v>0</v>
      </c>
      <c r="AD305" s="400">
        <v>0</v>
      </c>
      <c r="AE305" s="372">
        <v>-659.74819560002652</v>
      </c>
      <c r="AF305" s="372">
        <v>-699.74819560002652</v>
      </c>
      <c r="AG305" s="400">
        <v>-1.4899999999999523</v>
      </c>
      <c r="AH305" s="374">
        <v>-2.4972780218915996E-3</v>
      </c>
      <c r="AI305" s="375">
        <v>-1.135451726695634E-3</v>
      </c>
      <c r="AJ305" s="372">
        <v>257.10000000000002</v>
      </c>
      <c r="AK305" s="376">
        <v>-5.7954103461686198E-3</v>
      </c>
      <c r="AL305" s="376">
        <v>3.2981323242770202E-3</v>
      </c>
      <c r="AM305" s="412">
        <v>250.36939086294424</v>
      </c>
    </row>
    <row r="306" spans="2:39" s="377" customFormat="1" ht="28.15" customHeight="1" x14ac:dyDescent="0.25">
      <c r="B306" s="369">
        <v>43312</v>
      </c>
      <c r="C306" s="370">
        <v>250651.14249999999</v>
      </c>
      <c r="D306" s="370">
        <v>35577.46</v>
      </c>
      <c r="E306" s="371">
        <v>0</v>
      </c>
      <c r="F306" s="371">
        <v>0</v>
      </c>
      <c r="G306" s="371">
        <v>14859</v>
      </c>
      <c r="H306" s="371"/>
      <c r="I306" s="371"/>
      <c r="J306" s="371"/>
      <c r="K306" s="371"/>
      <c r="L306" s="371"/>
      <c r="M306" s="371">
        <v>650000</v>
      </c>
      <c r="N306" s="371">
        <v>44000</v>
      </c>
      <c r="O306" s="371">
        <v>1600</v>
      </c>
      <c r="P306" s="371">
        <f t="shared" si="5"/>
        <v>91683</v>
      </c>
      <c r="Q306" s="371">
        <v>-59552</v>
      </c>
      <c r="R306" s="372">
        <v>265510.14249999996</v>
      </c>
      <c r="S306" s="400">
        <v>227499.03</v>
      </c>
      <c r="T306" s="400">
        <v>33290.449999999997</v>
      </c>
      <c r="U306" s="400">
        <v>0</v>
      </c>
      <c r="V306" s="400">
        <v>1822.18</v>
      </c>
      <c r="W306" s="372">
        <v>229321.21</v>
      </c>
      <c r="X306" s="373">
        <v>262611.65999999997</v>
      </c>
      <c r="Y306" s="372">
        <v>301087.60249999998</v>
      </c>
      <c r="Z306" s="373">
        <v>1028818.6025</v>
      </c>
      <c r="AA306" s="400">
        <v>1317.2198519999802</v>
      </c>
      <c r="AB306" s="400">
        <v>349.19000000000233</v>
      </c>
      <c r="AC306" s="400">
        <v>0</v>
      </c>
      <c r="AD306" s="400">
        <v>6</v>
      </c>
      <c r="AE306" s="372">
        <v>1323.2198519999802</v>
      </c>
      <c r="AF306" s="372">
        <v>1672.4098519999825</v>
      </c>
      <c r="AG306" s="400">
        <v>1.2999999999999545</v>
      </c>
      <c r="AH306" s="374">
        <v>4.9836885308439036E-3</v>
      </c>
      <c r="AI306" s="375">
        <v>9.8149221445264032E-3</v>
      </c>
      <c r="AJ306" s="372">
        <v>258.39999999999998</v>
      </c>
      <c r="AK306" s="376">
        <v>5.0309597523218062E-3</v>
      </c>
      <c r="AL306" s="376">
        <v>-4.7271221477902629E-5</v>
      </c>
      <c r="AM306" s="412">
        <v>250.37796954314732</v>
      </c>
    </row>
    <row r="307" spans="2:39" s="377" customFormat="1" ht="28.15" customHeight="1" x14ac:dyDescent="0.25">
      <c r="B307" s="369">
        <v>43313</v>
      </c>
      <c r="C307" s="370">
        <v>251960.14063099999</v>
      </c>
      <c r="D307" s="370">
        <v>35668.46</v>
      </c>
      <c r="E307" s="371">
        <v>0</v>
      </c>
      <c r="F307" s="371">
        <v>0</v>
      </c>
      <c r="G307" s="371">
        <v>14768</v>
      </c>
      <c r="H307" s="371"/>
      <c r="I307" s="371"/>
      <c r="J307" s="371"/>
      <c r="K307" s="371"/>
      <c r="L307" s="371"/>
      <c r="M307" s="371">
        <v>650000</v>
      </c>
      <c r="N307" s="371">
        <v>44000</v>
      </c>
      <c r="O307" s="371">
        <v>1600</v>
      </c>
      <c r="P307" s="371">
        <f t="shared" si="5"/>
        <v>91683</v>
      </c>
      <c r="Q307" s="371">
        <v>-59552</v>
      </c>
      <c r="R307" s="372">
        <v>266728.14063099999</v>
      </c>
      <c r="S307" s="400">
        <v>227499.03</v>
      </c>
      <c r="T307" s="400">
        <v>33290.449999999997</v>
      </c>
      <c r="U307" s="400">
        <v>0</v>
      </c>
      <c r="V307" s="400">
        <v>1822.18</v>
      </c>
      <c r="W307" s="372">
        <v>229321.21</v>
      </c>
      <c r="X307" s="373">
        <v>262611.65999999997</v>
      </c>
      <c r="Y307" s="372">
        <v>302396.60063100001</v>
      </c>
      <c r="Z307" s="373">
        <v>1030127.600631</v>
      </c>
      <c r="AA307" s="400">
        <v>1308.9981310000003</v>
      </c>
      <c r="AB307" s="400">
        <v>91</v>
      </c>
      <c r="AC307" s="400">
        <v>0</v>
      </c>
      <c r="AD307" s="400">
        <v>-91</v>
      </c>
      <c r="AE307" s="372">
        <v>1217.9981310000003</v>
      </c>
      <c r="AF307" s="372">
        <v>1308.9981310000003</v>
      </c>
      <c r="AG307" s="400">
        <v>-0.31999999999999318</v>
      </c>
      <c r="AH307" s="374">
        <v>4.5664403017940912E-3</v>
      </c>
      <c r="AI307" s="375">
        <v>2.5512735901690176E-3</v>
      </c>
      <c r="AJ307" s="372">
        <v>258.08</v>
      </c>
      <c r="AK307" s="376">
        <v>-1.2399256044637059E-3</v>
      </c>
      <c r="AL307" s="376">
        <v>5.8063659062577971E-3</v>
      </c>
      <c r="AM307" s="412">
        <v>250.39314720812192</v>
      </c>
    </row>
    <row r="308" spans="2:39" s="377" customFormat="1" ht="28.15" customHeight="1" x14ac:dyDescent="0.25">
      <c r="B308" s="369">
        <v>43314</v>
      </c>
      <c r="C308" s="370">
        <v>250607.56588499999</v>
      </c>
      <c r="D308" s="370">
        <v>35613.68</v>
      </c>
      <c r="E308" s="371">
        <v>0</v>
      </c>
      <c r="F308" s="371">
        <v>0</v>
      </c>
      <c r="G308" s="371">
        <v>14806</v>
      </c>
      <c r="H308" s="371"/>
      <c r="I308" s="371"/>
      <c r="J308" s="371"/>
      <c r="K308" s="371"/>
      <c r="L308" s="371"/>
      <c r="M308" s="371">
        <v>650000</v>
      </c>
      <c r="N308" s="371">
        <v>44000</v>
      </c>
      <c r="O308" s="371">
        <v>1600</v>
      </c>
      <c r="P308" s="371">
        <f t="shared" si="5"/>
        <v>91683</v>
      </c>
      <c r="Q308" s="371">
        <v>-59552</v>
      </c>
      <c r="R308" s="372">
        <v>265413.56588499999</v>
      </c>
      <c r="S308" s="400">
        <v>227499.03</v>
      </c>
      <c r="T308" s="400">
        <v>33290.449999999997</v>
      </c>
      <c r="U308" s="400">
        <v>0</v>
      </c>
      <c r="V308" s="400">
        <v>1822.18</v>
      </c>
      <c r="W308" s="372">
        <v>229321.21</v>
      </c>
      <c r="X308" s="373">
        <v>262611.65999999997</v>
      </c>
      <c r="Y308" s="372">
        <v>301027.24588499998</v>
      </c>
      <c r="Z308" s="373">
        <v>1028758.2458850001</v>
      </c>
      <c r="AA308" s="400">
        <v>-1352.5747459999984</v>
      </c>
      <c r="AB308" s="400">
        <v>-54.779999999998836</v>
      </c>
      <c r="AC308" s="400">
        <v>0</v>
      </c>
      <c r="AD308" s="400">
        <v>38</v>
      </c>
      <c r="AE308" s="372">
        <v>-1314.5747459999984</v>
      </c>
      <c r="AF308" s="372">
        <v>-1369.3547459999972</v>
      </c>
      <c r="AG308" s="400">
        <v>1.3100000000000023</v>
      </c>
      <c r="AH308" s="374">
        <v>-4.9529297480204364E-3</v>
      </c>
      <c r="AI308" s="375">
        <v>-1.5381729717344245E-3</v>
      </c>
      <c r="AJ308" s="372">
        <v>259.39</v>
      </c>
      <c r="AK308" s="376">
        <v>5.0503103434982165E-3</v>
      </c>
      <c r="AL308" s="376">
        <v>-1.0003240091518654E-2</v>
      </c>
      <c r="AM308" s="412">
        <v>250.41142131979706</v>
      </c>
    </row>
    <row r="309" spans="2:39" s="377" customFormat="1" ht="28.15" customHeight="1" x14ac:dyDescent="0.25">
      <c r="B309" s="369">
        <v>43315</v>
      </c>
      <c r="C309" s="370">
        <v>250083.322529</v>
      </c>
      <c r="D309" s="370">
        <v>35613.68</v>
      </c>
      <c r="E309" s="371">
        <v>0</v>
      </c>
      <c r="F309" s="371">
        <v>0</v>
      </c>
      <c r="G309" s="371">
        <v>14806</v>
      </c>
      <c r="H309" s="371"/>
      <c r="I309" s="371"/>
      <c r="J309" s="371"/>
      <c r="K309" s="371"/>
      <c r="L309" s="371"/>
      <c r="M309" s="371">
        <v>650000</v>
      </c>
      <c r="N309" s="371">
        <v>44000</v>
      </c>
      <c r="O309" s="371">
        <v>1600</v>
      </c>
      <c r="P309" s="371">
        <f t="shared" si="5"/>
        <v>91683</v>
      </c>
      <c r="Q309" s="371">
        <v>-59552</v>
      </c>
      <c r="R309" s="372">
        <v>264889.322529</v>
      </c>
      <c r="S309" s="400">
        <v>227499.03</v>
      </c>
      <c r="T309" s="400">
        <v>33290.449999999997</v>
      </c>
      <c r="U309" s="400">
        <v>0</v>
      </c>
      <c r="V309" s="400">
        <v>1822.18</v>
      </c>
      <c r="W309" s="372">
        <v>229321.21</v>
      </c>
      <c r="X309" s="373">
        <v>262611.65999999997</v>
      </c>
      <c r="Y309" s="372">
        <v>300503.00252899999</v>
      </c>
      <c r="Z309" s="373">
        <v>1028234.0025289999</v>
      </c>
      <c r="AA309" s="400">
        <v>-524.24335599999176</v>
      </c>
      <c r="AB309" s="400">
        <v>0</v>
      </c>
      <c r="AC309" s="400">
        <v>0</v>
      </c>
      <c r="AD309" s="400">
        <v>0</v>
      </c>
      <c r="AE309" s="372">
        <v>-524.24335599999176</v>
      </c>
      <c r="AF309" s="372">
        <v>-524.24335599999176</v>
      </c>
      <c r="AG309" s="400">
        <v>1.2700000000000387</v>
      </c>
      <c r="AH309" s="374">
        <v>-1.9791033892753371E-3</v>
      </c>
      <c r="AI309" s="375">
        <v>0</v>
      </c>
      <c r="AJ309" s="372">
        <v>260.66000000000003</v>
      </c>
      <c r="AK309" s="376">
        <v>4.8722473720556993E-3</v>
      </c>
      <c r="AL309" s="376">
        <v>-6.8513507613310364E-3</v>
      </c>
      <c r="AM309" s="412">
        <v>250.42385786802041</v>
      </c>
    </row>
    <row r="310" spans="2:39" s="377" customFormat="1" ht="28.15" customHeight="1" x14ac:dyDescent="0.25">
      <c r="B310" s="378">
        <v>43316</v>
      </c>
      <c r="C310" s="370">
        <v>250083.322529</v>
      </c>
      <c r="D310" s="370">
        <v>35613.68</v>
      </c>
      <c r="E310" s="371">
        <v>0</v>
      </c>
      <c r="F310" s="371">
        <v>0</v>
      </c>
      <c r="G310" s="371">
        <v>14806</v>
      </c>
      <c r="H310" s="371"/>
      <c r="I310" s="371"/>
      <c r="J310" s="371"/>
      <c r="K310" s="371"/>
      <c r="L310" s="371"/>
      <c r="M310" s="371">
        <v>650000</v>
      </c>
      <c r="N310" s="371">
        <v>44000</v>
      </c>
      <c r="O310" s="371">
        <v>1600</v>
      </c>
      <c r="P310" s="371">
        <f t="shared" si="5"/>
        <v>91683</v>
      </c>
      <c r="Q310" s="371">
        <v>-59552</v>
      </c>
      <c r="R310" s="372">
        <v>264889.322529</v>
      </c>
      <c r="S310" s="400">
        <v>227499.03</v>
      </c>
      <c r="T310" s="400">
        <v>33290.449999999997</v>
      </c>
      <c r="U310" s="400">
        <v>0</v>
      </c>
      <c r="V310" s="400">
        <v>1822.18</v>
      </c>
      <c r="W310" s="372">
        <v>229321.21</v>
      </c>
      <c r="X310" s="373">
        <v>262611.65999999997</v>
      </c>
      <c r="Y310" s="372">
        <v>300503.00252899999</v>
      </c>
      <c r="Z310" s="373">
        <v>1028234.0025289999</v>
      </c>
      <c r="AA310" s="400">
        <v>0</v>
      </c>
      <c r="AB310" s="400">
        <v>0</v>
      </c>
      <c r="AC310" s="400">
        <v>0</v>
      </c>
      <c r="AD310" s="400">
        <v>0</v>
      </c>
      <c r="AE310" s="372">
        <v>0</v>
      </c>
      <c r="AF310" s="372">
        <v>0</v>
      </c>
      <c r="AG310" s="400">
        <v>0</v>
      </c>
      <c r="AH310" s="374">
        <v>0</v>
      </c>
      <c r="AI310" s="375">
        <v>0</v>
      </c>
      <c r="AJ310" s="372">
        <v>260.66000000000003</v>
      </c>
      <c r="AK310" s="376">
        <v>0</v>
      </c>
      <c r="AL310" s="376">
        <v>0</v>
      </c>
      <c r="AM310" s="412">
        <v>250.44451776649757</v>
      </c>
    </row>
    <row r="311" spans="2:39" s="377" customFormat="1" ht="28.15" customHeight="1" x14ac:dyDescent="0.25">
      <c r="B311" s="378">
        <v>43317</v>
      </c>
      <c r="C311" s="370">
        <v>250083.322529</v>
      </c>
      <c r="D311" s="370">
        <v>35613.68</v>
      </c>
      <c r="E311" s="371">
        <v>0</v>
      </c>
      <c r="F311" s="371">
        <v>0</v>
      </c>
      <c r="G311" s="371">
        <v>14806</v>
      </c>
      <c r="H311" s="371"/>
      <c r="I311" s="371"/>
      <c r="J311" s="371"/>
      <c r="K311" s="371"/>
      <c r="L311" s="371"/>
      <c r="M311" s="371">
        <v>650000</v>
      </c>
      <c r="N311" s="371">
        <v>44000</v>
      </c>
      <c r="O311" s="371">
        <v>1600</v>
      </c>
      <c r="P311" s="371">
        <f t="shared" si="5"/>
        <v>91683</v>
      </c>
      <c r="Q311" s="371">
        <v>-59552</v>
      </c>
      <c r="R311" s="372">
        <v>264889.322529</v>
      </c>
      <c r="S311" s="400">
        <v>227499.03</v>
      </c>
      <c r="T311" s="400">
        <v>33290.449999999997</v>
      </c>
      <c r="U311" s="400">
        <v>0</v>
      </c>
      <c r="V311" s="400">
        <v>1822.18</v>
      </c>
      <c r="W311" s="372">
        <v>229321.21</v>
      </c>
      <c r="X311" s="373">
        <v>262611.65999999997</v>
      </c>
      <c r="Y311" s="372">
        <v>300503.00252899999</v>
      </c>
      <c r="Z311" s="373">
        <v>1028234.0025289999</v>
      </c>
      <c r="AA311" s="400">
        <v>0</v>
      </c>
      <c r="AB311" s="400">
        <v>0</v>
      </c>
      <c r="AC311" s="400">
        <v>0</v>
      </c>
      <c r="AD311" s="400">
        <v>0</v>
      </c>
      <c r="AE311" s="372">
        <v>0</v>
      </c>
      <c r="AF311" s="372">
        <v>0</v>
      </c>
      <c r="AG311" s="400">
        <v>0</v>
      </c>
      <c r="AH311" s="374">
        <v>0</v>
      </c>
      <c r="AI311" s="375">
        <v>0</v>
      </c>
      <c r="AJ311" s="372">
        <v>260.66000000000003</v>
      </c>
      <c r="AK311" s="376">
        <v>0</v>
      </c>
      <c r="AL311" s="376">
        <v>0</v>
      </c>
      <c r="AM311" s="412">
        <v>250.45964467005089</v>
      </c>
    </row>
    <row r="312" spans="2:39" s="377" customFormat="1" ht="28.15" customHeight="1" x14ac:dyDescent="0.25">
      <c r="B312" s="369">
        <v>43318</v>
      </c>
      <c r="C312" s="370">
        <v>250476.50504600001</v>
      </c>
      <c r="D312" s="370">
        <v>35613.68</v>
      </c>
      <c r="E312" s="371">
        <v>0</v>
      </c>
      <c r="F312" s="371">
        <v>0</v>
      </c>
      <c r="G312" s="371">
        <v>14806</v>
      </c>
      <c r="H312" s="371"/>
      <c r="I312" s="371"/>
      <c r="J312" s="371"/>
      <c r="K312" s="371"/>
      <c r="L312" s="371"/>
      <c r="M312" s="371">
        <v>650000</v>
      </c>
      <c r="N312" s="371">
        <v>44000</v>
      </c>
      <c r="O312" s="371">
        <v>1600</v>
      </c>
      <c r="P312" s="371">
        <f t="shared" si="5"/>
        <v>91683</v>
      </c>
      <c r="Q312" s="371">
        <v>-59552</v>
      </c>
      <c r="R312" s="372">
        <v>265282.50504600001</v>
      </c>
      <c r="S312" s="400">
        <v>227499.03</v>
      </c>
      <c r="T312" s="400">
        <v>33290.449999999997</v>
      </c>
      <c r="U312" s="400">
        <v>0</v>
      </c>
      <c r="V312" s="400">
        <v>1822.18</v>
      </c>
      <c r="W312" s="372">
        <v>229321.21</v>
      </c>
      <c r="X312" s="373">
        <v>262611.65999999997</v>
      </c>
      <c r="Y312" s="372">
        <v>300896.185046</v>
      </c>
      <c r="Z312" s="373">
        <v>1028627.1850459999</v>
      </c>
      <c r="AA312" s="400">
        <v>393.18251700000837</v>
      </c>
      <c r="AB312" s="400">
        <v>0</v>
      </c>
      <c r="AC312" s="400">
        <v>0</v>
      </c>
      <c r="AD312" s="400">
        <v>0</v>
      </c>
      <c r="AE312" s="372">
        <v>393.18251700000837</v>
      </c>
      <c r="AF312" s="372">
        <v>393.18251700000837</v>
      </c>
      <c r="AG312" s="400">
        <v>0.97999999999996135</v>
      </c>
      <c r="AH312" s="374">
        <v>1.482127579170102E-3</v>
      </c>
      <c r="AI312" s="375">
        <v>0</v>
      </c>
      <c r="AJ312" s="372">
        <v>261.64</v>
      </c>
      <c r="AK312" s="376">
        <v>3.7456046476072521E-3</v>
      </c>
      <c r="AL312" s="376">
        <v>-2.2634770684371499E-3</v>
      </c>
      <c r="AM312" s="412">
        <v>250.47477157360416</v>
      </c>
    </row>
    <row r="313" spans="2:39" s="377" customFormat="1" ht="28.15" customHeight="1" x14ac:dyDescent="0.25">
      <c r="B313" s="369">
        <v>43319</v>
      </c>
      <c r="C313" s="370">
        <v>250813.51863199999</v>
      </c>
      <c r="D313" s="370">
        <v>35613.68</v>
      </c>
      <c r="E313" s="371">
        <v>0</v>
      </c>
      <c r="F313" s="371">
        <v>0</v>
      </c>
      <c r="G313" s="371">
        <v>14806</v>
      </c>
      <c r="H313" s="371"/>
      <c r="I313" s="371"/>
      <c r="J313" s="371"/>
      <c r="K313" s="371"/>
      <c r="L313" s="371"/>
      <c r="M313" s="371">
        <v>650000</v>
      </c>
      <c r="N313" s="371">
        <v>44000</v>
      </c>
      <c r="O313" s="371">
        <v>1600</v>
      </c>
      <c r="P313" s="371">
        <f t="shared" si="5"/>
        <v>91683</v>
      </c>
      <c r="Q313" s="371">
        <v>-59552</v>
      </c>
      <c r="R313" s="372">
        <v>265619.51863199996</v>
      </c>
      <c r="S313" s="400">
        <v>227499.03</v>
      </c>
      <c r="T313" s="400">
        <v>33290.449999999997</v>
      </c>
      <c r="U313" s="400">
        <v>0</v>
      </c>
      <c r="V313" s="400">
        <v>1822.18</v>
      </c>
      <c r="W313" s="372">
        <v>229321.21</v>
      </c>
      <c r="X313" s="373">
        <v>262611.65999999997</v>
      </c>
      <c r="Y313" s="372">
        <v>301233.19863200001</v>
      </c>
      <c r="Z313" s="373">
        <v>1028964.198632</v>
      </c>
      <c r="AA313" s="400">
        <v>337.01358599998639</v>
      </c>
      <c r="AB313" s="400">
        <v>0</v>
      </c>
      <c r="AC313" s="400">
        <v>0</v>
      </c>
      <c r="AD313" s="400">
        <v>0</v>
      </c>
      <c r="AE313" s="372">
        <v>337.01358599998639</v>
      </c>
      <c r="AF313" s="372">
        <v>337.01358599998639</v>
      </c>
      <c r="AG313" s="400">
        <v>0.73000000000001819</v>
      </c>
      <c r="AH313" s="374">
        <v>1.2687832119253957E-3</v>
      </c>
      <c r="AI313" s="375">
        <v>0</v>
      </c>
      <c r="AJ313" s="372">
        <v>262.37</v>
      </c>
      <c r="AK313" s="376">
        <v>2.7823302969090147E-3</v>
      </c>
      <c r="AL313" s="376">
        <v>-1.513547084983619E-3</v>
      </c>
      <c r="AM313" s="412">
        <v>250.49487309644681</v>
      </c>
    </row>
    <row r="314" spans="2:39" s="377" customFormat="1" ht="28.15" customHeight="1" x14ac:dyDescent="0.25">
      <c r="B314" s="369">
        <v>43320</v>
      </c>
      <c r="C314" s="370">
        <v>251749.66748199999</v>
      </c>
      <c r="D314" s="370">
        <v>35613.68</v>
      </c>
      <c r="E314" s="371">
        <v>0</v>
      </c>
      <c r="F314" s="371">
        <v>0</v>
      </c>
      <c r="G314" s="371">
        <v>14806</v>
      </c>
      <c r="H314" s="371"/>
      <c r="I314" s="371"/>
      <c r="J314" s="371"/>
      <c r="K314" s="371"/>
      <c r="L314" s="371"/>
      <c r="M314" s="371">
        <v>650000</v>
      </c>
      <c r="N314" s="371">
        <v>44000</v>
      </c>
      <c r="O314" s="371">
        <v>1600</v>
      </c>
      <c r="P314" s="371">
        <f t="shared" si="5"/>
        <v>91683</v>
      </c>
      <c r="Q314" s="371">
        <v>-59552</v>
      </c>
      <c r="R314" s="372">
        <v>266555.66748199996</v>
      </c>
      <c r="S314" s="400">
        <v>227499.03</v>
      </c>
      <c r="T314" s="400">
        <v>33290.449999999997</v>
      </c>
      <c r="U314" s="400">
        <v>0</v>
      </c>
      <c r="V314" s="400">
        <v>1822.18</v>
      </c>
      <c r="W314" s="372">
        <v>229321.21</v>
      </c>
      <c r="X314" s="373">
        <v>262611.65999999997</v>
      </c>
      <c r="Y314" s="372">
        <v>302169.34748200001</v>
      </c>
      <c r="Z314" s="373">
        <v>1029900.347482</v>
      </c>
      <c r="AA314" s="400">
        <v>936.14884999999776</v>
      </c>
      <c r="AB314" s="400">
        <v>0</v>
      </c>
      <c r="AC314" s="400">
        <v>0</v>
      </c>
      <c r="AD314" s="400">
        <v>0</v>
      </c>
      <c r="AE314" s="372">
        <v>936.14884999999776</v>
      </c>
      <c r="AF314" s="372">
        <v>936.14884999999776</v>
      </c>
      <c r="AG314" s="400">
        <v>-0.13999999999998636</v>
      </c>
      <c r="AH314" s="374">
        <v>3.5120200551099303E-3</v>
      </c>
      <c r="AI314" s="375">
        <v>0</v>
      </c>
      <c r="AJ314" s="372">
        <v>262.23</v>
      </c>
      <c r="AK314" s="376">
        <v>-5.3388246958771437E-4</v>
      </c>
      <c r="AL314" s="376">
        <v>4.0459025246976444E-3</v>
      </c>
      <c r="AM314" s="412">
        <v>250.50817258883259</v>
      </c>
    </row>
    <row r="315" spans="2:39" s="377" customFormat="1" ht="28.15" customHeight="1" x14ac:dyDescent="0.25">
      <c r="B315" s="369">
        <v>43321</v>
      </c>
      <c r="C315" s="370">
        <v>257650.54200000002</v>
      </c>
      <c r="D315" s="370">
        <v>35592.68</v>
      </c>
      <c r="E315" s="371">
        <v>0</v>
      </c>
      <c r="F315" s="371">
        <v>0</v>
      </c>
      <c r="G315" s="371">
        <v>14793</v>
      </c>
      <c r="H315" s="371"/>
      <c r="I315" s="371"/>
      <c r="J315" s="371"/>
      <c r="K315" s="371"/>
      <c r="L315" s="371"/>
      <c r="M315" s="371">
        <v>650000</v>
      </c>
      <c r="N315" s="371">
        <v>44000</v>
      </c>
      <c r="O315" s="371">
        <v>1600</v>
      </c>
      <c r="P315" s="371">
        <f t="shared" si="5"/>
        <v>91683</v>
      </c>
      <c r="Q315" s="371">
        <v>-59280</v>
      </c>
      <c r="R315" s="372">
        <v>272443.54200000002</v>
      </c>
      <c r="S315" s="400">
        <v>227499.03</v>
      </c>
      <c r="T315" s="400">
        <v>33290.449999999997</v>
      </c>
      <c r="U315" s="400">
        <v>0</v>
      </c>
      <c r="V315" s="400">
        <v>1822.18</v>
      </c>
      <c r="W315" s="372">
        <v>229321.21</v>
      </c>
      <c r="X315" s="373">
        <v>262611.65999999997</v>
      </c>
      <c r="Y315" s="372">
        <v>308036.22200000001</v>
      </c>
      <c r="Z315" s="373">
        <v>1036039.2220000001</v>
      </c>
      <c r="AA315" s="400">
        <v>5900.874518000026</v>
      </c>
      <c r="AB315" s="400">
        <v>-21</v>
      </c>
      <c r="AC315" s="400">
        <v>0</v>
      </c>
      <c r="AD315" s="400">
        <v>-13</v>
      </c>
      <c r="AE315" s="372">
        <v>5887.874518000026</v>
      </c>
      <c r="AF315" s="372">
        <v>5866.874518000026</v>
      </c>
      <c r="AG315" s="400">
        <v>-0.33000000000004093</v>
      </c>
      <c r="AH315" s="374">
        <v>2.1611356520977933E-2</v>
      </c>
      <c r="AI315" s="375">
        <v>-5.9000895689787902E-4</v>
      </c>
      <c r="AJ315" s="372">
        <v>261.89999999999998</v>
      </c>
      <c r="AK315" s="376">
        <v>-1.260022909507602E-3</v>
      </c>
      <c r="AL315" s="376">
        <v>2.2871379430485533E-2</v>
      </c>
      <c r="AM315" s="412">
        <v>250.51776649746205</v>
      </c>
    </row>
    <row r="316" spans="2:39" s="377" customFormat="1" ht="28.15" customHeight="1" x14ac:dyDescent="0.25">
      <c r="B316" s="369">
        <v>43322</v>
      </c>
      <c r="C316" s="370">
        <v>259090.36200000002</v>
      </c>
      <c r="D316" s="370">
        <v>35592.68</v>
      </c>
      <c r="E316" s="371">
        <v>0</v>
      </c>
      <c r="F316" s="371">
        <v>0</v>
      </c>
      <c r="G316" s="371">
        <v>14793</v>
      </c>
      <c r="H316" s="371"/>
      <c r="I316" s="371"/>
      <c r="J316" s="371"/>
      <c r="K316" s="371"/>
      <c r="L316" s="371"/>
      <c r="M316" s="371">
        <v>650000</v>
      </c>
      <c r="N316" s="371">
        <v>44000</v>
      </c>
      <c r="O316" s="371">
        <v>1600</v>
      </c>
      <c r="P316" s="371">
        <f t="shared" si="5"/>
        <v>91683</v>
      </c>
      <c r="Q316" s="379">
        <v>-59280</v>
      </c>
      <c r="R316" s="372">
        <v>273883.36200000002</v>
      </c>
      <c r="S316" s="400">
        <v>227499.03</v>
      </c>
      <c r="T316" s="400">
        <v>33290.449999999997</v>
      </c>
      <c r="U316" s="400">
        <v>0</v>
      </c>
      <c r="V316" s="400">
        <v>1822.18</v>
      </c>
      <c r="W316" s="372">
        <v>229321.21</v>
      </c>
      <c r="X316" s="373">
        <v>262611.65999999997</v>
      </c>
      <c r="Y316" s="372">
        <v>309476.04200000002</v>
      </c>
      <c r="Z316" s="373">
        <v>1037479.0419999999</v>
      </c>
      <c r="AA316" s="400">
        <v>1439.820000000007</v>
      </c>
      <c r="AB316" s="400">
        <v>0</v>
      </c>
      <c r="AC316" s="400">
        <v>0</v>
      </c>
      <c r="AD316" s="400">
        <v>0</v>
      </c>
      <c r="AE316" s="372">
        <v>1439.820000000007</v>
      </c>
      <c r="AF316" s="372">
        <v>1439.820000000007</v>
      </c>
      <c r="AG316" s="400">
        <v>-1.7799999999999727</v>
      </c>
      <c r="AH316" s="374">
        <v>5.2570553738127655E-3</v>
      </c>
      <c r="AI316" s="375">
        <v>0</v>
      </c>
      <c r="AJ316" s="372">
        <v>260.12</v>
      </c>
      <c r="AK316" s="376">
        <v>-6.8429955405196552E-3</v>
      </c>
      <c r="AL316" s="376">
        <v>1.210005091433242E-2</v>
      </c>
      <c r="AM316" s="412">
        <v>250.52634517766509</v>
      </c>
    </row>
    <row r="317" spans="2:39" s="377" customFormat="1" ht="28.15" customHeight="1" x14ac:dyDescent="0.25">
      <c r="B317" s="378">
        <v>43323</v>
      </c>
      <c r="C317" s="370">
        <v>259090.36200000002</v>
      </c>
      <c r="D317" s="370">
        <v>35592.68</v>
      </c>
      <c r="E317" s="371">
        <v>0</v>
      </c>
      <c r="F317" s="371">
        <v>0</v>
      </c>
      <c r="G317" s="371">
        <v>14793</v>
      </c>
      <c r="H317" s="371"/>
      <c r="I317" s="371"/>
      <c r="J317" s="371"/>
      <c r="K317" s="371"/>
      <c r="L317" s="371"/>
      <c r="M317" s="371">
        <v>650000</v>
      </c>
      <c r="N317" s="371">
        <v>44000</v>
      </c>
      <c r="O317" s="371">
        <v>1600</v>
      </c>
      <c r="P317" s="371">
        <f t="shared" si="5"/>
        <v>91683</v>
      </c>
      <c r="Q317" s="379">
        <v>-59280</v>
      </c>
      <c r="R317" s="372">
        <v>273883.36200000002</v>
      </c>
      <c r="S317" s="400">
        <v>227499.03</v>
      </c>
      <c r="T317" s="400">
        <v>33290.449999999997</v>
      </c>
      <c r="U317" s="400">
        <v>0</v>
      </c>
      <c r="V317" s="400">
        <v>1822.18</v>
      </c>
      <c r="W317" s="372">
        <v>229321.21</v>
      </c>
      <c r="X317" s="373">
        <v>262611.65999999997</v>
      </c>
      <c r="Y317" s="372">
        <v>309476.04200000002</v>
      </c>
      <c r="Z317" s="373">
        <v>1037479.0419999999</v>
      </c>
      <c r="AA317" s="400">
        <v>0</v>
      </c>
      <c r="AB317" s="400">
        <v>0</v>
      </c>
      <c r="AC317" s="400">
        <v>0</v>
      </c>
      <c r="AD317" s="400">
        <v>0</v>
      </c>
      <c r="AE317" s="372">
        <v>0</v>
      </c>
      <c r="AF317" s="372">
        <v>0</v>
      </c>
      <c r="AG317" s="400">
        <v>0</v>
      </c>
      <c r="AH317" s="374">
        <v>0</v>
      </c>
      <c r="AI317" s="375">
        <v>0</v>
      </c>
      <c r="AJ317" s="372">
        <v>260.12</v>
      </c>
      <c r="AK317" s="376">
        <v>0</v>
      </c>
      <c r="AL317" s="376">
        <v>0</v>
      </c>
      <c r="AM317" s="412">
        <v>250.52527918781738</v>
      </c>
    </row>
    <row r="318" spans="2:39" s="377" customFormat="1" ht="28.15" customHeight="1" x14ac:dyDescent="0.25">
      <c r="B318" s="378">
        <v>43324</v>
      </c>
      <c r="C318" s="370">
        <v>259090.36200000002</v>
      </c>
      <c r="D318" s="370">
        <v>35592.68</v>
      </c>
      <c r="E318" s="371">
        <v>0</v>
      </c>
      <c r="F318" s="371">
        <v>0</v>
      </c>
      <c r="G318" s="371">
        <v>14793</v>
      </c>
      <c r="H318" s="371"/>
      <c r="I318" s="371"/>
      <c r="J318" s="371"/>
      <c r="K318" s="371"/>
      <c r="L318" s="371"/>
      <c r="M318" s="371">
        <v>650000</v>
      </c>
      <c r="N318" s="371">
        <v>44000</v>
      </c>
      <c r="O318" s="371">
        <v>1600</v>
      </c>
      <c r="P318" s="371">
        <f t="shared" si="5"/>
        <v>91683</v>
      </c>
      <c r="Q318" s="379">
        <v>-59280</v>
      </c>
      <c r="R318" s="372">
        <v>273883.36200000002</v>
      </c>
      <c r="S318" s="400">
        <v>227499.03</v>
      </c>
      <c r="T318" s="400">
        <v>33290.449999999997</v>
      </c>
      <c r="U318" s="400">
        <v>0</v>
      </c>
      <c r="V318" s="400">
        <v>1822.18</v>
      </c>
      <c r="W318" s="372">
        <v>229321.21</v>
      </c>
      <c r="X318" s="373">
        <v>262611.65999999997</v>
      </c>
      <c r="Y318" s="372">
        <v>309476.04200000002</v>
      </c>
      <c r="Z318" s="373">
        <v>1037479.0419999999</v>
      </c>
      <c r="AA318" s="400">
        <v>0</v>
      </c>
      <c r="AB318" s="400">
        <v>0</v>
      </c>
      <c r="AC318" s="400">
        <v>0</v>
      </c>
      <c r="AD318" s="400">
        <v>0</v>
      </c>
      <c r="AE318" s="372">
        <v>0</v>
      </c>
      <c r="AF318" s="372">
        <v>0</v>
      </c>
      <c r="AG318" s="400">
        <v>0</v>
      </c>
      <c r="AH318" s="374">
        <v>0</v>
      </c>
      <c r="AI318" s="375">
        <v>0</v>
      </c>
      <c r="AJ318" s="372">
        <v>260.12</v>
      </c>
      <c r="AK318" s="376">
        <v>0</v>
      </c>
      <c r="AL318" s="376">
        <v>0</v>
      </c>
      <c r="AM318" s="412">
        <v>250.50883248730977</v>
      </c>
    </row>
    <row r="319" spans="2:39" s="377" customFormat="1" ht="28.15" customHeight="1" x14ac:dyDescent="0.25">
      <c r="B319" s="369">
        <v>43325</v>
      </c>
      <c r="C319" s="370">
        <v>259416.72120000003</v>
      </c>
      <c r="D319" s="370">
        <v>35592.68</v>
      </c>
      <c r="E319" s="371">
        <v>0</v>
      </c>
      <c r="F319" s="371">
        <v>0</v>
      </c>
      <c r="G319" s="371">
        <v>14793</v>
      </c>
      <c r="H319" s="371">
        <v>75</v>
      </c>
      <c r="I319" s="371"/>
      <c r="J319" s="371"/>
      <c r="K319" s="371"/>
      <c r="L319" s="371"/>
      <c r="M319" s="371">
        <v>650000</v>
      </c>
      <c r="N319" s="371">
        <v>44000</v>
      </c>
      <c r="O319" s="371">
        <v>1600</v>
      </c>
      <c r="P319" s="371">
        <f t="shared" si="5"/>
        <v>91683</v>
      </c>
      <c r="Q319" s="379">
        <v>-59280</v>
      </c>
      <c r="R319" s="372">
        <v>274209.72120000003</v>
      </c>
      <c r="S319" s="400">
        <v>227574.03</v>
      </c>
      <c r="T319" s="400">
        <v>33290.449999999997</v>
      </c>
      <c r="U319" s="400">
        <v>0</v>
      </c>
      <c r="V319" s="400">
        <v>1822.18</v>
      </c>
      <c r="W319" s="372">
        <v>229396.21</v>
      </c>
      <c r="X319" s="373">
        <v>262686.65999999997</v>
      </c>
      <c r="Y319" s="372">
        <v>309802.40120000002</v>
      </c>
      <c r="Z319" s="373">
        <v>1037805.4012</v>
      </c>
      <c r="AA319" s="400">
        <v>251.35920000000624</v>
      </c>
      <c r="AB319" s="400">
        <v>0</v>
      </c>
      <c r="AC319" s="400">
        <v>0</v>
      </c>
      <c r="AD319" s="400">
        <v>0</v>
      </c>
      <c r="AE319" s="372">
        <v>251.35920000000624</v>
      </c>
      <c r="AF319" s="372">
        <v>251.35920000000624</v>
      </c>
      <c r="AG319" s="400">
        <v>-0.98000000000001819</v>
      </c>
      <c r="AH319" s="374">
        <v>9.1666772023984034E-4</v>
      </c>
      <c r="AI319" s="375">
        <v>0</v>
      </c>
      <c r="AJ319" s="372">
        <v>259.14</v>
      </c>
      <c r="AK319" s="376">
        <v>-3.7817396002161698E-3</v>
      </c>
      <c r="AL319" s="376">
        <v>4.6984073204560106E-3</v>
      </c>
      <c r="AM319" s="412">
        <v>250.4923857868022</v>
      </c>
    </row>
    <row r="320" spans="2:39" s="377" customFormat="1" ht="28.15" customHeight="1" x14ac:dyDescent="0.25">
      <c r="B320" s="369">
        <v>43326</v>
      </c>
      <c r="C320" s="370">
        <v>258802.39800000002</v>
      </c>
      <c r="D320" s="370">
        <v>35592.68</v>
      </c>
      <c r="E320" s="371">
        <v>0</v>
      </c>
      <c r="F320" s="371">
        <v>0</v>
      </c>
      <c r="G320" s="371">
        <v>14793</v>
      </c>
      <c r="H320" s="371"/>
      <c r="I320" s="371"/>
      <c r="J320" s="371"/>
      <c r="K320" s="371"/>
      <c r="L320" s="371"/>
      <c r="M320" s="371">
        <v>650000</v>
      </c>
      <c r="N320" s="371">
        <v>44000</v>
      </c>
      <c r="O320" s="371">
        <v>1600</v>
      </c>
      <c r="P320" s="371">
        <f t="shared" si="5"/>
        <v>91683</v>
      </c>
      <c r="Q320" s="379">
        <v>-59280</v>
      </c>
      <c r="R320" s="372">
        <v>273595.39800000004</v>
      </c>
      <c r="S320" s="400">
        <v>227574.03</v>
      </c>
      <c r="T320" s="400">
        <v>33290.449999999997</v>
      </c>
      <c r="U320" s="400">
        <v>0</v>
      </c>
      <c r="V320" s="400">
        <v>1822.18</v>
      </c>
      <c r="W320" s="372">
        <v>229396.21</v>
      </c>
      <c r="X320" s="373">
        <v>262686.65999999997</v>
      </c>
      <c r="Y320" s="372">
        <v>309188.07800000004</v>
      </c>
      <c r="Z320" s="373">
        <v>1037191.078</v>
      </c>
      <c r="AA320" s="400">
        <v>-614.32320000001346</v>
      </c>
      <c r="AB320" s="400">
        <v>0</v>
      </c>
      <c r="AC320" s="400">
        <v>0</v>
      </c>
      <c r="AD320" s="400">
        <v>0</v>
      </c>
      <c r="AE320" s="372">
        <v>-614.32320000001346</v>
      </c>
      <c r="AF320" s="372">
        <v>-614.32320000001346</v>
      </c>
      <c r="AG320" s="400">
        <v>1.6700000000000159</v>
      </c>
      <c r="AH320" s="374">
        <v>-2.2453711008692235E-3</v>
      </c>
      <c r="AI320" s="375">
        <v>0</v>
      </c>
      <c r="AJ320" s="372">
        <v>260.81</v>
      </c>
      <c r="AK320" s="376">
        <v>6.4031287143898469E-3</v>
      </c>
      <c r="AL320" s="376">
        <v>-8.6484998152590708E-3</v>
      </c>
      <c r="AM320" s="412">
        <v>250.47096446700522</v>
      </c>
    </row>
    <row r="321" spans="2:39" s="377" customFormat="1" ht="28.15" customHeight="1" x14ac:dyDescent="0.25">
      <c r="B321" s="369">
        <v>43327</v>
      </c>
      <c r="C321" s="370">
        <v>259819.87080000003</v>
      </c>
      <c r="D321" s="370">
        <v>35592.68</v>
      </c>
      <c r="E321" s="371">
        <v>0</v>
      </c>
      <c r="F321" s="371">
        <v>0</v>
      </c>
      <c r="G321" s="371">
        <v>14793</v>
      </c>
      <c r="H321" s="371"/>
      <c r="I321" s="371"/>
      <c r="J321" s="371"/>
      <c r="K321" s="371"/>
      <c r="L321" s="371"/>
      <c r="M321" s="371">
        <v>650000</v>
      </c>
      <c r="N321" s="371">
        <v>44000</v>
      </c>
      <c r="O321" s="371">
        <v>1600</v>
      </c>
      <c r="P321" s="371">
        <f t="shared" si="5"/>
        <v>91683</v>
      </c>
      <c r="Q321" s="379">
        <v>-59280</v>
      </c>
      <c r="R321" s="372">
        <v>274612.87080000003</v>
      </c>
      <c r="S321" s="400">
        <v>227574.03</v>
      </c>
      <c r="T321" s="400">
        <v>33290.449999999997</v>
      </c>
      <c r="U321" s="400">
        <v>0</v>
      </c>
      <c r="V321" s="400">
        <v>1822.18</v>
      </c>
      <c r="W321" s="372">
        <v>229396.21</v>
      </c>
      <c r="X321" s="373">
        <v>262686.65999999997</v>
      </c>
      <c r="Y321" s="372">
        <v>310205.55080000003</v>
      </c>
      <c r="Z321" s="373">
        <v>1038208.5508000001</v>
      </c>
      <c r="AA321" s="400">
        <v>1017.4728000000177</v>
      </c>
      <c r="AB321" s="400">
        <v>0</v>
      </c>
      <c r="AC321" s="400">
        <v>0</v>
      </c>
      <c r="AD321" s="400">
        <v>0</v>
      </c>
      <c r="AE321" s="372">
        <v>1017.4728000000177</v>
      </c>
      <c r="AF321" s="372">
        <v>1017.4728000000177</v>
      </c>
      <c r="AG321" s="400">
        <v>-1.9200000000000159</v>
      </c>
      <c r="AH321" s="374">
        <v>3.7051169416638195E-3</v>
      </c>
      <c r="AI321" s="375">
        <v>0</v>
      </c>
      <c r="AJ321" s="372">
        <v>258.89</v>
      </c>
      <c r="AK321" s="376">
        <v>-7.4162771833597898E-3</v>
      </c>
      <c r="AL321" s="376">
        <v>1.1121394125023609E-2</v>
      </c>
      <c r="AM321" s="412">
        <v>250.46725888324886</v>
      </c>
    </row>
    <row r="322" spans="2:39" s="377" customFormat="1" ht="28.15" customHeight="1" x14ac:dyDescent="0.25">
      <c r="B322" s="369">
        <v>43328</v>
      </c>
      <c r="C322" s="370">
        <v>259131.78052999999</v>
      </c>
      <c r="D322" s="370">
        <v>35666</v>
      </c>
      <c r="E322" s="371">
        <v>0</v>
      </c>
      <c r="F322" s="371">
        <v>0</v>
      </c>
      <c r="G322" s="371">
        <v>16357</v>
      </c>
      <c r="H322" s="371"/>
      <c r="I322" s="371"/>
      <c r="J322" s="371"/>
      <c r="K322" s="371"/>
      <c r="L322" s="371">
        <v>1822.18</v>
      </c>
      <c r="M322" s="371">
        <v>650000</v>
      </c>
      <c r="N322" s="371">
        <v>44000</v>
      </c>
      <c r="O322" s="371">
        <v>1600</v>
      </c>
      <c r="P322" s="371">
        <f t="shared" si="5"/>
        <v>91683</v>
      </c>
      <c r="Q322" s="379">
        <v>-59280</v>
      </c>
      <c r="R322" s="372">
        <v>275488.78052999999</v>
      </c>
      <c r="S322" s="400">
        <v>227574.03</v>
      </c>
      <c r="T322" s="400">
        <v>33290.449999999997</v>
      </c>
      <c r="U322" s="400">
        <v>0</v>
      </c>
      <c r="V322" s="400">
        <v>3644.36</v>
      </c>
      <c r="W322" s="372">
        <v>231218.38999999998</v>
      </c>
      <c r="X322" s="373">
        <v>264508.83999999997</v>
      </c>
      <c r="Y322" s="372">
        <v>311154.78052999999</v>
      </c>
      <c r="Z322" s="373">
        <v>1039157.7805300001</v>
      </c>
      <c r="AA322" s="400">
        <v>-688.09027000004426</v>
      </c>
      <c r="AB322" s="400">
        <v>73.319999999999709</v>
      </c>
      <c r="AC322" s="400">
        <v>0</v>
      </c>
      <c r="AD322" s="400">
        <v>-258.18000000000006</v>
      </c>
      <c r="AE322" s="372">
        <v>-946.27027000004432</v>
      </c>
      <c r="AF322" s="372">
        <v>-872.95027000004461</v>
      </c>
      <c r="AG322" s="400">
        <v>2.1000000000000227</v>
      </c>
      <c r="AH322" s="374">
        <v>-3.43487770420109E-3</v>
      </c>
      <c r="AI322" s="375">
        <v>2.0557393596141904E-3</v>
      </c>
      <c r="AJ322" s="372">
        <v>260.99</v>
      </c>
      <c r="AK322" s="376">
        <v>8.0462852982873777E-3</v>
      </c>
      <c r="AL322" s="376">
        <v>-1.1481163002488467E-2</v>
      </c>
      <c r="AM322" s="412">
        <v>250.46796954314732</v>
      </c>
    </row>
    <row r="323" spans="2:39" s="377" customFormat="1" ht="28.15" customHeight="1" x14ac:dyDescent="0.25">
      <c r="B323" s="369">
        <v>43329</v>
      </c>
      <c r="C323" s="370">
        <v>257848.32920000001</v>
      </c>
      <c r="D323" s="370">
        <v>35666</v>
      </c>
      <c r="E323" s="371">
        <v>0</v>
      </c>
      <c r="F323" s="371">
        <v>0</v>
      </c>
      <c r="G323" s="371">
        <v>16357</v>
      </c>
      <c r="H323" s="371"/>
      <c r="I323" s="371"/>
      <c r="J323" s="371"/>
      <c r="K323" s="371"/>
      <c r="L323" s="371"/>
      <c r="M323" s="371">
        <v>650000</v>
      </c>
      <c r="N323" s="371">
        <v>44000</v>
      </c>
      <c r="O323" s="371">
        <v>1600</v>
      </c>
      <c r="P323" s="371">
        <f t="shared" si="5"/>
        <v>91683</v>
      </c>
      <c r="Q323" s="379">
        <v>-59280</v>
      </c>
      <c r="R323" s="372">
        <v>274205.32920000004</v>
      </c>
      <c r="S323" s="400">
        <v>227574.03</v>
      </c>
      <c r="T323" s="400">
        <v>33290.449999999997</v>
      </c>
      <c r="U323" s="400">
        <v>0</v>
      </c>
      <c r="V323" s="400">
        <v>3644.36</v>
      </c>
      <c r="W323" s="372">
        <v>231218.38999999998</v>
      </c>
      <c r="X323" s="373">
        <v>264508.83999999997</v>
      </c>
      <c r="Y323" s="372">
        <v>309871.32920000004</v>
      </c>
      <c r="Z323" s="373">
        <v>1037874.3292</v>
      </c>
      <c r="AA323" s="400">
        <v>-1283.4513299999817</v>
      </c>
      <c r="AB323" s="400">
        <v>0</v>
      </c>
      <c r="AC323" s="400">
        <v>0</v>
      </c>
      <c r="AD323" s="400">
        <v>0</v>
      </c>
      <c r="AE323" s="372">
        <v>-1283.4513299999817</v>
      </c>
      <c r="AF323" s="372">
        <v>-1283.4513299999817</v>
      </c>
      <c r="AG323" s="400">
        <v>0.87000000000000455</v>
      </c>
      <c r="AH323" s="374">
        <v>-4.6806213932620439E-3</v>
      </c>
      <c r="AI323" s="375">
        <v>0</v>
      </c>
      <c r="AJ323" s="372">
        <v>261.86</v>
      </c>
      <c r="AK323" s="376">
        <v>3.3223860077904394E-3</v>
      </c>
      <c r="AL323" s="376">
        <v>-8.0030074010524824E-3</v>
      </c>
      <c r="AM323" s="412">
        <v>250.47812182741129</v>
      </c>
    </row>
    <row r="324" spans="2:39" s="377" customFormat="1" ht="28.15" customHeight="1" x14ac:dyDescent="0.25">
      <c r="B324" s="378">
        <v>43330</v>
      </c>
      <c r="C324" s="370">
        <v>257848.32920000001</v>
      </c>
      <c r="D324" s="370">
        <v>35666</v>
      </c>
      <c r="E324" s="371">
        <v>0</v>
      </c>
      <c r="F324" s="371">
        <v>0</v>
      </c>
      <c r="G324" s="371">
        <v>16357</v>
      </c>
      <c r="H324" s="371"/>
      <c r="I324" s="371"/>
      <c r="J324" s="371"/>
      <c r="K324" s="371"/>
      <c r="L324" s="371"/>
      <c r="M324" s="371">
        <v>650000</v>
      </c>
      <c r="N324" s="371">
        <v>44000</v>
      </c>
      <c r="O324" s="371">
        <v>1600</v>
      </c>
      <c r="P324" s="371">
        <f t="shared" si="5"/>
        <v>91683</v>
      </c>
      <c r="Q324" s="379">
        <v>-59280</v>
      </c>
      <c r="R324" s="372">
        <v>274205.32920000004</v>
      </c>
      <c r="S324" s="400">
        <v>227574.03</v>
      </c>
      <c r="T324" s="400">
        <v>33290.449999999997</v>
      </c>
      <c r="U324" s="400">
        <v>0</v>
      </c>
      <c r="V324" s="400">
        <v>3644.36</v>
      </c>
      <c r="W324" s="372">
        <v>231218.38999999998</v>
      </c>
      <c r="X324" s="373">
        <v>264508.83999999997</v>
      </c>
      <c r="Y324" s="372">
        <v>309871.32920000004</v>
      </c>
      <c r="Z324" s="373">
        <v>1037874.3292</v>
      </c>
      <c r="AA324" s="400">
        <v>0</v>
      </c>
      <c r="AB324" s="400">
        <v>0</v>
      </c>
      <c r="AC324" s="400">
        <v>0</v>
      </c>
      <c r="AD324" s="400">
        <v>0</v>
      </c>
      <c r="AE324" s="372">
        <v>0</v>
      </c>
      <c r="AF324" s="372">
        <v>0</v>
      </c>
      <c r="AG324" s="400">
        <v>0</v>
      </c>
      <c r="AH324" s="374">
        <v>0</v>
      </c>
      <c r="AI324" s="375">
        <v>0</v>
      </c>
      <c r="AJ324" s="372">
        <v>261.86</v>
      </c>
      <c r="AK324" s="376">
        <v>0</v>
      </c>
      <c r="AL324" s="376">
        <v>0</v>
      </c>
      <c r="AM324" s="412">
        <v>250.4940101522844</v>
      </c>
    </row>
    <row r="325" spans="2:39" s="377" customFormat="1" ht="28.15" customHeight="1" x14ac:dyDescent="0.25">
      <c r="B325" s="378">
        <v>43331</v>
      </c>
      <c r="C325" s="370">
        <v>257848.32920000001</v>
      </c>
      <c r="D325" s="370">
        <v>35666</v>
      </c>
      <c r="E325" s="371">
        <v>0</v>
      </c>
      <c r="F325" s="371">
        <v>0</v>
      </c>
      <c r="G325" s="371">
        <v>16357</v>
      </c>
      <c r="H325" s="371"/>
      <c r="I325" s="371"/>
      <c r="J325" s="371"/>
      <c r="K325" s="371"/>
      <c r="L325" s="371"/>
      <c r="M325" s="371">
        <v>650000</v>
      </c>
      <c r="N325" s="371">
        <v>44000</v>
      </c>
      <c r="O325" s="371">
        <v>1600</v>
      </c>
      <c r="P325" s="371">
        <f t="shared" si="5"/>
        <v>91683</v>
      </c>
      <c r="Q325" s="379">
        <v>-59280</v>
      </c>
      <c r="R325" s="372">
        <v>274205.32920000004</v>
      </c>
      <c r="S325" s="400">
        <v>227574.03</v>
      </c>
      <c r="T325" s="400">
        <v>33290.449999999997</v>
      </c>
      <c r="U325" s="400">
        <v>0</v>
      </c>
      <c r="V325" s="400">
        <v>3644.36</v>
      </c>
      <c r="W325" s="372">
        <v>231218.38999999998</v>
      </c>
      <c r="X325" s="373">
        <v>264508.83999999997</v>
      </c>
      <c r="Y325" s="372">
        <v>309871.32920000004</v>
      </c>
      <c r="Z325" s="373">
        <v>1037874.3292</v>
      </c>
      <c r="AA325" s="400">
        <v>0</v>
      </c>
      <c r="AB325" s="400">
        <v>0</v>
      </c>
      <c r="AC325" s="400">
        <v>0</v>
      </c>
      <c r="AD325" s="400">
        <v>0</v>
      </c>
      <c r="AE325" s="372">
        <v>0</v>
      </c>
      <c r="AF325" s="372">
        <v>0</v>
      </c>
      <c r="AG325" s="400">
        <v>0</v>
      </c>
      <c r="AH325" s="374">
        <v>0</v>
      </c>
      <c r="AI325" s="375">
        <v>0</v>
      </c>
      <c r="AJ325" s="372">
        <v>261.86</v>
      </c>
      <c r="AK325" s="376">
        <v>0</v>
      </c>
      <c r="AL325" s="376">
        <v>0</v>
      </c>
      <c r="AM325" s="412">
        <v>250.53802030456862</v>
      </c>
    </row>
    <row r="326" spans="2:39" s="377" customFormat="1" ht="28.15" customHeight="1" x14ac:dyDescent="0.25">
      <c r="B326" s="369">
        <v>43332</v>
      </c>
      <c r="C326" s="370">
        <v>257599.30132999999</v>
      </c>
      <c r="D326" s="370">
        <v>35666</v>
      </c>
      <c r="E326" s="371">
        <v>0</v>
      </c>
      <c r="F326" s="371">
        <v>0</v>
      </c>
      <c r="G326" s="371">
        <v>16357</v>
      </c>
      <c r="H326" s="371"/>
      <c r="I326" s="371"/>
      <c r="J326" s="371"/>
      <c r="K326" s="371"/>
      <c r="L326" s="371"/>
      <c r="M326" s="371">
        <v>650000</v>
      </c>
      <c r="N326" s="371">
        <v>44000</v>
      </c>
      <c r="O326" s="371">
        <v>1600</v>
      </c>
      <c r="P326" s="371">
        <f t="shared" si="5"/>
        <v>91683</v>
      </c>
      <c r="Q326" s="379">
        <v>-59280</v>
      </c>
      <c r="R326" s="372">
        <v>273956.30132999999</v>
      </c>
      <c r="S326" s="400">
        <v>227574.03</v>
      </c>
      <c r="T326" s="400">
        <v>33290.449999999997</v>
      </c>
      <c r="U326" s="400">
        <v>0</v>
      </c>
      <c r="V326" s="400">
        <v>3644.36</v>
      </c>
      <c r="W326" s="372">
        <v>231218.38999999998</v>
      </c>
      <c r="X326" s="373">
        <v>264508.83999999997</v>
      </c>
      <c r="Y326" s="372">
        <v>309622.30132999999</v>
      </c>
      <c r="Z326" s="373">
        <v>1037625.3013299999</v>
      </c>
      <c r="AA326" s="400">
        <v>-249.0278700000199</v>
      </c>
      <c r="AB326" s="400">
        <v>0</v>
      </c>
      <c r="AC326" s="400">
        <v>0</v>
      </c>
      <c r="AD326" s="400">
        <v>0</v>
      </c>
      <c r="AE326" s="372">
        <v>-249.0278700000199</v>
      </c>
      <c r="AF326" s="372">
        <v>-249.0278700000199</v>
      </c>
      <c r="AG326" s="400">
        <v>0.57999999999998408</v>
      </c>
      <c r="AH326" s="374">
        <v>-9.0900581147811599E-4</v>
      </c>
      <c r="AI326" s="375">
        <v>0</v>
      </c>
      <c r="AJ326" s="372">
        <v>262.44</v>
      </c>
      <c r="AK326" s="376">
        <v>2.2100289590000917E-3</v>
      </c>
      <c r="AL326" s="376">
        <v>-3.1190347704782078E-3</v>
      </c>
      <c r="AM326" s="412">
        <v>250.58203045685292</v>
      </c>
    </row>
    <row r="327" spans="2:39" s="377" customFormat="1" ht="28.15" customHeight="1" x14ac:dyDescent="0.25">
      <c r="B327" s="369">
        <v>43333</v>
      </c>
      <c r="C327" s="370">
        <v>257235.33752</v>
      </c>
      <c r="D327" s="370">
        <v>35666</v>
      </c>
      <c r="E327" s="371">
        <v>0</v>
      </c>
      <c r="F327" s="371">
        <v>0</v>
      </c>
      <c r="G327" s="371">
        <v>16357</v>
      </c>
      <c r="H327" s="371"/>
      <c r="I327" s="371"/>
      <c r="J327" s="371"/>
      <c r="K327" s="371"/>
      <c r="L327" s="371"/>
      <c r="M327" s="371">
        <v>650000</v>
      </c>
      <c r="N327" s="371">
        <v>44000</v>
      </c>
      <c r="O327" s="371">
        <v>1600</v>
      </c>
      <c r="P327" s="371">
        <f t="shared" si="5"/>
        <v>91683</v>
      </c>
      <c r="Q327" s="379">
        <v>-59280</v>
      </c>
      <c r="R327" s="372">
        <v>273592.33752</v>
      </c>
      <c r="S327" s="400">
        <v>227574.03</v>
      </c>
      <c r="T327" s="400">
        <v>33290.449999999997</v>
      </c>
      <c r="U327" s="400">
        <v>0</v>
      </c>
      <c r="V327" s="400">
        <v>3644.36</v>
      </c>
      <c r="W327" s="372">
        <v>231218.38999999998</v>
      </c>
      <c r="X327" s="373">
        <v>264508.83999999997</v>
      </c>
      <c r="Y327" s="372">
        <v>309258.33752</v>
      </c>
      <c r="Z327" s="373">
        <v>1037261.3375200001</v>
      </c>
      <c r="AA327" s="400">
        <v>-363.96380999998655</v>
      </c>
      <c r="AB327" s="400">
        <v>0</v>
      </c>
      <c r="AC327" s="400">
        <v>0</v>
      </c>
      <c r="AD327" s="400">
        <v>0</v>
      </c>
      <c r="AE327" s="372">
        <v>-363.96380999998655</v>
      </c>
      <c r="AF327" s="372">
        <v>-363.96380999998655</v>
      </c>
      <c r="AG327" s="400">
        <v>0.56999999999999318</v>
      </c>
      <c r="AH327" s="374">
        <v>-1.3303143403034096E-3</v>
      </c>
      <c r="AI327" s="375">
        <v>0</v>
      </c>
      <c r="AJ327" s="372">
        <v>263.01</v>
      </c>
      <c r="AK327" s="376">
        <v>2.1672179765027688E-3</v>
      </c>
      <c r="AL327" s="376">
        <v>-3.4975323168061783E-3</v>
      </c>
      <c r="AM327" s="412">
        <v>250.62898477157378</v>
      </c>
    </row>
    <row r="328" spans="2:39" s="377" customFormat="1" ht="28.15" customHeight="1" x14ac:dyDescent="0.25">
      <c r="B328" s="369">
        <v>43334</v>
      </c>
      <c r="C328" s="370">
        <v>264081.50839199999</v>
      </c>
      <c r="D328" s="370">
        <v>36427.1</v>
      </c>
      <c r="E328" s="371">
        <v>0</v>
      </c>
      <c r="F328" s="371">
        <v>0</v>
      </c>
      <c r="G328" s="371">
        <v>16444</v>
      </c>
      <c r="H328" s="371"/>
      <c r="I328" s="371">
        <v>210</v>
      </c>
      <c r="J328" s="371"/>
      <c r="K328" s="371"/>
      <c r="L328" s="371"/>
      <c r="M328" s="371">
        <v>650000</v>
      </c>
      <c r="N328" s="371">
        <v>44000</v>
      </c>
      <c r="O328" s="371">
        <v>1600</v>
      </c>
      <c r="P328" s="371">
        <f t="shared" si="5"/>
        <v>91683</v>
      </c>
      <c r="Q328" s="379">
        <v>-59280</v>
      </c>
      <c r="R328" s="372">
        <v>280525.50839199999</v>
      </c>
      <c r="S328" s="400">
        <v>227574.03</v>
      </c>
      <c r="T328" s="400">
        <v>33500.449999999997</v>
      </c>
      <c r="U328" s="400">
        <v>0</v>
      </c>
      <c r="V328" s="400">
        <v>3644.36</v>
      </c>
      <c r="W328" s="372">
        <v>231218.38999999998</v>
      </c>
      <c r="X328" s="373">
        <v>264718.83999999997</v>
      </c>
      <c r="Y328" s="372">
        <v>316952.60839199997</v>
      </c>
      <c r="Z328" s="373">
        <v>1044955.608392</v>
      </c>
      <c r="AA328" s="400">
        <v>6846.1708719999879</v>
      </c>
      <c r="AB328" s="400">
        <v>551.09999999999854</v>
      </c>
      <c r="AC328" s="400">
        <v>0</v>
      </c>
      <c r="AD328" s="400">
        <v>87</v>
      </c>
      <c r="AE328" s="372">
        <v>6933.1708719999879</v>
      </c>
      <c r="AF328" s="372">
        <v>7484.2708719999864</v>
      </c>
      <c r="AG328" s="400">
        <v>-7.9999999999984084E-2</v>
      </c>
      <c r="AH328" s="374">
        <v>2.4714939157375066E-2</v>
      </c>
      <c r="AI328" s="375">
        <v>1.5128846380853775E-2</v>
      </c>
      <c r="AJ328" s="372">
        <v>262.93</v>
      </c>
      <c r="AK328" s="376">
        <v>-3.0426349218417101E-4</v>
      </c>
      <c r="AL328" s="376">
        <v>2.5019202649559237E-2</v>
      </c>
      <c r="AM328" s="412">
        <v>250.73162436548242</v>
      </c>
    </row>
    <row r="329" spans="2:39" s="377" customFormat="1" ht="28.15" customHeight="1" x14ac:dyDescent="0.25">
      <c r="B329" s="369">
        <v>43335</v>
      </c>
      <c r="C329" s="370">
        <v>264910.00156800001</v>
      </c>
      <c r="D329" s="370">
        <v>36427.1</v>
      </c>
      <c r="E329" s="371">
        <v>0</v>
      </c>
      <c r="F329" s="371">
        <v>0</v>
      </c>
      <c r="G329" s="371">
        <v>16444</v>
      </c>
      <c r="H329" s="371"/>
      <c r="I329" s="371"/>
      <c r="J329" s="371"/>
      <c r="K329" s="371"/>
      <c r="L329" s="371"/>
      <c r="M329" s="371">
        <v>650000</v>
      </c>
      <c r="N329" s="371">
        <v>44000</v>
      </c>
      <c r="O329" s="371">
        <v>1600</v>
      </c>
      <c r="P329" s="371">
        <f t="shared" si="5"/>
        <v>91683</v>
      </c>
      <c r="Q329" s="379">
        <v>-59280</v>
      </c>
      <c r="R329" s="372">
        <v>281354.00156800001</v>
      </c>
      <c r="S329" s="400">
        <v>227574.03</v>
      </c>
      <c r="T329" s="400">
        <v>33500.449999999997</v>
      </c>
      <c r="U329" s="400">
        <v>0</v>
      </c>
      <c r="V329" s="400">
        <v>3644.36</v>
      </c>
      <c r="W329" s="372">
        <v>231218.38999999998</v>
      </c>
      <c r="X329" s="373">
        <v>264718.83999999997</v>
      </c>
      <c r="Y329" s="372">
        <v>317781.10156799998</v>
      </c>
      <c r="Z329" s="373">
        <v>1045784.1015679999</v>
      </c>
      <c r="AA329" s="400">
        <v>828.49317600001814</v>
      </c>
      <c r="AB329" s="400">
        <v>0</v>
      </c>
      <c r="AC329" s="400">
        <v>0</v>
      </c>
      <c r="AD329" s="400">
        <v>0</v>
      </c>
      <c r="AE329" s="372">
        <v>828.49317600001814</v>
      </c>
      <c r="AF329" s="372">
        <v>828.49317600001814</v>
      </c>
      <c r="AG329" s="400">
        <v>-0.37999999999999545</v>
      </c>
      <c r="AH329" s="374">
        <v>2.9446646267079339E-3</v>
      </c>
      <c r="AI329" s="375">
        <v>0</v>
      </c>
      <c r="AJ329" s="372">
        <v>262.55</v>
      </c>
      <c r="AK329" s="376">
        <v>-1.4473433631689027E-3</v>
      </c>
      <c r="AL329" s="376">
        <v>4.3920079898768366E-3</v>
      </c>
      <c r="AM329" s="412">
        <v>250.81106598984789</v>
      </c>
    </row>
    <row r="330" spans="2:39" s="377" customFormat="1" ht="28.15" customHeight="1" x14ac:dyDescent="0.25">
      <c r="B330" s="369">
        <v>43336</v>
      </c>
      <c r="C330" s="370">
        <v>264768.80442900001</v>
      </c>
      <c r="D330" s="370">
        <v>36449.1</v>
      </c>
      <c r="E330" s="371">
        <v>0</v>
      </c>
      <c r="F330" s="371">
        <v>0</v>
      </c>
      <c r="G330" s="371">
        <v>16442</v>
      </c>
      <c r="H330" s="371"/>
      <c r="I330" s="371"/>
      <c r="J330" s="371"/>
      <c r="K330" s="371"/>
      <c r="L330" s="371"/>
      <c r="M330" s="371">
        <v>650000</v>
      </c>
      <c r="N330" s="371">
        <v>44000</v>
      </c>
      <c r="O330" s="371">
        <v>1600</v>
      </c>
      <c r="P330" s="371">
        <f t="shared" si="5"/>
        <v>91683</v>
      </c>
      <c r="Q330" s="379">
        <v>-59280</v>
      </c>
      <c r="R330" s="372">
        <v>281210.80442900001</v>
      </c>
      <c r="S330" s="400">
        <v>227574.03</v>
      </c>
      <c r="T330" s="400">
        <v>33500.449999999997</v>
      </c>
      <c r="U330" s="400">
        <v>0</v>
      </c>
      <c r="V330" s="400">
        <v>3644.36</v>
      </c>
      <c r="W330" s="372">
        <v>231218.38999999998</v>
      </c>
      <c r="X330" s="373">
        <v>264718.83999999997</v>
      </c>
      <c r="Y330" s="372">
        <v>317659.90442899999</v>
      </c>
      <c r="Z330" s="373">
        <v>1045662.9044289999</v>
      </c>
      <c r="AA330" s="400">
        <v>-141.19713899999624</v>
      </c>
      <c r="AB330" s="400">
        <v>22</v>
      </c>
      <c r="AC330" s="400">
        <v>0</v>
      </c>
      <c r="AD330" s="400">
        <v>-2</v>
      </c>
      <c r="AE330" s="372">
        <v>-143.19713899999624</v>
      </c>
      <c r="AF330" s="372">
        <v>-121.19713899999624</v>
      </c>
      <c r="AG330" s="400">
        <v>1.6499999999999773</v>
      </c>
      <c r="AH330" s="374">
        <v>-5.0921634853525193E-4</v>
      </c>
      <c r="AI330" s="375">
        <v>6.0358143273770825E-4</v>
      </c>
      <c r="AJ330" s="372">
        <v>264.2</v>
      </c>
      <c r="AK330" s="376">
        <v>6.2452687358061218E-3</v>
      </c>
      <c r="AL330" s="376">
        <v>-6.7544850843413735E-3</v>
      </c>
      <c r="AM330" s="412">
        <v>250.89543147208144</v>
      </c>
    </row>
    <row r="331" spans="2:39" s="377" customFormat="1" ht="28.15" customHeight="1" x14ac:dyDescent="0.25">
      <c r="B331" s="378">
        <v>43337</v>
      </c>
      <c r="C331" s="370">
        <v>264768.80442900001</v>
      </c>
      <c r="D331" s="370">
        <v>36449.1</v>
      </c>
      <c r="E331" s="371">
        <v>0</v>
      </c>
      <c r="F331" s="371">
        <v>0</v>
      </c>
      <c r="G331" s="371">
        <v>16442</v>
      </c>
      <c r="H331" s="371"/>
      <c r="I331" s="371"/>
      <c r="J331" s="371"/>
      <c r="K331" s="371"/>
      <c r="L331" s="371"/>
      <c r="M331" s="371">
        <v>650000</v>
      </c>
      <c r="N331" s="371">
        <v>44000</v>
      </c>
      <c r="O331" s="371">
        <v>1600</v>
      </c>
      <c r="P331" s="371">
        <f t="shared" si="5"/>
        <v>91683</v>
      </c>
      <c r="Q331" s="379">
        <v>-59280</v>
      </c>
      <c r="R331" s="372">
        <v>281210.80442900001</v>
      </c>
      <c r="S331" s="400">
        <v>227574.03</v>
      </c>
      <c r="T331" s="400">
        <v>33500.449999999997</v>
      </c>
      <c r="U331" s="400">
        <v>0</v>
      </c>
      <c r="V331" s="400">
        <v>3644.36</v>
      </c>
      <c r="W331" s="372">
        <v>231218.38999999998</v>
      </c>
      <c r="X331" s="373">
        <v>264718.83999999997</v>
      </c>
      <c r="Y331" s="372">
        <v>317659.90442899999</v>
      </c>
      <c r="Z331" s="373">
        <v>1045662.9044289999</v>
      </c>
      <c r="AA331" s="400">
        <v>0</v>
      </c>
      <c r="AB331" s="400">
        <v>0</v>
      </c>
      <c r="AC331" s="400">
        <v>0</v>
      </c>
      <c r="AD331" s="400">
        <v>0</v>
      </c>
      <c r="AE331" s="372">
        <v>0</v>
      </c>
      <c r="AF331" s="372">
        <v>0</v>
      </c>
      <c r="AG331" s="400">
        <v>0</v>
      </c>
      <c r="AH331" s="374">
        <v>0</v>
      </c>
      <c r="AI331" s="375">
        <v>0</v>
      </c>
      <c r="AJ331" s="372">
        <v>264.2</v>
      </c>
      <c r="AK331" s="376">
        <v>0</v>
      </c>
      <c r="AL331" s="376">
        <v>0</v>
      </c>
      <c r="AM331" s="412">
        <v>251.03456852791899</v>
      </c>
    </row>
    <row r="332" spans="2:39" s="377" customFormat="1" ht="28.15" customHeight="1" x14ac:dyDescent="0.25">
      <c r="B332" s="378">
        <v>43338</v>
      </c>
      <c r="C332" s="370">
        <v>264768.80442900001</v>
      </c>
      <c r="D332" s="370">
        <v>36449.1</v>
      </c>
      <c r="E332" s="371">
        <v>0</v>
      </c>
      <c r="F332" s="371">
        <v>0</v>
      </c>
      <c r="G332" s="371">
        <v>16442</v>
      </c>
      <c r="H332" s="371"/>
      <c r="I332" s="371"/>
      <c r="J332" s="371"/>
      <c r="K332" s="371"/>
      <c r="L332" s="371"/>
      <c r="M332" s="371">
        <v>650000</v>
      </c>
      <c r="N332" s="371">
        <v>44000</v>
      </c>
      <c r="O332" s="371">
        <v>1600</v>
      </c>
      <c r="P332" s="371">
        <f t="shared" si="5"/>
        <v>91683</v>
      </c>
      <c r="Q332" s="379">
        <v>-59280</v>
      </c>
      <c r="R332" s="372">
        <v>281210.80442900001</v>
      </c>
      <c r="S332" s="400">
        <v>227574.03</v>
      </c>
      <c r="T332" s="400">
        <v>33500.449999999997</v>
      </c>
      <c r="U332" s="400">
        <v>0</v>
      </c>
      <c r="V332" s="400">
        <v>3644.36</v>
      </c>
      <c r="W332" s="372">
        <v>231218.38999999998</v>
      </c>
      <c r="X332" s="373">
        <v>264718.83999999997</v>
      </c>
      <c r="Y332" s="372">
        <v>317659.90442899999</v>
      </c>
      <c r="Z332" s="373">
        <v>1045662.9044289999</v>
      </c>
      <c r="AA332" s="400">
        <v>0</v>
      </c>
      <c r="AB332" s="400">
        <v>0</v>
      </c>
      <c r="AC332" s="400">
        <v>0</v>
      </c>
      <c r="AD332" s="400">
        <v>0</v>
      </c>
      <c r="AE332" s="372">
        <v>0</v>
      </c>
      <c r="AF332" s="372">
        <v>0</v>
      </c>
      <c r="AG332" s="400">
        <v>0</v>
      </c>
      <c r="AH332" s="374">
        <v>0</v>
      </c>
      <c r="AI332" s="375">
        <v>0</v>
      </c>
      <c r="AJ332" s="372">
        <v>264.2</v>
      </c>
      <c r="AK332" s="376">
        <v>0</v>
      </c>
      <c r="AL332" s="376">
        <v>0</v>
      </c>
      <c r="AM332" s="412">
        <v>251.15517766497481</v>
      </c>
    </row>
    <row r="333" spans="2:39" s="377" customFormat="1" ht="28.15" customHeight="1" x14ac:dyDescent="0.25">
      <c r="B333" s="369">
        <v>43339</v>
      </c>
      <c r="C333" s="370">
        <v>263661.89034099999</v>
      </c>
      <c r="D333" s="370">
        <v>36449.1</v>
      </c>
      <c r="E333" s="371">
        <v>0</v>
      </c>
      <c r="F333" s="371">
        <v>0</v>
      </c>
      <c r="G333" s="371">
        <v>16442</v>
      </c>
      <c r="H333" s="371">
        <v>75</v>
      </c>
      <c r="I333" s="371"/>
      <c r="J333" s="371"/>
      <c r="K333" s="371"/>
      <c r="L333" s="371"/>
      <c r="M333" s="371">
        <v>650000</v>
      </c>
      <c r="N333" s="371">
        <v>44000</v>
      </c>
      <c r="O333" s="371">
        <v>1600</v>
      </c>
      <c r="P333" s="371">
        <f t="shared" si="5"/>
        <v>91683</v>
      </c>
      <c r="Q333" s="379">
        <v>-59280</v>
      </c>
      <c r="R333" s="372">
        <v>280103.89034099999</v>
      </c>
      <c r="S333" s="400">
        <v>227649.03</v>
      </c>
      <c r="T333" s="400">
        <v>33500.449999999997</v>
      </c>
      <c r="U333" s="400">
        <v>0</v>
      </c>
      <c r="V333" s="400">
        <v>3644.36</v>
      </c>
      <c r="W333" s="372">
        <v>231293.38999999998</v>
      </c>
      <c r="X333" s="373">
        <v>264793.83999999997</v>
      </c>
      <c r="Y333" s="372">
        <v>316552.99034099997</v>
      </c>
      <c r="Z333" s="373">
        <v>1044555.990341</v>
      </c>
      <c r="AA333" s="400">
        <v>-1181.9140880000195</v>
      </c>
      <c r="AB333" s="400">
        <v>0</v>
      </c>
      <c r="AC333" s="400">
        <v>0</v>
      </c>
      <c r="AD333" s="400">
        <v>0</v>
      </c>
      <c r="AE333" s="372">
        <v>-1181.9140880000195</v>
      </c>
      <c r="AF333" s="372">
        <v>-1181.9140880000195</v>
      </c>
      <c r="AG333" s="400">
        <v>1.9900000000000091</v>
      </c>
      <c r="AH333" s="374">
        <v>-4.2195561316951038E-3</v>
      </c>
      <c r="AI333" s="375">
        <v>0</v>
      </c>
      <c r="AJ333" s="372">
        <v>266.19</v>
      </c>
      <c r="AK333" s="376">
        <v>7.4758631053007596E-3</v>
      </c>
      <c r="AL333" s="376">
        <v>-1.1695419236995862E-2</v>
      </c>
      <c r="AM333" s="412">
        <v>251.27578680203061</v>
      </c>
    </row>
    <row r="334" spans="2:39" s="377" customFormat="1" ht="28.15" customHeight="1" x14ac:dyDescent="0.25">
      <c r="B334" s="369">
        <v>43340</v>
      </c>
      <c r="C334" s="370">
        <v>261744.20137200001</v>
      </c>
      <c r="D334" s="370">
        <v>36554.1</v>
      </c>
      <c r="E334" s="371">
        <v>0</v>
      </c>
      <c r="F334" s="371">
        <v>0</v>
      </c>
      <c r="G334" s="371">
        <v>16479</v>
      </c>
      <c r="H334" s="371"/>
      <c r="I334" s="371"/>
      <c r="J334" s="371"/>
      <c r="K334" s="371"/>
      <c r="L334" s="371"/>
      <c r="M334" s="371">
        <v>650000</v>
      </c>
      <c r="N334" s="371">
        <v>44000</v>
      </c>
      <c r="O334" s="371">
        <v>1600</v>
      </c>
      <c r="P334" s="371">
        <f t="shared" si="5"/>
        <v>91683</v>
      </c>
      <c r="Q334" s="379">
        <v>-59280</v>
      </c>
      <c r="R334" s="372">
        <v>278223.20137200004</v>
      </c>
      <c r="S334" s="406">
        <v>227649.03</v>
      </c>
      <c r="T334" s="400">
        <v>33500.449999999997</v>
      </c>
      <c r="U334" s="400">
        <v>0</v>
      </c>
      <c r="V334" s="400">
        <v>3644.36</v>
      </c>
      <c r="W334" s="372">
        <v>231293.38999999998</v>
      </c>
      <c r="X334" s="373">
        <v>264793.83999999997</v>
      </c>
      <c r="Y334" s="372">
        <v>314777.30137200002</v>
      </c>
      <c r="Z334" s="373">
        <v>1042780.301372</v>
      </c>
      <c r="AA334" s="400">
        <v>-1917.6889689999807</v>
      </c>
      <c r="AB334" s="400">
        <v>105</v>
      </c>
      <c r="AC334" s="400">
        <v>0</v>
      </c>
      <c r="AD334" s="400">
        <v>37</v>
      </c>
      <c r="AE334" s="372">
        <v>-1880.6889689999807</v>
      </c>
      <c r="AF334" s="372">
        <v>-1775.6889689999807</v>
      </c>
      <c r="AG334" s="400">
        <v>0.14999999999997726</v>
      </c>
      <c r="AH334" s="374">
        <v>-6.7596410354195946E-3</v>
      </c>
      <c r="AI334" s="375">
        <v>2.8724547998719707E-3</v>
      </c>
      <c r="AJ334" s="372">
        <v>266.33999999999997</v>
      </c>
      <c r="AK334" s="376">
        <v>5.6318990763676985E-4</v>
      </c>
      <c r="AL334" s="376">
        <v>-7.3228309430563646E-3</v>
      </c>
      <c r="AM334" s="412">
        <v>251.40649746192909</v>
      </c>
    </row>
    <row r="335" spans="2:39" s="377" customFormat="1" ht="28.15" customHeight="1" x14ac:dyDescent="0.25">
      <c r="B335" s="369">
        <v>43341</v>
      </c>
      <c r="C335" s="370">
        <v>260591.77346500001</v>
      </c>
      <c r="D335" s="370">
        <v>36404.1</v>
      </c>
      <c r="E335" s="371">
        <v>0</v>
      </c>
      <c r="F335" s="371">
        <v>0</v>
      </c>
      <c r="G335" s="371">
        <v>16532</v>
      </c>
      <c r="H335" s="371"/>
      <c r="I335" s="371"/>
      <c r="J335" s="371"/>
      <c r="K335" s="371"/>
      <c r="L335" s="371"/>
      <c r="M335" s="371">
        <v>650000</v>
      </c>
      <c r="N335" s="371">
        <v>44000</v>
      </c>
      <c r="O335" s="371">
        <v>1600</v>
      </c>
      <c r="P335" s="371">
        <f t="shared" si="5"/>
        <v>91683</v>
      </c>
      <c r="Q335" s="379">
        <v>-59280</v>
      </c>
      <c r="R335" s="372">
        <v>277123.77346499998</v>
      </c>
      <c r="S335" s="400">
        <v>227649.03</v>
      </c>
      <c r="T335" s="400">
        <v>33500.449999999997</v>
      </c>
      <c r="U335" s="400">
        <v>0</v>
      </c>
      <c r="V335" s="400">
        <v>3644.36</v>
      </c>
      <c r="W335" s="372">
        <v>231293.38999999998</v>
      </c>
      <c r="X335" s="373">
        <v>264793.83999999997</v>
      </c>
      <c r="Y335" s="372">
        <v>313527.87346500001</v>
      </c>
      <c r="Z335" s="373">
        <v>1041530.873465</v>
      </c>
      <c r="AA335" s="400">
        <v>-1152.4279070000048</v>
      </c>
      <c r="AB335" s="400">
        <v>-150</v>
      </c>
      <c r="AC335" s="400">
        <v>0</v>
      </c>
      <c r="AD335" s="400">
        <v>53</v>
      </c>
      <c r="AE335" s="372">
        <v>-1099.4279070000048</v>
      </c>
      <c r="AF335" s="372">
        <v>-1249.4279070000048</v>
      </c>
      <c r="AG335" s="400">
        <v>1.4600000000000364</v>
      </c>
      <c r="AH335" s="374">
        <v>-3.9672810934023306E-3</v>
      </c>
      <c r="AI335" s="375">
        <v>-4.1204150081996264E-3</v>
      </c>
      <c r="AJ335" s="372">
        <v>267.8</v>
      </c>
      <c r="AK335" s="376">
        <v>5.4518297236745197E-3</v>
      </c>
      <c r="AL335" s="376">
        <v>-9.4191108170768503E-3</v>
      </c>
      <c r="AM335" s="412">
        <v>251.52121827411182</v>
      </c>
    </row>
    <row r="336" spans="2:39" s="377" customFormat="1" ht="28.15" customHeight="1" x14ac:dyDescent="0.25">
      <c r="B336" s="369">
        <v>43342</v>
      </c>
      <c r="C336" s="370">
        <v>262552.10059499997</v>
      </c>
      <c r="D336" s="370">
        <v>36481.1</v>
      </c>
      <c r="E336" s="371">
        <v>0</v>
      </c>
      <c r="F336" s="371">
        <v>0</v>
      </c>
      <c r="G336" s="371">
        <v>16473</v>
      </c>
      <c r="H336" s="371"/>
      <c r="I336" s="371"/>
      <c r="J336" s="371"/>
      <c r="K336" s="371"/>
      <c r="L336" s="371"/>
      <c r="M336" s="371">
        <v>650000</v>
      </c>
      <c r="N336" s="371">
        <v>44000</v>
      </c>
      <c r="O336" s="371">
        <v>1600</v>
      </c>
      <c r="P336" s="371">
        <f t="shared" si="5"/>
        <v>91683</v>
      </c>
      <c r="Q336" s="379">
        <v>-59280</v>
      </c>
      <c r="R336" s="372">
        <v>279025.10059499997</v>
      </c>
      <c r="S336" s="400">
        <v>227649.03</v>
      </c>
      <c r="T336" s="400">
        <v>33500.449999999997</v>
      </c>
      <c r="U336" s="400">
        <v>0</v>
      </c>
      <c r="V336" s="400">
        <v>3644.36</v>
      </c>
      <c r="W336" s="372">
        <v>231293.38999999998</v>
      </c>
      <c r="X336" s="373">
        <v>264793.83999999997</v>
      </c>
      <c r="Y336" s="372">
        <v>315506.20059499994</v>
      </c>
      <c r="Z336" s="373">
        <v>1043509.2005949998</v>
      </c>
      <c r="AA336" s="400">
        <v>1960.3271299999615</v>
      </c>
      <c r="AB336" s="400">
        <v>77</v>
      </c>
      <c r="AC336" s="400">
        <v>0</v>
      </c>
      <c r="AD336" s="400">
        <v>-59</v>
      </c>
      <c r="AE336" s="372">
        <v>1901.3271299999615</v>
      </c>
      <c r="AF336" s="372">
        <v>1978.3271299999615</v>
      </c>
      <c r="AG336" s="400">
        <v>-1.0900000000000318</v>
      </c>
      <c r="AH336" s="374">
        <v>6.8141795341907412E-3</v>
      </c>
      <c r="AI336" s="375">
        <v>2.1106819695678038E-3</v>
      </c>
      <c r="AJ336" s="372">
        <v>266.70999999999998</v>
      </c>
      <c r="AK336" s="376">
        <v>-4.0868358891681302E-3</v>
      </c>
      <c r="AL336" s="376">
        <v>1.0901015423358872E-2</v>
      </c>
      <c r="AM336" s="412">
        <v>251.63918781725906</v>
      </c>
    </row>
    <row r="337" spans="2:39" s="377" customFormat="1" ht="28.15" customHeight="1" x14ac:dyDescent="0.25">
      <c r="B337" s="369">
        <v>43343</v>
      </c>
      <c r="C337" s="370">
        <v>263965.13113499997</v>
      </c>
      <c r="D337" s="370">
        <v>36464.65</v>
      </c>
      <c r="E337" s="371">
        <v>0</v>
      </c>
      <c r="F337" s="371">
        <v>0</v>
      </c>
      <c r="G337" s="371">
        <v>16531</v>
      </c>
      <c r="H337" s="371"/>
      <c r="I337" s="371"/>
      <c r="J337" s="371"/>
      <c r="K337" s="371"/>
      <c r="L337" s="371"/>
      <c r="M337" s="371">
        <v>650000</v>
      </c>
      <c r="N337" s="371">
        <v>44000</v>
      </c>
      <c r="O337" s="371">
        <v>1600</v>
      </c>
      <c r="P337" s="371">
        <f t="shared" si="5"/>
        <v>91683</v>
      </c>
      <c r="Q337" s="379">
        <v>-59280</v>
      </c>
      <c r="R337" s="372">
        <v>280496.13113499997</v>
      </c>
      <c r="S337" s="400">
        <v>227649.03</v>
      </c>
      <c r="T337" s="400">
        <v>33500.449999999997</v>
      </c>
      <c r="U337" s="400">
        <v>0</v>
      </c>
      <c r="V337" s="400">
        <v>3644.36</v>
      </c>
      <c r="W337" s="372">
        <v>231293.38999999998</v>
      </c>
      <c r="X337" s="373">
        <v>264793.83999999997</v>
      </c>
      <c r="Y337" s="372">
        <v>316960.781135</v>
      </c>
      <c r="Z337" s="373">
        <v>1044963.7811350001</v>
      </c>
      <c r="AA337" s="400">
        <v>1413.030540000007</v>
      </c>
      <c r="AB337" s="400">
        <v>-16.44999999999709</v>
      </c>
      <c r="AC337" s="400">
        <v>0</v>
      </c>
      <c r="AD337" s="400">
        <v>58</v>
      </c>
      <c r="AE337" s="372">
        <v>1471.030540000007</v>
      </c>
      <c r="AF337" s="372">
        <v>1454.5805400000099</v>
      </c>
      <c r="AG337" s="400">
        <v>1.0000000000047748E-2</v>
      </c>
      <c r="AH337" s="374">
        <v>5.2443879851305853E-3</v>
      </c>
      <c r="AI337" s="375">
        <v>-4.5112183991885535E-4</v>
      </c>
      <c r="AJ337" s="372">
        <v>266.72000000000003</v>
      </c>
      <c r="AK337" s="376">
        <v>3.7492501499879079E-5</v>
      </c>
      <c r="AL337" s="376">
        <v>5.2068954836307062E-3</v>
      </c>
      <c r="AM337" s="412">
        <v>251.73538071066005</v>
      </c>
    </row>
    <row r="338" spans="2:39" s="377" customFormat="1" ht="28.15" customHeight="1" x14ac:dyDescent="0.25">
      <c r="B338" s="378">
        <v>43344</v>
      </c>
      <c r="C338" s="370">
        <v>263965.13113499997</v>
      </c>
      <c r="D338" s="370">
        <v>36464.65</v>
      </c>
      <c r="E338" s="371">
        <v>0</v>
      </c>
      <c r="F338" s="371">
        <v>0</v>
      </c>
      <c r="G338" s="371">
        <v>16531</v>
      </c>
      <c r="H338" s="371"/>
      <c r="I338" s="371"/>
      <c r="J338" s="371"/>
      <c r="K338" s="371"/>
      <c r="L338" s="371"/>
      <c r="M338" s="371">
        <v>650000</v>
      </c>
      <c r="N338" s="371">
        <v>44000</v>
      </c>
      <c r="O338" s="371">
        <v>1600</v>
      </c>
      <c r="P338" s="371">
        <f t="shared" si="5"/>
        <v>91683</v>
      </c>
      <c r="Q338" s="379">
        <v>-59280</v>
      </c>
      <c r="R338" s="372">
        <v>280496.13113499997</v>
      </c>
      <c r="S338" s="400">
        <v>227649.03</v>
      </c>
      <c r="T338" s="400">
        <v>33500.449999999997</v>
      </c>
      <c r="U338" s="400">
        <v>0</v>
      </c>
      <c r="V338" s="400">
        <v>3644.36</v>
      </c>
      <c r="W338" s="372">
        <v>231293.38999999998</v>
      </c>
      <c r="X338" s="373">
        <v>264793.83999999997</v>
      </c>
      <c r="Y338" s="372">
        <v>316960.781135</v>
      </c>
      <c r="Z338" s="373">
        <v>1044963.7811350001</v>
      </c>
      <c r="AA338" s="400">
        <v>0</v>
      </c>
      <c r="AB338" s="400">
        <v>0</v>
      </c>
      <c r="AC338" s="400">
        <v>0</v>
      </c>
      <c r="AD338" s="400">
        <v>0</v>
      </c>
      <c r="AE338" s="372">
        <v>0</v>
      </c>
      <c r="AF338" s="372">
        <v>0</v>
      </c>
      <c r="AG338" s="400">
        <v>0</v>
      </c>
      <c r="AH338" s="374">
        <v>0</v>
      </c>
      <c r="AI338" s="375">
        <v>0</v>
      </c>
      <c r="AJ338" s="372">
        <v>266.72000000000003</v>
      </c>
      <c r="AK338" s="376">
        <v>0</v>
      </c>
      <c r="AL338" s="376">
        <v>0</v>
      </c>
      <c r="AM338" s="412">
        <v>251.81532994923879</v>
      </c>
    </row>
    <row r="339" spans="2:39" s="377" customFormat="1" ht="28.15" customHeight="1" x14ac:dyDescent="0.25">
      <c r="B339" s="378">
        <v>43345</v>
      </c>
      <c r="C339" s="370">
        <v>263965.13113499997</v>
      </c>
      <c r="D339" s="370">
        <v>36464.65</v>
      </c>
      <c r="E339" s="371">
        <v>0</v>
      </c>
      <c r="F339" s="371">
        <v>0</v>
      </c>
      <c r="G339" s="371">
        <v>16531</v>
      </c>
      <c r="H339" s="371"/>
      <c r="I339" s="371"/>
      <c r="J339" s="371"/>
      <c r="K339" s="371"/>
      <c r="L339" s="371"/>
      <c r="M339" s="371">
        <v>650000</v>
      </c>
      <c r="N339" s="371">
        <v>44000</v>
      </c>
      <c r="O339" s="371">
        <v>1600</v>
      </c>
      <c r="P339" s="371">
        <f t="shared" si="5"/>
        <v>91683</v>
      </c>
      <c r="Q339" s="379">
        <v>-59280</v>
      </c>
      <c r="R339" s="372">
        <v>280496.13113499997</v>
      </c>
      <c r="S339" s="400">
        <v>227649.03</v>
      </c>
      <c r="T339" s="400">
        <v>33500.449999999997</v>
      </c>
      <c r="U339" s="400">
        <v>0</v>
      </c>
      <c r="V339" s="400">
        <v>3644.36</v>
      </c>
      <c r="W339" s="372">
        <v>231293.38999999998</v>
      </c>
      <c r="X339" s="373">
        <v>264793.83999999997</v>
      </c>
      <c r="Y339" s="372">
        <v>316960.781135</v>
      </c>
      <c r="Z339" s="373">
        <v>1044963.7811350001</v>
      </c>
      <c r="AA339" s="400">
        <v>0</v>
      </c>
      <c r="AB339" s="400">
        <v>0</v>
      </c>
      <c r="AC339" s="400">
        <v>0</v>
      </c>
      <c r="AD339" s="400">
        <v>0</v>
      </c>
      <c r="AE339" s="372">
        <v>0</v>
      </c>
      <c r="AF339" s="372">
        <v>0</v>
      </c>
      <c r="AG339" s="400">
        <v>0</v>
      </c>
      <c r="AH339" s="374">
        <v>0</v>
      </c>
      <c r="AI339" s="375">
        <v>0</v>
      </c>
      <c r="AJ339" s="372">
        <v>266.72000000000003</v>
      </c>
      <c r="AK339" s="376">
        <v>0</v>
      </c>
      <c r="AL339" s="376">
        <v>0</v>
      </c>
      <c r="AM339" s="412">
        <v>251.89543147208141</v>
      </c>
    </row>
    <row r="340" spans="2:39" s="377" customFormat="1" ht="28.15" customHeight="1" x14ac:dyDescent="0.25">
      <c r="B340" s="369">
        <v>43346</v>
      </c>
      <c r="C340" s="370">
        <v>264416.27049999998</v>
      </c>
      <c r="D340" s="370">
        <v>36464.65</v>
      </c>
      <c r="E340" s="371">
        <v>0</v>
      </c>
      <c r="F340" s="371">
        <v>0</v>
      </c>
      <c r="G340" s="371">
        <v>16531</v>
      </c>
      <c r="H340" s="371"/>
      <c r="I340" s="371"/>
      <c r="J340" s="371"/>
      <c r="K340" s="371"/>
      <c r="L340" s="371"/>
      <c r="M340" s="371">
        <v>650000</v>
      </c>
      <c r="N340" s="371">
        <v>44000</v>
      </c>
      <c r="O340" s="371">
        <v>1600</v>
      </c>
      <c r="P340" s="371">
        <f t="shared" si="5"/>
        <v>91683</v>
      </c>
      <c r="Q340" s="379">
        <v>-59280</v>
      </c>
      <c r="R340" s="372">
        <v>280947.27049999998</v>
      </c>
      <c r="S340" s="400">
        <v>227649.03</v>
      </c>
      <c r="T340" s="400">
        <v>33500.449999999997</v>
      </c>
      <c r="U340" s="400">
        <v>0</v>
      </c>
      <c r="V340" s="400">
        <v>3644.36</v>
      </c>
      <c r="W340" s="372">
        <v>231293.38999999998</v>
      </c>
      <c r="X340" s="373">
        <v>264793.83999999997</v>
      </c>
      <c r="Y340" s="372">
        <v>317411.92050000001</v>
      </c>
      <c r="Z340" s="373">
        <v>1045414.9205</v>
      </c>
      <c r="AA340" s="400">
        <v>451.13936500001</v>
      </c>
      <c r="AB340" s="400">
        <v>0</v>
      </c>
      <c r="AC340" s="400">
        <v>0</v>
      </c>
      <c r="AD340" s="400">
        <v>0</v>
      </c>
      <c r="AE340" s="372">
        <v>451.13936500001</v>
      </c>
      <c r="AF340" s="372">
        <v>451.13936500001</v>
      </c>
      <c r="AG340" s="400">
        <v>0</v>
      </c>
      <c r="AH340" s="374">
        <v>1.6057794909241163E-3</v>
      </c>
      <c r="AI340" s="375">
        <v>0</v>
      </c>
      <c r="AJ340" s="372">
        <v>266.72000000000003</v>
      </c>
      <c r="AK340" s="376">
        <v>0</v>
      </c>
      <c r="AL340" s="376">
        <v>1.6057794909241163E-3</v>
      </c>
      <c r="AM340" s="412">
        <v>251.97553299492409</v>
      </c>
    </row>
    <row r="341" spans="2:39" s="377" customFormat="1" ht="28.15" customHeight="1" x14ac:dyDescent="0.25">
      <c r="B341" s="369">
        <v>43347</v>
      </c>
      <c r="C341" s="370">
        <v>266513.40381799999</v>
      </c>
      <c r="D341" s="370">
        <v>36391.31</v>
      </c>
      <c r="E341" s="371">
        <v>0</v>
      </c>
      <c r="F341" s="371">
        <v>0</v>
      </c>
      <c r="G341" s="371">
        <v>16490</v>
      </c>
      <c r="H341" s="371"/>
      <c r="I341" s="371"/>
      <c r="J341" s="371"/>
      <c r="K341" s="371"/>
      <c r="L341" s="371">
        <v>12845.64</v>
      </c>
      <c r="M341" s="371">
        <v>650000</v>
      </c>
      <c r="N341" s="371">
        <v>44000</v>
      </c>
      <c r="O341" s="371">
        <v>1600</v>
      </c>
      <c r="P341" s="371">
        <f t="shared" si="5"/>
        <v>91683</v>
      </c>
      <c r="Q341" s="379">
        <v>-59280</v>
      </c>
      <c r="R341" s="372">
        <v>283003.40381799999</v>
      </c>
      <c r="S341" s="400">
        <v>227649.03</v>
      </c>
      <c r="T341" s="400">
        <v>33500.449999999997</v>
      </c>
      <c r="U341" s="400">
        <v>0</v>
      </c>
      <c r="V341" s="400">
        <v>16490</v>
      </c>
      <c r="W341" s="372">
        <v>244139.03</v>
      </c>
      <c r="X341" s="373">
        <v>277639.48</v>
      </c>
      <c r="Y341" s="372">
        <v>319394.71381799999</v>
      </c>
      <c r="Z341" s="373">
        <v>1047397.7138179999</v>
      </c>
      <c r="AA341" s="400">
        <v>2097.1333180000074</v>
      </c>
      <c r="AB341" s="400">
        <v>-73.340000000003783</v>
      </c>
      <c r="AC341" s="400">
        <v>0</v>
      </c>
      <c r="AD341" s="400">
        <v>-12886.64</v>
      </c>
      <c r="AE341" s="372">
        <v>-10789.506681999992</v>
      </c>
      <c r="AF341" s="372">
        <v>-10862.846681999996</v>
      </c>
      <c r="AG341" s="400">
        <v>-0.37000000000000455</v>
      </c>
      <c r="AH341" s="374">
        <v>-3.812500675411927E-2</v>
      </c>
      <c r="AI341" s="375">
        <v>-2.0153162939175258E-3</v>
      </c>
      <c r="AJ341" s="372">
        <v>266.35000000000002</v>
      </c>
      <c r="AK341" s="376">
        <v>-1.389149615168029E-3</v>
      </c>
      <c r="AL341" s="376">
        <v>-3.6735857138951243E-2</v>
      </c>
      <c r="AM341" s="412">
        <v>252.05563451776672</v>
      </c>
    </row>
    <row r="342" spans="2:39" s="377" customFormat="1" ht="28.15" customHeight="1" x14ac:dyDescent="0.25">
      <c r="B342" s="369">
        <v>43348</v>
      </c>
      <c r="C342" s="370">
        <v>266427.44761200005</v>
      </c>
      <c r="D342" s="370">
        <v>36321.65</v>
      </c>
      <c r="E342" s="371">
        <v>0</v>
      </c>
      <c r="F342" s="371">
        <v>0</v>
      </c>
      <c r="G342" s="371">
        <v>0</v>
      </c>
      <c r="H342" s="371"/>
      <c r="I342" s="371"/>
      <c r="J342" s="371"/>
      <c r="K342" s="371"/>
      <c r="L342" s="371">
        <v>-16490</v>
      </c>
      <c r="M342" s="371">
        <v>650000</v>
      </c>
      <c r="N342" s="371">
        <v>44000</v>
      </c>
      <c r="O342" s="371">
        <v>1600</v>
      </c>
      <c r="P342" s="371">
        <f t="shared" si="5"/>
        <v>91683</v>
      </c>
      <c r="Q342" s="379">
        <v>-59280</v>
      </c>
      <c r="R342" s="372">
        <v>266427.44761200005</v>
      </c>
      <c r="S342" s="400">
        <v>227649.03</v>
      </c>
      <c r="T342" s="400">
        <v>33500.449999999997</v>
      </c>
      <c r="U342" s="400">
        <v>0</v>
      </c>
      <c r="V342" s="400">
        <v>0</v>
      </c>
      <c r="W342" s="372">
        <v>227649.03</v>
      </c>
      <c r="X342" s="373">
        <v>261149.47999999998</v>
      </c>
      <c r="Y342" s="372">
        <v>302749.09761200007</v>
      </c>
      <c r="Z342" s="373">
        <v>1030752.0976120001</v>
      </c>
      <c r="AA342" s="400">
        <v>-85.956205999944359</v>
      </c>
      <c r="AB342" s="400">
        <v>-69.659999999996217</v>
      </c>
      <c r="AC342" s="400">
        <v>0</v>
      </c>
      <c r="AD342" s="400">
        <v>0</v>
      </c>
      <c r="AE342" s="372">
        <v>-85.956205999944359</v>
      </c>
      <c r="AF342" s="372">
        <v>-155.61620599994058</v>
      </c>
      <c r="AG342" s="400">
        <v>-0.75</v>
      </c>
      <c r="AH342" s="374">
        <v>-3.2262519034871709E-4</v>
      </c>
      <c r="AI342" s="375">
        <v>-1.9178644141991405E-3</v>
      </c>
      <c r="AJ342" s="372">
        <v>265.60000000000002</v>
      </c>
      <c r="AK342" s="376">
        <v>-2.8237951807228911E-3</v>
      </c>
      <c r="AL342" s="376">
        <v>2.5011699903741739E-3</v>
      </c>
      <c r="AM342" s="412">
        <v>252.1338578680205</v>
      </c>
    </row>
    <row r="343" spans="2:39" s="377" customFormat="1" ht="28.15" customHeight="1" x14ac:dyDescent="0.25">
      <c r="B343" s="369">
        <v>43349</v>
      </c>
      <c r="C343" s="370">
        <v>267781.65490299999</v>
      </c>
      <c r="D343" s="370">
        <v>36370</v>
      </c>
      <c r="E343" s="371">
        <v>0</v>
      </c>
      <c r="F343" s="371">
        <v>0</v>
      </c>
      <c r="G343" s="371">
        <v>0</v>
      </c>
      <c r="H343" s="371"/>
      <c r="I343" s="371"/>
      <c r="J343" s="371"/>
      <c r="K343" s="371"/>
      <c r="L343" s="371"/>
      <c r="M343" s="371">
        <v>650000</v>
      </c>
      <c r="N343" s="371">
        <v>44000</v>
      </c>
      <c r="O343" s="371">
        <v>1600</v>
      </c>
      <c r="P343" s="371">
        <f t="shared" si="5"/>
        <v>91683</v>
      </c>
      <c r="Q343" s="379">
        <v>-59280</v>
      </c>
      <c r="R343" s="372">
        <v>267781.65490299999</v>
      </c>
      <c r="S343" s="406">
        <v>227649.03</v>
      </c>
      <c r="T343" s="400">
        <v>33500.449999999997</v>
      </c>
      <c r="U343" s="400">
        <v>0</v>
      </c>
      <c r="V343" s="400">
        <v>0</v>
      </c>
      <c r="W343" s="372">
        <v>227649.03</v>
      </c>
      <c r="X343" s="373">
        <v>261149.47999999998</v>
      </c>
      <c r="Y343" s="372">
        <v>304151.65490299999</v>
      </c>
      <c r="Z343" s="373">
        <v>1032154.654903</v>
      </c>
      <c r="AA343" s="400">
        <v>1354.2072909999406</v>
      </c>
      <c r="AB343" s="400">
        <v>48.349999999998545</v>
      </c>
      <c r="AC343" s="400">
        <v>0</v>
      </c>
      <c r="AD343" s="400">
        <v>0</v>
      </c>
      <c r="AE343" s="372">
        <v>1354.2072909999406</v>
      </c>
      <c r="AF343" s="372">
        <v>1402.5572909999391</v>
      </c>
      <c r="AG343" s="400">
        <v>-0.78000000000002956</v>
      </c>
      <c r="AH343" s="374">
        <v>5.0571324293685561E-3</v>
      </c>
      <c r="AI343" s="375">
        <v>1.3293923563376009E-3</v>
      </c>
      <c r="AJ343" s="372">
        <v>264.82</v>
      </c>
      <c r="AK343" s="376">
        <v>-2.9453968733480461E-3</v>
      </c>
      <c r="AL343" s="376">
        <v>8.0025293027166031E-3</v>
      </c>
      <c r="AM343" s="412">
        <v>252.21598984771589</v>
      </c>
    </row>
    <row r="344" spans="2:39" s="377" customFormat="1" ht="28.15" customHeight="1" x14ac:dyDescent="0.25">
      <c r="B344" s="369">
        <v>43350</v>
      </c>
      <c r="C344" s="370">
        <v>267087.36725999997</v>
      </c>
      <c r="D344" s="370">
        <v>36370</v>
      </c>
      <c r="E344" s="371">
        <v>0</v>
      </c>
      <c r="F344" s="371">
        <v>0</v>
      </c>
      <c r="G344" s="371">
        <v>0</v>
      </c>
      <c r="H344" s="371"/>
      <c r="I344" s="371"/>
      <c r="J344" s="371"/>
      <c r="K344" s="371"/>
      <c r="L344" s="371"/>
      <c r="M344" s="371">
        <v>650000</v>
      </c>
      <c r="N344" s="371">
        <v>44000</v>
      </c>
      <c r="O344" s="371">
        <v>1600</v>
      </c>
      <c r="P344" s="371">
        <f t="shared" si="5"/>
        <v>91683</v>
      </c>
      <c r="Q344" s="379">
        <v>-59280</v>
      </c>
      <c r="R344" s="372">
        <v>267087.36725999997</v>
      </c>
      <c r="S344" s="406">
        <v>227649.03</v>
      </c>
      <c r="T344" s="400">
        <v>33500.449999999997</v>
      </c>
      <c r="U344" s="400">
        <v>0</v>
      </c>
      <c r="V344" s="400">
        <v>0</v>
      </c>
      <c r="W344" s="372">
        <v>227649.03</v>
      </c>
      <c r="X344" s="373">
        <v>261149.47999999998</v>
      </c>
      <c r="Y344" s="372">
        <v>303457.36725999997</v>
      </c>
      <c r="Z344" s="373">
        <v>1031460.36726</v>
      </c>
      <c r="AA344" s="400">
        <v>-694.28764300001785</v>
      </c>
      <c r="AB344" s="400">
        <v>0</v>
      </c>
      <c r="AC344" s="400">
        <v>0</v>
      </c>
      <c r="AD344" s="400">
        <v>0</v>
      </c>
      <c r="AE344" s="372">
        <v>-694.28764300001785</v>
      </c>
      <c r="AF344" s="372">
        <v>-694.28764300001785</v>
      </c>
      <c r="AG344" s="400">
        <v>-0.63999999999998636</v>
      </c>
      <c r="AH344" s="374">
        <v>-2.5994776545314991E-3</v>
      </c>
      <c r="AI344" s="375">
        <v>0</v>
      </c>
      <c r="AJ344" s="372">
        <v>264.18</v>
      </c>
      <c r="AK344" s="376">
        <v>-2.4225906578847238E-3</v>
      </c>
      <c r="AL344" s="376">
        <v>-1.7688699664677532E-4</v>
      </c>
      <c r="AM344" s="412">
        <v>252.30081218274128</v>
      </c>
    </row>
    <row r="345" spans="2:39" s="380" customFormat="1" ht="28.15" customHeight="1" x14ac:dyDescent="0.25">
      <c r="B345" s="378">
        <v>43351</v>
      </c>
      <c r="C345" s="370">
        <v>267087.36725999997</v>
      </c>
      <c r="D345" s="370">
        <v>36370</v>
      </c>
      <c r="E345" s="371">
        <v>0</v>
      </c>
      <c r="F345" s="371">
        <v>0</v>
      </c>
      <c r="G345" s="371">
        <v>0</v>
      </c>
      <c r="H345" s="371"/>
      <c r="I345" s="371"/>
      <c r="J345" s="371"/>
      <c r="K345" s="371"/>
      <c r="L345" s="371"/>
      <c r="M345" s="371">
        <v>650000</v>
      </c>
      <c r="N345" s="371">
        <v>44000</v>
      </c>
      <c r="O345" s="371">
        <v>1600</v>
      </c>
      <c r="P345" s="371">
        <f t="shared" si="5"/>
        <v>91683</v>
      </c>
      <c r="Q345" s="379">
        <v>-59280</v>
      </c>
      <c r="R345" s="372">
        <v>267087.36725999997</v>
      </c>
      <c r="S345" s="406">
        <v>227649.03</v>
      </c>
      <c r="T345" s="400">
        <v>33500.449999999997</v>
      </c>
      <c r="U345" s="400">
        <v>0</v>
      </c>
      <c r="V345" s="400">
        <v>0</v>
      </c>
      <c r="W345" s="372">
        <v>227649.03</v>
      </c>
      <c r="X345" s="373">
        <v>261149.47999999998</v>
      </c>
      <c r="Y345" s="372">
        <v>303457.36725999997</v>
      </c>
      <c r="Z345" s="373">
        <v>1031460.36726</v>
      </c>
      <c r="AA345" s="400">
        <v>0</v>
      </c>
      <c r="AB345" s="400">
        <v>0</v>
      </c>
      <c r="AC345" s="400">
        <v>0</v>
      </c>
      <c r="AD345" s="400">
        <v>0</v>
      </c>
      <c r="AE345" s="372">
        <v>0</v>
      </c>
      <c r="AF345" s="372">
        <v>0</v>
      </c>
      <c r="AG345" s="400">
        <v>0</v>
      </c>
      <c r="AH345" s="374">
        <v>0</v>
      </c>
      <c r="AI345" s="375">
        <v>0</v>
      </c>
      <c r="AJ345" s="372">
        <v>264.18</v>
      </c>
      <c r="AK345" s="376">
        <v>0</v>
      </c>
      <c r="AL345" s="376">
        <v>0</v>
      </c>
      <c r="AM345" s="412">
        <v>252.38086294416257</v>
      </c>
    </row>
    <row r="346" spans="2:39" s="377" customFormat="1" ht="28.15" customHeight="1" x14ac:dyDescent="0.25">
      <c r="B346" s="378">
        <v>43352</v>
      </c>
      <c r="C346" s="370">
        <v>267087.36725999997</v>
      </c>
      <c r="D346" s="370">
        <v>36370</v>
      </c>
      <c r="E346" s="371">
        <v>0</v>
      </c>
      <c r="F346" s="371">
        <v>0</v>
      </c>
      <c r="G346" s="371">
        <v>0</v>
      </c>
      <c r="H346" s="371"/>
      <c r="I346" s="371"/>
      <c r="J346" s="371"/>
      <c r="K346" s="371"/>
      <c r="L346" s="371"/>
      <c r="M346" s="371">
        <v>650000</v>
      </c>
      <c r="N346" s="371">
        <v>44000</v>
      </c>
      <c r="O346" s="371">
        <v>1600</v>
      </c>
      <c r="P346" s="371">
        <f t="shared" si="5"/>
        <v>91683</v>
      </c>
      <c r="Q346" s="379">
        <v>-59280</v>
      </c>
      <c r="R346" s="372">
        <v>267087.36725999997</v>
      </c>
      <c r="S346" s="406">
        <v>227649.03</v>
      </c>
      <c r="T346" s="400">
        <v>33500.449999999997</v>
      </c>
      <c r="U346" s="400">
        <v>0</v>
      </c>
      <c r="V346" s="400">
        <v>0</v>
      </c>
      <c r="W346" s="372">
        <v>227649.03</v>
      </c>
      <c r="X346" s="373">
        <v>261149.47999999998</v>
      </c>
      <c r="Y346" s="372">
        <v>303457.36725999997</v>
      </c>
      <c r="Z346" s="373">
        <v>1031460.36726</v>
      </c>
      <c r="AA346" s="400">
        <v>0</v>
      </c>
      <c r="AB346" s="400">
        <v>0</v>
      </c>
      <c r="AC346" s="400">
        <v>0</v>
      </c>
      <c r="AD346" s="400">
        <v>0</v>
      </c>
      <c r="AE346" s="372">
        <v>0</v>
      </c>
      <c r="AF346" s="372">
        <v>0</v>
      </c>
      <c r="AG346" s="400">
        <v>0</v>
      </c>
      <c r="AH346" s="374">
        <v>0</v>
      </c>
      <c r="AI346" s="375">
        <v>0</v>
      </c>
      <c r="AJ346" s="372">
        <v>264.18</v>
      </c>
      <c r="AK346" s="376">
        <v>0</v>
      </c>
      <c r="AL346" s="376">
        <v>0</v>
      </c>
      <c r="AM346" s="412">
        <v>252.44020304568548</v>
      </c>
    </row>
    <row r="347" spans="2:39" s="377" customFormat="1" ht="28.15" customHeight="1" x14ac:dyDescent="0.25">
      <c r="B347" s="369">
        <v>43353</v>
      </c>
      <c r="C347" s="370">
        <v>266792.12914500001</v>
      </c>
      <c r="D347" s="370">
        <v>36272.58</v>
      </c>
      <c r="E347" s="371">
        <v>0</v>
      </c>
      <c r="F347" s="371">
        <v>0</v>
      </c>
      <c r="G347" s="371">
        <v>0</v>
      </c>
      <c r="H347" s="371">
        <f>17826.05+75</f>
        <v>17901.05</v>
      </c>
      <c r="I347" s="371"/>
      <c r="J347" s="371"/>
      <c r="K347" s="371"/>
      <c r="L347" s="371"/>
      <c r="M347" s="371">
        <v>650000</v>
      </c>
      <c r="N347" s="371">
        <v>44000</v>
      </c>
      <c r="O347" s="371">
        <v>1600</v>
      </c>
      <c r="P347" s="371">
        <f t="shared" si="5"/>
        <v>91683</v>
      </c>
      <c r="Q347" s="379">
        <v>-59280</v>
      </c>
      <c r="R347" s="372">
        <v>266792.12914500001</v>
      </c>
      <c r="S347" s="406">
        <v>245550.07999999999</v>
      </c>
      <c r="T347" s="400">
        <v>33500.449999999997</v>
      </c>
      <c r="U347" s="400">
        <v>0</v>
      </c>
      <c r="V347" s="400">
        <v>0</v>
      </c>
      <c r="W347" s="372">
        <v>245550.07999999999</v>
      </c>
      <c r="X347" s="373">
        <v>279050.52999999997</v>
      </c>
      <c r="Y347" s="372">
        <v>303064.70914500003</v>
      </c>
      <c r="Z347" s="373">
        <v>1031067.709145</v>
      </c>
      <c r="AA347" s="400">
        <v>-18196.288114999956</v>
      </c>
      <c r="AB347" s="400">
        <v>-97.419999999998254</v>
      </c>
      <c r="AC347" s="400">
        <v>0</v>
      </c>
      <c r="AD347" s="400">
        <v>0</v>
      </c>
      <c r="AE347" s="372">
        <v>-18196.288114999956</v>
      </c>
      <c r="AF347" s="372">
        <v>-18293.708114999954</v>
      </c>
      <c r="AG347" s="400">
        <v>0.5</v>
      </c>
      <c r="AH347" s="374">
        <v>-6.8203991524466517E-2</v>
      </c>
      <c r="AI347" s="375">
        <v>-2.6857753156791782E-3</v>
      </c>
      <c r="AJ347" s="372">
        <v>264.68</v>
      </c>
      <c r="AK347" s="376">
        <v>1.88907359830739E-3</v>
      </c>
      <c r="AL347" s="376">
        <v>-7.0093065122773912E-2</v>
      </c>
      <c r="AM347" s="412">
        <v>252.49954314720833</v>
      </c>
    </row>
    <row r="348" spans="2:39" s="377" customFormat="1" ht="28.15" customHeight="1" x14ac:dyDescent="0.25">
      <c r="B348" s="369">
        <v>43354</v>
      </c>
      <c r="C348" s="370">
        <v>282317.46989400004</v>
      </c>
      <c r="D348" s="370">
        <v>36234.979999999996</v>
      </c>
      <c r="E348" s="371">
        <v>0</v>
      </c>
      <c r="F348" s="371">
        <v>0</v>
      </c>
      <c r="G348" s="371">
        <v>0</v>
      </c>
      <c r="H348" s="371"/>
      <c r="I348" s="371"/>
      <c r="J348" s="371"/>
      <c r="K348" s="371"/>
      <c r="L348" s="371"/>
      <c r="M348" s="371">
        <v>650000</v>
      </c>
      <c r="N348" s="371">
        <v>44000</v>
      </c>
      <c r="O348" s="371">
        <v>1600</v>
      </c>
      <c r="P348" s="371">
        <f t="shared" si="5"/>
        <v>91683</v>
      </c>
      <c r="Q348" s="379">
        <v>-59280</v>
      </c>
      <c r="R348" s="372">
        <v>282317.46989400004</v>
      </c>
      <c r="S348" s="406">
        <v>245550.07999999999</v>
      </c>
      <c r="T348" s="400">
        <v>33500.449999999997</v>
      </c>
      <c r="U348" s="400">
        <v>0</v>
      </c>
      <c r="V348" s="400">
        <v>0</v>
      </c>
      <c r="W348" s="372">
        <v>245550.07999999999</v>
      </c>
      <c r="X348" s="373">
        <v>279050.52999999997</v>
      </c>
      <c r="Y348" s="372">
        <v>318552.44989400002</v>
      </c>
      <c r="Z348" s="373">
        <v>1046555.4498940001</v>
      </c>
      <c r="AA348" s="400">
        <v>15525.340749000025</v>
      </c>
      <c r="AB348" s="400">
        <v>-37.600000000005821</v>
      </c>
      <c r="AC348" s="400">
        <v>0</v>
      </c>
      <c r="AD348" s="400">
        <v>0</v>
      </c>
      <c r="AE348" s="372">
        <v>15525.340749000025</v>
      </c>
      <c r="AF348" s="372">
        <v>15487.740749000019</v>
      </c>
      <c r="AG348" s="400">
        <v>1</v>
      </c>
      <c r="AH348" s="374">
        <v>5.4992490386192631E-2</v>
      </c>
      <c r="AI348" s="375">
        <v>-1.0376713330600934E-3</v>
      </c>
      <c r="AJ348" s="372">
        <v>265.68</v>
      </c>
      <c r="AK348" s="376">
        <v>3.7639265281541705E-3</v>
      </c>
      <c r="AL348" s="376">
        <v>5.1228563858038464E-2</v>
      </c>
      <c r="AM348" s="412">
        <v>252.56142131979712</v>
      </c>
    </row>
    <row r="349" spans="2:39" s="377" customFormat="1" ht="28.15" customHeight="1" x14ac:dyDescent="0.25">
      <c r="B349" s="369">
        <v>43355</v>
      </c>
      <c r="C349" s="370">
        <v>282899.30515000003</v>
      </c>
      <c r="D349" s="370">
        <v>36167.259999999995</v>
      </c>
      <c r="E349" s="371">
        <v>0</v>
      </c>
      <c r="F349" s="371">
        <v>0</v>
      </c>
      <c r="G349" s="371">
        <v>0</v>
      </c>
      <c r="H349" s="371"/>
      <c r="I349" s="371"/>
      <c r="J349" s="371"/>
      <c r="K349" s="371"/>
      <c r="L349" s="371"/>
      <c r="M349" s="371">
        <v>650000</v>
      </c>
      <c r="N349" s="371">
        <v>44000</v>
      </c>
      <c r="O349" s="371">
        <v>1600</v>
      </c>
      <c r="P349" s="371">
        <f t="shared" si="5"/>
        <v>91683</v>
      </c>
      <c r="Q349" s="379">
        <v>-59018.51</v>
      </c>
      <c r="R349" s="372">
        <v>282899.30515000003</v>
      </c>
      <c r="S349" s="400">
        <v>245550.07999999999</v>
      </c>
      <c r="T349" s="400">
        <v>33500.449999999997</v>
      </c>
      <c r="U349" s="400">
        <v>0</v>
      </c>
      <c r="V349" s="400">
        <v>0</v>
      </c>
      <c r="W349" s="372">
        <v>245550.07999999999</v>
      </c>
      <c r="X349" s="373">
        <v>279050.52999999997</v>
      </c>
      <c r="Y349" s="372">
        <v>319066.56515000004</v>
      </c>
      <c r="Z349" s="373">
        <v>1047331.0551500001</v>
      </c>
      <c r="AA349" s="400">
        <v>581.8352559999912</v>
      </c>
      <c r="AB349" s="400">
        <v>-67.720000000001164</v>
      </c>
      <c r="AC349" s="400">
        <v>0</v>
      </c>
      <c r="AD349" s="400">
        <v>0</v>
      </c>
      <c r="AE349" s="372">
        <v>581.8352559999912</v>
      </c>
      <c r="AF349" s="372">
        <v>514.11525599999004</v>
      </c>
      <c r="AG349" s="400">
        <v>2.9999999999972715E-2</v>
      </c>
      <c r="AH349" s="374">
        <v>2.0566867624206009E-3</v>
      </c>
      <c r="AI349" s="375">
        <v>-1.8724116784075203E-3</v>
      </c>
      <c r="AJ349" s="372">
        <v>265.70999999999998</v>
      </c>
      <c r="AK349" s="376">
        <v>1.1290504685549177E-4</v>
      </c>
      <c r="AL349" s="376">
        <v>1.9437817155651092E-3</v>
      </c>
      <c r="AM349" s="412">
        <v>252.61360406091387</v>
      </c>
    </row>
    <row r="350" spans="2:39" s="377" customFormat="1" ht="28.15" customHeight="1" x14ac:dyDescent="0.25">
      <c r="B350" s="369">
        <v>43356</v>
      </c>
      <c r="C350" s="370">
        <v>282964.57030000002</v>
      </c>
      <c r="D350" s="370">
        <v>36167.259999999995</v>
      </c>
      <c r="E350" s="371">
        <v>0</v>
      </c>
      <c r="F350" s="371">
        <v>0</v>
      </c>
      <c r="G350" s="371">
        <v>0</v>
      </c>
      <c r="H350" s="371"/>
      <c r="I350" s="371"/>
      <c r="J350" s="371"/>
      <c r="K350" s="371"/>
      <c r="L350" s="371"/>
      <c r="M350" s="371">
        <v>650000</v>
      </c>
      <c r="N350" s="371">
        <v>44000</v>
      </c>
      <c r="O350" s="371">
        <v>1600</v>
      </c>
      <c r="P350" s="371">
        <f t="shared" si="5"/>
        <v>91683</v>
      </c>
      <c r="Q350" s="379">
        <v>-59018.51</v>
      </c>
      <c r="R350" s="372">
        <v>282964.57030000002</v>
      </c>
      <c r="S350" s="400">
        <v>245550.07999999999</v>
      </c>
      <c r="T350" s="400">
        <v>33500.449999999997</v>
      </c>
      <c r="U350" s="400">
        <v>0</v>
      </c>
      <c r="V350" s="400">
        <v>0</v>
      </c>
      <c r="W350" s="372">
        <v>245550.07999999999</v>
      </c>
      <c r="X350" s="373">
        <v>279050.52999999997</v>
      </c>
      <c r="Y350" s="372">
        <v>319131.83030000003</v>
      </c>
      <c r="Z350" s="373">
        <v>1047396.3203</v>
      </c>
      <c r="AA350" s="400">
        <v>65.265149999991991</v>
      </c>
      <c r="AB350" s="400">
        <v>0</v>
      </c>
      <c r="AC350" s="400">
        <v>0</v>
      </c>
      <c r="AD350" s="400">
        <v>0</v>
      </c>
      <c r="AE350" s="372">
        <v>65.265149999991991</v>
      </c>
      <c r="AF350" s="372">
        <v>65.265149999991991</v>
      </c>
      <c r="AG350" s="400">
        <v>1.5100000000000477</v>
      </c>
      <c r="AH350" s="374">
        <v>2.30647780147167E-4</v>
      </c>
      <c r="AI350" s="375">
        <v>0</v>
      </c>
      <c r="AJ350" s="372">
        <v>267.22000000000003</v>
      </c>
      <c r="AK350" s="376">
        <v>5.6507746426167488E-3</v>
      </c>
      <c r="AL350" s="376">
        <v>-5.4201268624695818E-3</v>
      </c>
      <c r="AM350" s="412">
        <v>252.68248730964484</v>
      </c>
    </row>
    <row r="351" spans="2:39" s="377" customFormat="1" ht="28.15" customHeight="1" x14ac:dyDescent="0.25">
      <c r="B351" s="369">
        <v>43357</v>
      </c>
      <c r="C351" s="370">
        <v>285080.66357400001</v>
      </c>
      <c r="D351" s="370">
        <v>36104.839999999997</v>
      </c>
      <c r="E351" s="371">
        <v>0</v>
      </c>
      <c r="F351" s="371">
        <v>0</v>
      </c>
      <c r="G351" s="371">
        <v>0</v>
      </c>
      <c r="H351" s="371"/>
      <c r="I351" s="371"/>
      <c r="J351" s="371"/>
      <c r="K351" s="371"/>
      <c r="L351" s="371"/>
      <c r="M351" s="371">
        <v>650000</v>
      </c>
      <c r="N351" s="371">
        <v>44000</v>
      </c>
      <c r="O351" s="371">
        <v>1600</v>
      </c>
      <c r="P351" s="371">
        <f t="shared" si="5"/>
        <v>91683</v>
      </c>
      <c r="Q351" s="379">
        <v>-59018.51</v>
      </c>
      <c r="R351" s="372">
        <v>285080.66357400001</v>
      </c>
      <c r="S351" s="400">
        <v>245550.07999999999</v>
      </c>
      <c r="T351" s="400">
        <v>33500.449999999997</v>
      </c>
      <c r="U351" s="400">
        <v>0</v>
      </c>
      <c r="V351" s="400">
        <v>0</v>
      </c>
      <c r="W351" s="372">
        <v>245550.07999999999</v>
      </c>
      <c r="X351" s="373">
        <v>279050.52999999997</v>
      </c>
      <c r="Y351" s="372">
        <v>321185.50357399997</v>
      </c>
      <c r="Z351" s="373">
        <v>1049449.993574</v>
      </c>
      <c r="AA351" s="400">
        <v>2116.0932739999844</v>
      </c>
      <c r="AB351" s="400">
        <v>-62.419999999998254</v>
      </c>
      <c r="AC351" s="400">
        <v>0</v>
      </c>
      <c r="AD351" s="400">
        <v>0</v>
      </c>
      <c r="AE351" s="372">
        <v>2116.0932739999844</v>
      </c>
      <c r="AF351" s="372">
        <v>2053.6732739999861</v>
      </c>
      <c r="AG351" s="400">
        <v>0.13999999999998636</v>
      </c>
      <c r="AH351" s="374">
        <v>7.4227878084431988E-3</v>
      </c>
      <c r="AI351" s="375">
        <v>-1.7288540816133866E-3</v>
      </c>
      <c r="AJ351" s="372">
        <v>267.36</v>
      </c>
      <c r="AK351" s="376">
        <v>5.2363853979647801E-4</v>
      </c>
      <c r="AL351" s="376">
        <v>6.8991492686467206E-3</v>
      </c>
      <c r="AM351" s="412">
        <v>252.77324873096461</v>
      </c>
    </row>
    <row r="352" spans="2:39" s="377" customFormat="1" ht="28.15" customHeight="1" x14ac:dyDescent="0.25">
      <c r="B352" s="378">
        <v>43358</v>
      </c>
      <c r="C352" s="370">
        <v>285080.66357400001</v>
      </c>
      <c r="D352" s="370">
        <v>36104.839999999997</v>
      </c>
      <c r="E352" s="371">
        <v>0</v>
      </c>
      <c r="F352" s="371">
        <v>0</v>
      </c>
      <c r="G352" s="371">
        <v>0</v>
      </c>
      <c r="H352" s="371"/>
      <c r="I352" s="371"/>
      <c r="J352" s="371"/>
      <c r="K352" s="371"/>
      <c r="L352" s="371"/>
      <c r="M352" s="371">
        <v>650000</v>
      </c>
      <c r="N352" s="371">
        <v>44000</v>
      </c>
      <c r="O352" s="371">
        <v>1600</v>
      </c>
      <c r="P352" s="371">
        <f t="shared" si="5"/>
        <v>91683</v>
      </c>
      <c r="Q352" s="379">
        <v>-59018.51</v>
      </c>
      <c r="R352" s="372">
        <v>285080.66357400001</v>
      </c>
      <c r="S352" s="400">
        <v>245550.07999999999</v>
      </c>
      <c r="T352" s="400">
        <v>33500.449999999997</v>
      </c>
      <c r="U352" s="400">
        <v>0</v>
      </c>
      <c r="V352" s="400">
        <v>0</v>
      </c>
      <c r="W352" s="372">
        <v>245550.07999999999</v>
      </c>
      <c r="X352" s="373">
        <v>279050.52999999997</v>
      </c>
      <c r="Y352" s="372">
        <v>321185.50357399997</v>
      </c>
      <c r="Z352" s="373">
        <v>1049449.993574</v>
      </c>
      <c r="AA352" s="400">
        <v>0</v>
      </c>
      <c r="AB352" s="400">
        <v>0</v>
      </c>
      <c r="AC352" s="400">
        <v>0</v>
      </c>
      <c r="AD352" s="400">
        <v>0</v>
      </c>
      <c r="AE352" s="372">
        <v>0</v>
      </c>
      <c r="AF352" s="372">
        <v>0</v>
      </c>
      <c r="AG352" s="400">
        <v>0</v>
      </c>
      <c r="AH352" s="374">
        <v>0</v>
      </c>
      <c r="AI352" s="375">
        <v>0</v>
      </c>
      <c r="AJ352" s="372">
        <v>267.36</v>
      </c>
      <c r="AK352" s="376">
        <v>0</v>
      </c>
      <c r="AL352" s="376">
        <v>0</v>
      </c>
      <c r="AM352" s="412">
        <v>252.88142131979714</v>
      </c>
    </row>
    <row r="353" spans="2:39" s="377" customFormat="1" ht="28.15" customHeight="1" x14ac:dyDescent="0.25">
      <c r="B353" s="378">
        <v>43359</v>
      </c>
      <c r="C353" s="370">
        <v>285080.66357400001</v>
      </c>
      <c r="D353" s="370">
        <v>36104.839999999997</v>
      </c>
      <c r="E353" s="371">
        <v>0</v>
      </c>
      <c r="F353" s="371">
        <v>0</v>
      </c>
      <c r="G353" s="371">
        <v>0</v>
      </c>
      <c r="H353" s="371"/>
      <c r="I353" s="371"/>
      <c r="J353" s="371"/>
      <c r="K353" s="371"/>
      <c r="L353" s="371"/>
      <c r="M353" s="371">
        <v>650000</v>
      </c>
      <c r="N353" s="371">
        <v>44000</v>
      </c>
      <c r="O353" s="371">
        <v>1600</v>
      </c>
      <c r="P353" s="371">
        <f t="shared" si="5"/>
        <v>91683</v>
      </c>
      <c r="Q353" s="379">
        <v>-59018.51</v>
      </c>
      <c r="R353" s="372">
        <v>285080.66357400001</v>
      </c>
      <c r="S353" s="400">
        <v>245550.07999999999</v>
      </c>
      <c r="T353" s="400">
        <v>33500.449999999997</v>
      </c>
      <c r="U353" s="400">
        <v>0</v>
      </c>
      <c r="V353" s="400">
        <v>0</v>
      </c>
      <c r="W353" s="372">
        <v>245550.07999999999</v>
      </c>
      <c r="X353" s="373">
        <v>279050.52999999997</v>
      </c>
      <c r="Y353" s="372">
        <v>321185.50357399997</v>
      </c>
      <c r="Z353" s="373">
        <v>1049449.993574</v>
      </c>
      <c r="AA353" s="400">
        <v>0</v>
      </c>
      <c r="AB353" s="400">
        <v>0</v>
      </c>
      <c r="AC353" s="400">
        <v>0</v>
      </c>
      <c r="AD353" s="400">
        <v>0</v>
      </c>
      <c r="AE353" s="372">
        <v>0</v>
      </c>
      <c r="AF353" s="372">
        <v>0</v>
      </c>
      <c r="AG353" s="400">
        <v>0</v>
      </c>
      <c r="AH353" s="374">
        <v>0</v>
      </c>
      <c r="AI353" s="375">
        <v>0</v>
      </c>
      <c r="AJ353" s="372">
        <v>267.36</v>
      </c>
      <c r="AK353" s="376">
        <v>0</v>
      </c>
      <c r="AL353" s="376">
        <v>0</v>
      </c>
      <c r="AM353" s="412">
        <v>252.98294416243672</v>
      </c>
    </row>
    <row r="354" spans="2:39" s="377" customFormat="1" ht="28.15" customHeight="1" x14ac:dyDescent="0.25">
      <c r="B354" s="369">
        <v>43360</v>
      </c>
      <c r="C354" s="370">
        <v>285001.00287000003</v>
      </c>
      <c r="D354" s="370">
        <v>35810.380000000005</v>
      </c>
      <c r="E354" s="371">
        <v>0</v>
      </c>
      <c r="F354" s="371">
        <v>0</v>
      </c>
      <c r="G354" s="371">
        <v>0</v>
      </c>
      <c r="H354" s="371"/>
      <c r="I354" s="371"/>
      <c r="J354" s="371"/>
      <c r="K354" s="371"/>
      <c r="L354" s="371"/>
      <c r="M354" s="371">
        <v>650000</v>
      </c>
      <c r="N354" s="371">
        <v>44000</v>
      </c>
      <c r="O354" s="371">
        <v>1600</v>
      </c>
      <c r="P354" s="371">
        <f t="shared" si="5"/>
        <v>91683</v>
      </c>
      <c r="Q354" s="379">
        <v>-59018.51</v>
      </c>
      <c r="R354" s="372">
        <v>285001.00287000003</v>
      </c>
      <c r="S354" s="400">
        <v>245550.07999999999</v>
      </c>
      <c r="T354" s="400">
        <v>33500.449999999997</v>
      </c>
      <c r="U354" s="400">
        <v>0</v>
      </c>
      <c r="V354" s="400">
        <v>0</v>
      </c>
      <c r="W354" s="372">
        <v>245550.07999999999</v>
      </c>
      <c r="X354" s="373">
        <v>279050.52999999997</v>
      </c>
      <c r="Y354" s="372">
        <v>320811.38287000003</v>
      </c>
      <c r="Z354" s="373">
        <v>1049075.8728700001</v>
      </c>
      <c r="AA354" s="400">
        <v>-79.660703999979887</v>
      </c>
      <c r="AB354" s="400">
        <v>-294.45999999999185</v>
      </c>
      <c r="AC354" s="400">
        <v>0</v>
      </c>
      <c r="AD354" s="400">
        <v>0</v>
      </c>
      <c r="AE354" s="372">
        <v>-79.660703999979887</v>
      </c>
      <c r="AF354" s="372">
        <v>-374.12070399997174</v>
      </c>
      <c r="AG354" s="400">
        <v>-1.5099999999999909</v>
      </c>
      <c r="AH354" s="374">
        <v>-2.795102585527259E-4</v>
      </c>
      <c r="AI354" s="375">
        <v>-8.2227555250737865E-3</v>
      </c>
      <c r="AJ354" s="372">
        <v>265.85000000000002</v>
      </c>
      <c r="AK354" s="376">
        <v>-5.679894677449655E-3</v>
      </c>
      <c r="AL354" s="376">
        <v>5.4003844188969287E-3</v>
      </c>
      <c r="AM354" s="412">
        <v>253.08446700507628</v>
      </c>
    </row>
    <row r="355" spans="2:39" s="377" customFormat="1" ht="28.15" customHeight="1" x14ac:dyDescent="0.25">
      <c r="B355" s="369">
        <v>43361</v>
      </c>
      <c r="C355" s="370">
        <v>282164.41636000003</v>
      </c>
      <c r="D355" s="370">
        <v>36128.959999999999</v>
      </c>
      <c r="E355" s="371">
        <v>0</v>
      </c>
      <c r="F355" s="371">
        <v>0</v>
      </c>
      <c r="G355" s="371">
        <v>1850</v>
      </c>
      <c r="H355" s="371"/>
      <c r="I355" s="371"/>
      <c r="J355" s="371"/>
      <c r="K355" s="371"/>
      <c r="L355" s="371">
        <v>1822.18</v>
      </c>
      <c r="M355" s="371">
        <v>650000</v>
      </c>
      <c r="N355" s="371">
        <v>44000</v>
      </c>
      <c r="O355" s="371">
        <v>1600</v>
      </c>
      <c r="P355" s="371">
        <f t="shared" si="5"/>
        <v>91683</v>
      </c>
      <c r="Q355" s="379">
        <v>-59018.51</v>
      </c>
      <c r="R355" s="372">
        <v>284014.41636000003</v>
      </c>
      <c r="S355" s="406">
        <v>245550.07999999999</v>
      </c>
      <c r="T355" s="400">
        <v>33500.449999999997</v>
      </c>
      <c r="U355" s="400">
        <v>0</v>
      </c>
      <c r="V355" s="400">
        <v>1822.18</v>
      </c>
      <c r="W355" s="372">
        <v>247372.25999999998</v>
      </c>
      <c r="X355" s="373">
        <v>280872.70999999996</v>
      </c>
      <c r="Y355" s="372">
        <v>320143.37636000005</v>
      </c>
      <c r="Z355" s="373">
        <v>1048407.8663600001</v>
      </c>
      <c r="AA355" s="400">
        <v>-2836.5865099999937</v>
      </c>
      <c r="AB355" s="400">
        <v>318.57999999999447</v>
      </c>
      <c r="AC355" s="400">
        <v>0</v>
      </c>
      <c r="AD355" s="400">
        <v>27.819999999999936</v>
      </c>
      <c r="AE355" s="372">
        <v>-2808.766509999994</v>
      </c>
      <c r="AF355" s="372">
        <v>-2490.1865099999995</v>
      </c>
      <c r="AG355" s="400">
        <v>1.4499999999999886</v>
      </c>
      <c r="AH355" s="374">
        <v>-9.8895209123461055E-3</v>
      </c>
      <c r="AI355" s="375">
        <v>8.8178569214279762E-3</v>
      </c>
      <c r="AJ355" s="372">
        <v>267.3</v>
      </c>
      <c r="AK355" s="376">
        <v>5.4246165357276039E-3</v>
      </c>
      <c r="AL355" s="376">
        <v>-1.5314137448073709E-2</v>
      </c>
      <c r="AM355" s="412">
        <v>253.17832487309659</v>
      </c>
    </row>
    <row r="356" spans="2:39" s="377" customFormat="1" ht="28.15" customHeight="1" x14ac:dyDescent="0.25">
      <c r="B356" s="369">
        <v>43362</v>
      </c>
      <c r="C356" s="370">
        <v>281829.81187999999</v>
      </c>
      <c r="D356" s="370">
        <v>36299.339999999997</v>
      </c>
      <c r="E356" s="371">
        <v>0</v>
      </c>
      <c r="F356" s="371">
        <v>0</v>
      </c>
      <c r="G356" s="371">
        <v>1847</v>
      </c>
      <c r="H356" s="371"/>
      <c r="I356" s="371">
        <v>209.99999999999272</v>
      </c>
      <c r="J356" s="371"/>
      <c r="K356" s="371"/>
      <c r="L356" s="371"/>
      <c r="M356" s="371">
        <v>650000</v>
      </c>
      <c r="N356" s="371">
        <v>44000</v>
      </c>
      <c r="O356" s="371">
        <v>1600</v>
      </c>
      <c r="P356" s="371">
        <f t="shared" si="5"/>
        <v>91683</v>
      </c>
      <c r="Q356" s="379">
        <v>-59018.51</v>
      </c>
      <c r="R356" s="372">
        <v>283676.81187999999</v>
      </c>
      <c r="S356" s="400">
        <v>245550.07999999999</v>
      </c>
      <c r="T356" s="400">
        <v>33710.44999999999</v>
      </c>
      <c r="U356" s="400">
        <v>0</v>
      </c>
      <c r="V356" s="400">
        <v>1822.18</v>
      </c>
      <c r="W356" s="372">
        <v>247372.25999999998</v>
      </c>
      <c r="X356" s="373">
        <v>281082.70999999996</v>
      </c>
      <c r="Y356" s="372">
        <v>319976.15188000002</v>
      </c>
      <c r="Z356" s="373">
        <v>1048240.64188</v>
      </c>
      <c r="AA356" s="400">
        <v>-334.60448000003817</v>
      </c>
      <c r="AB356" s="400">
        <v>-39.619999999995343</v>
      </c>
      <c r="AC356" s="400">
        <v>0</v>
      </c>
      <c r="AD356" s="400">
        <v>-3</v>
      </c>
      <c r="AE356" s="372">
        <v>-337.60448000003817</v>
      </c>
      <c r="AF356" s="372">
        <v>-377.22448000003351</v>
      </c>
      <c r="AG356" s="400">
        <v>0.30000000000001137</v>
      </c>
      <c r="AH356" s="374">
        <v>-1.1901024893879958E-3</v>
      </c>
      <c r="AI356" s="375">
        <v>-1.0914799001853848E-3</v>
      </c>
      <c r="AJ356" s="372">
        <v>267.60000000000002</v>
      </c>
      <c r="AK356" s="376">
        <v>1.121076233183899E-3</v>
      </c>
      <c r="AL356" s="376">
        <v>-2.3111787225718948E-3</v>
      </c>
      <c r="AM356" s="412">
        <v>253.26512690355347</v>
      </c>
    </row>
    <row r="357" spans="2:39" s="377" customFormat="1" ht="28.15" customHeight="1" x14ac:dyDescent="0.25">
      <c r="B357" s="369">
        <v>43363</v>
      </c>
      <c r="C357" s="370">
        <v>281414.78052599996</v>
      </c>
      <c r="D357" s="370">
        <v>36169.32</v>
      </c>
      <c r="E357" s="371">
        <v>0</v>
      </c>
      <c r="F357" s="371">
        <v>0</v>
      </c>
      <c r="G357" s="371">
        <v>1846</v>
      </c>
      <c r="H357" s="371"/>
      <c r="I357" s="371"/>
      <c r="J357" s="371"/>
      <c r="K357" s="371"/>
      <c r="L357" s="371"/>
      <c r="M357" s="371">
        <v>650000</v>
      </c>
      <c r="N357" s="371">
        <v>44000</v>
      </c>
      <c r="O357" s="371">
        <v>1600</v>
      </c>
      <c r="P357" s="371">
        <f t="shared" si="5"/>
        <v>91683</v>
      </c>
      <c r="Q357" s="379">
        <v>-59018.51</v>
      </c>
      <c r="R357" s="372">
        <v>283260.78052599996</v>
      </c>
      <c r="S357" s="400">
        <v>245550.07999999999</v>
      </c>
      <c r="T357" s="400">
        <v>33710.44999999999</v>
      </c>
      <c r="U357" s="400">
        <v>0</v>
      </c>
      <c r="V357" s="400">
        <v>1822.18</v>
      </c>
      <c r="W357" s="372">
        <v>247372.25999999998</v>
      </c>
      <c r="X357" s="373">
        <v>281082.70999999996</v>
      </c>
      <c r="Y357" s="372">
        <v>319430.10052599997</v>
      </c>
      <c r="Z357" s="373">
        <v>1047694.5905259999</v>
      </c>
      <c r="AA357" s="400">
        <v>-415.03135400003521</v>
      </c>
      <c r="AB357" s="400">
        <v>-130.0199999999968</v>
      </c>
      <c r="AC357" s="400">
        <v>0</v>
      </c>
      <c r="AD357" s="400">
        <v>-1</v>
      </c>
      <c r="AE357" s="372">
        <v>-416.03135400003521</v>
      </c>
      <c r="AF357" s="372">
        <v>-546.05135400003201</v>
      </c>
      <c r="AG357" s="400">
        <v>2.1499999999999773</v>
      </c>
      <c r="AH357" s="374">
        <v>-1.4687220490866666E-3</v>
      </c>
      <c r="AI357" s="375">
        <v>-3.5947593153533657E-3</v>
      </c>
      <c r="AJ357" s="372">
        <v>269.75</v>
      </c>
      <c r="AK357" s="376">
        <v>7.970342910101862E-3</v>
      </c>
      <c r="AL357" s="376">
        <v>-9.4390649591885277E-3</v>
      </c>
      <c r="AM357" s="412">
        <v>253.35025380710675</v>
      </c>
    </row>
    <row r="358" spans="2:39" s="377" customFormat="1" ht="28.15" customHeight="1" x14ac:dyDescent="0.25">
      <c r="B358" s="369">
        <v>43364</v>
      </c>
      <c r="C358" s="370">
        <v>284578.97297599999</v>
      </c>
      <c r="D358" s="370">
        <v>36289.31</v>
      </c>
      <c r="E358" s="371">
        <v>0</v>
      </c>
      <c r="F358" s="371">
        <v>0</v>
      </c>
      <c r="G358" s="371">
        <v>1848</v>
      </c>
      <c r="H358" s="371"/>
      <c r="I358" s="371"/>
      <c r="J358" s="371"/>
      <c r="K358" s="371"/>
      <c r="L358" s="371"/>
      <c r="M358" s="371">
        <v>650000</v>
      </c>
      <c r="N358" s="371">
        <v>44000</v>
      </c>
      <c r="O358" s="371">
        <v>1600</v>
      </c>
      <c r="P358" s="371">
        <f t="shared" si="5"/>
        <v>91683</v>
      </c>
      <c r="Q358" s="379">
        <v>-51018.51</v>
      </c>
      <c r="R358" s="372">
        <v>286426.97297599999</v>
      </c>
      <c r="S358" s="400">
        <v>245550.07999999999</v>
      </c>
      <c r="T358" s="400">
        <v>33710.44999999999</v>
      </c>
      <c r="U358" s="400">
        <v>0</v>
      </c>
      <c r="V358" s="400">
        <v>1822.18</v>
      </c>
      <c r="W358" s="372">
        <v>247372.25999999998</v>
      </c>
      <c r="X358" s="373">
        <v>281082.70999999996</v>
      </c>
      <c r="Y358" s="372">
        <v>322716.28297599999</v>
      </c>
      <c r="Z358" s="373">
        <v>1058980.7729760001</v>
      </c>
      <c r="AA358" s="400">
        <v>3164.1924500000314</v>
      </c>
      <c r="AB358" s="400">
        <v>119.98999999999796</v>
      </c>
      <c r="AC358" s="400">
        <v>0</v>
      </c>
      <c r="AD358" s="400">
        <v>2</v>
      </c>
      <c r="AE358" s="372">
        <v>3166.1924500000314</v>
      </c>
      <c r="AF358" s="372">
        <v>3286.1824500000293</v>
      </c>
      <c r="AG358" s="400">
        <v>-0.18999999999999773</v>
      </c>
      <c r="AH358" s="374">
        <v>1.1054100167672861E-2</v>
      </c>
      <c r="AI358" s="375">
        <v>3.3064833693448007E-3</v>
      </c>
      <c r="AJ358" s="372">
        <v>269.56</v>
      </c>
      <c r="AK358" s="376">
        <v>-7.0485235198099769E-4</v>
      </c>
      <c r="AL358" s="376">
        <v>1.1758952519653858E-2</v>
      </c>
      <c r="AM358" s="412">
        <v>253.44685279187831</v>
      </c>
    </row>
    <row r="359" spans="2:39" s="377" customFormat="1" ht="28.15" customHeight="1" x14ac:dyDescent="0.25">
      <c r="B359" s="378">
        <v>43365</v>
      </c>
      <c r="C359" s="370">
        <v>284578.97297599999</v>
      </c>
      <c r="D359" s="370">
        <v>36289.31</v>
      </c>
      <c r="E359" s="371">
        <v>0</v>
      </c>
      <c r="F359" s="371">
        <v>0</v>
      </c>
      <c r="G359" s="371">
        <v>1848</v>
      </c>
      <c r="H359" s="371"/>
      <c r="I359" s="371"/>
      <c r="J359" s="371"/>
      <c r="K359" s="371"/>
      <c r="L359" s="371"/>
      <c r="M359" s="371">
        <v>650000</v>
      </c>
      <c r="N359" s="371">
        <v>44000</v>
      </c>
      <c r="O359" s="371">
        <v>1600</v>
      </c>
      <c r="P359" s="371">
        <f t="shared" si="5"/>
        <v>91683</v>
      </c>
      <c r="Q359" s="379">
        <v>-51018.51</v>
      </c>
      <c r="R359" s="372">
        <v>286426.97297599999</v>
      </c>
      <c r="S359" s="400">
        <v>245550.07999999999</v>
      </c>
      <c r="T359" s="400">
        <v>33710.44999999999</v>
      </c>
      <c r="U359" s="400">
        <v>0</v>
      </c>
      <c r="V359" s="400">
        <v>1822.18</v>
      </c>
      <c r="W359" s="372">
        <v>247372.25999999998</v>
      </c>
      <c r="X359" s="373">
        <v>281082.70999999996</v>
      </c>
      <c r="Y359" s="372">
        <v>322716.28297599999</v>
      </c>
      <c r="Z359" s="373">
        <v>1058980.7729760001</v>
      </c>
      <c r="AA359" s="400">
        <v>0</v>
      </c>
      <c r="AB359" s="400">
        <v>0</v>
      </c>
      <c r="AC359" s="400">
        <v>0</v>
      </c>
      <c r="AD359" s="400">
        <v>0</v>
      </c>
      <c r="AE359" s="372">
        <v>0</v>
      </c>
      <c r="AF359" s="372">
        <v>0</v>
      </c>
      <c r="AG359" s="400">
        <v>0</v>
      </c>
      <c r="AH359" s="374">
        <v>0</v>
      </c>
      <c r="AI359" s="375">
        <v>0</v>
      </c>
      <c r="AJ359" s="372">
        <v>269.56</v>
      </c>
      <c r="AK359" s="376">
        <v>0</v>
      </c>
      <c r="AL359" s="376">
        <v>0</v>
      </c>
      <c r="AM359" s="412">
        <v>253.53654822335034</v>
      </c>
    </row>
    <row r="360" spans="2:39" s="377" customFormat="1" ht="28.15" customHeight="1" x14ac:dyDescent="0.25">
      <c r="B360" s="378">
        <v>43366</v>
      </c>
      <c r="C360" s="370">
        <v>284578.97297599999</v>
      </c>
      <c r="D360" s="370">
        <v>36289.31</v>
      </c>
      <c r="E360" s="371">
        <v>0</v>
      </c>
      <c r="F360" s="371">
        <v>0</v>
      </c>
      <c r="G360" s="371">
        <v>1848</v>
      </c>
      <c r="H360" s="371"/>
      <c r="I360" s="371"/>
      <c r="J360" s="371"/>
      <c r="K360" s="371"/>
      <c r="L360" s="371"/>
      <c r="M360" s="371">
        <v>650000</v>
      </c>
      <c r="N360" s="371">
        <v>44000</v>
      </c>
      <c r="O360" s="371">
        <v>1600</v>
      </c>
      <c r="P360" s="371">
        <f t="shared" si="5"/>
        <v>91683</v>
      </c>
      <c r="Q360" s="379">
        <v>-51018.51</v>
      </c>
      <c r="R360" s="372">
        <v>286426.97297599999</v>
      </c>
      <c r="S360" s="400">
        <v>245550.07999999999</v>
      </c>
      <c r="T360" s="400">
        <v>33710.44999999999</v>
      </c>
      <c r="U360" s="400">
        <v>0</v>
      </c>
      <c r="V360" s="400">
        <v>1822.18</v>
      </c>
      <c r="W360" s="372">
        <v>247372.25999999998</v>
      </c>
      <c r="X360" s="373">
        <v>281082.70999999996</v>
      </c>
      <c r="Y360" s="372">
        <v>322716.28297599999</v>
      </c>
      <c r="Z360" s="373">
        <v>1058980.7729760001</v>
      </c>
      <c r="AA360" s="400">
        <v>0</v>
      </c>
      <c r="AB360" s="400">
        <v>0</v>
      </c>
      <c r="AC360" s="400">
        <v>0</v>
      </c>
      <c r="AD360" s="400">
        <v>0</v>
      </c>
      <c r="AE360" s="372">
        <v>0</v>
      </c>
      <c r="AF360" s="372">
        <v>0</v>
      </c>
      <c r="AG360" s="400">
        <v>0</v>
      </c>
      <c r="AH360" s="374">
        <v>0</v>
      </c>
      <c r="AI360" s="375">
        <v>0</v>
      </c>
      <c r="AJ360" s="372">
        <v>269.56</v>
      </c>
      <c r="AK360" s="376">
        <v>0</v>
      </c>
      <c r="AL360" s="376">
        <v>0</v>
      </c>
      <c r="AM360" s="412">
        <v>253.60411167512703</v>
      </c>
    </row>
    <row r="361" spans="2:39" s="377" customFormat="1" ht="28.15" customHeight="1" x14ac:dyDescent="0.25">
      <c r="B361" s="369">
        <v>43367</v>
      </c>
      <c r="C361" s="370">
        <v>285927.33537000004</v>
      </c>
      <c r="D361" s="370">
        <v>36202.870000000003</v>
      </c>
      <c r="E361" s="371">
        <v>0</v>
      </c>
      <c r="F361" s="371">
        <v>0</v>
      </c>
      <c r="G361" s="371">
        <v>1857</v>
      </c>
      <c r="H361" s="371">
        <v>75</v>
      </c>
      <c r="I361" s="371"/>
      <c r="J361" s="371"/>
      <c r="K361" s="371"/>
      <c r="L361" s="371"/>
      <c r="M361" s="371">
        <v>650000</v>
      </c>
      <c r="N361" s="371">
        <v>44000</v>
      </c>
      <c r="O361" s="371">
        <v>1600</v>
      </c>
      <c r="P361" s="371">
        <f t="shared" si="5"/>
        <v>91683</v>
      </c>
      <c r="Q361" s="379">
        <v>-51018.51</v>
      </c>
      <c r="R361" s="372">
        <v>287784.33537000004</v>
      </c>
      <c r="S361" s="400">
        <v>245625.08</v>
      </c>
      <c r="T361" s="400">
        <v>33710.44999999999</v>
      </c>
      <c r="U361" s="400">
        <v>0</v>
      </c>
      <c r="V361" s="400">
        <v>1822.18</v>
      </c>
      <c r="W361" s="372">
        <v>247447.25999999998</v>
      </c>
      <c r="X361" s="373">
        <v>281157.70999999996</v>
      </c>
      <c r="Y361" s="372">
        <v>323987.20537000004</v>
      </c>
      <c r="Z361" s="373">
        <v>1060251.6953700001</v>
      </c>
      <c r="AA361" s="400">
        <v>1273.3623940000543</v>
      </c>
      <c r="AB361" s="400">
        <v>-86.439999999995052</v>
      </c>
      <c r="AC361" s="400">
        <v>0</v>
      </c>
      <c r="AD361" s="400">
        <v>9</v>
      </c>
      <c r="AE361" s="372">
        <v>1282.3623940000543</v>
      </c>
      <c r="AF361" s="372">
        <v>1195.9223940000593</v>
      </c>
      <c r="AG361" s="400">
        <v>-0.89999999999997726</v>
      </c>
      <c r="AH361" s="374">
        <v>4.455984000488908E-3</v>
      </c>
      <c r="AI361" s="375">
        <v>-2.3876560062778183E-3</v>
      </c>
      <c r="AJ361" s="372">
        <v>268.66000000000003</v>
      </c>
      <c r="AK361" s="376">
        <v>-3.3499590560558965E-3</v>
      </c>
      <c r="AL361" s="376">
        <v>7.8059430565448045E-3</v>
      </c>
      <c r="AM361" s="412">
        <v>253.67167512690366</v>
      </c>
    </row>
    <row r="362" spans="2:39" s="377" customFormat="1" ht="28.15" customHeight="1" x14ac:dyDescent="0.25">
      <c r="B362" s="369">
        <v>43368</v>
      </c>
      <c r="C362" s="370">
        <v>285016.707069</v>
      </c>
      <c r="D362" s="370">
        <v>35919.870000000003</v>
      </c>
      <c r="E362" s="371">
        <v>0</v>
      </c>
      <c r="F362" s="371">
        <v>0</v>
      </c>
      <c r="G362" s="371">
        <v>1863</v>
      </c>
      <c r="H362" s="371"/>
      <c r="I362" s="371"/>
      <c r="J362" s="371"/>
      <c r="K362" s="371"/>
      <c r="L362" s="371"/>
      <c r="M362" s="371">
        <v>650000</v>
      </c>
      <c r="N362" s="371">
        <v>44000</v>
      </c>
      <c r="O362" s="371">
        <v>1600</v>
      </c>
      <c r="P362" s="371">
        <f t="shared" si="5"/>
        <v>91683</v>
      </c>
      <c r="Q362" s="379">
        <v>-51018.51</v>
      </c>
      <c r="R362" s="372">
        <v>286879.707069</v>
      </c>
      <c r="S362" s="400">
        <v>245625.08</v>
      </c>
      <c r="T362" s="400">
        <v>33710.44999999999</v>
      </c>
      <c r="U362" s="400">
        <v>0</v>
      </c>
      <c r="V362" s="400">
        <v>1822.18</v>
      </c>
      <c r="W362" s="372">
        <v>247447.25999999998</v>
      </c>
      <c r="X362" s="373">
        <v>281157.70999999996</v>
      </c>
      <c r="Y362" s="372">
        <v>322799.57706899999</v>
      </c>
      <c r="Z362" s="373">
        <v>1059064.0670689999</v>
      </c>
      <c r="AA362" s="400">
        <v>-910.62830100004794</v>
      </c>
      <c r="AB362" s="400">
        <v>-283</v>
      </c>
      <c r="AC362" s="400">
        <v>0</v>
      </c>
      <c r="AD362" s="400">
        <v>6</v>
      </c>
      <c r="AE362" s="372">
        <v>-904.62830100004794</v>
      </c>
      <c r="AF362" s="372">
        <v>-1187.6283010000479</v>
      </c>
      <c r="AG362" s="400">
        <v>-0.33000000000004093</v>
      </c>
      <c r="AH362" s="374">
        <v>-3.1533366728601258E-3</v>
      </c>
      <c r="AI362" s="375">
        <v>-7.878647667711491E-3</v>
      </c>
      <c r="AJ362" s="372">
        <v>268.33</v>
      </c>
      <c r="AK362" s="376">
        <v>-1.229828941974587E-3</v>
      </c>
      <c r="AL362" s="376">
        <v>-1.9235077308855388E-3</v>
      </c>
      <c r="AM362" s="412">
        <v>253.73467005076151</v>
      </c>
    </row>
    <row r="363" spans="2:39" s="377" customFormat="1" ht="28.15" customHeight="1" x14ac:dyDescent="0.25">
      <c r="B363" s="369">
        <v>43369</v>
      </c>
      <c r="C363" s="370">
        <v>285483.14962879999</v>
      </c>
      <c r="D363" s="370">
        <v>35697.01</v>
      </c>
      <c r="E363" s="371">
        <v>0</v>
      </c>
      <c r="F363" s="371">
        <v>0</v>
      </c>
      <c r="G363" s="371">
        <v>1850</v>
      </c>
      <c r="H363" s="371"/>
      <c r="I363" s="371"/>
      <c r="J363" s="371"/>
      <c r="K363" s="371"/>
      <c r="L363" s="371"/>
      <c r="M363" s="371">
        <v>650000</v>
      </c>
      <c r="N363" s="371">
        <v>44000</v>
      </c>
      <c r="O363" s="371">
        <v>1600</v>
      </c>
      <c r="P363" s="371">
        <f t="shared" ref="P363:P453" si="6">91683</f>
        <v>91683</v>
      </c>
      <c r="Q363" s="379">
        <v>-51018.51</v>
      </c>
      <c r="R363" s="372">
        <v>287333.14962879999</v>
      </c>
      <c r="S363" s="400">
        <v>245625.08</v>
      </c>
      <c r="T363" s="400">
        <v>33710.44999999999</v>
      </c>
      <c r="U363" s="400">
        <v>0</v>
      </c>
      <c r="V363" s="400">
        <v>1822.18</v>
      </c>
      <c r="W363" s="372">
        <v>247447.25999999998</v>
      </c>
      <c r="X363" s="373">
        <v>281157.70999999996</v>
      </c>
      <c r="Y363" s="372">
        <v>323030.1596288</v>
      </c>
      <c r="Z363" s="373">
        <v>1059294.6496288001</v>
      </c>
      <c r="AA363" s="400">
        <v>466.44255979999434</v>
      </c>
      <c r="AB363" s="400">
        <v>-222.86000000000058</v>
      </c>
      <c r="AC363" s="400">
        <v>0</v>
      </c>
      <c r="AD363" s="400">
        <v>-13</v>
      </c>
      <c r="AE363" s="372">
        <v>453.44255979999434</v>
      </c>
      <c r="AF363" s="372">
        <v>230.58255979999376</v>
      </c>
      <c r="AG363" s="400">
        <v>-1.9900000000000091</v>
      </c>
      <c r="AH363" s="374">
        <v>1.5781073655642859E-3</v>
      </c>
      <c r="AI363" s="375">
        <v>-6.2430999122895887E-3</v>
      </c>
      <c r="AJ363" s="372">
        <v>266.33999999999997</v>
      </c>
      <c r="AK363" s="376">
        <v>-7.47165277464898E-3</v>
      </c>
      <c r="AL363" s="376">
        <v>9.0497601402132651E-3</v>
      </c>
      <c r="AM363" s="412">
        <v>253.79725888324884</v>
      </c>
    </row>
    <row r="364" spans="2:39" s="377" customFormat="1" ht="28.15" customHeight="1" x14ac:dyDescent="0.25">
      <c r="B364" s="369">
        <v>43370</v>
      </c>
      <c r="C364" s="370">
        <v>285579.78396999999</v>
      </c>
      <c r="D364" s="370">
        <v>35607.99</v>
      </c>
      <c r="E364" s="371">
        <v>0</v>
      </c>
      <c r="F364" s="371">
        <v>0</v>
      </c>
      <c r="G364" s="371">
        <v>1846</v>
      </c>
      <c r="H364" s="371"/>
      <c r="I364" s="371"/>
      <c r="J364" s="371"/>
      <c r="K364" s="371"/>
      <c r="L364" s="371"/>
      <c r="M364" s="371">
        <v>650000</v>
      </c>
      <c r="N364" s="371">
        <v>44000</v>
      </c>
      <c r="O364" s="371">
        <v>1600</v>
      </c>
      <c r="P364" s="371">
        <f t="shared" si="6"/>
        <v>91683</v>
      </c>
      <c r="Q364" s="379">
        <v>-51018.51</v>
      </c>
      <c r="R364" s="372">
        <v>287425.78396999999</v>
      </c>
      <c r="S364" s="400">
        <v>245625.08</v>
      </c>
      <c r="T364" s="400">
        <v>33710.44999999999</v>
      </c>
      <c r="U364" s="400">
        <v>0</v>
      </c>
      <c r="V364" s="400">
        <v>1822.18</v>
      </c>
      <c r="W364" s="372">
        <v>247447.25999999998</v>
      </c>
      <c r="X364" s="373">
        <v>281157.70999999996</v>
      </c>
      <c r="Y364" s="372">
        <v>323033.77396999998</v>
      </c>
      <c r="Z364" s="373">
        <v>1059298.26397</v>
      </c>
      <c r="AA364" s="400">
        <v>96.634341199998744</v>
      </c>
      <c r="AB364" s="400">
        <v>-89.020000000004075</v>
      </c>
      <c r="AC364" s="400">
        <v>0</v>
      </c>
      <c r="AD364" s="400">
        <v>-4</v>
      </c>
      <c r="AE364" s="372">
        <v>92.634341199998744</v>
      </c>
      <c r="AF364" s="372">
        <v>3.6143411999946693</v>
      </c>
      <c r="AG364" s="400">
        <v>0.74000000000000909</v>
      </c>
      <c r="AH364" s="374">
        <v>3.2228960088586707E-4</v>
      </c>
      <c r="AI364" s="375">
        <v>-2.5000007020897297E-3</v>
      </c>
      <c r="AJ364" s="372">
        <v>267.08</v>
      </c>
      <c r="AK364" s="376">
        <v>2.7707054066197735E-3</v>
      </c>
      <c r="AL364" s="376">
        <v>-2.4484158057339065E-3</v>
      </c>
      <c r="AM364" s="412">
        <v>253.85832487309651</v>
      </c>
    </row>
    <row r="365" spans="2:39" s="377" customFormat="1" ht="28.15" customHeight="1" x14ac:dyDescent="0.25">
      <c r="B365" s="369">
        <v>43371</v>
      </c>
      <c r="C365" s="370">
        <v>284416.61576960003</v>
      </c>
      <c r="D365" s="370">
        <v>35241.31</v>
      </c>
      <c r="E365" s="371">
        <v>0</v>
      </c>
      <c r="F365" s="371">
        <v>0</v>
      </c>
      <c r="G365" s="371">
        <v>1856</v>
      </c>
      <c r="H365" s="371"/>
      <c r="I365" s="371"/>
      <c r="J365" s="371"/>
      <c r="K365" s="371"/>
      <c r="L365" s="371"/>
      <c r="M365" s="371">
        <v>650000</v>
      </c>
      <c r="N365" s="371">
        <v>44000</v>
      </c>
      <c r="O365" s="371">
        <v>1600</v>
      </c>
      <c r="P365" s="371">
        <f t="shared" si="6"/>
        <v>91683</v>
      </c>
      <c r="Q365" s="379">
        <v>-50756.09</v>
      </c>
      <c r="R365" s="372">
        <v>286272.61576960003</v>
      </c>
      <c r="S365" s="400">
        <v>245625.08</v>
      </c>
      <c r="T365" s="400">
        <v>33710.44999999999</v>
      </c>
      <c r="U365" s="400">
        <v>0</v>
      </c>
      <c r="V365" s="400">
        <v>1822.18</v>
      </c>
      <c r="W365" s="372">
        <v>247447.25999999998</v>
      </c>
      <c r="X365" s="373">
        <v>281157.70999999996</v>
      </c>
      <c r="Y365" s="372">
        <v>321513.92576960003</v>
      </c>
      <c r="Z365" s="373">
        <v>1058040.8357696</v>
      </c>
      <c r="AA365" s="400">
        <v>-1163.1682003999595</v>
      </c>
      <c r="AB365" s="400">
        <v>-366.68000000000029</v>
      </c>
      <c r="AC365" s="400">
        <v>0</v>
      </c>
      <c r="AD365" s="400">
        <v>10</v>
      </c>
      <c r="AE365" s="372">
        <v>-1153.1682003999595</v>
      </c>
      <c r="AF365" s="372">
        <v>-1519.8482003999598</v>
      </c>
      <c r="AG365" s="400">
        <v>-2.9999999999972715E-2</v>
      </c>
      <c r="AH365" s="374">
        <v>-4.028216940344935E-3</v>
      </c>
      <c r="AI365" s="375">
        <v>-1.0404834553539591E-2</v>
      </c>
      <c r="AJ365" s="372">
        <v>267.05</v>
      </c>
      <c r="AK365" s="376">
        <v>-1.12338513386904E-4</v>
      </c>
      <c r="AL365" s="376">
        <v>-3.9158784269580308E-3</v>
      </c>
      <c r="AM365" s="412">
        <v>253.92994923857879</v>
      </c>
    </row>
    <row r="366" spans="2:39" s="377" customFormat="1" ht="28.15" customHeight="1" x14ac:dyDescent="0.25">
      <c r="B366" s="378">
        <v>43372</v>
      </c>
      <c r="C366" s="370">
        <v>284416.61576960003</v>
      </c>
      <c r="D366" s="370">
        <v>35241.31</v>
      </c>
      <c r="E366" s="371">
        <v>0</v>
      </c>
      <c r="F366" s="371">
        <v>0</v>
      </c>
      <c r="G366" s="371">
        <v>1856</v>
      </c>
      <c r="H366" s="371"/>
      <c r="I366" s="371"/>
      <c r="J366" s="371"/>
      <c r="K366" s="371"/>
      <c r="L366" s="371"/>
      <c r="M366" s="371">
        <v>650000</v>
      </c>
      <c r="N366" s="371">
        <v>44000</v>
      </c>
      <c r="O366" s="371">
        <v>1600</v>
      </c>
      <c r="P366" s="371">
        <f t="shared" si="6"/>
        <v>91683</v>
      </c>
      <c r="Q366" s="379">
        <v>-50756.09</v>
      </c>
      <c r="R366" s="372">
        <v>286272.61576960003</v>
      </c>
      <c r="S366" s="400">
        <v>245625.08</v>
      </c>
      <c r="T366" s="400">
        <v>33710.44999999999</v>
      </c>
      <c r="U366" s="400">
        <v>0</v>
      </c>
      <c r="V366" s="400">
        <v>1822.18</v>
      </c>
      <c r="W366" s="372">
        <v>247447.25999999998</v>
      </c>
      <c r="X366" s="373">
        <v>281157.70999999996</v>
      </c>
      <c r="Y366" s="372">
        <v>321513.92576960003</v>
      </c>
      <c r="Z366" s="373">
        <v>1058040.8357696</v>
      </c>
      <c r="AA366" s="400">
        <v>0</v>
      </c>
      <c r="AB366" s="400">
        <v>0</v>
      </c>
      <c r="AC366" s="400">
        <v>0</v>
      </c>
      <c r="AD366" s="400">
        <v>0</v>
      </c>
      <c r="AE366" s="372">
        <v>0</v>
      </c>
      <c r="AF366" s="372">
        <v>0</v>
      </c>
      <c r="AG366" s="400">
        <v>0</v>
      </c>
      <c r="AH366" s="374">
        <v>0</v>
      </c>
      <c r="AI366" s="375">
        <v>0</v>
      </c>
      <c r="AJ366" s="372">
        <v>267.05</v>
      </c>
      <c r="AK366" s="376">
        <v>0</v>
      </c>
      <c r="AL366" s="376">
        <v>0</v>
      </c>
      <c r="AM366" s="412">
        <v>254.00263959390873</v>
      </c>
    </row>
    <row r="367" spans="2:39" s="377" customFormat="1" ht="28.15" customHeight="1" x14ac:dyDescent="0.25">
      <c r="B367" s="378">
        <v>43373</v>
      </c>
      <c r="C367" s="370">
        <v>284416.61576960003</v>
      </c>
      <c r="D367" s="370">
        <v>35241.31</v>
      </c>
      <c r="E367" s="371">
        <v>0</v>
      </c>
      <c r="F367" s="371">
        <v>0</v>
      </c>
      <c r="G367" s="371">
        <v>1856</v>
      </c>
      <c r="H367" s="371"/>
      <c r="I367" s="371"/>
      <c r="J367" s="371"/>
      <c r="K367" s="371"/>
      <c r="L367" s="371"/>
      <c r="M367" s="371">
        <v>650000</v>
      </c>
      <c r="N367" s="371">
        <v>44000</v>
      </c>
      <c r="O367" s="371">
        <v>1600</v>
      </c>
      <c r="P367" s="371">
        <f t="shared" si="6"/>
        <v>91683</v>
      </c>
      <c r="Q367" s="379">
        <v>-50756.09</v>
      </c>
      <c r="R367" s="372">
        <v>286272.61576960003</v>
      </c>
      <c r="S367" s="400">
        <v>245625.08</v>
      </c>
      <c r="T367" s="400">
        <v>33710.44999999999</v>
      </c>
      <c r="U367" s="400">
        <v>0</v>
      </c>
      <c r="V367" s="400">
        <v>1822.18</v>
      </c>
      <c r="W367" s="372">
        <v>247447.25999999998</v>
      </c>
      <c r="X367" s="373">
        <v>281157.70999999996</v>
      </c>
      <c r="Y367" s="372">
        <v>321513.92576960003</v>
      </c>
      <c r="Z367" s="373">
        <v>1058040.8357696</v>
      </c>
      <c r="AA367" s="400">
        <v>0</v>
      </c>
      <c r="AB367" s="400">
        <v>0</v>
      </c>
      <c r="AC367" s="400">
        <v>0</v>
      </c>
      <c r="AD367" s="400">
        <v>0</v>
      </c>
      <c r="AE367" s="372">
        <v>0</v>
      </c>
      <c r="AF367" s="372">
        <v>0</v>
      </c>
      <c r="AG367" s="400">
        <v>0</v>
      </c>
      <c r="AH367" s="374">
        <v>0</v>
      </c>
      <c r="AI367" s="375">
        <v>0</v>
      </c>
      <c r="AJ367" s="372">
        <v>267.05</v>
      </c>
      <c r="AK367" s="376">
        <v>0</v>
      </c>
      <c r="AL367" s="376">
        <v>0</v>
      </c>
      <c r="AM367" s="412">
        <v>254.07401015228439</v>
      </c>
    </row>
    <row r="368" spans="2:39" s="377" customFormat="1" ht="28.15" customHeight="1" x14ac:dyDescent="0.25">
      <c r="B368" s="369">
        <v>43374</v>
      </c>
      <c r="C368" s="370">
        <v>285384.9708904</v>
      </c>
      <c r="D368" s="370">
        <v>35399.1</v>
      </c>
      <c r="E368" s="371">
        <v>0</v>
      </c>
      <c r="F368" s="371">
        <v>0</v>
      </c>
      <c r="G368" s="371">
        <v>1833.33</v>
      </c>
      <c r="H368" s="371">
        <v>3000</v>
      </c>
      <c r="I368" s="371"/>
      <c r="J368" s="371"/>
      <c r="K368" s="371"/>
      <c r="L368" s="371"/>
      <c r="M368" s="371">
        <v>650000</v>
      </c>
      <c r="N368" s="371">
        <v>44000</v>
      </c>
      <c r="O368" s="371">
        <v>1600</v>
      </c>
      <c r="P368" s="371">
        <f t="shared" si="6"/>
        <v>91683</v>
      </c>
      <c r="Q368" s="379">
        <v>-50756.09</v>
      </c>
      <c r="R368" s="372">
        <v>287218.30089040002</v>
      </c>
      <c r="S368" s="406">
        <v>248625.08</v>
      </c>
      <c r="T368" s="400">
        <v>33710.44999999999</v>
      </c>
      <c r="U368" s="400">
        <v>0</v>
      </c>
      <c r="V368" s="400">
        <v>1822.18</v>
      </c>
      <c r="W368" s="372">
        <v>250447.25999999998</v>
      </c>
      <c r="X368" s="373">
        <v>284157.70999999996</v>
      </c>
      <c r="Y368" s="372">
        <v>322617.40089039999</v>
      </c>
      <c r="Z368" s="373">
        <v>1059144.3108903999</v>
      </c>
      <c r="AA368" s="400">
        <v>-2031.6448792000301</v>
      </c>
      <c r="AB368" s="400">
        <v>157.79000000000087</v>
      </c>
      <c r="AC368" s="400">
        <v>0</v>
      </c>
      <c r="AD368" s="400">
        <v>-22.670000000000073</v>
      </c>
      <c r="AE368" s="372">
        <v>-2054.3148792000302</v>
      </c>
      <c r="AF368" s="372">
        <v>-1896.5248792000293</v>
      </c>
      <c r="AG368" s="400">
        <v>0.99000000000000909</v>
      </c>
      <c r="AH368" s="374">
        <v>-7.1524511942013709E-3</v>
      </c>
      <c r="AI368" s="375">
        <v>4.4574579579707077E-3</v>
      </c>
      <c r="AJ368" s="372">
        <v>268.04000000000002</v>
      </c>
      <c r="AK368" s="376">
        <v>3.693478585285812E-3</v>
      </c>
      <c r="AL368" s="376">
        <v>-1.0845929779487184E-2</v>
      </c>
      <c r="AM368" s="412">
        <v>254.14538071066005</v>
      </c>
    </row>
    <row r="369" spans="2:39" s="377" customFormat="1" ht="28.15" customHeight="1" x14ac:dyDescent="0.25">
      <c r="B369" s="369">
        <v>43375</v>
      </c>
      <c r="C369" s="370">
        <v>285909.08926400001</v>
      </c>
      <c r="D369" s="370">
        <v>35261.939999999995</v>
      </c>
      <c r="E369" s="371">
        <v>0</v>
      </c>
      <c r="F369" s="371">
        <v>0</v>
      </c>
      <c r="G369" s="371">
        <v>1823.3</v>
      </c>
      <c r="H369" s="371"/>
      <c r="I369" s="371"/>
      <c r="J369" s="371"/>
      <c r="K369" s="371"/>
      <c r="L369" s="371"/>
      <c r="M369" s="371">
        <v>650000</v>
      </c>
      <c r="N369" s="371">
        <v>44000</v>
      </c>
      <c r="O369" s="371">
        <v>1600</v>
      </c>
      <c r="P369" s="371">
        <f t="shared" si="6"/>
        <v>91683</v>
      </c>
      <c r="Q369" s="379">
        <v>-50756.09</v>
      </c>
      <c r="R369" s="372">
        <v>287732.389264</v>
      </c>
      <c r="S369" s="400">
        <v>248625.08</v>
      </c>
      <c r="T369" s="400">
        <v>33710.44999999999</v>
      </c>
      <c r="U369" s="400">
        <v>0</v>
      </c>
      <c r="V369" s="400">
        <v>1822.18</v>
      </c>
      <c r="W369" s="372">
        <v>250447.25999999998</v>
      </c>
      <c r="X369" s="373">
        <v>284157.70999999996</v>
      </c>
      <c r="Y369" s="372">
        <v>322994.329264</v>
      </c>
      <c r="Z369" s="373">
        <v>1059521.239264</v>
      </c>
      <c r="AA369" s="400">
        <v>524.11837360000936</v>
      </c>
      <c r="AB369" s="400">
        <v>-137.16000000000349</v>
      </c>
      <c r="AC369" s="400">
        <v>0</v>
      </c>
      <c r="AD369" s="400">
        <v>-10.029999999999973</v>
      </c>
      <c r="AE369" s="372">
        <v>514.08837360000939</v>
      </c>
      <c r="AF369" s="372">
        <v>376.9283736000059</v>
      </c>
      <c r="AG369" s="400">
        <v>-3.0000000000029559E-2</v>
      </c>
      <c r="AH369" s="374">
        <v>1.7866892737206704E-3</v>
      </c>
      <c r="AI369" s="375">
        <v>-3.8897462816851118E-3</v>
      </c>
      <c r="AJ369" s="372">
        <v>268.01</v>
      </c>
      <c r="AK369" s="376">
        <v>-1.1193612178661079E-4</v>
      </c>
      <c r="AL369" s="376">
        <v>1.8986253955072811E-3</v>
      </c>
      <c r="AM369" s="412">
        <v>254.22177664974635</v>
      </c>
    </row>
    <row r="370" spans="2:39" s="377" customFormat="1" ht="28.15" customHeight="1" x14ac:dyDescent="0.25">
      <c r="B370" s="369">
        <v>43376</v>
      </c>
      <c r="C370" s="370">
        <v>287037.80907999998</v>
      </c>
      <c r="D370" s="370">
        <v>35447.699999999997</v>
      </c>
      <c r="E370" s="371">
        <v>0</v>
      </c>
      <c r="F370" s="371">
        <v>0</v>
      </c>
      <c r="G370" s="371">
        <v>1824</v>
      </c>
      <c r="H370" s="371"/>
      <c r="I370" s="371"/>
      <c r="J370" s="371"/>
      <c r="K370" s="371"/>
      <c r="L370" s="371"/>
      <c r="M370" s="371">
        <v>650000</v>
      </c>
      <c r="N370" s="371">
        <v>44000</v>
      </c>
      <c r="O370" s="371">
        <v>1600</v>
      </c>
      <c r="P370" s="371">
        <f t="shared" si="6"/>
        <v>91683</v>
      </c>
      <c r="Q370" s="379">
        <v>-50756.09</v>
      </c>
      <c r="R370" s="372">
        <v>288861.80907999998</v>
      </c>
      <c r="S370" s="400">
        <v>248625.08</v>
      </c>
      <c r="T370" s="400">
        <v>33710.44999999999</v>
      </c>
      <c r="U370" s="400">
        <v>0</v>
      </c>
      <c r="V370" s="400">
        <v>1822.18</v>
      </c>
      <c r="W370" s="372">
        <v>250447.25999999998</v>
      </c>
      <c r="X370" s="373">
        <v>284157.70999999996</v>
      </c>
      <c r="Y370" s="372">
        <v>324309.50907999999</v>
      </c>
      <c r="Z370" s="373">
        <v>1060836.4190799999</v>
      </c>
      <c r="AA370" s="400">
        <v>1128.719815999968</v>
      </c>
      <c r="AB370" s="400">
        <v>185.76000000000204</v>
      </c>
      <c r="AC370" s="400">
        <v>0</v>
      </c>
      <c r="AD370" s="400">
        <v>0.70000000000004547</v>
      </c>
      <c r="AE370" s="372">
        <v>1129.419815999968</v>
      </c>
      <c r="AF370" s="372">
        <v>1315.1798159999701</v>
      </c>
      <c r="AG370" s="400">
        <v>0.23000000000001819</v>
      </c>
      <c r="AH370" s="374">
        <v>3.9098966374166008E-3</v>
      </c>
      <c r="AI370" s="375">
        <v>5.2403964150001849E-3</v>
      </c>
      <c r="AJ370" s="372">
        <v>268.24</v>
      </c>
      <c r="AK370" s="376">
        <v>8.574410975246726E-4</v>
      </c>
      <c r="AL370" s="376">
        <v>3.052455539891928E-3</v>
      </c>
      <c r="AM370" s="412">
        <v>254.31517766497478</v>
      </c>
    </row>
    <row r="371" spans="2:39" s="377" customFormat="1" ht="28.15" customHeight="1" x14ac:dyDescent="0.25">
      <c r="B371" s="369">
        <v>43377</v>
      </c>
      <c r="C371" s="370">
        <v>286699.22811679996</v>
      </c>
      <c r="D371" s="370">
        <v>35222.71</v>
      </c>
      <c r="E371" s="371">
        <v>0</v>
      </c>
      <c r="F371" s="371">
        <v>0</v>
      </c>
      <c r="G371" s="371">
        <v>1823.2</v>
      </c>
      <c r="H371" s="371"/>
      <c r="I371" s="371"/>
      <c r="J371" s="371"/>
      <c r="K371" s="371"/>
      <c r="L371" s="371"/>
      <c r="M371" s="371">
        <v>650000</v>
      </c>
      <c r="N371" s="371">
        <v>44000</v>
      </c>
      <c r="O371" s="371">
        <v>1600</v>
      </c>
      <c r="P371" s="371">
        <f t="shared" si="6"/>
        <v>91683</v>
      </c>
      <c r="Q371" s="381">
        <v>-50756.09</v>
      </c>
      <c r="R371" s="372">
        <v>288522.42811679997</v>
      </c>
      <c r="S371" s="407">
        <v>248625.08</v>
      </c>
      <c r="T371" s="400">
        <v>33710.44999999999</v>
      </c>
      <c r="U371" s="400">
        <v>0</v>
      </c>
      <c r="V371" s="400">
        <v>1822.18</v>
      </c>
      <c r="W371" s="372">
        <v>250447.25999999998</v>
      </c>
      <c r="X371" s="373">
        <v>284157.70999999996</v>
      </c>
      <c r="Y371" s="372">
        <v>323745.13811679999</v>
      </c>
      <c r="Z371" s="373">
        <v>1060272.0481167999</v>
      </c>
      <c r="AA371" s="400">
        <v>-338.58096320001641</v>
      </c>
      <c r="AB371" s="400">
        <v>-224.98999999999796</v>
      </c>
      <c r="AC371" s="400">
        <v>0</v>
      </c>
      <c r="AD371" s="400">
        <v>-0.79999999999995453</v>
      </c>
      <c r="AE371" s="372">
        <v>-339.38096320001637</v>
      </c>
      <c r="AF371" s="372">
        <v>-564.37096320001433</v>
      </c>
      <c r="AG371" s="400">
        <v>-2.1999999999999886</v>
      </c>
      <c r="AH371" s="374">
        <v>-1.176272379985059E-3</v>
      </c>
      <c r="AI371" s="375">
        <v>-6.3876402468747567E-3</v>
      </c>
      <c r="AJ371" s="372">
        <v>266.04000000000002</v>
      </c>
      <c r="AK371" s="376">
        <v>-8.2694331679446266E-3</v>
      </c>
      <c r="AL371" s="376">
        <v>7.0931607879595676E-3</v>
      </c>
      <c r="AM371" s="412">
        <v>254.4075126903555</v>
      </c>
    </row>
    <row r="372" spans="2:39" s="377" customFormat="1" ht="28.15" customHeight="1" x14ac:dyDescent="0.25">
      <c r="B372" s="369">
        <v>43378</v>
      </c>
      <c r="C372" s="370">
        <v>284878.40486940002</v>
      </c>
      <c r="D372" s="370">
        <v>35175.269999999997</v>
      </c>
      <c r="E372" s="371">
        <v>0</v>
      </c>
      <c r="F372" s="371">
        <v>0</v>
      </c>
      <c r="G372" s="371">
        <v>1829.56</v>
      </c>
      <c r="H372" s="371"/>
      <c r="I372" s="371"/>
      <c r="J372" s="371"/>
      <c r="K372" s="371"/>
      <c r="L372" s="371"/>
      <c r="M372" s="371">
        <v>650000</v>
      </c>
      <c r="N372" s="371">
        <v>44000</v>
      </c>
      <c r="O372" s="371">
        <v>1600</v>
      </c>
      <c r="P372" s="371">
        <f t="shared" si="6"/>
        <v>91683</v>
      </c>
      <c r="Q372" s="381">
        <v>-50756.09</v>
      </c>
      <c r="R372" s="372">
        <v>286707.96486940002</v>
      </c>
      <c r="S372" s="407">
        <v>248625.08</v>
      </c>
      <c r="T372" s="400">
        <v>33710.44999999999</v>
      </c>
      <c r="U372" s="400">
        <v>0</v>
      </c>
      <c r="V372" s="400">
        <v>1822.18</v>
      </c>
      <c r="W372" s="372">
        <v>250447.25999999998</v>
      </c>
      <c r="X372" s="373">
        <v>284157.70999999996</v>
      </c>
      <c r="Y372" s="372">
        <v>321883.23486940004</v>
      </c>
      <c r="Z372" s="373">
        <v>1058410.1448694</v>
      </c>
      <c r="AA372" s="400">
        <v>-1820.8232473999378</v>
      </c>
      <c r="AB372" s="400">
        <v>-47.440000000002328</v>
      </c>
      <c r="AC372" s="400">
        <v>0</v>
      </c>
      <c r="AD372" s="400">
        <v>6.3599999999999</v>
      </c>
      <c r="AE372" s="372">
        <v>-1814.4632473999379</v>
      </c>
      <c r="AF372" s="372">
        <v>-1861.9032473999403</v>
      </c>
      <c r="AG372" s="400">
        <v>-1.5</v>
      </c>
      <c r="AH372" s="374">
        <v>-6.3286112341750063E-3</v>
      </c>
      <c r="AI372" s="375">
        <v>-1.3486747933989514E-3</v>
      </c>
      <c r="AJ372" s="372">
        <v>264.54000000000002</v>
      </c>
      <c r="AK372" s="376">
        <v>-5.6702200045361754E-3</v>
      </c>
      <c r="AL372" s="376">
        <v>-6.5839122963883088E-4</v>
      </c>
      <c r="AM372" s="412">
        <v>254.49162436548241</v>
      </c>
    </row>
    <row r="373" spans="2:39" s="377" customFormat="1" ht="28.15" customHeight="1" x14ac:dyDescent="0.25">
      <c r="B373" s="378">
        <v>43379</v>
      </c>
      <c r="C373" s="370">
        <v>284878.40486940002</v>
      </c>
      <c r="D373" s="370">
        <v>35175.269999999997</v>
      </c>
      <c r="E373" s="371">
        <v>0</v>
      </c>
      <c r="F373" s="371">
        <v>0</v>
      </c>
      <c r="G373" s="371">
        <v>1829.56</v>
      </c>
      <c r="H373" s="371"/>
      <c r="I373" s="371"/>
      <c r="J373" s="371"/>
      <c r="K373" s="371"/>
      <c r="L373" s="371"/>
      <c r="M373" s="371">
        <v>650000</v>
      </c>
      <c r="N373" s="371">
        <v>44000</v>
      </c>
      <c r="O373" s="371">
        <v>1600</v>
      </c>
      <c r="P373" s="371">
        <f t="shared" si="6"/>
        <v>91683</v>
      </c>
      <c r="Q373" s="381">
        <v>-50756.09</v>
      </c>
      <c r="R373" s="372">
        <v>286707.96486940002</v>
      </c>
      <c r="S373" s="407">
        <v>248625.08</v>
      </c>
      <c r="T373" s="400">
        <v>33710.44999999999</v>
      </c>
      <c r="U373" s="400">
        <v>0</v>
      </c>
      <c r="V373" s="400">
        <v>1822.18</v>
      </c>
      <c r="W373" s="372">
        <v>250447.25999999998</v>
      </c>
      <c r="X373" s="373">
        <v>284157.70999999996</v>
      </c>
      <c r="Y373" s="372">
        <v>321883.23486940004</v>
      </c>
      <c r="Z373" s="373">
        <v>1058410.1448694</v>
      </c>
      <c r="AA373" s="400">
        <v>0</v>
      </c>
      <c r="AB373" s="400">
        <v>0</v>
      </c>
      <c r="AC373" s="400">
        <v>0</v>
      </c>
      <c r="AD373" s="400">
        <v>0</v>
      </c>
      <c r="AE373" s="372">
        <v>0</v>
      </c>
      <c r="AF373" s="372">
        <v>0</v>
      </c>
      <c r="AG373" s="400">
        <v>0</v>
      </c>
      <c r="AH373" s="374">
        <v>0</v>
      </c>
      <c r="AI373" s="375">
        <v>0</v>
      </c>
      <c r="AJ373" s="372">
        <v>264.54000000000002</v>
      </c>
      <c r="AK373" s="376">
        <v>0</v>
      </c>
      <c r="AL373" s="376">
        <v>0</v>
      </c>
      <c r="AM373" s="412">
        <v>254.59959390862963</v>
      </c>
    </row>
    <row r="374" spans="2:39" s="377" customFormat="1" ht="28.15" customHeight="1" x14ac:dyDescent="0.25">
      <c r="B374" s="378">
        <v>43380</v>
      </c>
      <c r="C374" s="370">
        <v>284878.40486940002</v>
      </c>
      <c r="D374" s="370">
        <v>35175.269999999997</v>
      </c>
      <c r="E374" s="371">
        <v>0</v>
      </c>
      <c r="F374" s="371">
        <v>0</v>
      </c>
      <c r="G374" s="371">
        <v>1829.56</v>
      </c>
      <c r="H374" s="371"/>
      <c r="I374" s="371"/>
      <c r="J374" s="371"/>
      <c r="K374" s="371"/>
      <c r="L374" s="371"/>
      <c r="M374" s="371">
        <v>650000</v>
      </c>
      <c r="N374" s="371">
        <v>44000</v>
      </c>
      <c r="O374" s="371">
        <v>1600</v>
      </c>
      <c r="P374" s="371">
        <f t="shared" si="6"/>
        <v>91683</v>
      </c>
      <c r="Q374" s="381">
        <v>-50756.09</v>
      </c>
      <c r="R374" s="372">
        <v>286707.96486940002</v>
      </c>
      <c r="S374" s="407">
        <v>248625.08</v>
      </c>
      <c r="T374" s="400">
        <v>33710.44999999999</v>
      </c>
      <c r="U374" s="400">
        <v>0</v>
      </c>
      <c r="V374" s="400">
        <v>1822.18</v>
      </c>
      <c r="W374" s="372">
        <v>250447.25999999998</v>
      </c>
      <c r="X374" s="373">
        <v>284157.70999999996</v>
      </c>
      <c r="Y374" s="372">
        <v>321883.23486940004</v>
      </c>
      <c r="Z374" s="373">
        <v>1058410.1448694</v>
      </c>
      <c r="AA374" s="400">
        <v>0</v>
      </c>
      <c r="AB374" s="400">
        <v>0</v>
      </c>
      <c r="AC374" s="400">
        <v>0</v>
      </c>
      <c r="AD374" s="400">
        <v>0</v>
      </c>
      <c r="AE374" s="372">
        <v>0</v>
      </c>
      <c r="AF374" s="372">
        <v>0</v>
      </c>
      <c r="AG374" s="400">
        <v>0</v>
      </c>
      <c r="AH374" s="374">
        <v>0</v>
      </c>
      <c r="AI374" s="375">
        <v>0</v>
      </c>
      <c r="AJ374" s="372">
        <v>264.54000000000002</v>
      </c>
      <c r="AK374" s="376">
        <v>0</v>
      </c>
      <c r="AL374" s="376">
        <v>0</v>
      </c>
      <c r="AM374" s="412">
        <v>254.73385786802052</v>
      </c>
    </row>
    <row r="375" spans="2:39" s="377" customFormat="1" ht="28.15" customHeight="1" x14ac:dyDescent="0.25">
      <c r="B375" s="369">
        <v>43381</v>
      </c>
      <c r="C375" s="370">
        <v>284913.16665880004</v>
      </c>
      <c r="D375" s="370">
        <v>35175.269999999997</v>
      </c>
      <c r="E375" s="371">
        <v>0</v>
      </c>
      <c r="F375" s="371">
        <v>0</v>
      </c>
      <c r="G375" s="371">
        <v>1831.7</v>
      </c>
      <c r="H375" s="371"/>
      <c r="I375" s="371"/>
      <c r="J375" s="371"/>
      <c r="K375" s="371"/>
      <c r="L375" s="371"/>
      <c r="M375" s="371">
        <v>650000</v>
      </c>
      <c r="N375" s="371">
        <v>44000</v>
      </c>
      <c r="O375" s="371">
        <v>1600</v>
      </c>
      <c r="P375" s="371">
        <f t="shared" si="6"/>
        <v>91683</v>
      </c>
      <c r="Q375" s="381">
        <v>-50756.09</v>
      </c>
      <c r="R375" s="372">
        <v>286744.86665880005</v>
      </c>
      <c r="S375" s="407">
        <v>248625.08</v>
      </c>
      <c r="T375" s="400">
        <v>33710.44999999999</v>
      </c>
      <c r="U375" s="400">
        <v>0</v>
      </c>
      <c r="V375" s="400">
        <v>1822.18</v>
      </c>
      <c r="W375" s="372">
        <v>250447.25999999998</v>
      </c>
      <c r="X375" s="373">
        <v>284157.70999999996</v>
      </c>
      <c r="Y375" s="372">
        <v>321920.13665880007</v>
      </c>
      <c r="Z375" s="373">
        <v>1058447.0466588</v>
      </c>
      <c r="AA375" s="400">
        <v>34.761789400014095</v>
      </c>
      <c r="AB375" s="400">
        <v>0</v>
      </c>
      <c r="AC375" s="400">
        <v>0</v>
      </c>
      <c r="AD375" s="400">
        <v>2.1400000000001</v>
      </c>
      <c r="AE375" s="372">
        <v>36.901789400014195</v>
      </c>
      <c r="AF375" s="372">
        <v>36.901789400014195</v>
      </c>
      <c r="AG375" s="400">
        <v>-6.9999999999993179E-2</v>
      </c>
      <c r="AH375" s="374">
        <v>1.2869206633060295E-4</v>
      </c>
      <c r="AI375" s="375">
        <v>0</v>
      </c>
      <c r="AJ375" s="372">
        <v>264.47000000000003</v>
      </c>
      <c r="AK375" s="376">
        <v>-2.6468030400420906E-4</v>
      </c>
      <c r="AL375" s="376">
        <v>3.9337237033481198E-4</v>
      </c>
      <c r="AM375" s="412">
        <v>254.86812182741139</v>
      </c>
    </row>
    <row r="376" spans="2:39" s="377" customFormat="1" ht="28.15" customHeight="1" x14ac:dyDescent="0.25">
      <c r="B376" s="369">
        <v>43382</v>
      </c>
      <c r="C376" s="370">
        <v>295073.1886845</v>
      </c>
      <c r="D376" s="370">
        <v>34842.93</v>
      </c>
      <c r="E376" s="371">
        <v>0</v>
      </c>
      <c r="F376" s="371">
        <v>0</v>
      </c>
      <c r="G376" s="371">
        <v>1831.7</v>
      </c>
      <c r="H376" s="371">
        <v>10075</v>
      </c>
      <c r="I376" s="371"/>
      <c r="J376" s="371"/>
      <c r="K376" s="371"/>
      <c r="L376" s="371"/>
      <c r="M376" s="371">
        <v>650000</v>
      </c>
      <c r="N376" s="371">
        <v>44000</v>
      </c>
      <c r="O376" s="371">
        <v>1600</v>
      </c>
      <c r="P376" s="371">
        <f t="shared" si="6"/>
        <v>91683</v>
      </c>
      <c r="Q376" s="381">
        <v>-50756.09</v>
      </c>
      <c r="R376" s="372">
        <v>296904.88868450001</v>
      </c>
      <c r="S376" s="407">
        <v>258700.08</v>
      </c>
      <c r="T376" s="400">
        <v>33710.44999999999</v>
      </c>
      <c r="U376" s="400">
        <v>0</v>
      </c>
      <c r="V376" s="400">
        <v>1822.18</v>
      </c>
      <c r="W376" s="372">
        <v>260522.25999999998</v>
      </c>
      <c r="X376" s="373">
        <v>294232.70999999996</v>
      </c>
      <c r="Y376" s="372">
        <v>331747.8186845</v>
      </c>
      <c r="Z376" s="373">
        <v>1068274.7286844999</v>
      </c>
      <c r="AA376" s="400">
        <v>85.022025699960068</v>
      </c>
      <c r="AB376" s="400">
        <v>-332.33999999999651</v>
      </c>
      <c r="AC376" s="400">
        <v>0</v>
      </c>
      <c r="AD376" s="400">
        <v>0</v>
      </c>
      <c r="AE376" s="372">
        <v>85.022025699960068</v>
      </c>
      <c r="AF376" s="372">
        <v>-247.31797430003644</v>
      </c>
      <c r="AG376" s="400">
        <v>-0.34000000000003183</v>
      </c>
      <c r="AH376" s="374">
        <v>2.8636115113047874E-4</v>
      </c>
      <c r="AI376" s="375">
        <v>-9.5382334378881599E-3</v>
      </c>
      <c r="AJ376" s="372">
        <v>264.13</v>
      </c>
      <c r="AK376" s="376">
        <v>-1.2872449172757045E-3</v>
      </c>
      <c r="AL376" s="376">
        <v>1.5736060684061832E-3</v>
      </c>
      <c r="AM376" s="412">
        <v>255.00203045685299</v>
      </c>
    </row>
    <row r="377" spans="2:39" s="377" customFormat="1" ht="28.15" customHeight="1" x14ac:dyDescent="0.25">
      <c r="B377" s="369">
        <v>43383</v>
      </c>
      <c r="C377" s="370">
        <v>292554.05140000005</v>
      </c>
      <c r="D377" s="370">
        <v>34365.799999999996</v>
      </c>
      <c r="E377" s="371">
        <v>0</v>
      </c>
      <c r="F377" s="371">
        <v>0</v>
      </c>
      <c r="G377" s="371">
        <v>1832.58</v>
      </c>
      <c r="H377" s="371"/>
      <c r="I377" s="371"/>
      <c r="J377" s="371"/>
      <c r="K377" s="371"/>
      <c r="L377" s="371"/>
      <c r="M377" s="371">
        <v>650000</v>
      </c>
      <c r="N377" s="371">
        <v>44000</v>
      </c>
      <c r="O377" s="371">
        <v>1600</v>
      </c>
      <c r="P377" s="371">
        <f t="shared" si="6"/>
        <v>91683</v>
      </c>
      <c r="Q377" s="381">
        <v>-50756.09</v>
      </c>
      <c r="R377" s="372">
        <v>294386.63140000007</v>
      </c>
      <c r="S377" s="407">
        <v>258700.08</v>
      </c>
      <c r="T377" s="400">
        <v>33710.44999999999</v>
      </c>
      <c r="U377" s="400">
        <v>0</v>
      </c>
      <c r="V377" s="400">
        <v>1822.18</v>
      </c>
      <c r="W377" s="372">
        <v>260522.25999999998</v>
      </c>
      <c r="X377" s="373">
        <v>294232.70999999996</v>
      </c>
      <c r="Y377" s="372">
        <v>328752.43140000006</v>
      </c>
      <c r="Z377" s="373">
        <v>1065279.3414</v>
      </c>
      <c r="AA377" s="400">
        <v>-2519.1372844999423</v>
      </c>
      <c r="AB377" s="400">
        <v>-477.13000000000466</v>
      </c>
      <c r="AC377" s="400">
        <v>0</v>
      </c>
      <c r="AD377" s="400">
        <v>0.87999999999988177</v>
      </c>
      <c r="AE377" s="372">
        <v>-2518.2572844999422</v>
      </c>
      <c r="AF377" s="372">
        <v>-2995.3872844999469</v>
      </c>
      <c r="AG377" s="400">
        <v>-8.5300000000000011</v>
      </c>
      <c r="AH377" s="374">
        <v>-8.5542515043023175E-3</v>
      </c>
      <c r="AI377" s="375">
        <v>-1.3883861280691988E-2</v>
      </c>
      <c r="AJ377" s="372">
        <v>255.6</v>
      </c>
      <c r="AK377" s="376">
        <v>-3.3372456964006265E-2</v>
      </c>
      <c r="AL377" s="376">
        <v>2.4818205459703948E-2</v>
      </c>
      <c r="AM377" s="412">
        <v>255.10659898477172</v>
      </c>
    </row>
    <row r="378" spans="2:39" s="377" customFormat="1" ht="28.15" customHeight="1" x14ac:dyDescent="0.25">
      <c r="B378" s="369">
        <v>43384</v>
      </c>
      <c r="C378" s="370">
        <v>288218.41096280003</v>
      </c>
      <c r="D378" s="370">
        <v>33836.559999999998</v>
      </c>
      <c r="E378" s="371">
        <v>0</v>
      </c>
      <c r="F378" s="371">
        <v>0</v>
      </c>
      <c r="G378" s="371">
        <v>1794.29</v>
      </c>
      <c r="H378" s="371"/>
      <c r="I378" s="371"/>
      <c r="J378" s="371"/>
      <c r="K378" s="371"/>
      <c r="L378" s="371"/>
      <c r="M378" s="371">
        <v>650000</v>
      </c>
      <c r="N378" s="371">
        <v>44000</v>
      </c>
      <c r="O378" s="371">
        <v>1600</v>
      </c>
      <c r="P378" s="371">
        <f t="shared" si="6"/>
        <v>91683</v>
      </c>
      <c r="Q378" s="381">
        <v>-50756.09</v>
      </c>
      <c r="R378" s="372">
        <v>290012.70096280001</v>
      </c>
      <c r="S378" s="407">
        <v>258700.08</v>
      </c>
      <c r="T378" s="400">
        <v>33710.44999999999</v>
      </c>
      <c r="U378" s="400">
        <v>0</v>
      </c>
      <c r="V378" s="400">
        <v>1822.18</v>
      </c>
      <c r="W378" s="372">
        <v>260522.25999999998</v>
      </c>
      <c r="X378" s="373">
        <v>294232.70999999996</v>
      </c>
      <c r="Y378" s="372">
        <v>323849.26096280001</v>
      </c>
      <c r="Z378" s="373">
        <v>1060376.1709628</v>
      </c>
      <c r="AA378" s="400">
        <v>-4335.6404372000252</v>
      </c>
      <c r="AB378" s="400">
        <v>-529.23999999999796</v>
      </c>
      <c r="AC378" s="400">
        <v>0</v>
      </c>
      <c r="AD378" s="400">
        <v>-38.289999999999964</v>
      </c>
      <c r="AE378" s="372">
        <v>-4373.9304372000252</v>
      </c>
      <c r="AF378" s="372">
        <v>-4903.1704372000231</v>
      </c>
      <c r="AG378" s="400">
        <v>-5.3799999999999955</v>
      </c>
      <c r="AH378" s="374">
        <v>-1.5081858217516722E-2</v>
      </c>
      <c r="AI378" s="375">
        <v>-1.5641069895994095E-2</v>
      </c>
      <c r="AJ378" s="372">
        <v>250.22</v>
      </c>
      <c r="AK378" s="376">
        <v>-2.1501079050435599E-2</v>
      </c>
      <c r="AL378" s="376">
        <v>6.4192208329188778E-3</v>
      </c>
      <c r="AM378" s="412">
        <v>255.18928934010168</v>
      </c>
    </row>
    <row r="379" spans="2:39" s="377" customFormat="1" ht="28.15" customHeight="1" x14ac:dyDescent="0.25">
      <c r="B379" s="369">
        <v>43385</v>
      </c>
      <c r="C379" s="370">
        <v>285846.29053840006</v>
      </c>
      <c r="D379" s="370">
        <v>34022.720000000001</v>
      </c>
      <c r="E379" s="371">
        <v>0</v>
      </c>
      <c r="F379" s="371">
        <v>0</v>
      </c>
      <c r="G379" s="371">
        <v>1760.14</v>
      </c>
      <c r="H379" s="371"/>
      <c r="I379" s="371"/>
      <c r="J379" s="371"/>
      <c r="K379" s="371"/>
      <c r="L379" s="371"/>
      <c r="M379" s="371">
        <v>650000</v>
      </c>
      <c r="N379" s="371">
        <v>44000</v>
      </c>
      <c r="O379" s="371">
        <v>1600</v>
      </c>
      <c r="P379" s="371">
        <f t="shared" si="6"/>
        <v>91683</v>
      </c>
      <c r="Q379" s="381">
        <v>-50756.09</v>
      </c>
      <c r="R379" s="372">
        <v>287606.43053840008</v>
      </c>
      <c r="S379" s="400">
        <v>258700.08</v>
      </c>
      <c r="T379" s="400">
        <v>33710.44999999999</v>
      </c>
      <c r="U379" s="400">
        <v>0</v>
      </c>
      <c r="V379" s="400">
        <v>1822.18</v>
      </c>
      <c r="W379" s="372">
        <v>260522.25999999998</v>
      </c>
      <c r="X379" s="373">
        <v>294232.70999999996</v>
      </c>
      <c r="Y379" s="372">
        <v>321629.15053840005</v>
      </c>
      <c r="Z379" s="373">
        <v>1058156.0605384</v>
      </c>
      <c r="AA379" s="400">
        <v>-2372.1204243999673</v>
      </c>
      <c r="AB379" s="400">
        <v>186.16000000000349</v>
      </c>
      <c r="AC379" s="400">
        <v>0</v>
      </c>
      <c r="AD379" s="400">
        <v>-34.149999999999864</v>
      </c>
      <c r="AE379" s="372">
        <v>-2406.2704243999669</v>
      </c>
      <c r="AF379" s="372">
        <v>-2220.1104243999634</v>
      </c>
      <c r="AG379" s="400">
        <v>3.3799999999999955</v>
      </c>
      <c r="AH379" s="374">
        <v>-8.3665390231206643E-3</v>
      </c>
      <c r="AI379" s="375">
        <v>5.4716377761684981E-3</v>
      </c>
      <c r="AJ379" s="372">
        <v>253.6</v>
      </c>
      <c r="AK379" s="376">
        <v>1.3328075709779163E-2</v>
      </c>
      <c r="AL379" s="376">
        <v>-2.1694614732899825E-2</v>
      </c>
      <c r="AM379" s="412">
        <v>255.24807106599002</v>
      </c>
    </row>
    <row r="380" spans="2:39" s="377" customFormat="1" ht="28.15" customHeight="1" x14ac:dyDescent="0.25">
      <c r="B380" s="378">
        <v>43386</v>
      </c>
      <c r="C380" s="370">
        <v>285846.29053840006</v>
      </c>
      <c r="D380" s="370">
        <v>34022.720000000001</v>
      </c>
      <c r="E380" s="371">
        <v>0</v>
      </c>
      <c r="F380" s="371">
        <v>0</v>
      </c>
      <c r="G380" s="371">
        <v>1760.14</v>
      </c>
      <c r="H380" s="371"/>
      <c r="I380" s="371"/>
      <c r="J380" s="371"/>
      <c r="K380" s="371"/>
      <c r="L380" s="371"/>
      <c r="M380" s="371">
        <v>650000</v>
      </c>
      <c r="N380" s="371">
        <v>44000</v>
      </c>
      <c r="O380" s="371">
        <v>1600</v>
      </c>
      <c r="P380" s="371">
        <f t="shared" si="6"/>
        <v>91683</v>
      </c>
      <c r="Q380" s="381">
        <v>-50756.09</v>
      </c>
      <c r="R380" s="372">
        <v>287606.43053840008</v>
      </c>
      <c r="S380" s="400">
        <v>258700.08</v>
      </c>
      <c r="T380" s="400">
        <v>33710.44999999999</v>
      </c>
      <c r="U380" s="400">
        <v>0</v>
      </c>
      <c r="V380" s="400">
        <v>1822.18</v>
      </c>
      <c r="W380" s="372">
        <v>260522.25999999998</v>
      </c>
      <c r="X380" s="373">
        <v>294232.70999999996</v>
      </c>
      <c r="Y380" s="372">
        <v>321629.15053840005</v>
      </c>
      <c r="Z380" s="373">
        <v>1058156.0605384</v>
      </c>
      <c r="AA380" s="400">
        <v>0</v>
      </c>
      <c r="AB380" s="400">
        <v>0</v>
      </c>
      <c r="AC380" s="400">
        <v>0</v>
      </c>
      <c r="AD380" s="400">
        <v>0</v>
      </c>
      <c r="AE380" s="372">
        <v>0</v>
      </c>
      <c r="AF380" s="372">
        <v>0</v>
      </c>
      <c r="AG380" s="400">
        <v>0</v>
      </c>
      <c r="AH380" s="374">
        <v>0</v>
      </c>
      <c r="AI380" s="375">
        <v>0</v>
      </c>
      <c r="AJ380" s="372">
        <v>253.6</v>
      </c>
      <c r="AK380" s="376">
        <v>0</v>
      </c>
      <c r="AL380" s="376">
        <v>0</v>
      </c>
      <c r="AM380" s="412">
        <v>255.30654822335038</v>
      </c>
    </row>
    <row r="381" spans="2:39" s="377" customFormat="1" ht="28.15" customHeight="1" x14ac:dyDescent="0.25">
      <c r="B381" s="378">
        <v>43387</v>
      </c>
      <c r="C381" s="370">
        <v>285846.29053840006</v>
      </c>
      <c r="D381" s="370">
        <v>34022.720000000001</v>
      </c>
      <c r="E381" s="371">
        <v>0</v>
      </c>
      <c r="F381" s="371">
        <v>0</v>
      </c>
      <c r="G381" s="371">
        <v>1760.14</v>
      </c>
      <c r="H381" s="371"/>
      <c r="I381" s="371"/>
      <c r="J381" s="371"/>
      <c r="K381" s="371"/>
      <c r="L381" s="371"/>
      <c r="M381" s="371">
        <v>650000</v>
      </c>
      <c r="N381" s="371">
        <v>44000</v>
      </c>
      <c r="O381" s="371">
        <v>1600</v>
      </c>
      <c r="P381" s="371">
        <f t="shared" si="6"/>
        <v>91683</v>
      </c>
      <c r="Q381" s="381">
        <v>-50756.09</v>
      </c>
      <c r="R381" s="372">
        <v>287606.43053840008</v>
      </c>
      <c r="S381" s="400">
        <v>258700.08</v>
      </c>
      <c r="T381" s="400">
        <v>33710.44999999999</v>
      </c>
      <c r="U381" s="400">
        <v>0</v>
      </c>
      <c r="V381" s="400">
        <v>1822.18</v>
      </c>
      <c r="W381" s="372">
        <v>260522.25999999998</v>
      </c>
      <c r="X381" s="373">
        <v>294232.70999999996</v>
      </c>
      <c r="Y381" s="372">
        <v>321629.15053840005</v>
      </c>
      <c r="Z381" s="373">
        <v>1058156.0605384</v>
      </c>
      <c r="AA381" s="400">
        <v>0</v>
      </c>
      <c r="AB381" s="400">
        <v>0</v>
      </c>
      <c r="AC381" s="400">
        <v>0</v>
      </c>
      <c r="AD381" s="400">
        <v>0</v>
      </c>
      <c r="AE381" s="372">
        <v>0</v>
      </c>
      <c r="AF381" s="372">
        <v>0</v>
      </c>
      <c r="AG381" s="400">
        <v>0</v>
      </c>
      <c r="AH381" s="374">
        <v>0</v>
      </c>
      <c r="AI381" s="375">
        <v>0</v>
      </c>
      <c r="AJ381" s="372">
        <v>253.6</v>
      </c>
      <c r="AK381" s="376">
        <v>0</v>
      </c>
      <c r="AL381" s="376">
        <v>0</v>
      </c>
      <c r="AM381" s="412">
        <v>255.36502538071076</v>
      </c>
    </row>
    <row r="382" spans="2:39" s="377" customFormat="1" ht="28.15" customHeight="1" x14ac:dyDescent="0.25">
      <c r="B382" s="369">
        <v>43388</v>
      </c>
      <c r="C382" s="370">
        <v>287235.52095200005</v>
      </c>
      <c r="D382" s="370">
        <v>34191.699999999997</v>
      </c>
      <c r="E382" s="371">
        <v>0</v>
      </c>
      <c r="F382" s="371">
        <v>0</v>
      </c>
      <c r="G382" s="371">
        <v>1772.84</v>
      </c>
      <c r="H382" s="371"/>
      <c r="I382" s="371"/>
      <c r="J382" s="371"/>
      <c r="K382" s="371"/>
      <c r="L382" s="371"/>
      <c r="M382" s="371">
        <v>650000</v>
      </c>
      <c r="N382" s="371">
        <v>44000</v>
      </c>
      <c r="O382" s="371">
        <v>1600</v>
      </c>
      <c r="P382" s="371">
        <f t="shared" si="6"/>
        <v>91683</v>
      </c>
      <c r="Q382" s="381">
        <v>-50756.09</v>
      </c>
      <c r="R382" s="372">
        <v>289008.36095200008</v>
      </c>
      <c r="S382" s="400">
        <v>258700.08</v>
      </c>
      <c r="T382" s="400">
        <v>33710.44999999999</v>
      </c>
      <c r="U382" s="400">
        <v>0</v>
      </c>
      <c r="V382" s="400">
        <v>1822.18</v>
      </c>
      <c r="W382" s="372">
        <v>260522.25999999998</v>
      </c>
      <c r="X382" s="373">
        <v>294232.70999999996</v>
      </c>
      <c r="Y382" s="372">
        <v>323200.06095200009</v>
      </c>
      <c r="Z382" s="373">
        <v>1059726.970952</v>
      </c>
      <c r="AA382" s="400">
        <v>1389.2304135999875</v>
      </c>
      <c r="AB382" s="400">
        <v>168.97999999999593</v>
      </c>
      <c r="AC382" s="400">
        <v>0</v>
      </c>
      <c r="AD382" s="400">
        <v>12.699999999999818</v>
      </c>
      <c r="AE382" s="372">
        <v>1401.9304135999873</v>
      </c>
      <c r="AF382" s="372">
        <v>1570.9104135999833</v>
      </c>
      <c r="AG382" s="400">
        <v>-1.3899999999999864</v>
      </c>
      <c r="AH382" s="374">
        <v>4.8508299517079608E-3</v>
      </c>
      <c r="AI382" s="375">
        <v>4.9421350795659747E-3</v>
      </c>
      <c r="AJ382" s="372">
        <v>252.21</v>
      </c>
      <c r="AK382" s="376">
        <v>-5.5112802823043747E-3</v>
      </c>
      <c r="AL382" s="376">
        <v>1.0362110234012335E-2</v>
      </c>
      <c r="AM382" s="412">
        <v>255.42350253807115</v>
      </c>
    </row>
    <row r="383" spans="2:39" s="377" customFormat="1" ht="28.15" customHeight="1" x14ac:dyDescent="0.25">
      <c r="B383" s="369">
        <v>43389</v>
      </c>
      <c r="C383" s="370">
        <v>289959.77724149998</v>
      </c>
      <c r="D383" s="370">
        <v>34916.07</v>
      </c>
      <c r="E383" s="371">
        <v>0</v>
      </c>
      <c r="F383" s="371">
        <v>0</v>
      </c>
      <c r="G383" s="371">
        <v>1769.84</v>
      </c>
      <c r="H383" s="371"/>
      <c r="I383" s="371">
        <v>210</v>
      </c>
      <c r="J383" s="371"/>
      <c r="K383" s="371"/>
      <c r="L383" s="371"/>
      <c r="M383" s="371">
        <v>650000</v>
      </c>
      <c r="N383" s="371">
        <v>44000</v>
      </c>
      <c r="O383" s="371">
        <v>1600</v>
      </c>
      <c r="P383" s="371">
        <f t="shared" si="6"/>
        <v>91683</v>
      </c>
      <c r="Q383" s="381">
        <v>-50756.09</v>
      </c>
      <c r="R383" s="372">
        <v>291729.6172415</v>
      </c>
      <c r="S383" s="400">
        <v>258700.08</v>
      </c>
      <c r="T383" s="400">
        <v>33920.44999999999</v>
      </c>
      <c r="U383" s="400">
        <v>0</v>
      </c>
      <c r="V383" s="400">
        <v>1822.18</v>
      </c>
      <c r="W383" s="372">
        <v>260522.25999999998</v>
      </c>
      <c r="X383" s="373">
        <v>294442.70999999996</v>
      </c>
      <c r="Y383" s="372">
        <v>326645.68724150001</v>
      </c>
      <c r="Z383" s="373">
        <v>1063172.5972414999</v>
      </c>
      <c r="AA383" s="400">
        <v>2724.2562894999282</v>
      </c>
      <c r="AB383" s="400">
        <v>514.37000000000262</v>
      </c>
      <c r="AC383" s="400">
        <v>0</v>
      </c>
      <c r="AD383" s="400">
        <v>-3</v>
      </c>
      <c r="AE383" s="372">
        <v>2721.2562894999282</v>
      </c>
      <c r="AF383" s="372">
        <v>3235.6262894999309</v>
      </c>
      <c r="AG383" s="400">
        <v>5.3699999999999761</v>
      </c>
      <c r="AH383" s="374">
        <v>9.328008294911018E-3</v>
      </c>
      <c r="AI383" s="375">
        <v>1.4731612120149909E-2</v>
      </c>
      <c r="AJ383" s="372">
        <v>257.58</v>
      </c>
      <c r="AK383" s="376">
        <v>2.0847891917074216E-2</v>
      </c>
      <c r="AL383" s="376">
        <v>-1.1519883622163198E-2</v>
      </c>
      <c r="AM383" s="412">
        <v>255.47492385786808</v>
      </c>
    </row>
    <row r="384" spans="2:39" s="377" customFormat="1" ht="28.15" customHeight="1" x14ac:dyDescent="0.25">
      <c r="B384" s="369">
        <v>43390</v>
      </c>
      <c r="C384" s="370">
        <v>290120.54874200001</v>
      </c>
      <c r="D384" s="370">
        <v>34867.760000000002</v>
      </c>
      <c r="E384" s="371">
        <v>0</v>
      </c>
      <c r="F384" s="371">
        <v>0</v>
      </c>
      <c r="G384" s="371">
        <v>1795.08</v>
      </c>
      <c r="H384" s="371"/>
      <c r="I384" s="371"/>
      <c r="J384" s="371"/>
      <c r="K384" s="371"/>
      <c r="L384" s="371"/>
      <c r="M384" s="371">
        <v>650000</v>
      </c>
      <c r="N384" s="371">
        <v>44000</v>
      </c>
      <c r="O384" s="371">
        <v>1600</v>
      </c>
      <c r="P384" s="371">
        <f t="shared" si="6"/>
        <v>91683</v>
      </c>
      <c r="Q384" s="381">
        <v>-50756.09</v>
      </c>
      <c r="R384" s="372">
        <v>291915.62874200003</v>
      </c>
      <c r="S384" s="400">
        <v>258700.08</v>
      </c>
      <c r="T384" s="400">
        <v>33920.44999999999</v>
      </c>
      <c r="U384" s="400">
        <v>0</v>
      </c>
      <c r="V384" s="400">
        <v>1822.18</v>
      </c>
      <c r="W384" s="372">
        <v>260522.25999999998</v>
      </c>
      <c r="X384" s="373">
        <v>294442.70999999996</v>
      </c>
      <c r="Y384" s="372">
        <v>326783.38874200004</v>
      </c>
      <c r="Z384" s="373">
        <v>1063310.298742</v>
      </c>
      <c r="AA384" s="400">
        <v>160.77150050003547</v>
      </c>
      <c r="AB384" s="400">
        <v>-48.309999999997672</v>
      </c>
      <c r="AC384" s="400">
        <v>0</v>
      </c>
      <c r="AD384" s="400">
        <v>25.240000000000009</v>
      </c>
      <c r="AE384" s="372">
        <v>186.01150050003548</v>
      </c>
      <c r="AF384" s="372">
        <v>137.70150050003781</v>
      </c>
      <c r="AG384" s="400">
        <v>9.0000000000031832E-2</v>
      </c>
      <c r="AH384" s="374">
        <v>6.372098037424217E-4</v>
      </c>
      <c r="AI384" s="375">
        <v>-1.3855206070019315E-3</v>
      </c>
      <c r="AJ384" s="372">
        <v>257.67</v>
      </c>
      <c r="AK384" s="376">
        <v>3.4928396786599848E-4</v>
      </c>
      <c r="AL384" s="376">
        <v>2.8792583587642322E-4</v>
      </c>
      <c r="AM384" s="412">
        <v>255.58203045685283</v>
      </c>
    </row>
    <row r="385" spans="2:39" s="377" customFormat="1" ht="28.15" customHeight="1" x14ac:dyDescent="0.25">
      <c r="B385" s="369">
        <v>43391</v>
      </c>
      <c r="C385" s="370">
        <v>289888.37935619999</v>
      </c>
      <c r="D385" s="370">
        <v>34825.61</v>
      </c>
      <c r="E385" s="371">
        <v>0</v>
      </c>
      <c r="F385" s="371">
        <v>0</v>
      </c>
      <c r="G385" s="371">
        <v>3300.89</v>
      </c>
      <c r="H385" s="371"/>
      <c r="I385" s="371"/>
      <c r="J385" s="371"/>
      <c r="K385" s="371"/>
      <c r="L385" s="371">
        <v>1822.18</v>
      </c>
      <c r="M385" s="371">
        <v>650000</v>
      </c>
      <c r="N385" s="371">
        <v>44000</v>
      </c>
      <c r="O385" s="371">
        <v>1600</v>
      </c>
      <c r="P385" s="371">
        <f t="shared" si="6"/>
        <v>91683</v>
      </c>
      <c r="Q385" s="381">
        <v>-42756.09</v>
      </c>
      <c r="R385" s="372">
        <v>293189.26935620001</v>
      </c>
      <c r="S385" s="400">
        <v>258700.08</v>
      </c>
      <c r="T385" s="400">
        <v>33920.44999999999</v>
      </c>
      <c r="U385" s="400">
        <v>0</v>
      </c>
      <c r="V385" s="400">
        <v>3644.36</v>
      </c>
      <c r="W385" s="372">
        <v>262344.44</v>
      </c>
      <c r="X385" s="373">
        <v>296264.88999999996</v>
      </c>
      <c r="Y385" s="372">
        <v>328014.87935619999</v>
      </c>
      <c r="Z385" s="373">
        <v>1072541.7893561998</v>
      </c>
      <c r="AA385" s="400">
        <v>-232.1693858000217</v>
      </c>
      <c r="AB385" s="400">
        <v>-42.150000000001455</v>
      </c>
      <c r="AC385" s="400">
        <v>0</v>
      </c>
      <c r="AD385" s="400">
        <v>-316.37000000000012</v>
      </c>
      <c r="AE385" s="372">
        <v>-548.53938580002182</v>
      </c>
      <c r="AF385" s="372">
        <v>-590.68938580002327</v>
      </c>
      <c r="AG385" s="400">
        <v>-3.6200000000000045</v>
      </c>
      <c r="AH385" s="374">
        <v>-1.8709395026787054E-3</v>
      </c>
      <c r="AI385" s="375">
        <v>-1.2103162012094392E-3</v>
      </c>
      <c r="AJ385" s="372">
        <v>254.05</v>
      </c>
      <c r="AK385" s="376">
        <v>-1.4249163550482205E-2</v>
      </c>
      <c r="AL385" s="376">
        <v>1.2378224047803501E-2</v>
      </c>
      <c r="AM385" s="412">
        <v>255.67436548223353</v>
      </c>
    </row>
    <row r="386" spans="2:39" s="377" customFormat="1" ht="28.15" customHeight="1" x14ac:dyDescent="0.25">
      <c r="B386" s="369">
        <v>43392</v>
      </c>
      <c r="C386" s="370">
        <v>294098.67741549999</v>
      </c>
      <c r="D386" s="370">
        <v>35238.480000000003</v>
      </c>
      <c r="E386" s="371">
        <v>0</v>
      </c>
      <c r="F386" s="371">
        <v>0</v>
      </c>
      <c r="G386" s="371">
        <v>3277.49</v>
      </c>
      <c r="H386" s="371"/>
      <c r="I386" s="371"/>
      <c r="J386" s="371"/>
      <c r="K386" s="371"/>
      <c r="L386" s="371"/>
      <c r="M386" s="371">
        <v>650000</v>
      </c>
      <c r="N386" s="371">
        <v>44000</v>
      </c>
      <c r="O386" s="371">
        <v>1600</v>
      </c>
      <c r="P386" s="371">
        <f t="shared" si="6"/>
        <v>91683</v>
      </c>
      <c r="Q386" s="381">
        <v>-42756.09</v>
      </c>
      <c r="R386" s="372">
        <v>297376.16741549998</v>
      </c>
      <c r="S386" s="400">
        <v>258700.08</v>
      </c>
      <c r="T386" s="400">
        <v>33920.44999999999</v>
      </c>
      <c r="U386" s="400">
        <v>0</v>
      </c>
      <c r="V386" s="400">
        <v>3644.36</v>
      </c>
      <c r="W386" s="372">
        <v>262344.44</v>
      </c>
      <c r="X386" s="373">
        <v>296264.88999999996</v>
      </c>
      <c r="Y386" s="372">
        <v>332614.64741549996</v>
      </c>
      <c r="Z386" s="373">
        <v>1077141.5574154998</v>
      </c>
      <c r="AA386" s="400">
        <v>4210.2980592999957</v>
      </c>
      <c r="AB386" s="400">
        <v>412.87000000000262</v>
      </c>
      <c r="AC386" s="400">
        <v>0</v>
      </c>
      <c r="AD386" s="400">
        <v>-23.400000000000091</v>
      </c>
      <c r="AE386" s="372">
        <v>4186.898059299996</v>
      </c>
      <c r="AF386" s="372">
        <v>4599.7680592999986</v>
      </c>
      <c r="AG386" s="400">
        <v>-0.20000000000001705</v>
      </c>
      <c r="AH386" s="374">
        <v>1.4079467415591436E-2</v>
      </c>
      <c r="AI386" s="375">
        <v>1.1716453150079192E-2</v>
      </c>
      <c r="AJ386" s="372">
        <v>253.85</v>
      </c>
      <c r="AK386" s="376">
        <v>-7.8786685050233232E-4</v>
      </c>
      <c r="AL386" s="376">
        <v>1.4867334266093768E-2</v>
      </c>
      <c r="AM386" s="412">
        <v>255.73431472081225</v>
      </c>
    </row>
    <row r="387" spans="2:39" s="377" customFormat="1" ht="28.15" customHeight="1" x14ac:dyDescent="0.25">
      <c r="B387" s="378">
        <v>43393</v>
      </c>
      <c r="C387" s="370">
        <v>294098.67741549999</v>
      </c>
      <c r="D387" s="370">
        <v>35238.480000000003</v>
      </c>
      <c r="E387" s="371">
        <v>0</v>
      </c>
      <c r="F387" s="371">
        <v>0</v>
      </c>
      <c r="G387" s="371">
        <v>3277.49</v>
      </c>
      <c r="H387" s="371"/>
      <c r="I387" s="371"/>
      <c r="J387" s="371"/>
      <c r="K387" s="371"/>
      <c r="L387" s="371"/>
      <c r="M387" s="371">
        <v>650000</v>
      </c>
      <c r="N387" s="371">
        <v>44000</v>
      </c>
      <c r="O387" s="371">
        <v>1600</v>
      </c>
      <c r="P387" s="371">
        <f t="shared" si="6"/>
        <v>91683</v>
      </c>
      <c r="Q387" s="381">
        <v>-42756.09</v>
      </c>
      <c r="R387" s="372">
        <v>297376.16741549998</v>
      </c>
      <c r="S387" s="400">
        <v>258700.08</v>
      </c>
      <c r="T387" s="400">
        <v>33920.44999999999</v>
      </c>
      <c r="U387" s="400">
        <v>0</v>
      </c>
      <c r="V387" s="400">
        <v>3644.36</v>
      </c>
      <c r="W387" s="372">
        <v>262344.44</v>
      </c>
      <c r="X387" s="373">
        <v>296264.88999999996</v>
      </c>
      <c r="Y387" s="372">
        <v>332614.64741549996</v>
      </c>
      <c r="Z387" s="373">
        <v>1077141.5574154998</v>
      </c>
      <c r="AA387" s="400">
        <v>0</v>
      </c>
      <c r="AB387" s="400">
        <v>0</v>
      </c>
      <c r="AC387" s="400">
        <v>0</v>
      </c>
      <c r="AD387" s="400">
        <v>0</v>
      </c>
      <c r="AE387" s="372">
        <v>0</v>
      </c>
      <c r="AF387" s="372">
        <v>0</v>
      </c>
      <c r="AG387" s="400">
        <v>0</v>
      </c>
      <c r="AH387" s="374">
        <v>0</v>
      </c>
      <c r="AI387" s="375">
        <v>0</v>
      </c>
      <c r="AJ387" s="372">
        <v>253.85</v>
      </c>
      <c r="AK387" s="376">
        <v>0</v>
      </c>
      <c r="AL387" s="376">
        <v>0</v>
      </c>
      <c r="AM387" s="412">
        <v>255.78436548223351</v>
      </c>
    </row>
    <row r="388" spans="2:39" s="377" customFormat="1" ht="28.15" customHeight="1" x14ac:dyDescent="0.25">
      <c r="B388" s="378">
        <v>43394</v>
      </c>
      <c r="C388" s="370">
        <v>294098.67741549999</v>
      </c>
      <c r="D388" s="370">
        <v>35238.480000000003</v>
      </c>
      <c r="E388" s="371">
        <v>0</v>
      </c>
      <c r="F388" s="371">
        <v>0</v>
      </c>
      <c r="G388" s="371">
        <v>3277.49</v>
      </c>
      <c r="H388" s="371"/>
      <c r="I388" s="371"/>
      <c r="J388" s="371"/>
      <c r="K388" s="371"/>
      <c r="L388" s="371"/>
      <c r="M388" s="371">
        <v>650000</v>
      </c>
      <c r="N388" s="371">
        <v>44000</v>
      </c>
      <c r="O388" s="371">
        <v>1600</v>
      </c>
      <c r="P388" s="371">
        <f t="shared" si="6"/>
        <v>91683</v>
      </c>
      <c r="Q388" s="381">
        <v>-42756.09</v>
      </c>
      <c r="R388" s="372">
        <v>297376.16741549998</v>
      </c>
      <c r="S388" s="400">
        <v>258700.08</v>
      </c>
      <c r="T388" s="400">
        <v>33920.44999999999</v>
      </c>
      <c r="U388" s="400">
        <v>0</v>
      </c>
      <c r="V388" s="400">
        <v>3644.36</v>
      </c>
      <c r="W388" s="372">
        <v>262344.44</v>
      </c>
      <c r="X388" s="373">
        <v>296264.88999999996</v>
      </c>
      <c r="Y388" s="372">
        <v>332614.64741549996</v>
      </c>
      <c r="Z388" s="373">
        <v>1077141.5574154998</v>
      </c>
      <c r="AA388" s="400">
        <v>0</v>
      </c>
      <c r="AB388" s="400">
        <v>0</v>
      </c>
      <c r="AC388" s="400">
        <v>0</v>
      </c>
      <c r="AD388" s="400">
        <v>0</v>
      </c>
      <c r="AE388" s="372">
        <v>0</v>
      </c>
      <c r="AF388" s="372">
        <v>0</v>
      </c>
      <c r="AG388" s="400">
        <v>0</v>
      </c>
      <c r="AH388" s="374">
        <v>0</v>
      </c>
      <c r="AI388" s="375">
        <v>0</v>
      </c>
      <c r="AJ388" s="372">
        <v>253.85</v>
      </c>
      <c r="AK388" s="376">
        <v>0</v>
      </c>
      <c r="AL388" s="376">
        <v>0</v>
      </c>
      <c r="AM388" s="412">
        <v>255.86167512690358</v>
      </c>
    </row>
    <row r="389" spans="2:39" s="377" customFormat="1" ht="28.15" customHeight="1" x14ac:dyDescent="0.25">
      <c r="B389" s="369">
        <v>43395</v>
      </c>
      <c r="C389" s="370">
        <v>290179.74235160003</v>
      </c>
      <c r="D389" s="370">
        <v>34978.71</v>
      </c>
      <c r="E389" s="371">
        <v>0</v>
      </c>
      <c r="F389" s="371">
        <v>0</v>
      </c>
      <c r="G389" s="371">
        <v>3303.72</v>
      </c>
      <c r="H389" s="371">
        <v>75</v>
      </c>
      <c r="I389" s="371"/>
      <c r="J389" s="371"/>
      <c r="K389" s="371"/>
      <c r="L389" s="371"/>
      <c r="M389" s="371">
        <v>650000</v>
      </c>
      <c r="N389" s="371">
        <v>44000</v>
      </c>
      <c r="O389" s="371">
        <v>1600</v>
      </c>
      <c r="P389" s="371">
        <f t="shared" si="6"/>
        <v>91683</v>
      </c>
      <c r="Q389" s="381">
        <v>-42756.09</v>
      </c>
      <c r="R389" s="372">
        <v>293483.4623516</v>
      </c>
      <c r="S389" s="400">
        <v>258775.08</v>
      </c>
      <c r="T389" s="400">
        <v>33920.44999999999</v>
      </c>
      <c r="U389" s="400">
        <v>0</v>
      </c>
      <c r="V389" s="400">
        <v>3644.36</v>
      </c>
      <c r="W389" s="372">
        <v>262419.44</v>
      </c>
      <c r="X389" s="373">
        <v>296339.88999999996</v>
      </c>
      <c r="Y389" s="372">
        <v>328462.17235160002</v>
      </c>
      <c r="Z389" s="373">
        <v>1072989.0823516001</v>
      </c>
      <c r="AA389" s="400">
        <v>-3993.9350638999604</v>
      </c>
      <c r="AB389" s="400">
        <v>-259.77000000000407</v>
      </c>
      <c r="AC389" s="400">
        <v>0</v>
      </c>
      <c r="AD389" s="400">
        <v>26.230000000000018</v>
      </c>
      <c r="AE389" s="372">
        <v>-3967.7050638999604</v>
      </c>
      <c r="AF389" s="372">
        <v>-4227.4750638999649</v>
      </c>
      <c r="AG389" s="400">
        <v>-1.0499999999999829</v>
      </c>
      <c r="AH389" s="374">
        <v>-1.3519348014051155E-2</v>
      </c>
      <c r="AI389" s="375">
        <v>-7.4265174444684808E-3</v>
      </c>
      <c r="AJ389" s="372">
        <v>252.8</v>
      </c>
      <c r="AK389" s="376">
        <v>-4.1534810126581598E-3</v>
      </c>
      <c r="AL389" s="376">
        <v>-9.365867001392995E-3</v>
      </c>
      <c r="AM389" s="412">
        <v>255.93898477157362</v>
      </c>
    </row>
    <row r="390" spans="2:39" s="377" customFormat="1" ht="28.15" customHeight="1" x14ac:dyDescent="0.25">
      <c r="B390" s="369">
        <v>43396</v>
      </c>
      <c r="C390" s="370">
        <v>288267.10090720002</v>
      </c>
      <c r="D390" s="370">
        <v>34856.6</v>
      </c>
      <c r="E390" s="371">
        <v>0</v>
      </c>
      <c r="F390" s="371">
        <v>0</v>
      </c>
      <c r="G390" s="371">
        <v>3272.51</v>
      </c>
      <c r="H390" s="371"/>
      <c r="I390" s="371"/>
      <c r="J390" s="371"/>
      <c r="K390" s="371"/>
      <c r="L390" s="371"/>
      <c r="M390" s="371">
        <v>650000</v>
      </c>
      <c r="N390" s="371">
        <v>44000</v>
      </c>
      <c r="O390" s="371">
        <v>1600</v>
      </c>
      <c r="P390" s="371">
        <f t="shared" si="6"/>
        <v>91683</v>
      </c>
      <c r="Q390" s="381">
        <v>-42756.09</v>
      </c>
      <c r="R390" s="372">
        <v>291539.61090720003</v>
      </c>
      <c r="S390" s="400">
        <v>258775.08</v>
      </c>
      <c r="T390" s="400">
        <v>33920.44999999999</v>
      </c>
      <c r="U390" s="400">
        <v>0</v>
      </c>
      <c r="V390" s="400">
        <v>3644.36</v>
      </c>
      <c r="W390" s="372">
        <v>262419.44</v>
      </c>
      <c r="X390" s="373">
        <v>296339.88999999996</v>
      </c>
      <c r="Y390" s="372">
        <v>326396.2109072</v>
      </c>
      <c r="Z390" s="373">
        <v>1070923.1209071998</v>
      </c>
      <c r="AA390" s="400">
        <v>-1912.6414444000111</v>
      </c>
      <c r="AB390" s="400">
        <v>-122.11000000000058</v>
      </c>
      <c r="AC390" s="400">
        <v>0</v>
      </c>
      <c r="AD390" s="400">
        <v>-31.209999999999582</v>
      </c>
      <c r="AE390" s="372">
        <v>-1943.8514444000107</v>
      </c>
      <c r="AF390" s="372">
        <v>-2065.9614444000113</v>
      </c>
      <c r="AG390" s="400">
        <v>-1.5200000000000102</v>
      </c>
      <c r="AH390" s="374">
        <v>-6.667538034887335E-3</v>
      </c>
      <c r="AI390" s="375">
        <v>-3.5032102958980679E-3</v>
      </c>
      <c r="AJ390" s="372">
        <v>251.28</v>
      </c>
      <c r="AK390" s="376">
        <v>-6.0490289716651153E-3</v>
      </c>
      <c r="AL390" s="376">
        <v>-6.1850906322221972E-4</v>
      </c>
      <c r="AM390" s="412">
        <v>256.01096446700507</v>
      </c>
    </row>
    <row r="391" spans="2:39" s="377" customFormat="1" ht="28.15" customHeight="1" x14ac:dyDescent="0.25">
      <c r="B391" s="369">
        <v>43397</v>
      </c>
      <c r="C391" s="370">
        <v>283112.2385186</v>
      </c>
      <c r="D391" s="370">
        <v>34396.06</v>
      </c>
      <c r="E391" s="371">
        <v>0</v>
      </c>
      <c r="F391" s="371">
        <v>0</v>
      </c>
      <c r="G391" s="371">
        <v>3256</v>
      </c>
      <c r="H391" s="371"/>
      <c r="I391" s="371"/>
      <c r="J391" s="371"/>
      <c r="K391" s="371"/>
      <c r="L391" s="371"/>
      <c r="M391" s="371">
        <v>650000</v>
      </c>
      <c r="N391" s="371">
        <v>44000</v>
      </c>
      <c r="O391" s="371">
        <v>1600</v>
      </c>
      <c r="P391" s="371">
        <f t="shared" si="6"/>
        <v>91683</v>
      </c>
      <c r="Q391" s="381">
        <v>-42756.09</v>
      </c>
      <c r="R391" s="372">
        <v>286368.2385186</v>
      </c>
      <c r="S391" s="400">
        <v>258775.08</v>
      </c>
      <c r="T391" s="400">
        <v>33920.44999999999</v>
      </c>
      <c r="U391" s="400">
        <v>0</v>
      </c>
      <c r="V391" s="400">
        <v>3644.36</v>
      </c>
      <c r="W391" s="372">
        <v>262419.44</v>
      </c>
      <c r="X391" s="373">
        <v>296339.88999999996</v>
      </c>
      <c r="Y391" s="372">
        <v>320764.2985186</v>
      </c>
      <c r="Z391" s="373">
        <v>1065291.2085185999</v>
      </c>
      <c r="AA391" s="400">
        <v>-5154.8623886000132</v>
      </c>
      <c r="AB391" s="400">
        <v>-460.54000000000087</v>
      </c>
      <c r="AC391" s="400">
        <v>0</v>
      </c>
      <c r="AD391" s="400">
        <v>-16.510000000000218</v>
      </c>
      <c r="AE391" s="372">
        <v>-5171.3723886000134</v>
      </c>
      <c r="AF391" s="372">
        <v>-5631.9123886000143</v>
      </c>
      <c r="AG391" s="400">
        <v>-7.5</v>
      </c>
      <c r="AH391" s="374">
        <v>-1.8058470504102801E-2</v>
      </c>
      <c r="AI391" s="375">
        <v>-1.3389324242369646E-2</v>
      </c>
      <c r="AJ391" s="372">
        <v>243.78</v>
      </c>
      <c r="AK391" s="376">
        <v>-3.0765444253015015E-2</v>
      </c>
      <c r="AL391" s="376">
        <v>1.2706973748912213E-2</v>
      </c>
      <c r="AM391" s="412">
        <v>256.07030456852794</v>
      </c>
    </row>
    <row r="392" spans="2:39" s="377" customFormat="1" ht="28.15" customHeight="1" x14ac:dyDescent="0.25">
      <c r="B392" s="369">
        <v>43398</v>
      </c>
      <c r="C392" s="370">
        <v>281219.5173988</v>
      </c>
      <c r="D392" s="370">
        <v>34348.5</v>
      </c>
      <c r="E392" s="371">
        <v>0</v>
      </c>
      <c r="F392" s="371">
        <v>0</v>
      </c>
      <c r="G392" s="371">
        <v>3149.04</v>
      </c>
      <c r="H392" s="371"/>
      <c r="I392" s="371"/>
      <c r="J392" s="371"/>
      <c r="K392" s="371"/>
      <c r="L392" s="371"/>
      <c r="M392" s="371">
        <v>650000</v>
      </c>
      <c r="N392" s="371">
        <v>44000</v>
      </c>
      <c r="O392" s="371">
        <v>1600</v>
      </c>
      <c r="P392" s="371">
        <f t="shared" si="6"/>
        <v>91683</v>
      </c>
      <c r="Q392" s="381">
        <v>-42756.09</v>
      </c>
      <c r="R392" s="372">
        <v>284368.55739879998</v>
      </c>
      <c r="S392" s="400">
        <v>258775.08</v>
      </c>
      <c r="T392" s="400">
        <v>33920.44999999999</v>
      </c>
      <c r="U392" s="400">
        <v>0</v>
      </c>
      <c r="V392" s="400">
        <v>3644.36</v>
      </c>
      <c r="W392" s="372">
        <v>262419.44</v>
      </c>
      <c r="X392" s="373">
        <v>296339.88999999996</v>
      </c>
      <c r="Y392" s="372">
        <v>318717.05739879998</v>
      </c>
      <c r="Z392" s="373">
        <v>1063243.9673988</v>
      </c>
      <c r="AA392" s="400">
        <v>-1892.7211198000005</v>
      </c>
      <c r="AB392" s="400">
        <v>-47.559999999997672</v>
      </c>
      <c r="AC392" s="400">
        <v>0</v>
      </c>
      <c r="AD392" s="400">
        <v>-106.96000000000004</v>
      </c>
      <c r="AE392" s="372">
        <v>-1999.6811198000005</v>
      </c>
      <c r="AF392" s="372">
        <v>-2047.2411197999982</v>
      </c>
      <c r="AG392" s="400">
        <v>4.3700000000000045</v>
      </c>
      <c r="AH392" s="374">
        <v>-7.032005008189555E-3</v>
      </c>
      <c r="AI392" s="375">
        <v>-1.3846310610360765E-3</v>
      </c>
      <c r="AJ392" s="372">
        <v>248.15</v>
      </c>
      <c r="AK392" s="376">
        <v>1.7610316340922846E-2</v>
      </c>
      <c r="AL392" s="376">
        <v>-2.46423213491124E-2</v>
      </c>
      <c r="AM392" s="412">
        <v>256.07152284263964</v>
      </c>
    </row>
    <row r="393" spans="2:39" s="377" customFormat="1" ht="28.15" customHeight="1" x14ac:dyDescent="0.25">
      <c r="B393" s="369">
        <v>43399</v>
      </c>
      <c r="C393" s="370">
        <v>279484.90189550002</v>
      </c>
      <c r="D393" s="370">
        <v>34159</v>
      </c>
      <c r="E393" s="371">
        <v>0</v>
      </c>
      <c r="F393" s="371">
        <v>0</v>
      </c>
      <c r="G393" s="371">
        <v>3199.1</v>
      </c>
      <c r="H393" s="371"/>
      <c r="I393" s="371"/>
      <c r="J393" s="371"/>
      <c r="K393" s="371"/>
      <c r="L393" s="371"/>
      <c r="M393" s="371">
        <v>650000</v>
      </c>
      <c r="N393" s="371">
        <v>44000</v>
      </c>
      <c r="O393" s="371">
        <v>1600</v>
      </c>
      <c r="P393" s="371">
        <f t="shared" si="6"/>
        <v>91683</v>
      </c>
      <c r="Q393" s="381">
        <v>-42756.09</v>
      </c>
      <c r="R393" s="372">
        <v>282684.0018955</v>
      </c>
      <c r="S393" s="400">
        <v>258775.08</v>
      </c>
      <c r="T393" s="400">
        <v>33920.44999999999</v>
      </c>
      <c r="U393" s="400">
        <v>0</v>
      </c>
      <c r="V393" s="400">
        <v>3644.36</v>
      </c>
      <c r="W393" s="372">
        <v>262419.44</v>
      </c>
      <c r="X393" s="373">
        <v>296339.88999999996</v>
      </c>
      <c r="Y393" s="372">
        <v>316843.0018955</v>
      </c>
      <c r="Z393" s="373">
        <v>1061369.9118954998</v>
      </c>
      <c r="AA393" s="400">
        <v>-1734.6155032999814</v>
      </c>
      <c r="AB393" s="400">
        <v>-189.5</v>
      </c>
      <c r="AC393" s="400">
        <v>0</v>
      </c>
      <c r="AD393" s="400">
        <v>50.059999999999945</v>
      </c>
      <c r="AE393" s="372">
        <v>-1684.5555032999814</v>
      </c>
      <c r="AF393" s="372">
        <v>-1874.0555032999814</v>
      </c>
      <c r="AG393" s="400">
        <v>-4.3900000000000148</v>
      </c>
      <c r="AH393" s="374">
        <v>-5.959146934401729E-3</v>
      </c>
      <c r="AI393" s="375">
        <v>-5.5475862876547908E-3</v>
      </c>
      <c r="AJ393" s="372">
        <v>243.76</v>
      </c>
      <c r="AK393" s="376">
        <v>-1.8009517558254081E-2</v>
      </c>
      <c r="AL393" s="376">
        <v>1.2050370623852353E-2</v>
      </c>
      <c r="AM393" s="412">
        <v>256.10147208121828</v>
      </c>
    </row>
    <row r="394" spans="2:39" s="377" customFormat="1" ht="28.15" customHeight="1" x14ac:dyDescent="0.25">
      <c r="B394" s="378">
        <v>43400</v>
      </c>
      <c r="C394" s="370">
        <v>279484.90189550002</v>
      </c>
      <c r="D394" s="370">
        <v>34159</v>
      </c>
      <c r="E394" s="371">
        <v>0</v>
      </c>
      <c r="F394" s="371">
        <v>0</v>
      </c>
      <c r="G394" s="371">
        <v>3199.1</v>
      </c>
      <c r="H394" s="371"/>
      <c r="I394" s="371"/>
      <c r="J394" s="371"/>
      <c r="K394" s="371"/>
      <c r="L394" s="371"/>
      <c r="M394" s="371">
        <v>650000</v>
      </c>
      <c r="N394" s="371">
        <v>44000</v>
      </c>
      <c r="O394" s="371">
        <v>1600</v>
      </c>
      <c r="P394" s="371">
        <f t="shared" si="6"/>
        <v>91683</v>
      </c>
      <c r="Q394" s="381">
        <v>-42756.09</v>
      </c>
      <c r="R394" s="372">
        <v>282684.0018955</v>
      </c>
      <c r="S394" s="400">
        <v>258775.08</v>
      </c>
      <c r="T394" s="400">
        <v>33920.44999999999</v>
      </c>
      <c r="U394" s="400">
        <v>0</v>
      </c>
      <c r="V394" s="400">
        <v>3644.36</v>
      </c>
      <c r="W394" s="372">
        <v>262419.44</v>
      </c>
      <c r="X394" s="373">
        <v>296339.88999999996</v>
      </c>
      <c r="Y394" s="372">
        <v>316843.0018955</v>
      </c>
      <c r="Z394" s="373">
        <v>1061369.9118954998</v>
      </c>
      <c r="AA394" s="400">
        <v>0</v>
      </c>
      <c r="AB394" s="400">
        <v>0</v>
      </c>
      <c r="AC394" s="400">
        <v>0</v>
      </c>
      <c r="AD394" s="400">
        <v>0</v>
      </c>
      <c r="AE394" s="372">
        <v>0</v>
      </c>
      <c r="AF394" s="372">
        <v>0</v>
      </c>
      <c r="AG394" s="400">
        <v>0</v>
      </c>
      <c r="AH394" s="374">
        <v>0</v>
      </c>
      <c r="AI394" s="375">
        <v>0</v>
      </c>
      <c r="AJ394" s="372">
        <v>243.76</v>
      </c>
      <c r="AK394" s="376">
        <v>0</v>
      </c>
      <c r="AL394" s="376">
        <v>0</v>
      </c>
      <c r="AM394" s="412">
        <v>256.09883248730966</v>
      </c>
    </row>
    <row r="395" spans="2:39" s="377" customFormat="1" ht="28.15" customHeight="1" x14ac:dyDescent="0.25">
      <c r="B395" s="378">
        <v>43401</v>
      </c>
      <c r="C395" s="370">
        <v>279484.90189550002</v>
      </c>
      <c r="D395" s="370">
        <v>34159</v>
      </c>
      <c r="E395" s="371">
        <v>0</v>
      </c>
      <c r="F395" s="371">
        <v>0</v>
      </c>
      <c r="G395" s="371">
        <v>3199.1</v>
      </c>
      <c r="H395" s="371"/>
      <c r="I395" s="371"/>
      <c r="J395" s="371"/>
      <c r="K395" s="371"/>
      <c r="L395" s="371"/>
      <c r="M395" s="371">
        <v>650000</v>
      </c>
      <c r="N395" s="371">
        <v>44000</v>
      </c>
      <c r="O395" s="371">
        <v>1600</v>
      </c>
      <c r="P395" s="371">
        <f t="shared" si="6"/>
        <v>91683</v>
      </c>
      <c r="Q395" s="381">
        <v>-42756.09</v>
      </c>
      <c r="R395" s="372">
        <v>282684.0018955</v>
      </c>
      <c r="S395" s="400">
        <v>258775.08</v>
      </c>
      <c r="T395" s="400">
        <v>33920.44999999999</v>
      </c>
      <c r="U395" s="400">
        <v>0</v>
      </c>
      <c r="V395" s="400">
        <v>3644.36</v>
      </c>
      <c r="W395" s="372">
        <v>262419.44</v>
      </c>
      <c r="X395" s="373">
        <v>296339.88999999996</v>
      </c>
      <c r="Y395" s="372">
        <v>316843.0018955</v>
      </c>
      <c r="Z395" s="373">
        <v>1061369.9118954998</v>
      </c>
      <c r="AA395" s="400">
        <v>0</v>
      </c>
      <c r="AB395" s="400">
        <v>0</v>
      </c>
      <c r="AC395" s="400">
        <v>0</v>
      </c>
      <c r="AD395" s="400">
        <v>0</v>
      </c>
      <c r="AE395" s="372">
        <v>0</v>
      </c>
      <c r="AF395" s="372">
        <v>0</v>
      </c>
      <c r="AG395" s="400">
        <v>0</v>
      </c>
      <c r="AH395" s="374">
        <v>0</v>
      </c>
      <c r="AI395" s="375">
        <v>0</v>
      </c>
      <c r="AJ395" s="372">
        <v>243.76</v>
      </c>
      <c r="AK395" s="376">
        <v>0</v>
      </c>
      <c r="AL395" s="376">
        <v>0</v>
      </c>
      <c r="AM395" s="412">
        <v>256.09964467005074</v>
      </c>
    </row>
    <row r="396" spans="2:39" s="377" customFormat="1" ht="28.15" customHeight="1" x14ac:dyDescent="0.25">
      <c r="B396" s="369">
        <v>43402</v>
      </c>
      <c r="C396" s="370">
        <v>279769.05308500008</v>
      </c>
      <c r="D396" s="370">
        <v>33894.03</v>
      </c>
      <c r="E396" s="371">
        <v>0</v>
      </c>
      <c r="F396" s="371">
        <v>0</v>
      </c>
      <c r="G396" s="371">
        <v>3160.9</v>
      </c>
      <c r="H396" s="371"/>
      <c r="I396" s="371"/>
      <c r="J396" s="371"/>
      <c r="K396" s="371"/>
      <c r="L396" s="371"/>
      <c r="M396" s="371">
        <v>650000</v>
      </c>
      <c r="N396" s="371">
        <v>44000</v>
      </c>
      <c r="O396" s="371">
        <v>1600</v>
      </c>
      <c r="P396" s="371">
        <f t="shared" si="6"/>
        <v>91683</v>
      </c>
      <c r="Q396" s="381">
        <v>-42460.3</v>
      </c>
      <c r="R396" s="372">
        <v>282929.9530850001</v>
      </c>
      <c r="S396" s="400">
        <v>258775.08</v>
      </c>
      <c r="T396" s="400">
        <v>33920.44999999999</v>
      </c>
      <c r="U396" s="400">
        <v>0</v>
      </c>
      <c r="V396" s="400">
        <v>3644.36</v>
      </c>
      <c r="W396" s="372">
        <v>262419.44</v>
      </c>
      <c r="X396" s="373">
        <v>296339.88999999996</v>
      </c>
      <c r="Y396" s="372">
        <v>316823.98308500007</v>
      </c>
      <c r="Z396" s="373">
        <v>1061646.6830849999</v>
      </c>
      <c r="AA396" s="400">
        <v>284.15118950005854</v>
      </c>
      <c r="AB396" s="400">
        <v>-264.97000000000116</v>
      </c>
      <c r="AC396" s="400">
        <v>0</v>
      </c>
      <c r="AD396" s="400">
        <v>-38.199999999999818</v>
      </c>
      <c r="AE396" s="372">
        <v>245.95118950005872</v>
      </c>
      <c r="AF396" s="372">
        <v>-19.018810499942447</v>
      </c>
      <c r="AG396" s="400">
        <v>-1.2599999999999909</v>
      </c>
      <c r="AH396" s="374">
        <v>8.6930064073551124E-4</v>
      </c>
      <c r="AI396" s="375">
        <v>-7.8176009167396487E-3</v>
      </c>
      <c r="AJ396" s="372">
        <v>242.5</v>
      </c>
      <c r="AK396" s="376">
        <v>-5.1958762886597561E-3</v>
      </c>
      <c r="AL396" s="376">
        <v>6.0651769293952676E-3</v>
      </c>
      <c r="AM396" s="412">
        <v>256.10045685279187</v>
      </c>
    </row>
    <row r="397" spans="2:39" s="377" customFormat="1" ht="28.15" customHeight="1" x14ac:dyDescent="0.25">
      <c r="B397" s="369">
        <v>43403</v>
      </c>
      <c r="C397" s="370">
        <v>277773.79302400001</v>
      </c>
      <c r="D397" s="370">
        <v>34013.170000000006</v>
      </c>
      <c r="E397" s="371">
        <v>0</v>
      </c>
      <c r="F397" s="371">
        <v>0</v>
      </c>
      <c r="G397" s="371">
        <v>3176.52</v>
      </c>
      <c r="H397" s="371"/>
      <c r="I397" s="371"/>
      <c r="J397" s="371"/>
      <c r="K397" s="371"/>
      <c r="L397" s="371"/>
      <c r="M397" s="371">
        <v>650000</v>
      </c>
      <c r="N397" s="371">
        <v>44000</v>
      </c>
      <c r="O397" s="371">
        <v>1600</v>
      </c>
      <c r="P397" s="371">
        <f t="shared" si="6"/>
        <v>91683</v>
      </c>
      <c r="Q397" s="381">
        <v>-42460.3</v>
      </c>
      <c r="R397" s="372">
        <v>280950.31302400003</v>
      </c>
      <c r="S397" s="400">
        <v>258775.08</v>
      </c>
      <c r="T397" s="400">
        <v>33920.44999999999</v>
      </c>
      <c r="U397" s="400">
        <v>0</v>
      </c>
      <c r="V397" s="400">
        <v>3644.36</v>
      </c>
      <c r="W397" s="372">
        <v>262419.44</v>
      </c>
      <c r="X397" s="373">
        <v>296339.88999999996</v>
      </c>
      <c r="Y397" s="372">
        <v>314963.48302400002</v>
      </c>
      <c r="Z397" s="373">
        <v>1059786.1830239999</v>
      </c>
      <c r="AA397" s="400">
        <v>-1995.2600610000663</v>
      </c>
      <c r="AB397" s="400">
        <v>119.14000000000669</v>
      </c>
      <c r="AC397" s="400">
        <v>0</v>
      </c>
      <c r="AD397" s="400">
        <v>15.619999999999891</v>
      </c>
      <c r="AE397" s="372">
        <v>-1979.6400610000665</v>
      </c>
      <c r="AF397" s="372">
        <v>-1860.5000610000598</v>
      </c>
      <c r="AG397" s="400">
        <v>3.710000000000008</v>
      </c>
      <c r="AH397" s="374">
        <v>-7.0462283515269003E-3</v>
      </c>
      <c r="AI397" s="375">
        <v>3.5027608423444999E-3</v>
      </c>
      <c r="AJ397" s="372">
        <v>246.21</v>
      </c>
      <c r="AK397" s="376">
        <v>1.5068437512692448E-2</v>
      </c>
      <c r="AL397" s="376">
        <v>-2.2114665864219347E-2</v>
      </c>
      <c r="AM397" s="412">
        <v>256.09487309644669</v>
      </c>
    </row>
    <row r="398" spans="2:39" s="377" customFormat="1" ht="28.15" customHeight="1" x14ac:dyDescent="0.25">
      <c r="B398" s="369">
        <v>43404</v>
      </c>
      <c r="C398" s="370">
        <v>277500.95564270002</v>
      </c>
      <c r="D398" s="370">
        <v>33895.270000000004</v>
      </c>
      <c r="E398" s="371">
        <v>0</v>
      </c>
      <c r="F398" s="371">
        <v>0</v>
      </c>
      <c r="G398" s="371">
        <v>3249.59</v>
      </c>
      <c r="H398" s="371"/>
      <c r="I398" s="371"/>
      <c r="J398" s="371"/>
      <c r="K398" s="371"/>
      <c r="L398" s="371"/>
      <c r="M398" s="371">
        <v>650000</v>
      </c>
      <c r="N398" s="371">
        <v>44000</v>
      </c>
      <c r="O398" s="371">
        <v>1600</v>
      </c>
      <c r="P398" s="371">
        <f t="shared" si="6"/>
        <v>91683</v>
      </c>
      <c r="Q398" s="381">
        <v>-42460.3</v>
      </c>
      <c r="R398" s="372">
        <v>280750.54564270005</v>
      </c>
      <c r="S398" s="400">
        <v>258775.08</v>
      </c>
      <c r="T398" s="400">
        <v>33920.44999999999</v>
      </c>
      <c r="U398" s="400">
        <v>0</v>
      </c>
      <c r="V398" s="400">
        <v>3644.36</v>
      </c>
      <c r="W398" s="372">
        <v>262419.44</v>
      </c>
      <c r="X398" s="373">
        <v>296339.88999999996</v>
      </c>
      <c r="Y398" s="372">
        <v>314645.81564270006</v>
      </c>
      <c r="Z398" s="373">
        <v>1059468.5156427</v>
      </c>
      <c r="AA398" s="400">
        <v>-272.83738129999256</v>
      </c>
      <c r="AB398" s="400">
        <v>-117.90000000000146</v>
      </c>
      <c r="AC398" s="400">
        <v>0</v>
      </c>
      <c r="AD398" s="400">
        <v>73.070000000000164</v>
      </c>
      <c r="AE398" s="372">
        <v>-199.76738129999239</v>
      </c>
      <c r="AF398" s="372">
        <v>-317.66738129999385</v>
      </c>
      <c r="AG398" s="400">
        <v>2.5799999999999841</v>
      </c>
      <c r="AH398" s="374">
        <v>-7.1154761549147027E-4</v>
      </c>
      <c r="AI398" s="375">
        <v>-3.4783614350911334E-3</v>
      </c>
      <c r="AJ398" s="372">
        <v>248.79</v>
      </c>
      <c r="AK398" s="376">
        <v>1.0370191727963279E-2</v>
      </c>
      <c r="AL398" s="376">
        <v>-1.1081739343454749E-2</v>
      </c>
      <c r="AM398" s="412">
        <v>256.09807106598987</v>
      </c>
    </row>
    <row r="399" spans="2:39" s="377" customFormat="1" ht="28.15" customHeight="1" x14ac:dyDescent="0.25">
      <c r="B399" s="369">
        <v>43405</v>
      </c>
      <c r="C399" s="370">
        <v>278148.83075600001</v>
      </c>
      <c r="D399" s="370">
        <v>34597.120000000003</v>
      </c>
      <c r="E399" s="371">
        <v>0</v>
      </c>
      <c r="F399" s="371">
        <v>0</v>
      </c>
      <c r="G399" s="371">
        <v>3269.28</v>
      </c>
      <c r="H399" s="371"/>
      <c r="I399" s="371"/>
      <c r="J399" s="371"/>
      <c r="K399" s="371"/>
      <c r="L399" s="371"/>
      <c r="M399" s="371">
        <v>650000</v>
      </c>
      <c r="N399" s="371">
        <v>44000</v>
      </c>
      <c r="O399" s="371">
        <v>1600</v>
      </c>
      <c r="P399" s="371">
        <f t="shared" si="6"/>
        <v>91683</v>
      </c>
      <c r="Q399" s="381">
        <v>-42460.3</v>
      </c>
      <c r="R399" s="372">
        <v>281418.11075600004</v>
      </c>
      <c r="S399" s="400">
        <v>258775.08</v>
      </c>
      <c r="T399" s="400">
        <v>33920.44999999999</v>
      </c>
      <c r="U399" s="400">
        <v>0</v>
      </c>
      <c r="V399" s="400">
        <v>3644.36</v>
      </c>
      <c r="W399" s="372">
        <v>262419.44</v>
      </c>
      <c r="X399" s="373">
        <v>296339.88999999996</v>
      </c>
      <c r="Y399" s="372">
        <v>316015.23075600003</v>
      </c>
      <c r="Z399" s="373">
        <v>1060837.9307560001</v>
      </c>
      <c r="AA399" s="400">
        <v>647.87511329998961</v>
      </c>
      <c r="AB399" s="400">
        <v>701.84999999999854</v>
      </c>
      <c r="AC399" s="400">
        <v>0</v>
      </c>
      <c r="AD399" s="400">
        <v>19.690000000000055</v>
      </c>
      <c r="AE399" s="372">
        <v>667.56511329998966</v>
      </c>
      <c r="AF399" s="372">
        <v>1369.4151132999882</v>
      </c>
      <c r="AG399" s="400">
        <v>2.5800000000000125</v>
      </c>
      <c r="AH399" s="374">
        <v>2.3721469506942767E-3</v>
      </c>
      <c r="AI399" s="375">
        <v>2.0286370657441963E-2</v>
      </c>
      <c r="AJ399" s="372">
        <v>251.37</v>
      </c>
      <c r="AK399" s="376">
        <v>1.026375462465693E-2</v>
      </c>
      <c r="AL399" s="376">
        <v>-7.8916076739626532E-3</v>
      </c>
      <c r="AM399" s="412">
        <v>256.1009644670051</v>
      </c>
    </row>
    <row r="400" spans="2:39" s="377" customFormat="1" ht="28.15" customHeight="1" x14ac:dyDescent="0.25">
      <c r="B400" s="369">
        <v>43406</v>
      </c>
      <c r="C400" s="370">
        <v>275858.63554019999</v>
      </c>
      <c r="D400" s="370">
        <v>34412.85</v>
      </c>
      <c r="E400" s="371">
        <v>0</v>
      </c>
      <c r="F400" s="371">
        <v>0</v>
      </c>
      <c r="G400" s="371">
        <v>3269.28</v>
      </c>
      <c r="H400" s="371"/>
      <c r="I400" s="371"/>
      <c r="J400" s="371"/>
      <c r="K400" s="371"/>
      <c r="L400" s="371"/>
      <c r="M400" s="371">
        <v>650000</v>
      </c>
      <c r="N400" s="371">
        <v>44000</v>
      </c>
      <c r="O400" s="371">
        <v>1600</v>
      </c>
      <c r="P400" s="371">
        <f t="shared" si="6"/>
        <v>91683</v>
      </c>
      <c r="Q400" s="381">
        <v>-42460.3</v>
      </c>
      <c r="R400" s="372">
        <v>279127.91554020002</v>
      </c>
      <c r="S400" s="400">
        <v>258775.08</v>
      </c>
      <c r="T400" s="400">
        <v>33920.44999999999</v>
      </c>
      <c r="U400" s="400">
        <v>0</v>
      </c>
      <c r="V400" s="400">
        <v>3644.36</v>
      </c>
      <c r="W400" s="372">
        <v>262419.44</v>
      </c>
      <c r="X400" s="373">
        <v>296339.88999999996</v>
      </c>
      <c r="Y400" s="372">
        <v>313540.76554019999</v>
      </c>
      <c r="Z400" s="373">
        <v>1058363.4655402</v>
      </c>
      <c r="AA400" s="400">
        <v>-2290.1952158000204</v>
      </c>
      <c r="AB400" s="400">
        <v>-184.27000000000407</v>
      </c>
      <c r="AC400" s="400">
        <v>0</v>
      </c>
      <c r="AD400" s="400">
        <v>0</v>
      </c>
      <c r="AE400" s="372">
        <v>-2290.1952158000204</v>
      </c>
      <c r="AF400" s="372">
        <v>-2474.4652158000245</v>
      </c>
      <c r="AG400" s="400">
        <v>-1.5600000000000023</v>
      </c>
      <c r="AH400" s="374">
        <v>-8.2048232666653027E-3</v>
      </c>
      <c r="AI400" s="375">
        <v>-5.3546858223019623E-3</v>
      </c>
      <c r="AJ400" s="372">
        <v>249.81</v>
      </c>
      <c r="AK400" s="376">
        <v>-6.2447460069653023E-3</v>
      </c>
      <c r="AL400" s="376">
        <v>-1.9600772597000004E-3</v>
      </c>
      <c r="AM400" s="412">
        <v>256.11624365482237</v>
      </c>
    </row>
    <row r="401" spans="2:39" s="377" customFormat="1" ht="28.15" customHeight="1" x14ac:dyDescent="0.25">
      <c r="B401" s="378">
        <v>43407</v>
      </c>
      <c r="C401" s="370">
        <v>275858.63554019999</v>
      </c>
      <c r="D401" s="370">
        <v>34412.85</v>
      </c>
      <c r="E401" s="371">
        <v>0</v>
      </c>
      <c r="F401" s="371">
        <v>0</v>
      </c>
      <c r="G401" s="371">
        <v>3269.28</v>
      </c>
      <c r="H401" s="371"/>
      <c r="I401" s="371"/>
      <c r="J401" s="371"/>
      <c r="K401" s="371"/>
      <c r="L401" s="371"/>
      <c r="M401" s="371">
        <v>650000</v>
      </c>
      <c r="N401" s="371">
        <v>44000</v>
      </c>
      <c r="O401" s="371">
        <v>1600</v>
      </c>
      <c r="P401" s="371">
        <f t="shared" si="6"/>
        <v>91683</v>
      </c>
      <c r="Q401" s="381">
        <v>-42460.3</v>
      </c>
      <c r="R401" s="372">
        <v>279127.91554020002</v>
      </c>
      <c r="S401" s="400">
        <v>258775.08</v>
      </c>
      <c r="T401" s="400">
        <v>33920.44999999999</v>
      </c>
      <c r="U401" s="400">
        <v>0</v>
      </c>
      <c r="V401" s="400">
        <v>3644.36</v>
      </c>
      <c r="W401" s="372">
        <v>262419.44</v>
      </c>
      <c r="X401" s="373">
        <v>296339.88999999996</v>
      </c>
      <c r="Y401" s="372">
        <v>313540.76554019999</v>
      </c>
      <c r="Z401" s="373">
        <v>1058363.4655402</v>
      </c>
      <c r="AA401" s="400">
        <v>0</v>
      </c>
      <c r="AB401" s="400">
        <v>0</v>
      </c>
      <c r="AC401" s="400">
        <v>0</v>
      </c>
      <c r="AD401" s="400">
        <v>0</v>
      </c>
      <c r="AE401" s="372">
        <v>0</v>
      </c>
      <c r="AF401" s="372">
        <v>0</v>
      </c>
      <c r="AG401" s="400">
        <v>0</v>
      </c>
      <c r="AH401" s="374">
        <v>0</v>
      </c>
      <c r="AI401" s="375">
        <v>0</v>
      </c>
      <c r="AJ401" s="372">
        <v>249.81</v>
      </c>
      <c r="AK401" s="376">
        <v>0</v>
      </c>
      <c r="AL401" s="376">
        <v>0</v>
      </c>
      <c r="AM401" s="412">
        <v>256.13050761421323</v>
      </c>
    </row>
    <row r="402" spans="2:39" s="377" customFormat="1" ht="28.15" customHeight="1" x14ac:dyDescent="0.25">
      <c r="B402" s="378">
        <v>43408</v>
      </c>
      <c r="C402" s="370">
        <v>275858.63554019999</v>
      </c>
      <c r="D402" s="370">
        <v>34412.85</v>
      </c>
      <c r="E402" s="371">
        <v>0</v>
      </c>
      <c r="F402" s="371">
        <v>0</v>
      </c>
      <c r="G402" s="371">
        <v>3269.28</v>
      </c>
      <c r="H402" s="371"/>
      <c r="I402" s="371"/>
      <c r="J402" s="371"/>
      <c r="K402" s="371"/>
      <c r="L402" s="371"/>
      <c r="M402" s="371">
        <v>650000</v>
      </c>
      <c r="N402" s="371">
        <v>44000</v>
      </c>
      <c r="O402" s="371">
        <v>1600</v>
      </c>
      <c r="P402" s="371">
        <f t="shared" si="6"/>
        <v>91683</v>
      </c>
      <c r="Q402" s="381">
        <v>-42460.3</v>
      </c>
      <c r="R402" s="372">
        <v>279127.91554020002</v>
      </c>
      <c r="S402" s="400">
        <v>258775.08</v>
      </c>
      <c r="T402" s="400">
        <v>33920.44999999999</v>
      </c>
      <c r="U402" s="400">
        <v>0</v>
      </c>
      <c r="V402" s="400">
        <v>3644.36</v>
      </c>
      <c r="W402" s="372">
        <v>262419.44</v>
      </c>
      <c r="X402" s="373">
        <v>296339.88999999996</v>
      </c>
      <c r="Y402" s="372">
        <v>313540.76554019999</v>
      </c>
      <c r="Z402" s="373">
        <v>1058363.4655402</v>
      </c>
      <c r="AA402" s="400">
        <v>0</v>
      </c>
      <c r="AB402" s="400">
        <v>0</v>
      </c>
      <c r="AC402" s="400">
        <v>0</v>
      </c>
      <c r="AD402" s="400">
        <v>0</v>
      </c>
      <c r="AE402" s="372">
        <v>0</v>
      </c>
      <c r="AF402" s="372">
        <v>0</v>
      </c>
      <c r="AG402" s="400">
        <v>0</v>
      </c>
      <c r="AH402" s="374">
        <v>0</v>
      </c>
      <c r="AI402" s="375">
        <v>0</v>
      </c>
      <c r="AJ402" s="372">
        <v>249.81</v>
      </c>
      <c r="AK402" s="376">
        <v>0</v>
      </c>
      <c r="AL402" s="376">
        <v>0</v>
      </c>
      <c r="AM402" s="412">
        <v>256.15492385786803</v>
      </c>
    </row>
    <row r="403" spans="2:39" s="377" customFormat="1" ht="28.15" customHeight="1" x14ac:dyDescent="0.25">
      <c r="B403" s="369">
        <v>43409</v>
      </c>
      <c r="C403" s="370">
        <v>277386.91286440002</v>
      </c>
      <c r="D403" s="370">
        <v>34709.5</v>
      </c>
      <c r="E403" s="371">
        <v>0</v>
      </c>
      <c r="F403" s="371">
        <v>0</v>
      </c>
      <c r="G403" s="371">
        <v>3261.35</v>
      </c>
      <c r="H403" s="371">
        <v>75</v>
      </c>
      <c r="I403" s="371"/>
      <c r="J403" s="371"/>
      <c r="K403" s="371"/>
      <c r="L403" s="371"/>
      <c r="M403" s="371">
        <v>650000</v>
      </c>
      <c r="N403" s="371">
        <v>44000</v>
      </c>
      <c r="O403" s="371">
        <v>1600</v>
      </c>
      <c r="P403" s="371">
        <f t="shared" si="6"/>
        <v>91683</v>
      </c>
      <c r="Q403" s="381">
        <v>-42460.3</v>
      </c>
      <c r="R403" s="372">
        <v>280648.26286439999</v>
      </c>
      <c r="S403" s="400">
        <v>258850.08</v>
      </c>
      <c r="T403" s="400">
        <v>33920.44999999999</v>
      </c>
      <c r="U403" s="400">
        <v>0</v>
      </c>
      <c r="V403" s="400">
        <v>3644.36</v>
      </c>
      <c r="W403" s="372">
        <v>262494.44</v>
      </c>
      <c r="X403" s="373">
        <v>296414.88999999996</v>
      </c>
      <c r="Y403" s="372">
        <v>315357.76286439999</v>
      </c>
      <c r="Z403" s="373">
        <v>1060180.4628643999</v>
      </c>
      <c r="AA403" s="400">
        <v>1453.2773242000258</v>
      </c>
      <c r="AB403" s="400">
        <v>296.65000000000146</v>
      </c>
      <c r="AC403" s="400">
        <v>0</v>
      </c>
      <c r="AD403" s="400">
        <v>-7.930000000000291</v>
      </c>
      <c r="AE403" s="372">
        <v>1445.3473242000255</v>
      </c>
      <c r="AF403" s="372">
        <v>1741.9973242000269</v>
      </c>
      <c r="AG403" s="400">
        <v>1.4199999999999875</v>
      </c>
      <c r="AH403" s="374">
        <v>5.1500312506775423E-3</v>
      </c>
      <c r="AI403" s="375">
        <v>8.5466514931071165E-3</v>
      </c>
      <c r="AJ403" s="372">
        <v>251.23</v>
      </c>
      <c r="AK403" s="376">
        <v>5.652191219201479E-3</v>
      </c>
      <c r="AL403" s="376">
        <v>-5.0215996852393668E-4</v>
      </c>
      <c r="AM403" s="412">
        <v>256.17934010152283</v>
      </c>
    </row>
    <row r="404" spans="2:39" s="377" customFormat="1" ht="28.15" customHeight="1" x14ac:dyDescent="0.25">
      <c r="B404" s="369">
        <v>43410</v>
      </c>
      <c r="C404" s="370">
        <v>279723.50815900002</v>
      </c>
      <c r="D404" s="370">
        <v>35027.26</v>
      </c>
      <c r="E404" s="371">
        <v>0</v>
      </c>
      <c r="F404" s="371">
        <v>0</v>
      </c>
      <c r="G404" s="371">
        <v>3313.84</v>
      </c>
      <c r="H404" s="371"/>
      <c r="I404" s="371"/>
      <c r="J404" s="371"/>
      <c r="K404" s="371"/>
      <c r="L404" s="371"/>
      <c r="M404" s="371">
        <v>650000</v>
      </c>
      <c r="N404" s="371">
        <v>44000</v>
      </c>
      <c r="O404" s="371">
        <v>1600</v>
      </c>
      <c r="P404" s="371">
        <f t="shared" si="6"/>
        <v>91683</v>
      </c>
      <c r="Q404" s="381">
        <v>-42460.3</v>
      </c>
      <c r="R404" s="372">
        <v>283037.34815900004</v>
      </c>
      <c r="S404" s="400">
        <v>258850.08</v>
      </c>
      <c r="T404" s="400">
        <v>33920.44999999999</v>
      </c>
      <c r="U404" s="400">
        <v>0</v>
      </c>
      <c r="V404" s="400">
        <v>3644.36</v>
      </c>
      <c r="W404" s="372">
        <v>262494.44</v>
      </c>
      <c r="X404" s="373">
        <v>296414.88999999996</v>
      </c>
      <c r="Y404" s="372">
        <v>318064.60815900005</v>
      </c>
      <c r="Z404" s="373">
        <v>1062887.308159</v>
      </c>
      <c r="AA404" s="400">
        <v>2336.5952946000034</v>
      </c>
      <c r="AB404" s="400">
        <v>317.76000000000204</v>
      </c>
      <c r="AC404" s="400">
        <v>0</v>
      </c>
      <c r="AD404" s="400">
        <v>52.490000000000236</v>
      </c>
      <c r="AE404" s="372">
        <v>2389.0852946000036</v>
      </c>
      <c r="AF404" s="372">
        <v>2706.8452946000057</v>
      </c>
      <c r="AG404" s="400">
        <v>1.5900000000000034</v>
      </c>
      <c r="AH404" s="374">
        <v>8.4408835446617547E-3</v>
      </c>
      <c r="AI404" s="375">
        <v>9.0717915132386036E-3</v>
      </c>
      <c r="AJ404" s="372">
        <v>252.82</v>
      </c>
      <c r="AK404" s="376">
        <v>6.2890594098568287E-3</v>
      </c>
      <c r="AL404" s="376">
        <v>2.151824134804926E-3</v>
      </c>
      <c r="AM404" s="412">
        <v>256.21096446700511</v>
      </c>
    </row>
    <row r="405" spans="2:39" s="377" customFormat="1" ht="28.15" customHeight="1" x14ac:dyDescent="0.25">
      <c r="B405" s="369">
        <v>43411</v>
      </c>
      <c r="C405" s="370">
        <v>285136.6109875</v>
      </c>
      <c r="D405" s="370">
        <v>35252.629999999997</v>
      </c>
      <c r="E405" s="371">
        <v>0</v>
      </c>
      <c r="F405" s="371">
        <v>0</v>
      </c>
      <c r="G405" s="371">
        <v>3313.84</v>
      </c>
      <c r="H405" s="371"/>
      <c r="I405" s="371"/>
      <c r="J405" s="371"/>
      <c r="K405" s="371"/>
      <c r="L405" s="371"/>
      <c r="M405" s="371">
        <v>650000</v>
      </c>
      <c r="N405" s="371">
        <v>44000</v>
      </c>
      <c r="O405" s="371">
        <v>1600</v>
      </c>
      <c r="P405" s="371">
        <f t="shared" si="6"/>
        <v>91683</v>
      </c>
      <c r="Q405" s="381">
        <v>-42460.3</v>
      </c>
      <c r="R405" s="372">
        <v>288450.45098750002</v>
      </c>
      <c r="S405" s="400">
        <v>258850.08</v>
      </c>
      <c r="T405" s="400">
        <v>33920.44999999999</v>
      </c>
      <c r="U405" s="400">
        <v>0</v>
      </c>
      <c r="V405" s="400">
        <v>3644.36</v>
      </c>
      <c r="W405" s="372">
        <v>262494.44</v>
      </c>
      <c r="X405" s="373">
        <v>296414.88999999996</v>
      </c>
      <c r="Y405" s="372">
        <v>323703.08098750003</v>
      </c>
      <c r="Z405" s="373">
        <v>1068525.7809875</v>
      </c>
      <c r="AA405" s="400">
        <v>5413.1028284999775</v>
      </c>
      <c r="AB405" s="400">
        <v>225.36999999999534</v>
      </c>
      <c r="AC405" s="400">
        <v>0</v>
      </c>
      <c r="AD405" s="400">
        <v>0</v>
      </c>
      <c r="AE405" s="372">
        <v>5413.1028284999775</v>
      </c>
      <c r="AF405" s="372">
        <v>5638.4728284999728</v>
      </c>
      <c r="AG405" s="400">
        <v>5.3400000000000318</v>
      </c>
      <c r="AH405" s="374">
        <v>1.8766144445149624E-2</v>
      </c>
      <c r="AI405" s="375">
        <v>6.3929981961628217E-3</v>
      </c>
      <c r="AJ405" s="372">
        <v>258.16000000000003</v>
      </c>
      <c r="AK405" s="376">
        <v>2.0684846606755621E-2</v>
      </c>
      <c r="AL405" s="376">
        <v>-1.9187021616059972E-3</v>
      </c>
      <c r="AM405" s="412">
        <v>256.25121827411169</v>
      </c>
    </row>
    <row r="406" spans="2:39" s="377" customFormat="1" ht="28.15" customHeight="1" x14ac:dyDescent="0.25">
      <c r="B406" s="369">
        <v>43412</v>
      </c>
      <c r="C406" s="370">
        <v>285396.33703400003</v>
      </c>
      <c r="D406" s="370">
        <v>35279.379999999997</v>
      </c>
      <c r="E406" s="371">
        <v>0</v>
      </c>
      <c r="F406" s="371">
        <v>0</v>
      </c>
      <c r="G406" s="371">
        <v>3363.12</v>
      </c>
      <c r="H406" s="371"/>
      <c r="I406" s="371"/>
      <c r="J406" s="371"/>
      <c r="K406" s="371"/>
      <c r="L406" s="371"/>
      <c r="M406" s="371">
        <v>650000</v>
      </c>
      <c r="N406" s="371">
        <v>44000</v>
      </c>
      <c r="O406" s="371">
        <v>1600</v>
      </c>
      <c r="P406" s="371">
        <f t="shared" si="6"/>
        <v>91683</v>
      </c>
      <c r="Q406" s="381">
        <v>-42460.3</v>
      </c>
      <c r="R406" s="372">
        <v>288759.45703400002</v>
      </c>
      <c r="S406" s="400">
        <v>258850.08</v>
      </c>
      <c r="T406" s="400">
        <v>33920.44999999999</v>
      </c>
      <c r="U406" s="400">
        <v>0</v>
      </c>
      <c r="V406" s="400">
        <v>3644.36</v>
      </c>
      <c r="W406" s="372">
        <v>262494.44</v>
      </c>
      <c r="X406" s="373">
        <v>296414.88999999996</v>
      </c>
      <c r="Y406" s="372">
        <v>324038.83703400003</v>
      </c>
      <c r="Z406" s="373">
        <v>1068861.537034</v>
      </c>
      <c r="AA406" s="400">
        <v>259.72604650002904</v>
      </c>
      <c r="AB406" s="400">
        <v>26.75</v>
      </c>
      <c r="AC406" s="400">
        <v>0</v>
      </c>
      <c r="AD406" s="400">
        <v>49.279999999999745</v>
      </c>
      <c r="AE406" s="372">
        <v>309.00604650002879</v>
      </c>
      <c r="AF406" s="372">
        <v>335.75604650002879</v>
      </c>
      <c r="AG406" s="400">
        <v>-0.43999999999999773</v>
      </c>
      <c r="AH406" s="374">
        <v>1.0701157623511006E-3</v>
      </c>
      <c r="AI406" s="375">
        <v>7.5823327960978907E-4</v>
      </c>
      <c r="AJ406" s="372">
        <v>257.72000000000003</v>
      </c>
      <c r="AK406" s="376">
        <v>-1.7072792177556949E-3</v>
      </c>
      <c r="AL406" s="376">
        <v>2.7773949801067955E-3</v>
      </c>
      <c r="AM406" s="412">
        <v>256.33553299492382</v>
      </c>
    </row>
    <row r="407" spans="2:39" s="377" customFormat="1" ht="28.15" customHeight="1" x14ac:dyDescent="0.25">
      <c r="B407" s="369">
        <v>43413</v>
      </c>
      <c r="C407" s="370">
        <v>284096.44329950004</v>
      </c>
      <c r="D407" s="370">
        <v>35165.25</v>
      </c>
      <c r="E407" s="371">
        <v>0</v>
      </c>
      <c r="F407" s="371">
        <v>0</v>
      </c>
      <c r="G407" s="371">
        <v>3379.11</v>
      </c>
      <c r="H407" s="371"/>
      <c r="I407" s="371"/>
      <c r="J407" s="371"/>
      <c r="K407" s="371"/>
      <c r="L407" s="371"/>
      <c r="M407" s="371">
        <v>650000</v>
      </c>
      <c r="N407" s="371">
        <v>44000</v>
      </c>
      <c r="O407" s="371">
        <v>1600</v>
      </c>
      <c r="P407" s="371">
        <f t="shared" si="6"/>
        <v>91683</v>
      </c>
      <c r="Q407" s="381">
        <v>-42460.3</v>
      </c>
      <c r="R407" s="372">
        <v>287475.55329950002</v>
      </c>
      <c r="S407" s="400">
        <v>258850.08</v>
      </c>
      <c r="T407" s="400">
        <v>33920.44999999999</v>
      </c>
      <c r="U407" s="400">
        <v>0</v>
      </c>
      <c r="V407" s="400">
        <v>3644.36</v>
      </c>
      <c r="W407" s="372">
        <v>262494.44</v>
      </c>
      <c r="X407" s="373">
        <v>296414.88999999996</v>
      </c>
      <c r="Y407" s="372">
        <v>322640.80329950002</v>
      </c>
      <c r="Z407" s="373">
        <v>1067463.5032995001</v>
      </c>
      <c r="AA407" s="400">
        <v>-1299.8937344999867</v>
      </c>
      <c r="AB407" s="400">
        <v>-114.12999999999738</v>
      </c>
      <c r="AC407" s="400">
        <v>0</v>
      </c>
      <c r="AD407" s="400">
        <v>15.990000000000236</v>
      </c>
      <c r="AE407" s="372">
        <v>-1283.9037344999865</v>
      </c>
      <c r="AF407" s="372">
        <v>-1398.0337344999839</v>
      </c>
      <c r="AG407" s="400">
        <v>-2.3800000000000239</v>
      </c>
      <c r="AH407" s="374">
        <v>-4.4661318841340914E-3</v>
      </c>
      <c r="AI407" s="375">
        <v>-3.2455335878458814E-3</v>
      </c>
      <c r="AJ407" s="372">
        <v>255.34</v>
      </c>
      <c r="AK407" s="376">
        <v>-9.3209054593875774E-3</v>
      </c>
      <c r="AL407" s="376">
        <v>4.8547735752534861E-3</v>
      </c>
      <c r="AM407" s="412">
        <v>256.41446700507618</v>
      </c>
    </row>
    <row r="408" spans="2:39" s="377" customFormat="1" ht="28.15" customHeight="1" x14ac:dyDescent="0.25">
      <c r="B408" s="378">
        <v>43414</v>
      </c>
      <c r="C408" s="370">
        <v>284096.44329950004</v>
      </c>
      <c r="D408" s="370">
        <v>35165.25</v>
      </c>
      <c r="E408" s="371">
        <v>0</v>
      </c>
      <c r="F408" s="371">
        <v>0</v>
      </c>
      <c r="G408" s="371">
        <v>3379.11</v>
      </c>
      <c r="H408" s="371"/>
      <c r="I408" s="371"/>
      <c r="J408" s="371"/>
      <c r="K408" s="371"/>
      <c r="L408" s="371"/>
      <c r="M408" s="371">
        <v>650000</v>
      </c>
      <c r="N408" s="371">
        <v>44000</v>
      </c>
      <c r="O408" s="371">
        <v>1600</v>
      </c>
      <c r="P408" s="371">
        <f t="shared" si="6"/>
        <v>91683</v>
      </c>
      <c r="Q408" s="381">
        <v>-42460.3</v>
      </c>
      <c r="R408" s="372">
        <v>287475.55329950002</v>
      </c>
      <c r="S408" s="400">
        <v>258850.08</v>
      </c>
      <c r="T408" s="400">
        <v>33920.44999999999</v>
      </c>
      <c r="U408" s="400">
        <v>0</v>
      </c>
      <c r="V408" s="400">
        <v>3644.36</v>
      </c>
      <c r="W408" s="372">
        <v>262494.44</v>
      </c>
      <c r="X408" s="373">
        <v>296414.88999999996</v>
      </c>
      <c r="Y408" s="372">
        <v>322640.80329950002</v>
      </c>
      <c r="Z408" s="373">
        <v>1067463.5032995001</v>
      </c>
      <c r="AA408" s="400">
        <v>0</v>
      </c>
      <c r="AB408" s="400">
        <v>0</v>
      </c>
      <c r="AC408" s="400">
        <v>0</v>
      </c>
      <c r="AD408" s="400">
        <v>0</v>
      </c>
      <c r="AE408" s="372">
        <v>0</v>
      </c>
      <c r="AF408" s="372">
        <v>0</v>
      </c>
      <c r="AG408" s="400">
        <v>0</v>
      </c>
      <c r="AH408" s="374">
        <v>0</v>
      </c>
      <c r="AI408" s="375">
        <v>0</v>
      </c>
      <c r="AJ408" s="372">
        <v>255.34</v>
      </c>
      <c r="AK408" s="376">
        <v>0</v>
      </c>
      <c r="AL408" s="376">
        <v>0</v>
      </c>
      <c r="AM408" s="412">
        <v>256.46868020304572</v>
      </c>
    </row>
    <row r="409" spans="2:39" s="377" customFormat="1" ht="28.15" customHeight="1" x14ac:dyDescent="0.25">
      <c r="B409" s="378">
        <v>43415</v>
      </c>
      <c r="C409" s="370">
        <v>284096.44329950004</v>
      </c>
      <c r="D409" s="370">
        <v>35165.25</v>
      </c>
      <c r="E409" s="371">
        <v>0</v>
      </c>
      <c r="F409" s="371">
        <v>0</v>
      </c>
      <c r="G409" s="371">
        <v>3379.11</v>
      </c>
      <c r="H409" s="371"/>
      <c r="I409" s="371"/>
      <c r="J409" s="371"/>
      <c r="K409" s="371"/>
      <c r="L409" s="371"/>
      <c r="M409" s="371">
        <v>650000</v>
      </c>
      <c r="N409" s="371">
        <v>44000</v>
      </c>
      <c r="O409" s="371">
        <v>1600</v>
      </c>
      <c r="P409" s="371">
        <f t="shared" si="6"/>
        <v>91683</v>
      </c>
      <c r="Q409" s="381">
        <v>-42460.3</v>
      </c>
      <c r="R409" s="372">
        <v>287475.55329950002</v>
      </c>
      <c r="S409" s="400">
        <v>258850.08</v>
      </c>
      <c r="T409" s="400">
        <v>33920.44999999999</v>
      </c>
      <c r="U409" s="400">
        <v>0</v>
      </c>
      <c r="V409" s="400">
        <v>3644.36</v>
      </c>
      <c r="W409" s="372">
        <v>262494.44</v>
      </c>
      <c r="X409" s="373">
        <v>296414.88999999996</v>
      </c>
      <c r="Y409" s="372">
        <v>322640.80329950002</v>
      </c>
      <c r="Z409" s="373">
        <v>1067463.5032995001</v>
      </c>
      <c r="AA409" s="400">
        <v>0</v>
      </c>
      <c r="AB409" s="400">
        <v>0</v>
      </c>
      <c r="AC409" s="400">
        <v>0</v>
      </c>
      <c r="AD409" s="400">
        <v>0</v>
      </c>
      <c r="AE409" s="372">
        <v>0</v>
      </c>
      <c r="AF409" s="372">
        <v>0</v>
      </c>
      <c r="AG409" s="400">
        <v>0</v>
      </c>
      <c r="AH409" s="374">
        <v>0</v>
      </c>
      <c r="AI409" s="375">
        <v>0</v>
      </c>
      <c r="AJ409" s="372">
        <v>255.34</v>
      </c>
      <c r="AK409" s="376">
        <v>0</v>
      </c>
      <c r="AL409" s="376">
        <v>0</v>
      </c>
      <c r="AM409" s="412">
        <v>256.5215736040609</v>
      </c>
    </row>
    <row r="410" spans="2:39" s="377" customFormat="1" ht="28.15" customHeight="1" x14ac:dyDescent="0.25">
      <c r="B410" s="369">
        <v>43416</v>
      </c>
      <c r="C410" s="370">
        <v>279410.93084839999</v>
      </c>
      <c r="D410" s="370">
        <v>34993.660000000003</v>
      </c>
      <c r="E410" s="371">
        <v>0</v>
      </c>
      <c r="F410" s="371">
        <v>0</v>
      </c>
      <c r="G410" s="371">
        <v>3390.94</v>
      </c>
      <c r="H410" s="371"/>
      <c r="I410" s="371"/>
      <c r="J410" s="371"/>
      <c r="K410" s="371"/>
      <c r="L410" s="371"/>
      <c r="M410" s="371">
        <v>650000</v>
      </c>
      <c r="N410" s="371">
        <v>44000</v>
      </c>
      <c r="O410" s="371">
        <v>1600</v>
      </c>
      <c r="P410" s="371">
        <f t="shared" si="6"/>
        <v>91683</v>
      </c>
      <c r="Q410" s="381">
        <v>-42460.3</v>
      </c>
      <c r="R410" s="372">
        <v>282801.87084839999</v>
      </c>
      <c r="S410" s="400">
        <v>258850.08</v>
      </c>
      <c r="T410" s="400">
        <v>33920.44999999999</v>
      </c>
      <c r="U410" s="400">
        <v>0</v>
      </c>
      <c r="V410" s="400">
        <v>3644.36</v>
      </c>
      <c r="W410" s="372">
        <v>262494.44</v>
      </c>
      <c r="X410" s="373">
        <v>296414.88999999996</v>
      </c>
      <c r="Y410" s="372">
        <v>317795.53084840003</v>
      </c>
      <c r="Z410" s="373">
        <v>1062618.2308483999</v>
      </c>
      <c r="AA410" s="400">
        <v>-4685.5124511000467</v>
      </c>
      <c r="AB410" s="400">
        <v>-171.58999999999651</v>
      </c>
      <c r="AC410" s="400">
        <v>0</v>
      </c>
      <c r="AD410" s="400">
        <v>11.829999999999927</v>
      </c>
      <c r="AE410" s="372">
        <v>-4673.6824511000468</v>
      </c>
      <c r="AF410" s="372">
        <v>-4845.2724511000433</v>
      </c>
      <c r="AG410" s="400">
        <v>-4.9300000000000068</v>
      </c>
      <c r="AH410" s="374">
        <v>-1.6526349125906035E-2</v>
      </c>
      <c r="AI410" s="375">
        <v>-4.9034596552631673E-3</v>
      </c>
      <c r="AJ410" s="372">
        <v>250.41</v>
      </c>
      <c r="AK410" s="376">
        <v>-1.9687712152070633E-2</v>
      </c>
      <c r="AL410" s="376">
        <v>3.1613630261645986E-3</v>
      </c>
      <c r="AM410" s="412">
        <v>256.57446700507614</v>
      </c>
    </row>
    <row r="411" spans="2:39" s="377" customFormat="1" ht="28.15" customHeight="1" x14ac:dyDescent="0.25">
      <c r="B411" s="369">
        <v>43417</v>
      </c>
      <c r="C411" s="370">
        <v>278584.4702864</v>
      </c>
      <c r="D411" s="370">
        <v>35047.769999999997</v>
      </c>
      <c r="E411" s="371">
        <v>0</v>
      </c>
      <c r="F411" s="371">
        <v>0</v>
      </c>
      <c r="G411" s="371">
        <v>3369.41</v>
      </c>
      <c r="H411" s="371"/>
      <c r="I411" s="371"/>
      <c r="J411" s="371"/>
      <c r="K411" s="371"/>
      <c r="L411" s="371"/>
      <c r="M411" s="371">
        <v>650000</v>
      </c>
      <c r="N411" s="371">
        <v>44000</v>
      </c>
      <c r="O411" s="371">
        <v>1600</v>
      </c>
      <c r="P411" s="371">
        <f t="shared" si="6"/>
        <v>91683</v>
      </c>
      <c r="Q411" s="381">
        <v>-42460.3</v>
      </c>
      <c r="R411" s="372">
        <v>281953.88028639997</v>
      </c>
      <c r="S411" s="400">
        <v>258850.08</v>
      </c>
      <c r="T411" s="400">
        <v>33920.44999999999</v>
      </c>
      <c r="U411" s="400">
        <v>0</v>
      </c>
      <c r="V411" s="400">
        <v>3644.36</v>
      </c>
      <c r="W411" s="372">
        <v>262494.44</v>
      </c>
      <c r="X411" s="373">
        <v>296414.88999999996</v>
      </c>
      <c r="Y411" s="372">
        <v>317001.65028639999</v>
      </c>
      <c r="Z411" s="373">
        <v>1061824.3502863999</v>
      </c>
      <c r="AA411" s="400">
        <v>-826.46056199999293</v>
      </c>
      <c r="AB411" s="400">
        <v>54.109999999993306</v>
      </c>
      <c r="AC411" s="400">
        <v>0</v>
      </c>
      <c r="AD411" s="400">
        <v>-21.5300000000002</v>
      </c>
      <c r="AE411" s="372">
        <v>-847.99056199999313</v>
      </c>
      <c r="AF411" s="372">
        <v>-793.88056199999983</v>
      </c>
      <c r="AG411" s="400">
        <v>-0.41999999999998749</v>
      </c>
      <c r="AH411" s="374">
        <v>-3.0075506006111024E-3</v>
      </c>
      <c r="AI411" s="375">
        <v>1.5438928068745403E-3</v>
      </c>
      <c r="AJ411" s="372">
        <v>249.99</v>
      </c>
      <c r="AK411" s="376">
        <v>-1.6800672026880575E-3</v>
      </c>
      <c r="AL411" s="376">
        <v>-1.327483397923045E-3</v>
      </c>
      <c r="AM411" s="412">
        <v>256.60233502538074</v>
      </c>
    </row>
    <row r="412" spans="2:39" s="377" customFormat="1" ht="28.15" customHeight="1" x14ac:dyDescent="0.25">
      <c r="B412" s="369">
        <v>43418</v>
      </c>
      <c r="C412" s="370">
        <v>277022.99241160002</v>
      </c>
      <c r="D412" s="370">
        <v>34981.910000000003</v>
      </c>
      <c r="E412" s="371">
        <v>0</v>
      </c>
      <c r="F412" s="371">
        <v>0</v>
      </c>
      <c r="G412" s="371">
        <v>3378.8</v>
      </c>
      <c r="H412" s="371"/>
      <c r="I412" s="371"/>
      <c r="J412" s="371"/>
      <c r="K412" s="371"/>
      <c r="L412" s="371"/>
      <c r="M412" s="371">
        <v>650000</v>
      </c>
      <c r="N412" s="371">
        <v>44000</v>
      </c>
      <c r="O412" s="371">
        <v>1600</v>
      </c>
      <c r="P412" s="371">
        <f t="shared" si="6"/>
        <v>91683</v>
      </c>
      <c r="Q412" s="381">
        <v>-42460.3</v>
      </c>
      <c r="R412" s="372">
        <v>280401.79241160001</v>
      </c>
      <c r="S412" s="400">
        <v>258850.08</v>
      </c>
      <c r="T412" s="400">
        <v>33920.44999999999</v>
      </c>
      <c r="U412" s="400">
        <v>0</v>
      </c>
      <c r="V412" s="400">
        <v>3644.36</v>
      </c>
      <c r="W412" s="372">
        <v>262494.44</v>
      </c>
      <c r="X412" s="373">
        <v>296414.88999999996</v>
      </c>
      <c r="Y412" s="372">
        <v>315383.70241159998</v>
      </c>
      <c r="Z412" s="373">
        <v>1060206.4024115999</v>
      </c>
      <c r="AA412" s="400">
        <v>-1561.4778747999808</v>
      </c>
      <c r="AB412" s="400">
        <v>-65.859999999993306</v>
      </c>
      <c r="AC412" s="400">
        <v>0</v>
      </c>
      <c r="AD412" s="400">
        <v>9.3900000000003274</v>
      </c>
      <c r="AE412" s="372">
        <v>-1552.0878747999805</v>
      </c>
      <c r="AF412" s="372">
        <v>-1617.9478747999738</v>
      </c>
      <c r="AG412" s="400">
        <v>-1.710000000000008</v>
      </c>
      <c r="AH412" s="374">
        <v>-5.5352280791475129E-3</v>
      </c>
      <c r="AI412" s="375">
        <v>-1.8826873661270439E-3</v>
      </c>
      <c r="AJ412" s="372">
        <v>248.28</v>
      </c>
      <c r="AK412" s="376">
        <v>-6.8873852102465279E-3</v>
      </c>
      <c r="AL412" s="376">
        <v>1.352157131099015E-3</v>
      </c>
      <c r="AM412" s="412">
        <v>256.63822335025384</v>
      </c>
    </row>
    <row r="413" spans="2:39" s="377" customFormat="1" ht="28.15" customHeight="1" x14ac:dyDescent="0.25">
      <c r="B413" s="369">
        <v>43419</v>
      </c>
      <c r="C413" s="370">
        <v>278078.24639419996</v>
      </c>
      <c r="D413" s="370">
        <v>34921.160000000003</v>
      </c>
      <c r="E413" s="371">
        <v>0</v>
      </c>
      <c r="F413" s="371">
        <v>0</v>
      </c>
      <c r="G413" s="371">
        <v>3365.49</v>
      </c>
      <c r="H413" s="371"/>
      <c r="I413" s="371"/>
      <c r="J413" s="371"/>
      <c r="K413" s="371"/>
      <c r="L413" s="371"/>
      <c r="M413" s="371">
        <v>650000</v>
      </c>
      <c r="N413" s="371">
        <v>44000</v>
      </c>
      <c r="O413" s="371">
        <v>1600</v>
      </c>
      <c r="P413" s="371">
        <f t="shared" si="6"/>
        <v>91683</v>
      </c>
      <c r="Q413" s="381">
        <v>-42460.3</v>
      </c>
      <c r="R413" s="372">
        <v>281443.73639419995</v>
      </c>
      <c r="S413" s="400">
        <v>258850.08</v>
      </c>
      <c r="T413" s="400">
        <v>33920.44999999999</v>
      </c>
      <c r="U413" s="400">
        <v>0</v>
      </c>
      <c r="V413" s="400">
        <v>3644.36</v>
      </c>
      <c r="W413" s="372">
        <v>262494.44</v>
      </c>
      <c r="X413" s="373">
        <v>296414.88999999996</v>
      </c>
      <c r="Y413" s="372">
        <v>316364.89639419992</v>
      </c>
      <c r="Z413" s="373">
        <v>1061187.5963941999</v>
      </c>
      <c r="AA413" s="400">
        <v>1055.2539825999411</v>
      </c>
      <c r="AB413" s="400">
        <v>-60.75</v>
      </c>
      <c r="AC413" s="400">
        <v>0</v>
      </c>
      <c r="AD413" s="400">
        <v>-13.3100000000004</v>
      </c>
      <c r="AE413" s="372">
        <v>1041.9439825999407</v>
      </c>
      <c r="AF413" s="372">
        <v>981.19398259994068</v>
      </c>
      <c r="AG413" s="400">
        <v>2.5699999999999932</v>
      </c>
      <c r="AH413" s="374">
        <v>3.7021395322174E-3</v>
      </c>
      <c r="AI413" s="375">
        <v>-1.739632933155714E-3</v>
      </c>
      <c r="AJ413" s="372">
        <v>250.85</v>
      </c>
      <c r="AK413" s="376">
        <v>1.0245166434123952E-2</v>
      </c>
      <c r="AL413" s="376">
        <v>-6.5430269019065516E-3</v>
      </c>
      <c r="AM413" s="412">
        <v>256.66279187817258</v>
      </c>
    </row>
    <row r="414" spans="2:39" s="377" customFormat="1" ht="28.15" customHeight="1" x14ac:dyDescent="0.25">
      <c r="B414" s="369">
        <v>43420</v>
      </c>
      <c r="C414" s="370">
        <v>278646.87644800002</v>
      </c>
      <c r="D414" s="370">
        <v>35231.82</v>
      </c>
      <c r="E414" s="371">
        <v>0</v>
      </c>
      <c r="F414" s="371">
        <v>0</v>
      </c>
      <c r="G414" s="371">
        <v>4198.68</v>
      </c>
      <c r="H414" s="371"/>
      <c r="I414" s="371">
        <v>210.00000000000728</v>
      </c>
      <c r="J414" s="371"/>
      <c r="K414" s="371"/>
      <c r="L414" s="371"/>
      <c r="M414" s="371">
        <v>650000</v>
      </c>
      <c r="N414" s="371">
        <v>44000</v>
      </c>
      <c r="O414" s="371">
        <v>1600</v>
      </c>
      <c r="P414" s="371">
        <f t="shared" si="6"/>
        <v>91683</v>
      </c>
      <c r="Q414" s="381">
        <v>-42460.3</v>
      </c>
      <c r="R414" s="372">
        <v>282845.55644800002</v>
      </c>
      <c r="S414" s="400">
        <v>258850.08</v>
      </c>
      <c r="T414" s="400">
        <v>34130.449999999997</v>
      </c>
      <c r="U414" s="400">
        <v>0</v>
      </c>
      <c r="V414" s="400">
        <v>3644.36</v>
      </c>
      <c r="W414" s="372">
        <v>262494.44</v>
      </c>
      <c r="X414" s="373">
        <v>296624.88999999996</v>
      </c>
      <c r="Y414" s="372">
        <v>318077.37644800002</v>
      </c>
      <c r="Z414" s="373">
        <v>1062900.076448</v>
      </c>
      <c r="AA414" s="400">
        <v>568.63005380006507</v>
      </c>
      <c r="AB414" s="400">
        <v>100.65999999998894</v>
      </c>
      <c r="AC414" s="400">
        <v>0</v>
      </c>
      <c r="AD414" s="400">
        <v>833.19000000000051</v>
      </c>
      <c r="AE414" s="372">
        <v>1401.8200538000656</v>
      </c>
      <c r="AF414" s="372">
        <v>1502.4800538000545</v>
      </c>
      <c r="AG414" s="400">
        <v>0.64000000000001478</v>
      </c>
      <c r="AH414" s="374">
        <v>4.9561324964911878E-3</v>
      </c>
      <c r="AI414" s="375">
        <v>2.8570763588139625E-3</v>
      </c>
      <c r="AJ414" s="372">
        <v>251.49</v>
      </c>
      <c r="AK414" s="376">
        <v>2.5448327965327238E-3</v>
      </c>
      <c r="AL414" s="376">
        <v>2.411299699958464E-3</v>
      </c>
      <c r="AM414" s="412">
        <v>256.70883248730962</v>
      </c>
    </row>
    <row r="415" spans="2:39" s="377" customFormat="1" ht="28.15" customHeight="1" x14ac:dyDescent="0.25">
      <c r="B415" s="378">
        <v>43421</v>
      </c>
      <c r="C415" s="370">
        <v>278078.24639419996</v>
      </c>
      <c r="D415" s="370">
        <v>34921.160000000003</v>
      </c>
      <c r="E415" s="371">
        <v>0</v>
      </c>
      <c r="F415" s="371">
        <v>0</v>
      </c>
      <c r="G415" s="371">
        <v>3365.49</v>
      </c>
      <c r="H415" s="371"/>
      <c r="I415" s="371"/>
      <c r="J415" s="371"/>
      <c r="K415" s="371"/>
      <c r="L415" s="371"/>
      <c r="M415" s="371">
        <v>650000</v>
      </c>
      <c r="N415" s="371">
        <v>44000</v>
      </c>
      <c r="O415" s="371">
        <v>1600</v>
      </c>
      <c r="P415" s="371">
        <f t="shared" si="6"/>
        <v>91683</v>
      </c>
      <c r="Q415" s="381">
        <v>-42460.3</v>
      </c>
      <c r="R415" s="372">
        <v>281443.73639419995</v>
      </c>
      <c r="S415" s="400">
        <v>258850.08</v>
      </c>
      <c r="T415" s="400">
        <v>34130.449999999997</v>
      </c>
      <c r="U415" s="400">
        <v>0</v>
      </c>
      <c r="V415" s="400">
        <v>3644.36</v>
      </c>
      <c r="W415" s="372">
        <v>262494.44</v>
      </c>
      <c r="X415" s="373">
        <v>296624.88999999996</v>
      </c>
      <c r="Y415" s="372">
        <v>316364.89639419992</v>
      </c>
      <c r="Z415" s="373">
        <v>1061187.5963941999</v>
      </c>
      <c r="AA415" s="400">
        <v>-568.63005380006507</v>
      </c>
      <c r="AB415" s="400">
        <v>-310.65999999999622</v>
      </c>
      <c r="AC415" s="400">
        <v>0</v>
      </c>
      <c r="AD415" s="400">
        <v>-833.19000000000051</v>
      </c>
      <c r="AE415" s="372">
        <v>-1401.8200538000656</v>
      </c>
      <c r="AF415" s="372">
        <v>-1712.4800538000618</v>
      </c>
      <c r="AG415" s="400">
        <v>0</v>
      </c>
      <c r="AH415" s="374">
        <v>-4.9808180908905621E-3</v>
      </c>
      <c r="AI415" s="375">
        <v>-8.8960389631958445E-3</v>
      </c>
      <c r="AJ415" s="372">
        <v>251.49</v>
      </c>
      <c r="AK415" s="376">
        <v>0</v>
      </c>
      <c r="AL415" s="376">
        <v>-4.9808180908905621E-3</v>
      </c>
      <c r="AM415" s="412">
        <v>256.7610152284264</v>
      </c>
    </row>
    <row r="416" spans="2:39" s="377" customFormat="1" ht="28.15" customHeight="1" x14ac:dyDescent="0.25">
      <c r="B416" s="378">
        <v>43422</v>
      </c>
      <c r="C416" s="370">
        <v>278646.87644800002</v>
      </c>
      <c r="D416" s="370">
        <v>35231.82</v>
      </c>
      <c r="E416" s="371">
        <v>0</v>
      </c>
      <c r="F416" s="371">
        <v>0</v>
      </c>
      <c r="G416" s="371">
        <v>4198.68</v>
      </c>
      <c r="H416" s="371"/>
      <c r="I416" s="371">
        <v>210.00000000000728</v>
      </c>
      <c r="J416" s="371"/>
      <c r="K416" s="371"/>
      <c r="L416" s="371"/>
      <c r="M416" s="371">
        <v>650000</v>
      </c>
      <c r="N416" s="371">
        <v>44000</v>
      </c>
      <c r="O416" s="371">
        <v>1600</v>
      </c>
      <c r="P416" s="371">
        <f t="shared" si="6"/>
        <v>91683</v>
      </c>
      <c r="Q416" s="381">
        <v>-42460.3</v>
      </c>
      <c r="R416" s="372">
        <v>282845.55644800002</v>
      </c>
      <c r="S416" s="400">
        <v>258850.08</v>
      </c>
      <c r="T416" s="400">
        <v>34340.450000000004</v>
      </c>
      <c r="U416" s="400">
        <v>0</v>
      </c>
      <c r="V416" s="400">
        <v>3644.36</v>
      </c>
      <c r="W416" s="372">
        <v>262494.44</v>
      </c>
      <c r="X416" s="373">
        <v>296834.88999999996</v>
      </c>
      <c r="Y416" s="372">
        <v>318077.37644800002</v>
      </c>
      <c r="Z416" s="373">
        <v>1062900.076448</v>
      </c>
      <c r="AA416" s="400">
        <v>568.63005380006507</v>
      </c>
      <c r="AB416" s="400">
        <v>100.65999999998894</v>
      </c>
      <c r="AC416" s="400">
        <v>0</v>
      </c>
      <c r="AD416" s="400">
        <v>833.19000000000051</v>
      </c>
      <c r="AE416" s="372">
        <v>1401.8200538000656</v>
      </c>
      <c r="AF416" s="372">
        <v>1502.4800538000545</v>
      </c>
      <c r="AG416" s="400">
        <v>0</v>
      </c>
      <c r="AH416" s="374">
        <v>4.9561324964911878E-3</v>
      </c>
      <c r="AI416" s="375">
        <v>2.8570763588139625E-3</v>
      </c>
      <c r="AJ416" s="372">
        <v>251.49</v>
      </c>
      <c r="AK416" s="376">
        <v>0</v>
      </c>
      <c r="AL416" s="376">
        <v>4.9561324964911878E-3</v>
      </c>
      <c r="AM416" s="412">
        <v>256.79695431472078</v>
      </c>
    </row>
    <row r="417" spans="2:39" s="377" customFormat="1" ht="28.15" customHeight="1" x14ac:dyDescent="0.25">
      <c r="B417" s="369">
        <v>43423</v>
      </c>
      <c r="C417" s="370">
        <v>274499.00866960007</v>
      </c>
      <c r="D417" s="370">
        <v>35318.559999999998</v>
      </c>
      <c r="E417" s="371">
        <v>0</v>
      </c>
      <c r="F417" s="371">
        <v>0</v>
      </c>
      <c r="G417" s="371">
        <v>4196.83</v>
      </c>
      <c r="H417" s="371">
        <v>75</v>
      </c>
      <c r="I417" s="371"/>
      <c r="J417" s="371"/>
      <c r="K417" s="371"/>
      <c r="L417" s="371"/>
      <c r="M417" s="371">
        <v>650000</v>
      </c>
      <c r="N417" s="371">
        <v>44000</v>
      </c>
      <c r="O417" s="371">
        <v>1600</v>
      </c>
      <c r="P417" s="371">
        <f t="shared" si="6"/>
        <v>91683</v>
      </c>
      <c r="Q417" s="381">
        <v>-42460.3</v>
      </c>
      <c r="R417" s="372">
        <v>278695.83866960008</v>
      </c>
      <c r="S417" s="400">
        <v>258925.08</v>
      </c>
      <c r="T417" s="400">
        <v>34340.450000000004</v>
      </c>
      <c r="U417" s="400">
        <v>0</v>
      </c>
      <c r="V417" s="400">
        <v>3644.36</v>
      </c>
      <c r="W417" s="372">
        <v>262569.44</v>
      </c>
      <c r="X417" s="373">
        <v>296909.88999999996</v>
      </c>
      <c r="Y417" s="372">
        <v>314014.39866960008</v>
      </c>
      <c r="Z417" s="373">
        <v>1058837.0986696</v>
      </c>
      <c r="AA417" s="400">
        <v>-4222.8677783999592</v>
      </c>
      <c r="AB417" s="400">
        <v>86.739999999997963</v>
      </c>
      <c r="AC417" s="400">
        <v>0</v>
      </c>
      <c r="AD417" s="400">
        <v>-1.8500000000003638</v>
      </c>
      <c r="AE417" s="372">
        <v>-4224.7177783999596</v>
      </c>
      <c r="AF417" s="372">
        <v>-4137.9777783999616</v>
      </c>
      <c r="AG417" s="400">
        <v>-4.1700000000000159</v>
      </c>
      <c r="AH417" s="374">
        <v>-1.5158883600728798E-2</v>
      </c>
      <c r="AI417" s="375">
        <v>2.4559325182000051E-3</v>
      </c>
      <c r="AJ417" s="372">
        <v>247.32</v>
      </c>
      <c r="AK417" s="376">
        <v>-1.6860747210092251E-2</v>
      </c>
      <c r="AL417" s="376">
        <v>1.7018636093634534E-3</v>
      </c>
      <c r="AM417" s="412">
        <v>256.83289340101521</v>
      </c>
    </row>
    <row r="418" spans="2:39" s="377" customFormat="1" ht="28.15" customHeight="1" x14ac:dyDescent="0.25">
      <c r="B418" s="369">
        <v>43424</v>
      </c>
      <c r="C418" s="370">
        <v>269546.8851136</v>
      </c>
      <c r="D418" s="370">
        <v>35049.54</v>
      </c>
      <c r="E418" s="371">
        <v>0</v>
      </c>
      <c r="F418" s="371">
        <v>0</v>
      </c>
      <c r="G418" s="371">
        <v>4196.83</v>
      </c>
      <c r="H418" s="371"/>
      <c r="I418" s="371"/>
      <c r="J418" s="371"/>
      <c r="K418" s="371"/>
      <c r="L418" s="371"/>
      <c r="M418" s="371">
        <v>650000</v>
      </c>
      <c r="N418" s="371">
        <v>44000</v>
      </c>
      <c r="O418" s="371">
        <v>1600</v>
      </c>
      <c r="P418" s="371">
        <f t="shared" si="6"/>
        <v>91683</v>
      </c>
      <c r="Q418" s="381">
        <v>-42460.3</v>
      </c>
      <c r="R418" s="372">
        <v>273743.71511360002</v>
      </c>
      <c r="S418" s="400">
        <v>258925.08</v>
      </c>
      <c r="T418" s="400">
        <v>34340.450000000004</v>
      </c>
      <c r="U418" s="400">
        <v>0</v>
      </c>
      <c r="V418" s="400">
        <v>3644.36</v>
      </c>
      <c r="W418" s="372">
        <v>262569.44</v>
      </c>
      <c r="X418" s="373">
        <v>296909.88999999996</v>
      </c>
      <c r="Y418" s="372">
        <v>308793.2551136</v>
      </c>
      <c r="Z418" s="373">
        <v>1053615.9551136</v>
      </c>
      <c r="AA418" s="400">
        <v>-4952.1235560000641</v>
      </c>
      <c r="AB418" s="400">
        <v>-269.0199999999968</v>
      </c>
      <c r="AC418" s="400">
        <v>0</v>
      </c>
      <c r="AD418" s="400">
        <v>0</v>
      </c>
      <c r="AE418" s="372">
        <v>-4952.1235560000641</v>
      </c>
      <c r="AF418" s="372">
        <v>-5221.1435560000609</v>
      </c>
      <c r="AG418" s="400">
        <v>-4.5499999999999829</v>
      </c>
      <c r="AH418" s="374">
        <v>-1.8090364390448192E-2</v>
      </c>
      <c r="AI418" s="375">
        <v>-7.6754217031092791E-3</v>
      </c>
      <c r="AJ418" s="372">
        <v>242.77</v>
      </c>
      <c r="AK418" s="376">
        <v>-1.8742019195122885E-2</v>
      </c>
      <c r="AL418" s="376">
        <v>6.5165480467469297E-4</v>
      </c>
      <c r="AM418" s="412">
        <v>256.84766497461931</v>
      </c>
    </row>
    <row r="419" spans="2:39" s="377" customFormat="1" ht="28.15" customHeight="1" x14ac:dyDescent="0.25">
      <c r="B419" s="369">
        <v>43425</v>
      </c>
      <c r="C419" s="370">
        <v>271746.08348440001</v>
      </c>
      <c r="D419" s="370">
        <v>35260.6</v>
      </c>
      <c r="E419" s="371">
        <v>0</v>
      </c>
      <c r="F419" s="371">
        <v>0</v>
      </c>
      <c r="G419" s="371">
        <v>4127.6499999999996</v>
      </c>
      <c r="H419" s="371"/>
      <c r="I419" s="371"/>
      <c r="J419" s="371"/>
      <c r="K419" s="371"/>
      <c r="L419" s="371"/>
      <c r="M419" s="371">
        <v>650000</v>
      </c>
      <c r="N419" s="371">
        <v>44000</v>
      </c>
      <c r="O419" s="371">
        <v>1600</v>
      </c>
      <c r="P419" s="371">
        <f t="shared" si="6"/>
        <v>91683</v>
      </c>
      <c r="Q419" s="381">
        <v>-42460.3</v>
      </c>
      <c r="R419" s="372">
        <v>275873.73348440003</v>
      </c>
      <c r="S419" s="400">
        <v>258925.08</v>
      </c>
      <c r="T419" s="400">
        <v>34340.450000000004</v>
      </c>
      <c r="U419" s="400">
        <v>0</v>
      </c>
      <c r="V419" s="400">
        <v>3644.36</v>
      </c>
      <c r="W419" s="372">
        <v>262569.44</v>
      </c>
      <c r="X419" s="373">
        <v>296909.88999999996</v>
      </c>
      <c r="Y419" s="372">
        <v>311134.33348440001</v>
      </c>
      <c r="Z419" s="373">
        <v>1055957.0334844</v>
      </c>
      <c r="AA419" s="400">
        <v>2199.1983708000043</v>
      </c>
      <c r="AB419" s="400">
        <v>211.05999999999767</v>
      </c>
      <c r="AC419" s="400">
        <v>0</v>
      </c>
      <c r="AD419" s="400">
        <v>-69.180000000000291</v>
      </c>
      <c r="AE419" s="372">
        <v>2130.018370800004</v>
      </c>
      <c r="AF419" s="372">
        <v>2341.0783708000017</v>
      </c>
      <c r="AG419" s="400">
        <v>0.81000000000000227</v>
      </c>
      <c r="AH419" s="374">
        <v>7.720990120722933E-3</v>
      </c>
      <c r="AI419" s="375">
        <v>5.9857177699754877E-3</v>
      </c>
      <c r="AJ419" s="372">
        <v>243.58</v>
      </c>
      <c r="AK419" s="376">
        <v>3.3253961737416955E-3</v>
      </c>
      <c r="AL419" s="376">
        <v>4.3955939469812379E-3</v>
      </c>
      <c r="AM419" s="412">
        <v>256.83548223350255</v>
      </c>
    </row>
    <row r="420" spans="2:39" s="377" customFormat="1" ht="28.15" customHeight="1" x14ac:dyDescent="0.25">
      <c r="B420" s="369">
        <v>43426</v>
      </c>
      <c r="C420" s="370">
        <v>270989.3666605</v>
      </c>
      <c r="D420" s="370">
        <v>35334.480000000003</v>
      </c>
      <c r="E420" s="371">
        <v>0</v>
      </c>
      <c r="F420" s="371">
        <v>0</v>
      </c>
      <c r="G420" s="371">
        <v>4154.18</v>
      </c>
      <c r="H420" s="371"/>
      <c r="I420" s="371"/>
      <c r="J420" s="371"/>
      <c r="K420" s="371"/>
      <c r="L420" s="371"/>
      <c r="M420" s="371">
        <v>650000</v>
      </c>
      <c r="N420" s="371">
        <v>44000</v>
      </c>
      <c r="O420" s="371">
        <v>1600</v>
      </c>
      <c r="P420" s="371">
        <f t="shared" si="6"/>
        <v>91683</v>
      </c>
      <c r="Q420" s="381">
        <v>-42460.3</v>
      </c>
      <c r="R420" s="372">
        <v>275143.5466605</v>
      </c>
      <c r="S420" s="400">
        <v>258925.08</v>
      </c>
      <c r="T420" s="400">
        <v>34340.450000000004</v>
      </c>
      <c r="U420" s="400">
        <v>0</v>
      </c>
      <c r="V420" s="400">
        <v>3644.36</v>
      </c>
      <c r="W420" s="372">
        <v>262569.44</v>
      </c>
      <c r="X420" s="373">
        <v>296909.88999999996</v>
      </c>
      <c r="Y420" s="372">
        <v>310478.02666049998</v>
      </c>
      <c r="Z420" s="373">
        <v>1055300.7266605</v>
      </c>
      <c r="AA420" s="400">
        <v>-756.71682390000205</v>
      </c>
      <c r="AB420" s="400">
        <v>73.880000000004657</v>
      </c>
      <c r="AC420" s="400">
        <v>0</v>
      </c>
      <c r="AD420" s="400">
        <v>26.530000000000655</v>
      </c>
      <c r="AE420" s="372">
        <v>-730.1868239000014</v>
      </c>
      <c r="AF420" s="372">
        <v>-656.30682389999674</v>
      </c>
      <c r="AG420" s="400">
        <v>0</v>
      </c>
      <c r="AH420" s="374">
        <v>-2.6538395421680737E-3</v>
      </c>
      <c r="AI420" s="375">
        <v>2.0908755413976562E-3</v>
      </c>
      <c r="AJ420" s="372">
        <v>243.58</v>
      </c>
      <c r="AK420" s="376">
        <v>0</v>
      </c>
      <c r="AL420" s="376">
        <v>-2.6538395421680737E-3</v>
      </c>
      <c r="AM420" s="412">
        <v>256.82746192893399</v>
      </c>
    </row>
    <row r="421" spans="2:39" s="377" customFormat="1" ht="28.15" customHeight="1" x14ac:dyDescent="0.25">
      <c r="B421" s="369">
        <v>43427</v>
      </c>
      <c r="C421" s="370">
        <v>269880.81901120004</v>
      </c>
      <c r="D421" s="370">
        <v>35323.71</v>
      </c>
      <c r="E421" s="371">
        <v>0</v>
      </c>
      <c r="F421" s="371">
        <v>0</v>
      </c>
      <c r="G421" s="371">
        <v>4120.8599999999997</v>
      </c>
      <c r="H421" s="371"/>
      <c r="I421" s="371"/>
      <c r="J421" s="371"/>
      <c r="K421" s="371"/>
      <c r="L421" s="371"/>
      <c r="M421" s="371">
        <v>650000</v>
      </c>
      <c r="N421" s="371">
        <v>44000</v>
      </c>
      <c r="O421" s="371">
        <v>1600</v>
      </c>
      <c r="P421" s="371">
        <f t="shared" si="6"/>
        <v>91683</v>
      </c>
      <c r="Q421" s="381">
        <v>-42460.3</v>
      </c>
      <c r="R421" s="372">
        <v>274001.67901120003</v>
      </c>
      <c r="S421" s="400">
        <v>258925.08</v>
      </c>
      <c r="T421" s="400">
        <v>34340.450000000004</v>
      </c>
      <c r="U421" s="400">
        <v>0</v>
      </c>
      <c r="V421" s="400">
        <v>3644.36</v>
      </c>
      <c r="W421" s="372">
        <v>262569.44</v>
      </c>
      <c r="X421" s="373">
        <v>296909.88999999996</v>
      </c>
      <c r="Y421" s="372">
        <v>309325.38901120005</v>
      </c>
      <c r="Z421" s="373">
        <v>1054148.0890112</v>
      </c>
      <c r="AA421" s="400">
        <v>-1108.5476492999587</v>
      </c>
      <c r="AB421" s="400">
        <v>-10.770000000004075</v>
      </c>
      <c r="AC421" s="400">
        <v>0</v>
      </c>
      <c r="AD421" s="400">
        <v>-33.320000000000618</v>
      </c>
      <c r="AE421" s="372">
        <v>-1141.8676492999593</v>
      </c>
      <c r="AF421" s="372">
        <v>-1152.6376492999634</v>
      </c>
      <c r="AG421" s="400">
        <v>-1.5700000000000216</v>
      </c>
      <c r="AH421" s="374">
        <v>-4.1673746431797765E-3</v>
      </c>
      <c r="AI421" s="375">
        <v>-3.0489436132286431E-4</v>
      </c>
      <c r="AJ421" s="372">
        <v>242.01</v>
      </c>
      <c r="AK421" s="376">
        <v>-6.4873352340813258E-3</v>
      </c>
      <c r="AL421" s="376">
        <v>2.3199605909015493E-3</v>
      </c>
      <c r="AM421" s="412">
        <v>256.80736040609133</v>
      </c>
    </row>
    <row r="422" spans="2:39" s="377" customFormat="1" ht="28.15" customHeight="1" x14ac:dyDescent="0.25">
      <c r="B422" s="378">
        <v>43428</v>
      </c>
      <c r="C422" s="370">
        <v>269880.81901120004</v>
      </c>
      <c r="D422" s="370">
        <v>35323.71</v>
      </c>
      <c r="E422" s="371">
        <v>0</v>
      </c>
      <c r="F422" s="371">
        <v>0</v>
      </c>
      <c r="G422" s="371">
        <v>4120.8599999999997</v>
      </c>
      <c r="H422" s="371"/>
      <c r="I422" s="371"/>
      <c r="J422" s="371"/>
      <c r="K422" s="371"/>
      <c r="L422" s="371"/>
      <c r="M422" s="371">
        <v>650000</v>
      </c>
      <c r="N422" s="371">
        <v>44000</v>
      </c>
      <c r="O422" s="371">
        <v>1600</v>
      </c>
      <c r="P422" s="371">
        <f t="shared" si="6"/>
        <v>91683</v>
      </c>
      <c r="Q422" s="381">
        <v>-42460.3</v>
      </c>
      <c r="R422" s="372">
        <v>274001.67901120003</v>
      </c>
      <c r="S422" s="400">
        <v>258925.08</v>
      </c>
      <c r="T422" s="400">
        <v>34340.450000000004</v>
      </c>
      <c r="U422" s="400">
        <v>0</v>
      </c>
      <c r="V422" s="400">
        <v>3644.36</v>
      </c>
      <c r="W422" s="372">
        <v>262569.44</v>
      </c>
      <c r="X422" s="373">
        <v>296909.88999999996</v>
      </c>
      <c r="Y422" s="372">
        <v>309325.38901120005</v>
      </c>
      <c r="Z422" s="373">
        <v>1054148.0890112</v>
      </c>
      <c r="AA422" s="400">
        <v>0</v>
      </c>
      <c r="AB422" s="400">
        <v>0</v>
      </c>
      <c r="AC422" s="400">
        <v>0</v>
      </c>
      <c r="AD422" s="400">
        <v>0</v>
      </c>
      <c r="AE422" s="372">
        <v>0</v>
      </c>
      <c r="AF422" s="372">
        <v>0</v>
      </c>
      <c r="AG422" s="400">
        <v>0</v>
      </c>
      <c r="AH422" s="374">
        <v>0</v>
      </c>
      <c r="AI422" s="375">
        <v>0</v>
      </c>
      <c r="AJ422" s="372">
        <v>242.01</v>
      </c>
      <c r="AK422" s="376">
        <v>0</v>
      </c>
      <c r="AL422" s="376">
        <v>0</v>
      </c>
      <c r="AM422" s="412">
        <v>256.76751269035532</v>
      </c>
    </row>
    <row r="423" spans="2:39" s="377" customFormat="1" ht="28.15" customHeight="1" x14ac:dyDescent="0.25">
      <c r="B423" s="378">
        <v>43429</v>
      </c>
      <c r="C423" s="370">
        <v>269880.81901120004</v>
      </c>
      <c r="D423" s="370">
        <v>35323.71</v>
      </c>
      <c r="E423" s="371">
        <v>0</v>
      </c>
      <c r="F423" s="371">
        <v>0</v>
      </c>
      <c r="G423" s="371">
        <v>4120.8599999999997</v>
      </c>
      <c r="H423" s="371"/>
      <c r="I423" s="371"/>
      <c r="J423" s="371"/>
      <c r="K423" s="371"/>
      <c r="L423" s="371"/>
      <c r="M423" s="371">
        <v>650000</v>
      </c>
      <c r="N423" s="371">
        <v>44000</v>
      </c>
      <c r="O423" s="371">
        <v>1600</v>
      </c>
      <c r="P423" s="371">
        <f t="shared" si="6"/>
        <v>91683</v>
      </c>
      <c r="Q423" s="381">
        <v>-42460.3</v>
      </c>
      <c r="R423" s="372">
        <v>274001.67901120003</v>
      </c>
      <c r="S423" s="400">
        <v>258925.08</v>
      </c>
      <c r="T423" s="400">
        <v>34340.450000000004</v>
      </c>
      <c r="U423" s="400">
        <v>0</v>
      </c>
      <c r="V423" s="400">
        <v>3644.36</v>
      </c>
      <c r="W423" s="372">
        <v>262569.44</v>
      </c>
      <c r="X423" s="373">
        <v>296909.88999999996</v>
      </c>
      <c r="Y423" s="372">
        <v>309325.38901120005</v>
      </c>
      <c r="Z423" s="373">
        <v>1054148.0890112</v>
      </c>
      <c r="AA423" s="400">
        <v>0</v>
      </c>
      <c r="AB423" s="400">
        <v>0</v>
      </c>
      <c r="AC423" s="400">
        <v>0</v>
      </c>
      <c r="AD423" s="400">
        <v>0</v>
      </c>
      <c r="AE423" s="372">
        <v>0</v>
      </c>
      <c r="AF423" s="372">
        <v>0</v>
      </c>
      <c r="AG423" s="400">
        <v>0</v>
      </c>
      <c r="AH423" s="374">
        <v>0</v>
      </c>
      <c r="AI423" s="375">
        <v>0</v>
      </c>
      <c r="AJ423" s="372">
        <v>242.01</v>
      </c>
      <c r="AK423" s="376">
        <v>0</v>
      </c>
      <c r="AL423" s="376">
        <v>0</v>
      </c>
      <c r="AM423" s="412">
        <v>256.72456852791879</v>
      </c>
    </row>
    <row r="424" spans="2:39" s="377" customFormat="1" ht="28.15" customHeight="1" x14ac:dyDescent="0.25">
      <c r="B424" s="369">
        <v>43430</v>
      </c>
      <c r="C424" s="370">
        <v>274610.10818130005</v>
      </c>
      <c r="D424" s="370">
        <v>35185.840000000004</v>
      </c>
      <c r="E424" s="371">
        <v>0</v>
      </c>
      <c r="F424" s="371">
        <v>0</v>
      </c>
      <c r="G424" s="371">
        <v>4120.8599999999997</v>
      </c>
      <c r="H424" s="371"/>
      <c r="I424" s="371"/>
      <c r="J424" s="371"/>
      <c r="K424" s="371"/>
      <c r="L424" s="371"/>
      <c r="M424" s="371">
        <v>650000</v>
      </c>
      <c r="N424" s="371">
        <v>44000</v>
      </c>
      <c r="O424" s="371">
        <v>1600</v>
      </c>
      <c r="P424" s="371">
        <f t="shared" si="6"/>
        <v>91683</v>
      </c>
      <c r="Q424" s="381">
        <v>-42460.3</v>
      </c>
      <c r="R424" s="372">
        <v>278730.96818130004</v>
      </c>
      <c r="S424" s="400">
        <v>258925.08</v>
      </c>
      <c r="T424" s="400">
        <v>34340.450000000004</v>
      </c>
      <c r="U424" s="400">
        <v>0</v>
      </c>
      <c r="V424" s="400">
        <v>3644.36</v>
      </c>
      <c r="W424" s="372">
        <v>262569.44</v>
      </c>
      <c r="X424" s="373">
        <v>296909.88999999996</v>
      </c>
      <c r="Y424" s="372">
        <v>313916.80818130006</v>
      </c>
      <c r="Z424" s="373">
        <v>1058739.5081813</v>
      </c>
      <c r="AA424" s="400">
        <v>4729.2891701000044</v>
      </c>
      <c r="AB424" s="400">
        <v>-137.86999999999534</v>
      </c>
      <c r="AC424" s="400">
        <v>0</v>
      </c>
      <c r="AD424" s="400">
        <v>0</v>
      </c>
      <c r="AE424" s="372">
        <v>4729.2891701000044</v>
      </c>
      <c r="AF424" s="372">
        <v>4591.4191701000091</v>
      </c>
      <c r="AG424" s="400">
        <v>3.7900000000000205</v>
      </c>
      <c r="AH424" s="374">
        <v>1.6967218249763504E-2</v>
      </c>
      <c r="AI424" s="375">
        <v>-3.9183376039905633E-3</v>
      </c>
      <c r="AJ424" s="372">
        <v>245.8</v>
      </c>
      <c r="AK424" s="376">
        <v>1.5419039869812938E-2</v>
      </c>
      <c r="AL424" s="376">
        <v>1.5481783799505665E-3</v>
      </c>
      <c r="AM424" s="412">
        <v>256.68162436548226</v>
      </c>
    </row>
    <row r="425" spans="2:39" s="377" customFormat="1" ht="28.15" customHeight="1" x14ac:dyDescent="0.25">
      <c r="B425" s="369">
        <v>43431</v>
      </c>
      <c r="C425" s="370">
        <v>276379.56380440004</v>
      </c>
      <c r="D425" s="370">
        <v>35340.51</v>
      </c>
      <c r="E425" s="371">
        <v>0</v>
      </c>
      <c r="F425" s="371">
        <v>0</v>
      </c>
      <c r="G425" s="371">
        <v>4168.28</v>
      </c>
      <c r="H425" s="371"/>
      <c r="I425" s="371"/>
      <c r="J425" s="371"/>
      <c r="K425" s="371"/>
      <c r="L425" s="371"/>
      <c r="M425" s="371">
        <v>650000</v>
      </c>
      <c r="N425" s="371">
        <v>44000</v>
      </c>
      <c r="O425" s="371">
        <v>1600</v>
      </c>
      <c r="P425" s="371">
        <f t="shared" si="6"/>
        <v>91683</v>
      </c>
      <c r="Q425" s="381">
        <v>-42460.3</v>
      </c>
      <c r="R425" s="372">
        <v>280547.84380440006</v>
      </c>
      <c r="S425" s="400">
        <v>258925.08</v>
      </c>
      <c r="T425" s="400">
        <v>34340.450000000004</v>
      </c>
      <c r="U425" s="400">
        <v>0</v>
      </c>
      <c r="V425" s="400">
        <v>3644.36</v>
      </c>
      <c r="W425" s="372">
        <v>262569.44</v>
      </c>
      <c r="X425" s="373">
        <v>296909.88999999996</v>
      </c>
      <c r="Y425" s="372">
        <v>315888.35380440007</v>
      </c>
      <c r="Z425" s="373">
        <v>1060711.0538044001</v>
      </c>
      <c r="AA425" s="400">
        <v>1769.4556230999879</v>
      </c>
      <c r="AB425" s="400">
        <v>154.66999999999825</v>
      </c>
      <c r="AC425" s="400">
        <v>0</v>
      </c>
      <c r="AD425" s="400">
        <v>47.420000000000073</v>
      </c>
      <c r="AE425" s="372">
        <v>1816.8756230999879</v>
      </c>
      <c r="AF425" s="372">
        <v>1971.5456230999862</v>
      </c>
      <c r="AG425" s="400">
        <v>0.76999999999998181</v>
      </c>
      <c r="AH425" s="374">
        <v>6.4761703332381565E-3</v>
      </c>
      <c r="AI425" s="375">
        <v>4.3765638922584381E-3</v>
      </c>
      <c r="AJ425" s="372">
        <v>246.57</v>
      </c>
      <c r="AK425" s="376">
        <v>3.1228454394288917E-3</v>
      </c>
      <c r="AL425" s="376">
        <v>3.3533248938092649E-3</v>
      </c>
      <c r="AM425" s="412">
        <v>256.65791878172593</v>
      </c>
    </row>
    <row r="426" spans="2:39" s="377" customFormat="1" ht="28.15" customHeight="1" x14ac:dyDescent="0.25">
      <c r="B426" s="369">
        <v>43432</v>
      </c>
      <c r="C426" s="370">
        <v>282414.05601880001</v>
      </c>
      <c r="D426" s="370">
        <v>35701.980000000003</v>
      </c>
      <c r="E426" s="371">
        <v>0</v>
      </c>
      <c r="F426" s="371">
        <v>0</v>
      </c>
      <c r="G426" s="371">
        <v>4201.8999999999996</v>
      </c>
      <c r="H426" s="371"/>
      <c r="I426" s="371"/>
      <c r="J426" s="371"/>
      <c r="K426" s="371"/>
      <c r="L426" s="371"/>
      <c r="M426" s="371">
        <v>650000</v>
      </c>
      <c r="N426" s="371">
        <v>44000</v>
      </c>
      <c r="O426" s="371">
        <v>1600</v>
      </c>
      <c r="P426" s="371">
        <f t="shared" si="6"/>
        <v>91683</v>
      </c>
      <c r="Q426" s="381">
        <v>-42160.49</v>
      </c>
      <c r="R426" s="372">
        <v>286615.95601880003</v>
      </c>
      <c r="S426" s="406">
        <v>258925.08</v>
      </c>
      <c r="T426" s="400">
        <v>34340.450000000004</v>
      </c>
      <c r="U426" s="400">
        <v>0</v>
      </c>
      <c r="V426" s="400">
        <v>3644.36</v>
      </c>
      <c r="W426" s="372">
        <v>262569.44</v>
      </c>
      <c r="X426" s="373">
        <v>296909.88999999996</v>
      </c>
      <c r="Y426" s="372">
        <v>322317.93601880001</v>
      </c>
      <c r="Z426" s="373">
        <v>1067440.4460187999</v>
      </c>
      <c r="AA426" s="400">
        <v>6034.492214399972</v>
      </c>
      <c r="AB426" s="400">
        <v>361.47000000000116</v>
      </c>
      <c r="AC426" s="400">
        <v>0</v>
      </c>
      <c r="AD426" s="400">
        <v>33.619999999999891</v>
      </c>
      <c r="AE426" s="372">
        <v>6068.1122143999719</v>
      </c>
      <c r="AF426" s="372">
        <v>6429.5822143999731</v>
      </c>
      <c r="AG426" s="400">
        <v>5.7600000000000193</v>
      </c>
      <c r="AH426" s="374">
        <v>2.1171578507659727E-2</v>
      </c>
      <c r="AI426" s="375">
        <v>1.0124648548904042E-2</v>
      </c>
      <c r="AJ426" s="372">
        <v>252.33</v>
      </c>
      <c r="AK426" s="376">
        <v>2.2827250029723058E-2</v>
      </c>
      <c r="AL426" s="376">
        <v>-1.655671522063331E-3</v>
      </c>
      <c r="AM426" s="412">
        <v>256.63670050761419</v>
      </c>
    </row>
    <row r="427" spans="2:39" s="377" customFormat="1" ht="28.15" customHeight="1" x14ac:dyDescent="0.25">
      <c r="B427" s="369">
        <v>43433</v>
      </c>
      <c r="C427" s="370">
        <v>281925.94420480001</v>
      </c>
      <c r="D427" s="370">
        <v>35856.240000000005</v>
      </c>
      <c r="E427" s="371">
        <v>0</v>
      </c>
      <c r="F427" s="371">
        <v>0</v>
      </c>
      <c r="G427" s="371">
        <v>4287.2</v>
      </c>
      <c r="H427" s="371"/>
      <c r="I427" s="371"/>
      <c r="J427" s="371"/>
      <c r="K427" s="371"/>
      <c r="L427" s="371"/>
      <c r="M427" s="371">
        <v>650000</v>
      </c>
      <c r="N427" s="371">
        <v>44000</v>
      </c>
      <c r="O427" s="371">
        <v>1600</v>
      </c>
      <c r="P427" s="371">
        <f t="shared" si="6"/>
        <v>91683</v>
      </c>
      <c r="Q427" s="381">
        <v>-42160.49</v>
      </c>
      <c r="R427" s="372">
        <v>286213.14420480002</v>
      </c>
      <c r="S427" s="400">
        <v>258925.08</v>
      </c>
      <c r="T427" s="400">
        <v>34340.450000000004</v>
      </c>
      <c r="U427" s="400">
        <v>0</v>
      </c>
      <c r="V427" s="400">
        <v>3644.36</v>
      </c>
      <c r="W427" s="372">
        <v>262569.44</v>
      </c>
      <c r="X427" s="373">
        <v>296909.88999999996</v>
      </c>
      <c r="Y427" s="372">
        <v>322069.38420480001</v>
      </c>
      <c r="Z427" s="373">
        <v>1067191.8942048</v>
      </c>
      <c r="AA427" s="400">
        <v>-488.11181400000351</v>
      </c>
      <c r="AB427" s="400">
        <v>154.26000000000204</v>
      </c>
      <c r="AC427" s="400">
        <v>0</v>
      </c>
      <c r="AD427" s="400">
        <v>85.300000000000182</v>
      </c>
      <c r="AE427" s="372">
        <v>-402.81181400000332</v>
      </c>
      <c r="AF427" s="372">
        <v>-248.55181400000129</v>
      </c>
      <c r="AG427" s="400">
        <v>-0.52000000000001023</v>
      </c>
      <c r="AH427" s="374">
        <v>-1.4073840498106929E-3</v>
      </c>
      <c r="AI427" s="375">
        <v>4.3021800389556183E-3</v>
      </c>
      <c r="AJ427" s="372">
        <v>251.81</v>
      </c>
      <c r="AK427" s="376">
        <v>-2.0650490449148572E-3</v>
      </c>
      <c r="AL427" s="376">
        <v>6.576649951041643E-4</v>
      </c>
      <c r="AM427" s="412">
        <v>256.65345177664977</v>
      </c>
    </row>
    <row r="428" spans="2:39" s="377" customFormat="1" ht="28.15" customHeight="1" x14ac:dyDescent="0.25">
      <c r="B428" s="369">
        <v>43434</v>
      </c>
      <c r="C428" s="370">
        <v>283929.83256030001</v>
      </c>
      <c r="D428" s="370">
        <v>35708.400000000001</v>
      </c>
      <c r="E428" s="371">
        <v>0</v>
      </c>
      <c r="F428" s="371">
        <v>0</v>
      </c>
      <c r="G428" s="371">
        <v>4247.41</v>
      </c>
      <c r="H428" s="371"/>
      <c r="I428" s="371"/>
      <c r="J428" s="371"/>
      <c r="K428" s="371"/>
      <c r="L428" s="371"/>
      <c r="M428" s="371">
        <v>650000</v>
      </c>
      <c r="N428" s="371">
        <v>44000</v>
      </c>
      <c r="O428" s="371">
        <v>1600</v>
      </c>
      <c r="P428" s="371">
        <f t="shared" si="6"/>
        <v>91683</v>
      </c>
      <c r="Q428" s="381">
        <v>-42160.49</v>
      </c>
      <c r="R428" s="372">
        <v>288177.24256029999</v>
      </c>
      <c r="S428" s="400">
        <v>258925.08</v>
      </c>
      <c r="T428" s="400">
        <v>34340.450000000004</v>
      </c>
      <c r="U428" s="400">
        <v>0</v>
      </c>
      <c r="V428" s="400">
        <v>3644.36</v>
      </c>
      <c r="W428" s="372">
        <v>262569.44</v>
      </c>
      <c r="X428" s="373">
        <v>296909.88999999996</v>
      </c>
      <c r="Y428" s="372">
        <v>323885.64256030001</v>
      </c>
      <c r="Z428" s="373">
        <v>1069008.1525603</v>
      </c>
      <c r="AA428" s="400">
        <v>2003.8883555000066</v>
      </c>
      <c r="AB428" s="400">
        <v>-147.84000000000378</v>
      </c>
      <c r="AC428" s="400">
        <v>0</v>
      </c>
      <c r="AD428" s="400">
        <v>-39.789999999999964</v>
      </c>
      <c r="AE428" s="372">
        <v>1964.0983555000066</v>
      </c>
      <c r="AF428" s="372">
        <v>1816.2583555000028</v>
      </c>
      <c r="AG428" s="400">
        <v>1.6699999999999875</v>
      </c>
      <c r="AH428" s="374">
        <v>6.8155914674248664E-3</v>
      </c>
      <c r="AI428" s="375">
        <v>-4.1402023053400258E-3</v>
      </c>
      <c r="AJ428" s="372">
        <v>253.48</v>
      </c>
      <c r="AK428" s="376">
        <v>6.5882909894271246E-3</v>
      </c>
      <c r="AL428" s="376">
        <v>2.2730047799774181E-4</v>
      </c>
      <c r="AM428" s="412">
        <v>256.66218274111679</v>
      </c>
    </row>
    <row r="429" spans="2:39" s="377" customFormat="1" ht="28.15" customHeight="1" x14ac:dyDescent="0.25">
      <c r="B429" s="378">
        <v>43435</v>
      </c>
      <c r="C429" s="370">
        <v>283929.83256030001</v>
      </c>
      <c r="D429" s="370">
        <v>35708.400000000001</v>
      </c>
      <c r="E429" s="371">
        <v>0</v>
      </c>
      <c r="F429" s="371">
        <v>0</v>
      </c>
      <c r="G429" s="371">
        <v>4247.41</v>
      </c>
      <c r="H429" s="371"/>
      <c r="I429" s="371"/>
      <c r="J429" s="371"/>
      <c r="K429" s="371"/>
      <c r="L429" s="371"/>
      <c r="M429" s="371">
        <v>650000</v>
      </c>
      <c r="N429" s="371">
        <v>44000</v>
      </c>
      <c r="O429" s="371">
        <v>1600</v>
      </c>
      <c r="P429" s="371">
        <f t="shared" si="6"/>
        <v>91683</v>
      </c>
      <c r="Q429" s="381">
        <v>-42160.49</v>
      </c>
      <c r="R429" s="372">
        <v>288177.24256029999</v>
      </c>
      <c r="S429" s="400">
        <v>258925.08</v>
      </c>
      <c r="T429" s="400">
        <v>34340.450000000004</v>
      </c>
      <c r="U429" s="400">
        <v>0</v>
      </c>
      <c r="V429" s="400">
        <v>3644.36</v>
      </c>
      <c r="W429" s="372">
        <v>262569.44</v>
      </c>
      <c r="X429" s="373">
        <v>296909.88999999996</v>
      </c>
      <c r="Y429" s="372">
        <v>323885.64256030001</v>
      </c>
      <c r="Z429" s="373">
        <v>1069008.1525603</v>
      </c>
      <c r="AA429" s="400">
        <v>0</v>
      </c>
      <c r="AB429" s="400">
        <v>0</v>
      </c>
      <c r="AC429" s="400">
        <v>0</v>
      </c>
      <c r="AD429" s="400">
        <v>0</v>
      </c>
      <c r="AE429" s="372">
        <v>0</v>
      </c>
      <c r="AF429" s="372">
        <v>0</v>
      </c>
      <c r="AG429" s="400">
        <v>0</v>
      </c>
      <c r="AH429" s="374">
        <v>0</v>
      </c>
      <c r="AI429" s="375">
        <v>0</v>
      </c>
      <c r="AJ429" s="372">
        <v>253.48</v>
      </c>
      <c r="AK429" s="376">
        <v>0</v>
      </c>
      <c r="AL429" s="376">
        <v>0</v>
      </c>
      <c r="AM429" s="412">
        <v>256.68045685279191</v>
      </c>
    </row>
    <row r="430" spans="2:39" s="377" customFormat="1" ht="28.15" customHeight="1" x14ac:dyDescent="0.25">
      <c r="B430" s="378">
        <v>43436</v>
      </c>
      <c r="C430" s="370">
        <v>283929.83256030001</v>
      </c>
      <c r="D430" s="370">
        <v>35708.400000000001</v>
      </c>
      <c r="E430" s="371">
        <v>0</v>
      </c>
      <c r="F430" s="371">
        <v>0</v>
      </c>
      <c r="G430" s="371">
        <v>4247.41</v>
      </c>
      <c r="H430" s="371"/>
      <c r="I430" s="371"/>
      <c r="J430" s="371"/>
      <c r="K430" s="371"/>
      <c r="L430" s="371"/>
      <c r="M430" s="371">
        <v>650000</v>
      </c>
      <c r="N430" s="371">
        <v>44000</v>
      </c>
      <c r="O430" s="371">
        <v>1600</v>
      </c>
      <c r="P430" s="371">
        <f t="shared" si="6"/>
        <v>91683</v>
      </c>
      <c r="Q430" s="381">
        <v>-42160.49</v>
      </c>
      <c r="R430" s="372">
        <v>288177.24256029999</v>
      </c>
      <c r="S430" s="400">
        <v>258925.08</v>
      </c>
      <c r="T430" s="400">
        <v>34340.450000000004</v>
      </c>
      <c r="U430" s="400">
        <v>0</v>
      </c>
      <c r="V430" s="400">
        <v>3644.36</v>
      </c>
      <c r="W430" s="372">
        <v>262569.44</v>
      </c>
      <c r="X430" s="373">
        <v>296909.88999999996</v>
      </c>
      <c r="Y430" s="372">
        <v>323885.64256030001</v>
      </c>
      <c r="Z430" s="373">
        <v>1069008.1525603</v>
      </c>
      <c r="AA430" s="400">
        <v>0</v>
      </c>
      <c r="AB430" s="400">
        <v>0</v>
      </c>
      <c r="AC430" s="400">
        <v>0</v>
      </c>
      <c r="AD430" s="400">
        <v>0</v>
      </c>
      <c r="AE430" s="372">
        <v>0</v>
      </c>
      <c r="AF430" s="372">
        <v>0</v>
      </c>
      <c r="AG430" s="400">
        <v>0</v>
      </c>
      <c r="AH430" s="374">
        <v>0</v>
      </c>
      <c r="AI430" s="375">
        <v>0</v>
      </c>
      <c r="AJ430" s="372">
        <v>253.48</v>
      </c>
      <c r="AK430" s="376">
        <v>0</v>
      </c>
      <c r="AL430" s="376">
        <v>0</v>
      </c>
      <c r="AM430" s="412">
        <v>256.70187817258886</v>
      </c>
    </row>
    <row r="431" spans="2:39" s="377" customFormat="1" ht="28.15" customHeight="1" x14ac:dyDescent="0.25">
      <c r="B431" s="369">
        <v>43437</v>
      </c>
      <c r="C431" s="370">
        <v>285674.28823359997</v>
      </c>
      <c r="D431" s="370">
        <v>35757.51</v>
      </c>
      <c r="E431" s="371">
        <v>0</v>
      </c>
      <c r="F431" s="371">
        <v>0</v>
      </c>
      <c r="G431" s="371">
        <v>4267.1400000000003</v>
      </c>
      <c r="H431" s="371">
        <v>75</v>
      </c>
      <c r="I431" s="371"/>
      <c r="J431" s="371"/>
      <c r="K431" s="371"/>
      <c r="L431" s="371"/>
      <c r="M431" s="371">
        <v>650000</v>
      </c>
      <c r="N431" s="371">
        <v>44000</v>
      </c>
      <c r="O431" s="371">
        <v>1600</v>
      </c>
      <c r="P431" s="371">
        <f t="shared" si="6"/>
        <v>91683</v>
      </c>
      <c r="Q431" s="381">
        <v>-42160.49</v>
      </c>
      <c r="R431" s="372">
        <v>289941.42823359999</v>
      </c>
      <c r="S431" s="400">
        <v>259000.08</v>
      </c>
      <c r="T431" s="400">
        <v>34340.450000000004</v>
      </c>
      <c r="U431" s="400">
        <v>0</v>
      </c>
      <c r="V431" s="400">
        <v>3644.36</v>
      </c>
      <c r="W431" s="372">
        <v>262644.44</v>
      </c>
      <c r="X431" s="373">
        <v>296984.88999999996</v>
      </c>
      <c r="Y431" s="372">
        <v>325698.9382336</v>
      </c>
      <c r="Z431" s="373">
        <v>1070821.4482336</v>
      </c>
      <c r="AA431" s="400">
        <v>1669.4556732999627</v>
      </c>
      <c r="AB431" s="400">
        <v>49.110000000000582</v>
      </c>
      <c r="AC431" s="400">
        <v>0</v>
      </c>
      <c r="AD431" s="400">
        <v>19.730000000000473</v>
      </c>
      <c r="AE431" s="372">
        <v>1689.1856732999631</v>
      </c>
      <c r="AF431" s="372">
        <v>1738.2956732999637</v>
      </c>
      <c r="AG431" s="400">
        <v>3.1300000000000239</v>
      </c>
      <c r="AH431" s="374">
        <v>5.8259548612660493E-3</v>
      </c>
      <c r="AI431" s="375">
        <v>1.3734177799293234E-3</v>
      </c>
      <c r="AJ431" s="372">
        <v>256.61</v>
      </c>
      <c r="AK431" s="376">
        <v>1.2197498148942066E-2</v>
      </c>
      <c r="AL431" s="376">
        <v>-6.371543287676017E-3</v>
      </c>
      <c r="AM431" s="412">
        <v>256.72329949238588</v>
      </c>
    </row>
    <row r="432" spans="2:39" s="377" customFormat="1" ht="28.15" customHeight="1" x14ac:dyDescent="0.25">
      <c r="B432" s="369">
        <v>43438</v>
      </c>
      <c r="C432" s="370">
        <v>278010.40871860005</v>
      </c>
      <c r="D432" s="370">
        <v>35782.160000000003</v>
      </c>
      <c r="E432" s="371">
        <v>0</v>
      </c>
      <c r="F432" s="371">
        <v>0</v>
      </c>
      <c r="G432" s="371">
        <v>4251.13</v>
      </c>
      <c r="H432" s="371"/>
      <c r="I432" s="371"/>
      <c r="J432" s="371"/>
      <c r="K432" s="371"/>
      <c r="L432" s="371"/>
      <c r="M432" s="371">
        <v>650000</v>
      </c>
      <c r="N432" s="371">
        <v>44000</v>
      </c>
      <c r="O432" s="371">
        <v>1600</v>
      </c>
      <c r="P432" s="371">
        <f t="shared" si="6"/>
        <v>91683</v>
      </c>
      <c r="Q432" s="381">
        <v>-42160.49</v>
      </c>
      <c r="R432" s="372">
        <v>282261.53871860006</v>
      </c>
      <c r="S432" s="400">
        <v>259000.08</v>
      </c>
      <c r="T432" s="400">
        <v>34340.450000000004</v>
      </c>
      <c r="U432" s="400">
        <v>0</v>
      </c>
      <c r="V432" s="400">
        <v>3644.36</v>
      </c>
      <c r="W432" s="372">
        <v>262644.44</v>
      </c>
      <c r="X432" s="373">
        <v>296984.88999999996</v>
      </c>
      <c r="Y432" s="372">
        <v>318043.69871860009</v>
      </c>
      <c r="Z432" s="373">
        <v>1063166.2087186</v>
      </c>
      <c r="AA432" s="400">
        <v>-7663.8795149999205</v>
      </c>
      <c r="AB432" s="400">
        <v>24.650000000001455</v>
      </c>
      <c r="AC432" s="400">
        <v>0</v>
      </c>
      <c r="AD432" s="400">
        <v>-16.010000000000218</v>
      </c>
      <c r="AE432" s="372">
        <v>-7679.8895149999207</v>
      </c>
      <c r="AF432" s="372">
        <v>-7655.2395149999193</v>
      </c>
      <c r="AG432" s="400">
        <v>-7.960000000000008</v>
      </c>
      <c r="AH432" s="374">
        <v>-2.7208416526972763E-2</v>
      </c>
      <c r="AI432" s="375">
        <v>6.8889077685644056E-4</v>
      </c>
      <c r="AJ432" s="372">
        <v>248.65</v>
      </c>
      <c r="AK432" s="376">
        <v>-3.2012869495274515E-2</v>
      </c>
      <c r="AL432" s="376">
        <v>4.804452968301752E-3</v>
      </c>
      <c r="AM432" s="412">
        <v>256.76060913705595</v>
      </c>
    </row>
    <row r="433" spans="2:39" s="377" customFormat="1" ht="28.15" customHeight="1" x14ac:dyDescent="0.25">
      <c r="B433" s="369">
        <v>43439</v>
      </c>
      <c r="C433" s="370">
        <v>279803.85377200006</v>
      </c>
      <c r="D433" s="370">
        <v>36106.07</v>
      </c>
      <c r="E433" s="371">
        <v>0</v>
      </c>
      <c r="F433" s="371">
        <v>0</v>
      </c>
      <c r="G433" s="371">
        <v>4155.25</v>
      </c>
      <c r="H433" s="371"/>
      <c r="I433" s="371"/>
      <c r="J433" s="371"/>
      <c r="K433" s="371"/>
      <c r="L433" s="371"/>
      <c r="M433" s="371">
        <v>650000</v>
      </c>
      <c r="N433" s="371">
        <v>44000</v>
      </c>
      <c r="O433" s="371">
        <v>1600</v>
      </c>
      <c r="P433" s="371">
        <f t="shared" si="6"/>
        <v>91683</v>
      </c>
      <c r="Q433" s="381">
        <v>-42160.49</v>
      </c>
      <c r="R433" s="372">
        <v>283959.10377200006</v>
      </c>
      <c r="S433" s="400">
        <v>259000.08</v>
      </c>
      <c r="T433" s="400">
        <v>34340.450000000004</v>
      </c>
      <c r="U433" s="400">
        <v>0</v>
      </c>
      <c r="V433" s="400">
        <v>3644.36</v>
      </c>
      <c r="W433" s="372">
        <v>262644.44</v>
      </c>
      <c r="X433" s="373">
        <v>296984.88999999996</v>
      </c>
      <c r="Y433" s="372">
        <v>320065.17377200007</v>
      </c>
      <c r="Z433" s="373">
        <v>1065187.683772</v>
      </c>
      <c r="AA433" s="400">
        <v>1793.4450534000061</v>
      </c>
      <c r="AB433" s="400">
        <v>323.90999999999622</v>
      </c>
      <c r="AC433" s="400">
        <v>0</v>
      </c>
      <c r="AD433" s="400">
        <v>-95.880000000000109</v>
      </c>
      <c r="AE433" s="372">
        <v>1697.565053400006</v>
      </c>
      <c r="AF433" s="372">
        <v>2021.4750534000023</v>
      </c>
      <c r="AG433" s="400">
        <v>0</v>
      </c>
      <c r="AH433" s="374">
        <v>5.9782026032982405E-3</v>
      </c>
      <c r="AI433" s="375">
        <v>8.971067745672575E-3</v>
      </c>
      <c r="AJ433" s="372">
        <v>248.65</v>
      </c>
      <c r="AK433" s="376">
        <v>0</v>
      </c>
      <c r="AL433" s="376">
        <v>5.9782026032982405E-3</v>
      </c>
      <c r="AM433" s="412">
        <v>256.74822335025391</v>
      </c>
    </row>
    <row r="434" spans="2:39" s="377" customFormat="1" ht="28.15" customHeight="1" x14ac:dyDescent="0.25">
      <c r="B434" s="369">
        <v>43440</v>
      </c>
      <c r="C434" s="370">
        <v>278114.63889580005</v>
      </c>
      <c r="D434" s="370">
        <v>35524.57</v>
      </c>
      <c r="E434" s="371">
        <v>0</v>
      </c>
      <c r="F434" s="371">
        <v>0</v>
      </c>
      <c r="G434" s="371">
        <v>4108.9750000000004</v>
      </c>
      <c r="H434" s="371"/>
      <c r="I434" s="371"/>
      <c r="J434" s="371"/>
      <c r="K434" s="371"/>
      <c r="L434" s="371"/>
      <c r="M434" s="371">
        <v>650000</v>
      </c>
      <c r="N434" s="371">
        <v>44000</v>
      </c>
      <c r="O434" s="371">
        <v>1600</v>
      </c>
      <c r="P434" s="371">
        <f t="shared" si="6"/>
        <v>91683</v>
      </c>
      <c r="Q434" s="381">
        <v>-42160.49</v>
      </c>
      <c r="R434" s="372">
        <v>282223.61389580002</v>
      </c>
      <c r="S434" s="400">
        <v>259000.08</v>
      </c>
      <c r="T434" s="400">
        <v>34340.450000000004</v>
      </c>
      <c r="U434" s="400">
        <v>0</v>
      </c>
      <c r="V434" s="400">
        <v>3644.36</v>
      </c>
      <c r="W434" s="372">
        <v>262644.44</v>
      </c>
      <c r="X434" s="373">
        <v>296984.88999999996</v>
      </c>
      <c r="Y434" s="372">
        <v>317748.18389580003</v>
      </c>
      <c r="Z434" s="373">
        <v>1062870.6938958</v>
      </c>
      <c r="AA434" s="400">
        <v>-1689.2148762000143</v>
      </c>
      <c r="AB434" s="400">
        <v>-581.5</v>
      </c>
      <c r="AC434" s="400">
        <v>0</v>
      </c>
      <c r="AD434" s="400">
        <v>-46.274999999999636</v>
      </c>
      <c r="AE434" s="372">
        <v>-1735.4898762000139</v>
      </c>
      <c r="AF434" s="372">
        <v>-2316.9898762000139</v>
      </c>
      <c r="AG434" s="400">
        <v>-0.62999999999999545</v>
      </c>
      <c r="AH434" s="374">
        <v>-6.1493432538950316E-3</v>
      </c>
      <c r="AI434" s="375">
        <v>-1.6368952530600653E-2</v>
      </c>
      <c r="AJ434" s="372">
        <v>248.02</v>
      </c>
      <c r="AK434" s="376">
        <v>-2.5401177324409136E-3</v>
      </c>
      <c r="AL434" s="376">
        <v>-3.6092255214541179E-3</v>
      </c>
      <c r="AM434" s="412">
        <v>256.73949238578689</v>
      </c>
    </row>
    <row r="435" spans="2:39" s="377" customFormat="1" ht="28.15" customHeight="1" x14ac:dyDescent="0.25">
      <c r="B435" s="369">
        <v>43441</v>
      </c>
      <c r="C435" s="370">
        <v>273066.04934890004</v>
      </c>
      <c r="D435" s="370">
        <v>34943.07</v>
      </c>
      <c r="E435" s="371">
        <v>0</v>
      </c>
      <c r="F435" s="371">
        <v>0</v>
      </c>
      <c r="G435" s="371">
        <v>4062.7</v>
      </c>
      <c r="H435" s="371"/>
      <c r="I435" s="371"/>
      <c r="J435" s="371"/>
      <c r="K435" s="371"/>
      <c r="L435" s="371"/>
      <c r="M435" s="371">
        <v>650000</v>
      </c>
      <c r="N435" s="371">
        <v>44000</v>
      </c>
      <c r="O435" s="371">
        <v>1600</v>
      </c>
      <c r="P435" s="371">
        <f t="shared" si="6"/>
        <v>91683</v>
      </c>
      <c r="Q435" s="381">
        <v>-42160.49</v>
      </c>
      <c r="R435" s="372">
        <v>277128.74934890005</v>
      </c>
      <c r="S435" s="400">
        <v>259000.08</v>
      </c>
      <c r="T435" s="400">
        <v>34340.450000000004</v>
      </c>
      <c r="U435" s="400">
        <v>0</v>
      </c>
      <c r="V435" s="400">
        <v>3644.36</v>
      </c>
      <c r="W435" s="372">
        <v>262644.44</v>
      </c>
      <c r="X435" s="373">
        <v>296984.88999999996</v>
      </c>
      <c r="Y435" s="372">
        <v>312071.81934890006</v>
      </c>
      <c r="Z435" s="373">
        <v>1057194.3293489001</v>
      </c>
      <c r="AA435" s="400">
        <v>-5048.5895469000097</v>
      </c>
      <c r="AB435" s="400">
        <v>-581.5</v>
      </c>
      <c r="AC435" s="400">
        <v>0</v>
      </c>
      <c r="AD435" s="400">
        <v>-46.275000000000546</v>
      </c>
      <c r="AE435" s="372">
        <v>-5094.8645469000103</v>
      </c>
      <c r="AF435" s="372">
        <v>-5676.3645469000103</v>
      </c>
      <c r="AG435" s="400">
        <v>-5.7600000000000193</v>
      </c>
      <c r="AH435" s="374">
        <v>-1.8384467720762052E-2</v>
      </c>
      <c r="AI435" s="375">
        <v>-1.6641354065341139E-2</v>
      </c>
      <c r="AJ435" s="372">
        <v>242.26</v>
      </c>
      <c r="AK435" s="376">
        <v>-2.3776108313382397E-2</v>
      </c>
      <c r="AL435" s="376">
        <v>5.3916405926203448E-3</v>
      </c>
      <c r="AM435" s="412">
        <v>256.72360406091377</v>
      </c>
    </row>
    <row r="436" spans="2:39" s="377" customFormat="1" ht="28.15" customHeight="1" x14ac:dyDescent="0.25">
      <c r="B436" s="378">
        <v>43442</v>
      </c>
      <c r="C436" s="370">
        <v>273066.04934890004</v>
      </c>
      <c r="D436" s="370">
        <v>34943.07</v>
      </c>
      <c r="E436" s="371">
        <v>0</v>
      </c>
      <c r="F436" s="371">
        <v>0</v>
      </c>
      <c r="G436" s="371">
        <v>4062.7</v>
      </c>
      <c r="H436" s="371"/>
      <c r="I436" s="371"/>
      <c r="J436" s="371"/>
      <c r="K436" s="371"/>
      <c r="L436" s="371"/>
      <c r="M436" s="371">
        <v>650000</v>
      </c>
      <c r="N436" s="371">
        <v>44000</v>
      </c>
      <c r="O436" s="371">
        <v>1600</v>
      </c>
      <c r="P436" s="371">
        <f t="shared" si="6"/>
        <v>91683</v>
      </c>
      <c r="Q436" s="381">
        <v>-42160.49</v>
      </c>
      <c r="R436" s="372">
        <v>277128.74934890005</v>
      </c>
      <c r="S436" s="400">
        <v>259000.08</v>
      </c>
      <c r="T436" s="400">
        <v>34340.450000000004</v>
      </c>
      <c r="U436" s="400">
        <v>0</v>
      </c>
      <c r="V436" s="400">
        <v>3644.36</v>
      </c>
      <c r="W436" s="372">
        <v>262644.44</v>
      </c>
      <c r="X436" s="373">
        <v>296984.88999999996</v>
      </c>
      <c r="Y436" s="372">
        <v>312071.81934890006</v>
      </c>
      <c r="Z436" s="373">
        <v>1057194.3293489001</v>
      </c>
      <c r="AA436" s="400">
        <v>0</v>
      </c>
      <c r="AB436" s="400">
        <v>0</v>
      </c>
      <c r="AC436" s="400">
        <v>0</v>
      </c>
      <c r="AD436" s="400">
        <v>0</v>
      </c>
      <c r="AE436" s="372">
        <v>0</v>
      </c>
      <c r="AF436" s="372">
        <v>0</v>
      </c>
      <c r="AG436" s="400">
        <v>0</v>
      </c>
      <c r="AH436" s="374">
        <v>0</v>
      </c>
      <c r="AI436" s="375">
        <v>0</v>
      </c>
      <c r="AJ436" s="372">
        <v>242.26</v>
      </c>
      <c r="AK436" s="376">
        <v>0</v>
      </c>
      <c r="AL436" s="376">
        <v>0</v>
      </c>
      <c r="AM436" s="412">
        <v>256.68091370558386</v>
      </c>
    </row>
    <row r="437" spans="2:39" s="380" customFormat="1" ht="28.15" customHeight="1" x14ac:dyDescent="0.25">
      <c r="B437" s="378">
        <v>43443</v>
      </c>
      <c r="C437" s="370">
        <v>273066.04934890004</v>
      </c>
      <c r="D437" s="370">
        <v>34943.07</v>
      </c>
      <c r="E437" s="371">
        <v>0</v>
      </c>
      <c r="F437" s="371">
        <v>0</v>
      </c>
      <c r="G437" s="371">
        <v>4062.7</v>
      </c>
      <c r="H437" s="371"/>
      <c r="I437" s="371"/>
      <c r="J437" s="371"/>
      <c r="K437" s="371"/>
      <c r="L437" s="371"/>
      <c r="M437" s="371">
        <v>650000</v>
      </c>
      <c r="N437" s="371">
        <v>44000</v>
      </c>
      <c r="O437" s="371">
        <v>1600</v>
      </c>
      <c r="P437" s="371">
        <f t="shared" si="6"/>
        <v>91683</v>
      </c>
      <c r="Q437" s="381">
        <v>-42160.49</v>
      </c>
      <c r="R437" s="372">
        <v>277128.74934890005</v>
      </c>
      <c r="S437" s="400">
        <v>259000.08</v>
      </c>
      <c r="T437" s="400">
        <v>34340.450000000004</v>
      </c>
      <c r="U437" s="400">
        <v>0</v>
      </c>
      <c r="V437" s="400">
        <v>3644.36</v>
      </c>
      <c r="W437" s="372">
        <v>262644.44</v>
      </c>
      <c r="X437" s="373">
        <v>296984.88999999996</v>
      </c>
      <c r="Y437" s="372">
        <v>312071.81934890006</v>
      </c>
      <c r="Z437" s="373">
        <v>1057194.3293489001</v>
      </c>
      <c r="AA437" s="400">
        <v>0</v>
      </c>
      <c r="AB437" s="400">
        <v>0</v>
      </c>
      <c r="AC437" s="400">
        <v>0</v>
      </c>
      <c r="AD437" s="400">
        <v>0</v>
      </c>
      <c r="AE437" s="372">
        <v>0</v>
      </c>
      <c r="AF437" s="372">
        <v>0</v>
      </c>
      <c r="AG437" s="400">
        <v>0</v>
      </c>
      <c r="AH437" s="374">
        <v>0</v>
      </c>
      <c r="AI437" s="375">
        <v>0</v>
      </c>
      <c r="AJ437" s="372">
        <v>242.26</v>
      </c>
      <c r="AK437" s="376">
        <v>0</v>
      </c>
      <c r="AL437" s="376">
        <v>0</v>
      </c>
      <c r="AM437" s="412">
        <v>256.64142131979708</v>
      </c>
    </row>
    <row r="438" spans="2:39" s="380" customFormat="1" ht="28.15" customHeight="1" x14ac:dyDescent="0.25">
      <c r="B438" s="369">
        <v>43444</v>
      </c>
      <c r="C438" s="370">
        <v>274373.5842322</v>
      </c>
      <c r="D438" s="370">
        <v>34529.869999999995</v>
      </c>
      <c r="E438" s="371">
        <v>0</v>
      </c>
      <c r="F438" s="371">
        <v>0</v>
      </c>
      <c r="G438" s="371">
        <v>4062.7</v>
      </c>
      <c r="H438" s="371"/>
      <c r="I438" s="371"/>
      <c r="J438" s="371"/>
      <c r="K438" s="371"/>
      <c r="L438" s="371"/>
      <c r="M438" s="371">
        <v>650000</v>
      </c>
      <c r="N438" s="371">
        <v>44000</v>
      </c>
      <c r="O438" s="371">
        <v>1600</v>
      </c>
      <c r="P438" s="371">
        <f t="shared" si="6"/>
        <v>91683</v>
      </c>
      <c r="Q438" s="381">
        <v>-42160.49</v>
      </c>
      <c r="R438" s="372">
        <v>278436.28423220001</v>
      </c>
      <c r="S438" s="400">
        <v>259000.08</v>
      </c>
      <c r="T438" s="400">
        <v>34340.450000000004</v>
      </c>
      <c r="U438" s="400">
        <v>0</v>
      </c>
      <c r="V438" s="400">
        <v>3644.36</v>
      </c>
      <c r="W438" s="372">
        <v>262644.44</v>
      </c>
      <c r="X438" s="373">
        <v>296984.88999999996</v>
      </c>
      <c r="Y438" s="372">
        <v>312966.1542322</v>
      </c>
      <c r="Z438" s="373">
        <v>1058088.6642322</v>
      </c>
      <c r="AA438" s="400">
        <v>1307.5348832999589</v>
      </c>
      <c r="AB438" s="400">
        <v>-413.20000000000437</v>
      </c>
      <c r="AC438" s="400">
        <v>0</v>
      </c>
      <c r="AD438" s="400">
        <v>0</v>
      </c>
      <c r="AE438" s="372">
        <v>1307.5348832999589</v>
      </c>
      <c r="AF438" s="372">
        <v>894.33488329995453</v>
      </c>
      <c r="AG438" s="400">
        <v>0.29000000000002046</v>
      </c>
      <c r="AH438" s="374">
        <v>4.695993149404153E-3</v>
      </c>
      <c r="AI438" s="375">
        <v>-1.1966451075547183E-2</v>
      </c>
      <c r="AJ438" s="372">
        <v>242.55</v>
      </c>
      <c r="AK438" s="376">
        <v>1.1956297670584228E-3</v>
      </c>
      <c r="AL438" s="376">
        <v>3.50036338234573E-3</v>
      </c>
      <c r="AM438" s="412">
        <v>256.60192893401029</v>
      </c>
    </row>
    <row r="439" spans="2:39" s="380" customFormat="1" ht="28.15" customHeight="1" x14ac:dyDescent="0.25">
      <c r="B439" s="369">
        <v>43445</v>
      </c>
      <c r="C439" s="370">
        <v>273865.75668320002</v>
      </c>
      <c r="D439" s="370">
        <v>34399.089999999997</v>
      </c>
      <c r="E439" s="371">
        <v>0</v>
      </c>
      <c r="F439" s="371">
        <v>0</v>
      </c>
      <c r="G439" s="371">
        <v>4081.78</v>
      </c>
      <c r="H439" s="371"/>
      <c r="I439" s="371"/>
      <c r="J439" s="371"/>
      <c r="K439" s="371"/>
      <c r="L439" s="371"/>
      <c r="M439" s="371">
        <v>650000</v>
      </c>
      <c r="N439" s="371">
        <v>44000</v>
      </c>
      <c r="O439" s="371">
        <v>1600</v>
      </c>
      <c r="P439" s="371">
        <f t="shared" si="6"/>
        <v>91683</v>
      </c>
      <c r="Q439" s="381">
        <v>-42160.49</v>
      </c>
      <c r="R439" s="372">
        <v>277947.53668320004</v>
      </c>
      <c r="S439" s="400">
        <v>259000.08</v>
      </c>
      <c r="T439" s="400">
        <v>34340.450000000004</v>
      </c>
      <c r="U439" s="400">
        <v>0</v>
      </c>
      <c r="V439" s="400">
        <v>3644.36</v>
      </c>
      <c r="W439" s="372">
        <v>262644.44</v>
      </c>
      <c r="X439" s="373">
        <v>296984.88999999996</v>
      </c>
      <c r="Y439" s="372">
        <v>312346.62668320001</v>
      </c>
      <c r="Z439" s="373">
        <v>1057469.1366832</v>
      </c>
      <c r="AA439" s="400">
        <v>-507.82754899997963</v>
      </c>
      <c r="AB439" s="400">
        <v>-130.77999999999884</v>
      </c>
      <c r="AC439" s="400">
        <v>0</v>
      </c>
      <c r="AD439" s="400">
        <v>19.080000000000382</v>
      </c>
      <c r="AE439" s="372">
        <v>-488.74754899997924</v>
      </c>
      <c r="AF439" s="372">
        <v>-619.52754899997808</v>
      </c>
      <c r="AG439" s="400">
        <v>6.9999999999993179E-2</v>
      </c>
      <c r="AH439" s="374">
        <v>-1.7584165516712081E-3</v>
      </c>
      <c r="AI439" s="375">
        <v>-3.8018447581025789E-3</v>
      </c>
      <c r="AJ439" s="372">
        <v>242.62</v>
      </c>
      <c r="AK439" s="376">
        <v>2.8851702250429966E-4</v>
      </c>
      <c r="AL439" s="376">
        <v>-2.0469335741755078E-3</v>
      </c>
      <c r="AM439" s="412">
        <v>256.5639086294417</v>
      </c>
    </row>
    <row r="440" spans="2:39" s="380" customFormat="1" ht="28.15" customHeight="1" x14ac:dyDescent="0.25">
      <c r="B440" s="369">
        <v>43446</v>
      </c>
      <c r="C440" s="370">
        <v>272589.97396899998</v>
      </c>
      <c r="D440" s="370">
        <v>34250.424999999996</v>
      </c>
      <c r="E440" s="371">
        <v>0</v>
      </c>
      <c r="F440" s="371">
        <v>0</v>
      </c>
      <c r="G440" s="371">
        <v>5040.4799999999996</v>
      </c>
      <c r="H440" s="371"/>
      <c r="I440" s="371"/>
      <c r="J440" s="371"/>
      <c r="K440" s="371"/>
      <c r="L440" s="371"/>
      <c r="M440" s="371">
        <v>650000</v>
      </c>
      <c r="N440" s="371">
        <v>44000</v>
      </c>
      <c r="O440" s="371">
        <v>1600</v>
      </c>
      <c r="P440" s="371">
        <f t="shared" si="6"/>
        <v>91683</v>
      </c>
      <c r="Q440" s="381">
        <v>-42160.49</v>
      </c>
      <c r="R440" s="372">
        <v>277630.45396899997</v>
      </c>
      <c r="S440" s="400">
        <v>259000.08</v>
      </c>
      <c r="T440" s="400">
        <v>34340.450000000004</v>
      </c>
      <c r="U440" s="400">
        <v>0</v>
      </c>
      <c r="V440" s="400">
        <v>3644.36</v>
      </c>
      <c r="W440" s="372">
        <v>262644.44</v>
      </c>
      <c r="X440" s="373">
        <v>296984.88999999996</v>
      </c>
      <c r="Y440" s="372">
        <v>311880.87896899995</v>
      </c>
      <c r="Z440" s="373">
        <v>1057003.388969</v>
      </c>
      <c r="AA440" s="400">
        <v>-1275.7827142000315</v>
      </c>
      <c r="AB440" s="400">
        <v>-148.66500000000087</v>
      </c>
      <c r="AC440" s="400">
        <v>0</v>
      </c>
      <c r="AD440" s="400">
        <v>958.69999999999936</v>
      </c>
      <c r="AE440" s="372">
        <v>-317.08271420003211</v>
      </c>
      <c r="AF440" s="372">
        <v>-465.74771420003299</v>
      </c>
      <c r="AG440" s="400">
        <v>1.3400000000000034</v>
      </c>
      <c r="AH440" s="374">
        <v>-1.142103503657554E-3</v>
      </c>
      <c r="AI440" s="375">
        <v>-4.340530081013619E-3</v>
      </c>
      <c r="AJ440" s="372">
        <v>243.96</v>
      </c>
      <c r="AK440" s="376">
        <v>5.4927037219216403E-3</v>
      </c>
      <c r="AL440" s="376">
        <v>-6.6348072255791946E-3</v>
      </c>
      <c r="AM440" s="412">
        <v>256.52624365482245</v>
      </c>
    </row>
    <row r="441" spans="2:39" s="380" customFormat="1" ht="28.15" customHeight="1" x14ac:dyDescent="0.25">
      <c r="B441" s="369">
        <v>43447</v>
      </c>
      <c r="C441" s="370">
        <v>273208.3905568</v>
      </c>
      <c r="D441" s="370">
        <v>34696.42</v>
      </c>
      <c r="E441" s="371">
        <v>0</v>
      </c>
      <c r="F441" s="371">
        <v>0</v>
      </c>
      <c r="G441" s="371">
        <v>5040.4799999999996</v>
      </c>
      <c r="H441" s="371"/>
      <c r="I441" s="371"/>
      <c r="J441" s="371"/>
      <c r="K441" s="371"/>
      <c r="L441" s="371"/>
      <c r="M441" s="371">
        <v>650000</v>
      </c>
      <c r="N441" s="371">
        <v>44000</v>
      </c>
      <c r="O441" s="371">
        <v>1600</v>
      </c>
      <c r="P441" s="371">
        <f t="shared" si="6"/>
        <v>91683</v>
      </c>
      <c r="Q441" s="381">
        <v>-42160.49</v>
      </c>
      <c r="R441" s="372">
        <v>278248.87055679999</v>
      </c>
      <c r="S441" s="400">
        <v>259000.08</v>
      </c>
      <c r="T441" s="400">
        <v>34340.450000000004</v>
      </c>
      <c r="U441" s="400">
        <v>0</v>
      </c>
      <c r="V441" s="400">
        <v>3644.36</v>
      </c>
      <c r="W441" s="372">
        <v>262644.44</v>
      </c>
      <c r="X441" s="373">
        <v>296984.88999999996</v>
      </c>
      <c r="Y441" s="372">
        <v>312945.29055679997</v>
      </c>
      <c r="Z441" s="373">
        <v>1058067.8005568001</v>
      </c>
      <c r="AA441" s="400">
        <v>618.41658780002035</v>
      </c>
      <c r="AB441" s="400">
        <v>445.99500000000262</v>
      </c>
      <c r="AC441" s="400">
        <v>0</v>
      </c>
      <c r="AD441" s="400">
        <v>0</v>
      </c>
      <c r="AE441" s="372">
        <v>618.41658780002035</v>
      </c>
      <c r="AF441" s="372">
        <v>1064.411587800023</v>
      </c>
      <c r="AG441" s="400">
        <v>-8.0000000000012506E-2</v>
      </c>
      <c r="AH441" s="374">
        <v>2.22253045111204E-3</v>
      </c>
      <c r="AI441" s="375">
        <v>1.285420801339166E-2</v>
      </c>
      <c r="AJ441" s="372">
        <v>243.88</v>
      </c>
      <c r="AK441" s="376">
        <v>-3.2803017877649869E-4</v>
      </c>
      <c r="AL441" s="376">
        <v>2.5505606298885388E-3</v>
      </c>
      <c r="AM441" s="412">
        <v>256.51005076142138</v>
      </c>
    </row>
    <row r="442" spans="2:39" s="380" customFormat="1" ht="28.15" customHeight="1" x14ac:dyDescent="0.25">
      <c r="B442" s="369">
        <v>43448</v>
      </c>
      <c r="C442" s="370">
        <v>270582.68180620001</v>
      </c>
      <c r="D442" s="370">
        <v>34795.07</v>
      </c>
      <c r="E442" s="371">
        <v>0</v>
      </c>
      <c r="F442" s="371">
        <v>0</v>
      </c>
      <c r="G442" s="371">
        <v>5040.4799999999996</v>
      </c>
      <c r="H442" s="371"/>
      <c r="I442" s="371"/>
      <c r="J442" s="371"/>
      <c r="K442" s="371"/>
      <c r="L442" s="371"/>
      <c r="M442" s="371">
        <v>650000</v>
      </c>
      <c r="N442" s="371">
        <v>44000</v>
      </c>
      <c r="O442" s="371">
        <v>1600</v>
      </c>
      <c r="P442" s="371">
        <f t="shared" si="6"/>
        <v>91683</v>
      </c>
      <c r="Q442" s="381">
        <v>-42160.49</v>
      </c>
      <c r="R442" s="372">
        <v>275623.16180619999</v>
      </c>
      <c r="S442" s="400">
        <v>259000.08</v>
      </c>
      <c r="T442" s="400">
        <v>34340.450000000004</v>
      </c>
      <c r="U442" s="400">
        <v>0</v>
      </c>
      <c r="V442" s="400">
        <v>3644.36</v>
      </c>
      <c r="W442" s="372">
        <v>262644.44</v>
      </c>
      <c r="X442" s="373">
        <v>296984.88999999996</v>
      </c>
      <c r="Y442" s="372">
        <v>310418.2318062</v>
      </c>
      <c r="Z442" s="373">
        <v>1055540.7418062</v>
      </c>
      <c r="AA442" s="400">
        <v>-2625.7087505999953</v>
      </c>
      <c r="AB442" s="400">
        <v>98.650000000001455</v>
      </c>
      <c r="AC442" s="400">
        <v>0</v>
      </c>
      <c r="AD442" s="400">
        <v>0</v>
      </c>
      <c r="AE442" s="372">
        <v>-2625.7087505999953</v>
      </c>
      <c r="AF442" s="372">
        <v>-2527.0587505999938</v>
      </c>
      <c r="AG442" s="400">
        <v>-4.5</v>
      </c>
      <c r="AH442" s="374">
        <v>-9.5264444881675812E-3</v>
      </c>
      <c r="AI442" s="375">
        <v>2.8351717642758432E-3</v>
      </c>
      <c r="AJ442" s="372">
        <v>239.38</v>
      </c>
      <c r="AK442" s="376">
        <v>-1.8798562954298607E-2</v>
      </c>
      <c r="AL442" s="376">
        <v>9.2721184661310255E-3</v>
      </c>
      <c r="AM442" s="412">
        <v>256.47690355329956</v>
      </c>
    </row>
    <row r="443" spans="2:39" s="380" customFormat="1" ht="28.15" customHeight="1" x14ac:dyDescent="0.25">
      <c r="B443" s="378">
        <v>43449</v>
      </c>
      <c r="C443" s="370">
        <v>270582.68180620001</v>
      </c>
      <c r="D443" s="370">
        <v>34795.07</v>
      </c>
      <c r="E443" s="371">
        <v>0</v>
      </c>
      <c r="F443" s="371">
        <v>0</v>
      </c>
      <c r="G443" s="371">
        <v>5040.4799999999996</v>
      </c>
      <c r="H443" s="371"/>
      <c r="I443" s="371"/>
      <c r="J443" s="371"/>
      <c r="K443" s="371"/>
      <c r="L443" s="371"/>
      <c r="M443" s="371">
        <v>650000</v>
      </c>
      <c r="N443" s="371">
        <v>44000</v>
      </c>
      <c r="O443" s="371">
        <v>1600</v>
      </c>
      <c r="P443" s="371">
        <f t="shared" si="6"/>
        <v>91683</v>
      </c>
      <c r="Q443" s="381">
        <v>-42160.49</v>
      </c>
      <c r="R443" s="372">
        <v>275623.16180619999</v>
      </c>
      <c r="S443" s="400">
        <v>259000.08</v>
      </c>
      <c r="T443" s="400">
        <v>34340.450000000004</v>
      </c>
      <c r="U443" s="400">
        <v>0</v>
      </c>
      <c r="V443" s="400">
        <v>3644.36</v>
      </c>
      <c r="W443" s="372">
        <v>262644.44</v>
      </c>
      <c r="X443" s="373">
        <v>296984.88999999996</v>
      </c>
      <c r="Y443" s="372">
        <v>310418.2318062</v>
      </c>
      <c r="Z443" s="373">
        <v>1055540.7418062</v>
      </c>
      <c r="AA443" s="400">
        <v>0</v>
      </c>
      <c r="AB443" s="400">
        <v>0</v>
      </c>
      <c r="AC443" s="400">
        <v>0</v>
      </c>
      <c r="AD443" s="400">
        <v>0</v>
      </c>
      <c r="AE443" s="372">
        <v>0</v>
      </c>
      <c r="AF443" s="372">
        <v>0</v>
      </c>
      <c r="AG443" s="400">
        <v>0</v>
      </c>
      <c r="AH443" s="374">
        <v>0</v>
      </c>
      <c r="AI443" s="375">
        <v>0</v>
      </c>
      <c r="AJ443" s="372">
        <v>239.38</v>
      </c>
      <c r="AK443" s="376">
        <v>0</v>
      </c>
      <c r="AL443" s="376">
        <v>0</v>
      </c>
      <c r="AM443" s="412">
        <v>256.42913705583766</v>
      </c>
    </row>
    <row r="444" spans="2:39" s="380" customFormat="1" ht="28.15" customHeight="1" x14ac:dyDescent="0.25">
      <c r="B444" s="378">
        <v>43450</v>
      </c>
      <c r="C444" s="370">
        <v>270582.68180620001</v>
      </c>
      <c r="D444" s="370">
        <v>34795.07</v>
      </c>
      <c r="E444" s="371">
        <v>0</v>
      </c>
      <c r="F444" s="371">
        <v>0</v>
      </c>
      <c r="G444" s="371">
        <v>5040.4799999999996</v>
      </c>
      <c r="H444" s="371"/>
      <c r="I444" s="371"/>
      <c r="J444" s="371"/>
      <c r="K444" s="371"/>
      <c r="L444" s="371"/>
      <c r="M444" s="371">
        <v>650000</v>
      </c>
      <c r="N444" s="371">
        <v>44000</v>
      </c>
      <c r="O444" s="371">
        <v>1600</v>
      </c>
      <c r="P444" s="371">
        <f t="shared" si="6"/>
        <v>91683</v>
      </c>
      <c r="Q444" s="381">
        <v>-42160.49</v>
      </c>
      <c r="R444" s="372">
        <v>275623.16180619999</v>
      </c>
      <c r="S444" s="400">
        <v>259000.08</v>
      </c>
      <c r="T444" s="400">
        <v>34340.450000000004</v>
      </c>
      <c r="U444" s="400">
        <v>0</v>
      </c>
      <c r="V444" s="400">
        <v>3644.36</v>
      </c>
      <c r="W444" s="372">
        <v>262644.44</v>
      </c>
      <c r="X444" s="373">
        <v>296984.88999999996</v>
      </c>
      <c r="Y444" s="372">
        <v>310418.2318062</v>
      </c>
      <c r="Z444" s="373">
        <v>1055540.7418062</v>
      </c>
      <c r="AA444" s="400">
        <v>0</v>
      </c>
      <c r="AB444" s="400">
        <v>0</v>
      </c>
      <c r="AC444" s="400">
        <v>0</v>
      </c>
      <c r="AD444" s="400">
        <v>0</v>
      </c>
      <c r="AE444" s="372">
        <v>0</v>
      </c>
      <c r="AF444" s="372">
        <v>0</v>
      </c>
      <c r="AG444" s="400">
        <v>0</v>
      </c>
      <c r="AH444" s="374">
        <v>0</v>
      </c>
      <c r="AI444" s="375">
        <v>0</v>
      </c>
      <c r="AJ444" s="372">
        <v>239.38</v>
      </c>
      <c r="AK444" s="376">
        <v>0</v>
      </c>
      <c r="AL444" s="376">
        <v>0</v>
      </c>
      <c r="AM444" s="412">
        <v>256.36807106598991</v>
      </c>
    </row>
    <row r="445" spans="2:39" s="380" customFormat="1" ht="28.15" customHeight="1" x14ac:dyDescent="0.25">
      <c r="B445" s="369">
        <v>43451</v>
      </c>
      <c r="C445" s="370">
        <v>263484.64117630001</v>
      </c>
      <c r="D445" s="370">
        <v>34277.939999999995</v>
      </c>
      <c r="E445" s="371">
        <v>0</v>
      </c>
      <c r="F445" s="371">
        <v>0</v>
      </c>
      <c r="G445" s="371">
        <v>4878.6099999999997</v>
      </c>
      <c r="H445" s="371">
        <v>75</v>
      </c>
      <c r="I445" s="371">
        <v>210</v>
      </c>
      <c r="J445" s="371"/>
      <c r="K445" s="371"/>
      <c r="L445" s="371"/>
      <c r="M445" s="371">
        <v>650000</v>
      </c>
      <c r="N445" s="371">
        <v>44000</v>
      </c>
      <c r="O445" s="371">
        <v>1600</v>
      </c>
      <c r="P445" s="371">
        <f t="shared" si="6"/>
        <v>91683</v>
      </c>
      <c r="Q445" s="381">
        <v>-42160.49</v>
      </c>
      <c r="R445" s="372">
        <v>268363.25117629999</v>
      </c>
      <c r="S445" s="400">
        <v>259075.08</v>
      </c>
      <c r="T445" s="400">
        <v>34550.450000000004</v>
      </c>
      <c r="U445" s="400">
        <v>0</v>
      </c>
      <c r="V445" s="400">
        <v>3644.36</v>
      </c>
      <c r="W445" s="372">
        <v>262719.44</v>
      </c>
      <c r="X445" s="373">
        <v>297269.88999999996</v>
      </c>
      <c r="Y445" s="372">
        <v>302641.1911763</v>
      </c>
      <c r="Z445" s="373">
        <v>1047763.7011762999</v>
      </c>
      <c r="AA445" s="400">
        <v>-7173.0406299000024</v>
      </c>
      <c r="AB445" s="400">
        <v>-727.13000000000466</v>
      </c>
      <c r="AC445" s="400">
        <v>0</v>
      </c>
      <c r="AD445" s="400">
        <v>-161.86999999999989</v>
      </c>
      <c r="AE445" s="372">
        <v>-7334.9106299000023</v>
      </c>
      <c r="AF445" s="372">
        <v>-8062.0406299000069</v>
      </c>
      <c r="AG445" s="400">
        <v>-6.1500000000000057</v>
      </c>
      <c r="AH445" s="374">
        <v>-2.7332023284668612E-2</v>
      </c>
      <c r="AI445" s="375">
        <v>-2.121276832855197E-2</v>
      </c>
      <c r="AJ445" s="372">
        <v>233.23</v>
      </c>
      <c r="AK445" s="376">
        <v>-2.6368820477640123E-2</v>
      </c>
      <c r="AL445" s="376">
        <v>-9.6320280702848898E-4</v>
      </c>
      <c r="AM445" s="412">
        <v>256.30700507614216</v>
      </c>
    </row>
    <row r="446" spans="2:39" s="380" customFormat="1" ht="28.15" customHeight="1" x14ac:dyDescent="0.25">
      <c r="B446" s="369">
        <v>43452</v>
      </c>
      <c r="C446" s="370">
        <v>263320.66095840005</v>
      </c>
      <c r="D446" s="370">
        <v>34083.379999999997</v>
      </c>
      <c r="E446" s="371">
        <v>0</v>
      </c>
      <c r="F446" s="371">
        <v>0</v>
      </c>
      <c r="G446" s="371">
        <v>4878.6099999999997</v>
      </c>
      <c r="H446" s="371"/>
      <c r="I446" s="371"/>
      <c r="J446" s="371"/>
      <c r="K446" s="371"/>
      <c r="L446" s="371"/>
      <c r="M446" s="371">
        <v>650000</v>
      </c>
      <c r="N446" s="371">
        <v>44000</v>
      </c>
      <c r="O446" s="371">
        <v>1600</v>
      </c>
      <c r="P446" s="371">
        <f t="shared" si="6"/>
        <v>91683</v>
      </c>
      <c r="Q446" s="381">
        <v>-42160.49</v>
      </c>
      <c r="R446" s="372">
        <v>268199.27095840004</v>
      </c>
      <c r="S446" s="400">
        <v>259075.08</v>
      </c>
      <c r="T446" s="400">
        <v>34550.450000000004</v>
      </c>
      <c r="U446" s="400">
        <v>0</v>
      </c>
      <c r="V446" s="400">
        <v>3644.36</v>
      </c>
      <c r="W446" s="372">
        <v>262719.44</v>
      </c>
      <c r="X446" s="373">
        <v>297269.88999999996</v>
      </c>
      <c r="Y446" s="372">
        <v>302282.65095840005</v>
      </c>
      <c r="Z446" s="373">
        <v>1047405.1609584</v>
      </c>
      <c r="AA446" s="400">
        <v>-163.98021789995255</v>
      </c>
      <c r="AB446" s="400">
        <v>-194.55999999999767</v>
      </c>
      <c r="AC446" s="400">
        <v>0</v>
      </c>
      <c r="AD446" s="400">
        <v>0</v>
      </c>
      <c r="AE446" s="372">
        <v>-163.98021789995255</v>
      </c>
      <c r="AF446" s="372">
        <v>-358.54021789995022</v>
      </c>
      <c r="AG446" s="400">
        <v>-9.0000000000003411E-2</v>
      </c>
      <c r="AH446" s="374">
        <v>-6.1141187041253086E-4</v>
      </c>
      <c r="AI446" s="375">
        <v>-5.7083540423513652E-3</v>
      </c>
      <c r="AJ446" s="372">
        <v>233.14</v>
      </c>
      <c r="AK446" s="376">
        <v>-3.8603414257529131E-4</v>
      </c>
      <c r="AL446" s="376">
        <v>-2.2537772783723955E-4</v>
      </c>
      <c r="AM446" s="412">
        <v>256.2147208121828</v>
      </c>
    </row>
    <row r="447" spans="2:39" s="380" customFormat="1" ht="28.15" customHeight="1" x14ac:dyDescent="0.25">
      <c r="B447" s="369">
        <v>43453</v>
      </c>
      <c r="C447" s="370">
        <v>259023.69610720003</v>
      </c>
      <c r="D447" s="370">
        <v>34141.609999999993</v>
      </c>
      <c r="E447" s="371">
        <v>0</v>
      </c>
      <c r="F447" s="371">
        <v>0</v>
      </c>
      <c r="G447" s="371">
        <v>4882.12</v>
      </c>
      <c r="H447" s="371"/>
      <c r="I447" s="371"/>
      <c r="J447" s="371"/>
      <c r="K447" s="371"/>
      <c r="L447" s="371"/>
      <c r="M447" s="371">
        <v>650000</v>
      </c>
      <c r="N447" s="371">
        <v>44000</v>
      </c>
      <c r="O447" s="371">
        <v>1600</v>
      </c>
      <c r="P447" s="371">
        <f t="shared" si="6"/>
        <v>91683</v>
      </c>
      <c r="Q447" s="381">
        <v>-42160.49</v>
      </c>
      <c r="R447" s="372">
        <v>263905.81610720005</v>
      </c>
      <c r="S447" s="400">
        <v>259075.08</v>
      </c>
      <c r="T447" s="400">
        <v>34550.450000000004</v>
      </c>
      <c r="U447" s="400">
        <v>0</v>
      </c>
      <c r="V447" s="400">
        <v>3644.36</v>
      </c>
      <c r="W447" s="372">
        <v>262719.44</v>
      </c>
      <c r="X447" s="373">
        <v>297269.88999999996</v>
      </c>
      <c r="Y447" s="372">
        <v>298047.42610720004</v>
      </c>
      <c r="Z447" s="373">
        <v>1043169.9361072001</v>
      </c>
      <c r="AA447" s="400">
        <v>-4296.9648512000276</v>
      </c>
      <c r="AB447" s="400">
        <v>58.229999999995925</v>
      </c>
      <c r="AC447" s="400">
        <v>0</v>
      </c>
      <c r="AD447" s="400">
        <v>3.5100000000002183</v>
      </c>
      <c r="AE447" s="372">
        <v>-4293.4548512000274</v>
      </c>
      <c r="AF447" s="372">
        <v>-4235.2248512000315</v>
      </c>
      <c r="AG447" s="400">
        <v>-3.7199999999999989</v>
      </c>
      <c r="AH447" s="374">
        <v>-1.626889060094076E-2</v>
      </c>
      <c r="AI447" s="375">
        <v>1.7055434702697365E-3</v>
      </c>
      <c r="AJ447" s="372">
        <v>229.42</v>
      </c>
      <c r="AK447" s="376">
        <v>-1.6214802545549644E-2</v>
      </c>
      <c r="AL447" s="376">
        <v>-5.4088055391116052E-5</v>
      </c>
      <c r="AM447" s="412">
        <v>256.11634517766504</v>
      </c>
    </row>
    <row r="448" spans="2:39" s="380" customFormat="1" ht="28.15" customHeight="1" x14ac:dyDescent="0.25">
      <c r="B448" s="369">
        <v>43454</v>
      </c>
      <c r="C448" s="370">
        <v>255849.46799560002</v>
      </c>
      <c r="D448" s="370">
        <v>33796.789999999994</v>
      </c>
      <c r="E448" s="371">
        <v>0</v>
      </c>
      <c r="F448" s="371">
        <v>0</v>
      </c>
      <c r="G448" s="371">
        <v>4823.68</v>
      </c>
      <c r="H448" s="371"/>
      <c r="I448" s="371"/>
      <c r="J448" s="371"/>
      <c r="K448" s="371"/>
      <c r="L448" s="371"/>
      <c r="M448" s="371">
        <v>650000</v>
      </c>
      <c r="N448" s="371">
        <v>44000</v>
      </c>
      <c r="O448" s="371">
        <v>1600</v>
      </c>
      <c r="P448" s="371">
        <f t="shared" si="6"/>
        <v>91683</v>
      </c>
      <c r="Q448" s="381">
        <v>-42160.49</v>
      </c>
      <c r="R448" s="372">
        <v>260673.14799560001</v>
      </c>
      <c r="S448" s="400">
        <v>259075.08</v>
      </c>
      <c r="T448" s="400">
        <v>34550.450000000004</v>
      </c>
      <c r="U448" s="400">
        <v>0</v>
      </c>
      <c r="V448" s="400">
        <v>3644.36</v>
      </c>
      <c r="W448" s="372">
        <v>262719.44</v>
      </c>
      <c r="X448" s="373">
        <v>297269.88999999996</v>
      </c>
      <c r="Y448" s="372">
        <v>294469.93799559999</v>
      </c>
      <c r="Z448" s="373">
        <v>1039592.4479956001</v>
      </c>
      <c r="AA448" s="400">
        <v>-3174.2281116000086</v>
      </c>
      <c r="AB448" s="400">
        <v>-344.81999999999971</v>
      </c>
      <c r="AC448" s="400">
        <v>0</v>
      </c>
      <c r="AD448" s="400">
        <v>-58.4399999999996</v>
      </c>
      <c r="AE448" s="372">
        <v>-3232.6681116000082</v>
      </c>
      <c r="AF448" s="372">
        <v>-3577.4881116000079</v>
      </c>
      <c r="AG448" s="400">
        <v>-3.7699999999999818</v>
      </c>
      <c r="AH448" s="374">
        <v>-1.240123172047845E-2</v>
      </c>
      <c r="AI448" s="375">
        <v>-1.0202744106762794E-2</v>
      </c>
      <c r="AJ448" s="372">
        <v>225.65</v>
      </c>
      <c r="AK448" s="376">
        <v>-1.6707290050963802E-2</v>
      </c>
      <c r="AL448" s="376">
        <v>4.3060583304853524E-3</v>
      </c>
      <c r="AM448" s="412">
        <v>255.99730964467008</v>
      </c>
    </row>
    <row r="449" spans="2:39" s="380" customFormat="1" ht="28.15" customHeight="1" x14ac:dyDescent="0.25">
      <c r="B449" s="369">
        <v>43455</v>
      </c>
      <c r="C449" s="370">
        <v>255519.39451570006</v>
      </c>
      <c r="D449" s="370">
        <v>33475.78</v>
      </c>
      <c r="E449" s="371">
        <v>0</v>
      </c>
      <c r="F449" s="371">
        <v>0</v>
      </c>
      <c r="G449" s="371">
        <v>4782.47</v>
      </c>
      <c r="H449" s="371"/>
      <c r="I449" s="371"/>
      <c r="J449" s="371"/>
      <c r="K449" s="371"/>
      <c r="L449" s="371"/>
      <c r="M449" s="371">
        <v>650000</v>
      </c>
      <c r="N449" s="371">
        <v>44000</v>
      </c>
      <c r="O449" s="371">
        <v>1600</v>
      </c>
      <c r="P449" s="371">
        <f t="shared" si="6"/>
        <v>91683</v>
      </c>
      <c r="Q449" s="381">
        <v>-42160.49</v>
      </c>
      <c r="R449" s="372">
        <v>260301.86451570006</v>
      </c>
      <c r="S449" s="400">
        <v>259075.08</v>
      </c>
      <c r="T449" s="400">
        <v>34550.450000000004</v>
      </c>
      <c r="U449" s="400">
        <v>0</v>
      </c>
      <c r="V449" s="400">
        <v>3644.36</v>
      </c>
      <c r="W449" s="372">
        <v>262719.44</v>
      </c>
      <c r="X449" s="373">
        <v>297269.88999999996</v>
      </c>
      <c r="Y449" s="372">
        <v>293777.64451570006</v>
      </c>
      <c r="Z449" s="373">
        <v>1038900.1545157002</v>
      </c>
      <c r="AA449" s="400">
        <v>-330.07347989996197</v>
      </c>
      <c r="AB449" s="400">
        <v>-321.00999999999476</v>
      </c>
      <c r="AC449" s="400">
        <v>0</v>
      </c>
      <c r="AD449" s="400">
        <v>-41.210000000000036</v>
      </c>
      <c r="AE449" s="372">
        <v>-371.283479899962</v>
      </c>
      <c r="AF449" s="372">
        <v>-692.29347989995676</v>
      </c>
      <c r="AG449" s="400">
        <v>-4.4900000000000091</v>
      </c>
      <c r="AH449" s="374">
        <v>-1.4263573585642454E-3</v>
      </c>
      <c r="AI449" s="375">
        <v>-9.5893209956570032E-3</v>
      </c>
      <c r="AJ449" s="372">
        <v>221.16</v>
      </c>
      <c r="AK449" s="376">
        <v>-2.0302043769216897E-2</v>
      </c>
      <c r="AL449" s="376">
        <v>1.8875686410652653E-2</v>
      </c>
      <c r="AM449" s="412">
        <v>255.84888324873106</v>
      </c>
    </row>
    <row r="450" spans="2:39" s="380" customFormat="1" ht="28.15" customHeight="1" x14ac:dyDescent="0.25">
      <c r="B450" s="378">
        <v>43456</v>
      </c>
      <c r="C450" s="370">
        <v>255519.39451570006</v>
      </c>
      <c r="D450" s="370">
        <v>33475.78</v>
      </c>
      <c r="E450" s="371">
        <v>0</v>
      </c>
      <c r="F450" s="371">
        <v>0</v>
      </c>
      <c r="G450" s="371">
        <v>4782.47</v>
      </c>
      <c r="H450" s="371"/>
      <c r="I450" s="371"/>
      <c r="J450" s="371"/>
      <c r="K450" s="371"/>
      <c r="L450" s="371"/>
      <c r="M450" s="371">
        <v>650000</v>
      </c>
      <c r="N450" s="371">
        <v>44000</v>
      </c>
      <c r="O450" s="371">
        <v>1600</v>
      </c>
      <c r="P450" s="371">
        <f t="shared" si="6"/>
        <v>91683</v>
      </c>
      <c r="Q450" s="381">
        <v>-42160.49</v>
      </c>
      <c r="R450" s="372">
        <v>260301.86451570006</v>
      </c>
      <c r="S450" s="400">
        <v>259075.08</v>
      </c>
      <c r="T450" s="400">
        <v>34550.450000000004</v>
      </c>
      <c r="U450" s="400">
        <v>0</v>
      </c>
      <c r="V450" s="400">
        <v>3644.36</v>
      </c>
      <c r="W450" s="372">
        <v>262719.44</v>
      </c>
      <c r="X450" s="373">
        <v>297269.88999999996</v>
      </c>
      <c r="Y450" s="372">
        <v>293777.64451570006</v>
      </c>
      <c r="Z450" s="373">
        <v>1038900.1545157002</v>
      </c>
      <c r="AA450" s="400">
        <v>0</v>
      </c>
      <c r="AB450" s="400">
        <v>0</v>
      </c>
      <c r="AC450" s="400">
        <v>0</v>
      </c>
      <c r="AD450" s="400">
        <v>0</v>
      </c>
      <c r="AE450" s="372">
        <v>0</v>
      </c>
      <c r="AF450" s="372">
        <v>0</v>
      </c>
      <c r="AG450" s="400">
        <v>0</v>
      </c>
      <c r="AH450" s="374">
        <v>0</v>
      </c>
      <c r="AI450" s="375">
        <v>0</v>
      </c>
      <c r="AJ450" s="372">
        <v>221.16</v>
      </c>
      <c r="AK450" s="376">
        <v>0</v>
      </c>
      <c r="AL450" s="376">
        <v>0</v>
      </c>
      <c r="AM450" s="412">
        <v>255.67827411167522</v>
      </c>
    </row>
    <row r="451" spans="2:39" s="380" customFormat="1" ht="28.15" customHeight="1" x14ac:dyDescent="0.25">
      <c r="B451" s="378">
        <v>43457</v>
      </c>
      <c r="C451" s="370">
        <v>255519.39451570006</v>
      </c>
      <c r="D451" s="370">
        <v>33475.78</v>
      </c>
      <c r="E451" s="371">
        <v>0</v>
      </c>
      <c r="F451" s="371">
        <v>0</v>
      </c>
      <c r="G451" s="371">
        <v>4782.47</v>
      </c>
      <c r="H451" s="371"/>
      <c r="I451" s="371"/>
      <c r="J451" s="371"/>
      <c r="K451" s="371"/>
      <c r="L451" s="371"/>
      <c r="M451" s="371">
        <v>650000</v>
      </c>
      <c r="N451" s="371">
        <v>44000</v>
      </c>
      <c r="O451" s="371">
        <v>1600</v>
      </c>
      <c r="P451" s="371">
        <f t="shared" si="6"/>
        <v>91683</v>
      </c>
      <c r="Q451" s="381">
        <v>-42160.49</v>
      </c>
      <c r="R451" s="372">
        <v>260301.86451570006</v>
      </c>
      <c r="S451" s="400">
        <v>259075.08</v>
      </c>
      <c r="T451" s="400">
        <v>34550.450000000004</v>
      </c>
      <c r="U451" s="400">
        <v>0</v>
      </c>
      <c r="V451" s="400">
        <v>3644.36</v>
      </c>
      <c r="W451" s="372">
        <v>262719.44</v>
      </c>
      <c r="X451" s="373">
        <v>297269.88999999996</v>
      </c>
      <c r="Y451" s="372">
        <v>293777.64451570006</v>
      </c>
      <c r="Z451" s="373">
        <v>1038900.1545157002</v>
      </c>
      <c r="AA451" s="400">
        <v>0</v>
      </c>
      <c r="AB451" s="400">
        <v>0</v>
      </c>
      <c r="AC451" s="400">
        <v>0</v>
      </c>
      <c r="AD451" s="400">
        <v>0</v>
      </c>
      <c r="AE451" s="372">
        <v>0</v>
      </c>
      <c r="AF451" s="372">
        <v>0</v>
      </c>
      <c r="AG451" s="400">
        <v>0</v>
      </c>
      <c r="AH451" s="374">
        <v>0</v>
      </c>
      <c r="AI451" s="375">
        <v>0</v>
      </c>
      <c r="AJ451" s="372">
        <v>221.16</v>
      </c>
      <c r="AK451" s="376">
        <v>0</v>
      </c>
      <c r="AL451" s="376">
        <v>0</v>
      </c>
      <c r="AM451" s="412">
        <v>255.50360406091386</v>
      </c>
    </row>
    <row r="452" spans="2:39" s="380" customFormat="1" ht="28.15" customHeight="1" x14ac:dyDescent="0.25">
      <c r="B452" s="369">
        <v>43458</v>
      </c>
      <c r="C452" s="370">
        <v>252250.08921889999</v>
      </c>
      <c r="D452" s="370">
        <v>32899.519999999997</v>
      </c>
      <c r="E452" s="371">
        <v>0</v>
      </c>
      <c r="F452" s="371">
        <v>0</v>
      </c>
      <c r="G452" s="371">
        <v>4711.34</v>
      </c>
      <c r="H452" s="371"/>
      <c r="I452" s="371"/>
      <c r="J452" s="371"/>
      <c r="K452" s="371"/>
      <c r="L452" s="371"/>
      <c r="M452" s="371">
        <v>650000</v>
      </c>
      <c r="N452" s="371">
        <v>44000</v>
      </c>
      <c r="O452" s="371">
        <v>1600</v>
      </c>
      <c r="P452" s="371">
        <f t="shared" si="6"/>
        <v>91683</v>
      </c>
      <c r="Q452" s="381">
        <v>-42160.49</v>
      </c>
      <c r="R452" s="372">
        <v>256961.42921889998</v>
      </c>
      <c r="S452" s="400">
        <v>259075.08</v>
      </c>
      <c r="T452" s="400">
        <v>34550.450000000004</v>
      </c>
      <c r="U452" s="400">
        <v>0</v>
      </c>
      <c r="V452" s="400">
        <v>3644.36</v>
      </c>
      <c r="W452" s="372">
        <v>262719.44</v>
      </c>
      <c r="X452" s="373">
        <v>297269.88999999996</v>
      </c>
      <c r="Y452" s="372">
        <v>289860.9492189</v>
      </c>
      <c r="Z452" s="373">
        <v>1034983.4592189</v>
      </c>
      <c r="AA452" s="400">
        <v>-3269.3052968000702</v>
      </c>
      <c r="AB452" s="400">
        <v>-576.26000000000204</v>
      </c>
      <c r="AC452" s="400">
        <v>0</v>
      </c>
      <c r="AD452" s="400">
        <v>-71.130000000000109</v>
      </c>
      <c r="AE452" s="372">
        <v>-3340.4352968000703</v>
      </c>
      <c r="AF452" s="372">
        <v>-3916.6952968000724</v>
      </c>
      <c r="AG452" s="400">
        <v>-6.0900000000000034</v>
      </c>
      <c r="AH452" s="374">
        <v>-1.299975372550728E-2</v>
      </c>
      <c r="AI452" s="375">
        <v>-1.7515757068796205E-2</v>
      </c>
      <c r="AJ452" s="372">
        <v>215.07</v>
      </c>
      <c r="AK452" s="376">
        <v>-2.8316362114660359E-2</v>
      </c>
      <c r="AL452" s="376">
        <v>1.5316608389153078E-2</v>
      </c>
      <c r="AM452" s="412">
        <v>255.32893401015249</v>
      </c>
    </row>
    <row r="453" spans="2:39" s="380" customFormat="1" ht="28.15" customHeight="1" x14ac:dyDescent="0.25">
      <c r="B453" s="378">
        <v>43459</v>
      </c>
      <c r="C453" s="370">
        <v>252250.08921889999</v>
      </c>
      <c r="D453" s="370">
        <v>32899.519999999997</v>
      </c>
      <c r="E453" s="371">
        <v>0</v>
      </c>
      <c r="F453" s="371">
        <v>0</v>
      </c>
      <c r="G453" s="371">
        <v>4711.34</v>
      </c>
      <c r="H453" s="371"/>
      <c r="I453" s="371"/>
      <c r="J453" s="371"/>
      <c r="K453" s="371"/>
      <c r="L453" s="371"/>
      <c r="M453" s="371">
        <v>650000</v>
      </c>
      <c r="N453" s="371">
        <v>44000</v>
      </c>
      <c r="O453" s="371">
        <v>1600</v>
      </c>
      <c r="P453" s="371">
        <f t="shared" si="6"/>
        <v>91683</v>
      </c>
      <c r="Q453" s="381">
        <v>-42160.49</v>
      </c>
      <c r="R453" s="372">
        <v>256961.42921889998</v>
      </c>
      <c r="S453" s="400">
        <v>259075.08</v>
      </c>
      <c r="T453" s="400">
        <v>34550.450000000004</v>
      </c>
      <c r="U453" s="400">
        <v>0</v>
      </c>
      <c r="V453" s="400">
        <v>3644.36</v>
      </c>
      <c r="W453" s="372">
        <v>262719.44</v>
      </c>
      <c r="X453" s="373">
        <v>297269.88999999996</v>
      </c>
      <c r="Y453" s="372">
        <v>289860.9492189</v>
      </c>
      <c r="Z453" s="373">
        <v>1034983.4592189</v>
      </c>
      <c r="AA453" s="400">
        <v>0</v>
      </c>
      <c r="AB453" s="400">
        <v>0</v>
      </c>
      <c r="AC453" s="400">
        <v>0</v>
      </c>
      <c r="AD453" s="400">
        <v>0</v>
      </c>
      <c r="AE453" s="372">
        <v>0</v>
      </c>
      <c r="AF453" s="372">
        <v>0</v>
      </c>
      <c r="AG453" s="400">
        <v>0</v>
      </c>
      <c r="AH453" s="374">
        <v>0</v>
      </c>
      <c r="AI453" s="375">
        <v>0</v>
      </c>
      <c r="AJ453" s="372">
        <v>215.07</v>
      </c>
      <c r="AK453" s="376">
        <v>0</v>
      </c>
      <c r="AL453" s="376">
        <v>0</v>
      </c>
      <c r="AM453" s="412">
        <v>255.12335025380727</v>
      </c>
    </row>
    <row r="454" spans="2:39" s="380" customFormat="1" ht="28.15" customHeight="1" x14ac:dyDescent="0.25">
      <c r="B454" s="369">
        <v>43460</v>
      </c>
      <c r="C454" s="370">
        <v>264742.917541</v>
      </c>
      <c r="D454" s="370">
        <v>32899.519999999997</v>
      </c>
      <c r="E454" s="371">
        <v>0</v>
      </c>
      <c r="F454" s="371">
        <v>0</v>
      </c>
      <c r="G454" s="371">
        <v>4595.45</v>
      </c>
      <c r="H454" s="371"/>
      <c r="I454" s="371"/>
      <c r="J454" s="371"/>
      <c r="K454" s="371"/>
      <c r="L454" s="371"/>
      <c r="M454" s="371">
        <v>650000</v>
      </c>
      <c r="N454" s="371">
        <v>44000</v>
      </c>
      <c r="O454" s="371">
        <v>1600</v>
      </c>
      <c r="P454" s="371">
        <f t="shared" ref="P454:P548" si="7">91683</f>
        <v>91683</v>
      </c>
      <c r="Q454" s="381">
        <v>-42160.49</v>
      </c>
      <c r="R454" s="372">
        <v>269338.36754100001</v>
      </c>
      <c r="S454" s="400">
        <v>259075.08</v>
      </c>
      <c r="T454" s="400">
        <v>34550.450000000004</v>
      </c>
      <c r="U454" s="400">
        <v>0</v>
      </c>
      <c r="V454" s="400">
        <v>3644.36</v>
      </c>
      <c r="W454" s="372">
        <v>262719.44</v>
      </c>
      <c r="X454" s="373">
        <v>297269.88999999996</v>
      </c>
      <c r="Y454" s="372">
        <v>302237.88754100003</v>
      </c>
      <c r="Z454" s="373">
        <v>1047360.397541</v>
      </c>
      <c r="AA454" s="400">
        <v>12492.828322100017</v>
      </c>
      <c r="AB454" s="400">
        <v>0</v>
      </c>
      <c r="AC454" s="400">
        <v>0</v>
      </c>
      <c r="AD454" s="400">
        <v>-115.89000000000033</v>
      </c>
      <c r="AE454" s="372">
        <v>12376.938322100017</v>
      </c>
      <c r="AF454" s="372">
        <v>12376.938322100017</v>
      </c>
      <c r="AG454" s="400">
        <v>10.879999999999995</v>
      </c>
      <c r="AH454" s="374">
        <v>4.5953119992144971E-2</v>
      </c>
      <c r="AI454" s="375">
        <v>0</v>
      </c>
      <c r="AJ454" s="372">
        <v>225.95</v>
      </c>
      <c r="AK454" s="376">
        <v>4.8152246072139838E-2</v>
      </c>
      <c r="AL454" s="376">
        <v>-2.1991260799948675E-3</v>
      </c>
      <c r="AM454" s="412">
        <v>254.91609137055852</v>
      </c>
    </row>
    <row r="455" spans="2:39" s="380" customFormat="1" ht="28.15" customHeight="1" x14ac:dyDescent="0.25">
      <c r="B455" s="378">
        <v>43461</v>
      </c>
      <c r="C455" s="370">
        <v>264742.917541</v>
      </c>
      <c r="D455" s="370">
        <v>32899.519999999997</v>
      </c>
      <c r="E455" s="371">
        <v>0</v>
      </c>
      <c r="F455" s="371">
        <v>0</v>
      </c>
      <c r="G455" s="371">
        <v>4595.45</v>
      </c>
      <c r="H455" s="371"/>
      <c r="I455" s="371"/>
      <c r="J455" s="371"/>
      <c r="K455" s="371"/>
      <c r="L455" s="371"/>
      <c r="M455" s="371">
        <v>650000</v>
      </c>
      <c r="N455" s="371">
        <v>44000</v>
      </c>
      <c r="O455" s="371">
        <v>1600</v>
      </c>
      <c r="P455" s="371">
        <f t="shared" si="7"/>
        <v>91683</v>
      </c>
      <c r="Q455" s="381">
        <v>-42160.49</v>
      </c>
      <c r="R455" s="372">
        <v>269338.36754100001</v>
      </c>
      <c r="S455" s="400">
        <v>259075.08</v>
      </c>
      <c r="T455" s="400">
        <v>34550.450000000004</v>
      </c>
      <c r="U455" s="400">
        <v>0</v>
      </c>
      <c r="V455" s="400">
        <v>3644.36</v>
      </c>
      <c r="W455" s="372">
        <v>262719.44</v>
      </c>
      <c r="X455" s="373">
        <v>297269.88999999996</v>
      </c>
      <c r="Y455" s="372">
        <v>302237.88754100003</v>
      </c>
      <c r="Z455" s="373">
        <v>1047360.397541</v>
      </c>
      <c r="AA455" s="400">
        <v>0</v>
      </c>
      <c r="AB455" s="400">
        <v>0</v>
      </c>
      <c r="AC455" s="400">
        <v>0</v>
      </c>
      <c r="AD455" s="400">
        <v>0</v>
      </c>
      <c r="AE455" s="372">
        <v>0</v>
      </c>
      <c r="AF455" s="372">
        <v>0</v>
      </c>
      <c r="AG455" s="400">
        <v>2.1000000000000227</v>
      </c>
      <c r="AH455" s="374">
        <v>0</v>
      </c>
      <c r="AI455" s="375">
        <v>0</v>
      </c>
      <c r="AJ455" s="372">
        <v>228.05</v>
      </c>
      <c r="AK455" s="376">
        <v>9.2085069063802798E-3</v>
      </c>
      <c r="AL455" s="376">
        <v>-9.2085069063802798E-3</v>
      </c>
      <c r="AM455" s="412">
        <v>254.76187817258895</v>
      </c>
    </row>
    <row r="456" spans="2:39" s="380" customFormat="1" ht="28.15" customHeight="1" x14ac:dyDescent="0.25">
      <c r="B456" s="369">
        <v>43462</v>
      </c>
      <c r="C456" s="370">
        <v>254884.48275359999</v>
      </c>
      <c r="D456" s="370">
        <v>33457.68</v>
      </c>
      <c r="E456" s="371">
        <v>0</v>
      </c>
      <c r="F456" s="371">
        <v>0</v>
      </c>
      <c r="G456" s="371">
        <v>4835.74</v>
      </c>
      <c r="H456" s="371">
        <v>75</v>
      </c>
      <c r="I456" s="371"/>
      <c r="J456" s="371"/>
      <c r="K456" s="371"/>
      <c r="L456" s="371"/>
      <c r="M456" s="371">
        <v>650000</v>
      </c>
      <c r="N456" s="371">
        <v>44000</v>
      </c>
      <c r="O456" s="371">
        <v>1600</v>
      </c>
      <c r="P456" s="371">
        <f t="shared" si="7"/>
        <v>91683</v>
      </c>
      <c r="Q456" s="381">
        <v>-42160.49</v>
      </c>
      <c r="R456" s="372">
        <v>259720.22275359998</v>
      </c>
      <c r="S456" s="400">
        <v>259150.07999999999</v>
      </c>
      <c r="T456" s="400">
        <v>34550.450000000004</v>
      </c>
      <c r="U456" s="400">
        <v>0</v>
      </c>
      <c r="V456" s="400">
        <v>3644.36</v>
      </c>
      <c r="W456" s="372">
        <v>262794.44</v>
      </c>
      <c r="X456" s="373">
        <v>297344.88999999996</v>
      </c>
      <c r="Y456" s="372">
        <v>293177.90275359998</v>
      </c>
      <c r="Z456" s="373">
        <v>1038300.4127535999</v>
      </c>
      <c r="AA456" s="400">
        <v>-9933.4347874000086</v>
      </c>
      <c r="AB456" s="400">
        <v>558.16000000000349</v>
      </c>
      <c r="AC456" s="400">
        <v>0</v>
      </c>
      <c r="AD456" s="400">
        <v>240.28999999999996</v>
      </c>
      <c r="AE456" s="372">
        <v>-9693.1447874000078</v>
      </c>
      <c r="AF456" s="372">
        <v>-9134.9847874000043</v>
      </c>
      <c r="AG456" s="400">
        <v>-0.29000000000002046</v>
      </c>
      <c r="AH456" s="374">
        <v>-3.7321486500479492E-2</v>
      </c>
      <c r="AI456" s="375">
        <v>1.6682567350754848E-2</v>
      </c>
      <c r="AJ456" s="372">
        <v>227.76</v>
      </c>
      <c r="AK456" s="376">
        <v>-1.2732701088866371E-3</v>
      </c>
      <c r="AL456" s="376">
        <v>-3.6048216391592856E-2</v>
      </c>
      <c r="AM456" s="412">
        <v>254.62350253807122</v>
      </c>
    </row>
    <row r="457" spans="2:39" s="380" customFormat="1" ht="28.15" customHeight="1" x14ac:dyDescent="0.25">
      <c r="B457" s="378">
        <v>43463</v>
      </c>
      <c r="C457" s="370">
        <v>254884.48275359999</v>
      </c>
      <c r="D457" s="370">
        <v>33457.68</v>
      </c>
      <c r="E457" s="371">
        <v>0</v>
      </c>
      <c r="F457" s="371">
        <v>0</v>
      </c>
      <c r="G457" s="371">
        <v>4835.74</v>
      </c>
      <c r="H457" s="371"/>
      <c r="I457" s="371"/>
      <c r="J457" s="371"/>
      <c r="K457" s="371"/>
      <c r="L457" s="371"/>
      <c r="M457" s="371">
        <v>650000</v>
      </c>
      <c r="N457" s="371">
        <v>44000</v>
      </c>
      <c r="O457" s="371">
        <v>1600</v>
      </c>
      <c r="P457" s="371">
        <f t="shared" si="7"/>
        <v>91683</v>
      </c>
      <c r="Q457" s="381">
        <v>-42160.49</v>
      </c>
      <c r="R457" s="372">
        <v>259720.22275359998</v>
      </c>
      <c r="S457" s="400">
        <v>259075.08</v>
      </c>
      <c r="T457" s="400">
        <v>34550.450000000004</v>
      </c>
      <c r="U457" s="400">
        <v>0</v>
      </c>
      <c r="V457" s="400">
        <v>3644.36</v>
      </c>
      <c r="W457" s="372">
        <v>262719.44</v>
      </c>
      <c r="X457" s="373">
        <v>297269.88999999996</v>
      </c>
      <c r="Y457" s="372">
        <v>293177.90275359998</v>
      </c>
      <c r="Z457" s="373">
        <v>1038300.4127535999</v>
      </c>
      <c r="AA457" s="400">
        <v>0</v>
      </c>
      <c r="AB457" s="400">
        <v>0</v>
      </c>
      <c r="AC457" s="400">
        <v>0</v>
      </c>
      <c r="AD457" s="400">
        <v>0</v>
      </c>
      <c r="AE457" s="372">
        <v>0</v>
      </c>
      <c r="AF457" s="372">
        <v>0</v>
      </c>
      <c r="AG457" s="400">
        <v>0</v>
      </c>
      <c r="AH457" s="374">
        <v>0</v>
      </c>
      <c r="AI457" s="375">
        <v>0</v>
      </c>
      <c r="AJ457" s="372">
        <v>227.76</v>
      </c>
      <c r="AK457" s="376">
        <v>0</v>
      </c>
      <c r="AL457" s="376">
        <v>0</v>
      </c>
      <c r="AM457" s="412">
        <v>254.47989847715752</v>
      </c>
    </row>
    <row r="458" spans="2:39" s="380" customFormat="1" ht="28.15" customHeight="1" x14ac:dyDescent="0.25">
      <c r="B458" s="378">
        <v>43464</v>
      </c>
      <c r="C458" s="370">
        <v>254884.48275359999</v>
      </c>
      <c r="D458" s="370">
        <v>33457.68</v>
      </c>
      <c r="E458" s="371">
        <v>0</v>
      </c>
      <c r="F458" s="371">
        <v>0</v>
      </c>
      <c r="G458" s="371">
        <v>4835.74</v>
      </c>
      <c r="H458" s="371"/>
      <c r="I458" s="371"/>
      <c r="J458" s="371"/>
      <c r="K458" s="371"/>
      <c r="L458" s="371"/>
      <c r="M458" s="371">
        <v>650000</v>
      </c>
      <c r="N458" s="371">
        <v>44000</v>
      </c>
      <c r="O458" s="371">
        <v>1600</v>
      </c>
      <c r="P458" s="371">
        <f t="shared" si="7"/>
        <v>91683</v>
      </c>
      <c r="Q458" s="381">
        <v>-42160.49</v>
      </c>
      <c r="R458" s="372">
        <v>259720.22275359998</v>
      </c>
      <c r="S458" s="400">
        <v>259150.07999999999</v>
      </c>
      <c r="T458" s="400">
        <v>34550.450000000004</v>
      </c>
      <c r="U458" s="400">
        <v>0</v>
      </c>
      <c r="V458" s="400">
        <v>3644.36</v>
      </c>
      <c r="W458" s="372">
        <v>262794.44</v>
      </c>
      <c r="X458" s="373">
        <v>297344.88999999996</v>
      </c>
      <c r="Y458" s="372">
        <v>293177.90275359998</v>
      </c>
      <c r="Z458" s="373">
        <v>1038300.4127535999</v>
      </c>
      <c r="AA458" s="400">
        <v>0</v>
      </c>
      <c r="AB458" s="400">
        <v>0</v>
      </c>
      <c r="AC458" s="400">
        <v>0</v>
      </c>
      <c r="AD458" s="400">
        <v>0</v>
      </c>
      <c r="AE458" s="372">
        <v>0</v>
      </c>
      <c r="AF458" s="372">
        <v>0</v>
      </c>
      <c r="AG458" s="400">
        <v>0</v>
      </c>
      <c r="AH458" s="374">
        <v>0</v>
      </c>
      <c r="AI458" s="375">
        <v>0</v>
      </c>
      <c r="AJ458" s="372">
        <v>227.76</v>
      </c>
      <c r="AK458" s="376">
        <v>0</v>
      </c>
      <c r="AL458" s="376">
        <v>0</v>
      </c>
      <c r="AM458" s="412">
        <v>254.33741116751284</v>
      </c>
    </row>
    <row r="459" spans="2:39" s="380" customFormat="1" ht="28.15" customHeight="1" x14ac:dyDescent="0.25">
      <c r="B459" s="378">
        <v>43465</v>
      </c>
      <c r="C459" s="370">
        <v>254884.48275359999</v>
      </c>
      <c r="D459" s="370">
        <v>33457.68</v>
      </c>
      <c r="E459" s="371">
        <v>0</v>
      </c>
      <c r="F459" s="371">
        <v>0</v>
      </c>
      <c r="G459" s="371">
        <v>4835.74</v>
      </c>
      <c r="H459" s="371"/>
      <c r="I459" s="371"/>
      <c r="J459" s="371"/>
      <c r="K459" s="371"/>
      <c r="L459" s="371"/>
      <c r="M459" s="371">
        <v>650000</v>
      </c>
      <c r="N459" s="371">
        <v>44000</v>
      </c>
      <c r="O459" s="371">
        <v>1600</v>
      </c>
      <c r="P459" s="371">
        <f t="shared" si="7"/>
        <v>91683</v>
      </c>
      <c r="Q459" s="381">
        <v>-42160.49</v>
      </c>
      <c r="R459" s="372">
        <v>259720.22275359998</v>
      </c>
      <c r="S459" s="400">
        <v>259075.08</v>
      </c>
      <c r="T459" s="400">
        <v>34550.450000000004</v>
      </c>
      <c r="U459" s="400">
        <v>0</v>
      </c>
      <c r="V459" s="400">
        <v>3644.36</v>
      </c>
      <c r="W459" s="372">
        <v>262719.44</v>
      </c>
      <c r="X459" s="373">
        <v>297269.88999999996</v>
      </c>
      <c r="Y459" s="372">
        <v>293177.90275359998</v>
      </c>
      <c r="Z459" s="373">
        <v>1038300.4127535999</v>
      </c>
      <c r="AA459" s="400">
        <v>0</v>
      </c>
      <c r="AB459" s="400">
        <v>0</v>
      </c>
      <c r="AC459" s="400">
        <v>0</v>
      </c>
      <c r="AD459" s="400">
        <v>0</v>
      </c>
      <c r="AE459" s="372">
        <v>0</v>
      </c>
      <c r="AF459" s="372">
        <v>0</v>
      </c>
      <c r="AG459" s="400">
        <v>2.0500000000000114</v>
      </c>
      <c r="AH459" s="374">
        <v>0</v>
      </c>
      <c r="AI459" s="375">
        <v>0</v>
      </c>
      <c r="AJ459" s="372">
        <v>229.81</v>
      </c>
      <c r="AK459" s="376">
        <v>8.9204125146860949E-3</v>
      </c>
      <c r="AL459" s="376">
        <v>-8.9204125146860949E-3</v>
      </c>
      <c r="AM459" s="412">
        <v>254.19492385786816</v>
      </c>
    </row>
    <row r="460" spans="2:39" s="380" customFormat="1" ht="28.15" customHeight="1" x14ac:dyDescent="0.25">
      <c r="B460" s="378">
        <v>43466</v>
      </c>
      <c r="C460" s="370">
        <v>254884.48275359999</v>
      </c>
      <c r="D460" s="370">
        <v>33457.68</v>
      </c>
      <c r="E460" s="371">
        <v>0</v>
      </c>
      <c r="F460" s="371">
        <v>0</v>
      </c>
      <c r="G460" s="371">
        <v>4835.74</v>
      </c>
      <c r="H460" s="371"/>
      <c r="I460" s="371"/>
      <c r="J460" s="371"/>
      <c r="K460" s="371"/>
      <c r="L460" s="371"/>
      <c r="M460" s="371">
        <v>650000</v>
      </c>
      <c r="N460" s="371">
        <v>44000</v>
      </c>
      <c r="O460" s="371">
        <v>1600</v>
      </c>
      <c r="P460" s="371">
        <f t="shared" si="7"/>
        <v>91683</v>
      </c>
      <c r="Q460" s="381">
        <v>-42160.49</v>
      </c>
      <c r="R460" s="372">
        <v>259720.22275359998</v>
      </c>
      <c r="S460" s="400">
        <v>259150.07999999999</v>
      </c>
      <c r="T460" s="400">
        <v>34550.450000000004</v>
      </c>
      <c r="U460" s="400">
        <v>0</v>
      </c>
      <c r="V460" s="400">
        <v>3644.36</v>
      </c>
      <c r="W460" s="372">
        <v>262794.44</v>
      </c>
      <c r="X460" s="373">
        <v>297344.88999999996</v>
      </c>
      <c r="Y460" s="372">
        <v>293177.90275359998</v>
      </c>
      <c r="Z460" s="373">
        <v>1038300.4127535999</v>
      </c>
      <c r="AA460" s="400">
        <v>0</v>
      </c>
      <c r="AB460" s="400">
        <v>0</v>
      </c>
      <c r="AC460" s="400">
        <v>0</v>
      </c>
      <c r="AD460" s="400">
        <v>0</v>
      </c>
      <c r="AE460" s="372">
        <v>0</v>
      </c>
      <c r="AF460" s="372">
        <v>0</v>
      </c>
      <c r="AG460" s="400">
        <v>0</v>
      </c>
      <c r="AH460" s="374">
        <v>0</v>
      </c>
      <c r="AI460" s="375">
        <v>0</v>
      </c>
      <c r="AJ460" s="372">
        <v>229.81</v>
      </c>
      <c r="AK460" s="376">
        <v>0</v>
      </c>
      <c r="AL460" s="376">
        <v>0</v>
      </c>
      <c r="AM460" s="412">
        <v>254.06284263959407</v>
      </c>
    </row>
    <row r="461" spans="2:39" s="380" customFormat="1" ht="28.15" customHeight="1" x14ac:dyDescent="0.25">
      <c r="B461" s="369">
        <v>43467</v>
      </c>
      <c r="C461" s="370">
        <v>257510.18025760003</v>
      </c>
      <c r="D461" s="370">
        <v>33900.060000000005</v>
      </c>
      <c r="E461" s="371">
        <v>0</v>
      </c>
      <c r="F461" s="371">
        <v>0</v>
      </c>
      <c r="G461" s="371">
        <v>4875.74</v>
      </c>
      <c r="H461" s="371"/>
      <c r="I461" s="371"/>
      <c r="J461" s="371"/>
      <c r="K461" s="371"/>
      <c r="L461" s="371"/>
      <c r="M461" s="371">
        <v>650000</v>
      </c>
      <c r="N461" s="371">
        <v>44000</v>
      </c>
      <c r="O461" s="371">
        <v>1600</v>
      </c>
      <c r="P461" s="371">
        <f t="shared" si="7"/>
        <v>91683</v>
      </c>
      <c r="Q461" s="381">
        <v>-42160.49</v>
      </c>
      <c r="R461" s="372">
        <v>262385.92025760002</v>
      </c>
      <c r="S461" s="400">
        <v>259150.07999999999</v>
      </c>
      <c r="T461" s="400">
        <v>34550.450000000004</v>
      </c>
      <c r="U461" s="400">
        <v>0</v>
      </c>
      <c r="V461" s="400">
        <v>3644.36</v>
      </c>
      <c r="W461" s="372">
        <v>262794.44</v>
      </c>
      <c r="X461" s="373">
        <v>297344.88999999996</v>
      </c>
      <c r="Y461" s="372">
        <v>296285.98025760002</v>
      </c>
      <c r="Z461" s="373">
        <v>1041408.4902576001</v>
      </c>
      <c r="AA461" s="400">
        <v>2625.6975040000398</v>
      </c>
      <c r="AB461" s="400">
        <v>442.38000000000466</v>
      </c>
      <c r="AC461" s="400">
        <v>0</v>
      </c>
      <c r="AD461" s="400">
        <v>40</v>
      </c>
      <c r="AE461" s="372">
        <v>2665.6975040000398</v>
      </c>
      <c r="AF461" s="372">
        <v>3108.0775040000444</v>
      </c>
      <c r="AG461" s="400">
        <v>0.18000000000000682</v>
      </c>
      <c r="AH461" s="374">
        <v>1.0159453302154949E-2</v>
      </c>
      <c r="AI461" s="375">
        <v>1.3049534425602922E-2</v>
      </c>
      <c r="AJ461" s="372">
        <v>229.99</v>
      </c>
      <c r="AK461" s="376">
        <v>7.8264272359670779E-4</v>
      </c>
      <c r="AL461" s="376">
        <v>9.3768105785582423E-3</v>
      </c>
      <c r="AM461" s="412">
        <v>253.93385786802043</v>
      </c>
    </row>
    <row r="462" spans="2:39" s="380" customFormat="1" ht="28.15" customHeight="1" x14ac:dyDescent="0.25">
      <c r="B462" s="369">
        <v>43468</v>
      </c>
      <c r="C462" s="370">
        <v>252695.16734479999</v>
      </c>
      <c r="D462" s="370">
        <v>33800.46</v>
      </c>
      <c r="E462" s="371">
        <v>0</v>
      </c>
      <c r="F462" s="371">
        <v>0</v>
      </c>
      <c r="G462" s="371">
        <v>4860.46</v>
      </c>
      <c r="H462" s="371"/>
      <c r="I462" s="371"/>
      <c r="J462" s="371"/>
      <c r="K462" s="371"/>
      <c r="L462" s="371"/>
      <c r="M462" s="371">
        <v>650000</v>
      </c>
      <c r="N462" s="371">
        <v>44000</v>
      </c>
      <c r="O462" s="371">
        <v>1600</v>
      </c>
      <c r="P462" s="371">
        <f t="shared" si="7"/>
        <v>91683</v>
      </c>
      <c r="Q462" s="381">
        <v>-41855.68</v>
      </c>
      <c r="R462" s="372">
        <v>257555.62734479998</v>
      </c>
      <c r="S462" s="400">
        <v>259150.07999999999</v>
      </c>
      <c r="T462" s="400">
        <v>34550.450000000004</v>
      </c>
      <c r="U462" s="400">
        <v>0</v>
      </c>
      <c r="V462" s="400">
        <v>3644.36</v>
      </c>
      <c r="W462" s="372">
        <v>262794.44</v>
      </c>
      <c r="X462" s="373">
        <v>297344.88999999996</v>
      </c>
      <c r="Y462" s="372">
        <v>291356.08734480001</v>
      </c>
      <c r="Z462" s="373">
        <v>1036783.4073448001</v>
      </c>
      <c r="AA462" s="400">
        <v>-4815.0129128000408</v>
      </c>
      <c r="AB462" s="400">
        <v>-99.600000000005821</v>
      </c>
      <c r="AC462" s="400">
        <v>0</v>
      </c>
      <c r="AD462" s="400">
        <v>-15.279999999999745</v>
      </c>
      <c r="AE462" s="372">
        <v>-4830.2929128000405</v>
      </c>
      <c r="AF462" s="372">
        <v>-4929.8929128000464</v>
      </c>
      <c r="AG462" s="400">
        <v>-5.4900000000000091</v>
      </c>
      <c r="AH462" s="374">
        <v>-1.8754367600493291E-2</v>
      </c>
      <c r="AI462" s="375">
        <v>-2.9467054590383039E-3</v>
      </c>
      <c r="AJ462" s="372">
        <v>224.5</v>
      </c>
      <c r="AK462" s="376">
        <v>-2.4454342984409839E-2</v>
      </c>
      <c r="AL462" s="376">
        <v>5.6999753839165473E-3</v>
      </c>
      <c r="AM462" s="412">
        <v>253.81071065989858</v>
      </c>
    </row>
    <row r="463" spans="2:39" s="380" customFormat="1" ht="28.15" customHeight="1" x14ac:dyDescent="0.25">
      <c r="B463" s="369">
        <v>43469</v>
      </c>
      <c r="C463" s="370">
        <v>256460.1047125</v>
      </c>
      <c r="D463" s="370">
        <v>34083.03</v>
      </c>
      <c r="E463" s="371">
        <v>0</v>
      </c>
      <c r="F463" s="371">
        <v>0</v>
      </c>
      <c r="G463" s="371">
        <v>4754.7</v>
      </c>
      <c r="H463" s="371"/>
      <c r="I463" s="371"/>
      <c r="J463" s="371"/>
      <c r="K463" s="371"/>
      <c r="L463" s="371"/>
      <c r="M463" s="371">
        <v>650000</v>
      </c>
      <c r="N463" s="371">
        <v>44000</v>
      </c>
      <c r="O463" s="371">
        <v>1600</v>
      </c>
      <c r="P463" s="371">
        <f t="shared" si="7"/>
        <v>91683</v>
      </c>
      <c r="Q463" s="381">
        <v>-41855.68</v>
      </c>
      <c r="R463" s="372">
        <v>261214.80471250002</v>
      </c>
      <c r="S463" s="400">
        <v>259150.07999999999</v>
      </c>
      <c r="T463" s="400">
        <v>34550.450000000004</v>
      </c>
      <c r="U463" s="400">
        <v>0</v>
      </c>
      <c r="V463" s="400">
        <v>3644.36</v>
      </c>
      <c r="W463" s="372">
        <v>262794.44</v>
      </c>
      <c r="X463" s="373">
        <v>297344.88999999996</v>
      </c>
      <c r="Y463" s="372">
        <v>295297.83471250004</v>
      </c>
      <c r="Z463" s="373">
        <v>1040725.1547124999</v>
      </c>
      <c r="AA463" s="400">
        <v>3764.9373677000112</v>
      </c>
      <c r="AB463" s="400">
        <v>282.56999999999971</v>
      </c>
      <c r="AC463" s="400">
        <v>0</v>
      </c>
      <c r="AD463" s="400">
        <v>-105.76000000000022</v>
      </c>
      <c r="AE463" s="372">
        <v>3659.177367700011</v>
      </c>
      <c r="AF463" s="372">
        <v>3941.7473677000107</v>
      </c>
      <c r="AG463" s="400">
        <v>7.4099999999999966</v>
      </c>
      <c r="AH463" s="374">
        <v>1.4008307728680995E-2</v>
      </c>
      <c r="AI463" s="375">
        <v>8.2906361318227789E-3</v>
      </c>
      <c r="AJ463" s="372">
        <v>231.91</v>
      </c>
      <c r="AK463" s="376">
        <v>3.1952050364365471E-2</v>
      </c>
      <c r="AL463" s="376">
        <v>-1.7943742635684476E-2</v>
      </c>
      <c r="AM463" s="412">
        <v>253.65736040609147</v>
      </c>
    </row>
    <row r="464" spans="2:39" s="380" customFormat="1" ht="28.15" customHeight="1" x14ac:dyDescent="0.25">
      <c r="B464" s="378">
        <v>43470</v>
      </c>
      <c r="C464" s="370">
        <v>256460.1047125</v>
      </c>
      <c r="D464" s="370">
        <v>34083.03</v>
      </c>
      <c r="E464" s="371">
        <v>0</v>
      </c>
      <c r="F464" s="371">
        <v>0</v>
      </c>
      <c r="G464" s="371">
        <v>4754.7</v>
      </c>
      <c r="H464" s="371"/>
      <c r="I464" s="371"/>
      <c r="J464" s="371"/>
      <c r="K464" s="371"/>
      <c r="L464" s="371"/>
      <c r="M464" s="371">
        <v>650000</v>
      </c>
      <c r="N464" s="371">
        <v>44000</v>
      </c>
      <c r="O464" s="371">
        <v>1600</v>
      </c>
      <c r="P464" s="371">
        <f t="shared" si="7"/>
        <v>91683</v>
      </c>
      <c r="Q464" s="381">
        <v>-41855.68</v>
      </c>
      <c r="R464" s="372">
        <v>261214.80471250002</v>
      </c>
      <c r="S464" s="400">
        <v>259150.07999999999</v>
      </c>
      <c r="T464" s="400">
        <v>34550.450000000004</v>
      </c>
      <c r="U464" s="400">
        <v>0</v>
      </c>
      <c r="V464" s="400">
        <v>3644.36</v>
      </c>
      <c r="W464" s="372">
        <v>262794.44</v>
      </c>
      <c r="X464" s="373">
        <v>297344.88999999996</v>
      </c>
      <c r="Y464" s="372">
        <v>295297.83471250004</v>
      </c>
      <c r="Z464" s="373">
        <v>1040725.1547124999</v>
      </c>
      <c r="AA464" s="400">
        <v>0</v>
      </c>
      <c r="AB464" s="400">
        <v>0</v>
      </c>
      <c r="AC464" s="400">
        <v>0</v>
      </c>
      <c r="AD464" s="400">
        <v>0</v>
      </c>
      <c r="AE464" s="372">
        <v>0</v>
      </c>
      <c r="AF464" s="372">
        <v>0</v>
      </c>
      <c r="AG464" s="400">
        <v>0</v>
      </c>
      <c r="AH464" s="374">
        <v>0</v>
      </c>
      <c r="AI464" s="375">
        <v>0</v>
      </c>
      <c r="AJ464" s="372">
        <v>231.91</v>
      </c>
      <c r="AK464" s="376">
        <v>0</v>
      </c>
      <c r="AL464" s="376">
        <v>0</v>
      </c>
      <c r="AM464" s="412">
        <v>253.5496954314722</v>
      </c>
    </row>
    <row r="465" spans="2:39" s="380" customFormat="1" ht="28.15" customHeight="1" x14ac:dyDescent="0.25">
      <c r="B465" s="378">
        <v>43471</v>
      </c>
      <c r="C465" s="370">
        <v>256460.1047125</v>
      </c>
      <c r="D465" s="370">
        <v>34083.03</v>
      </c>
      <c r="E465" s="371">
        <v>0</v>
      </c>
      <c r="F465" s="371">
        <v>0</v>
      </c>
      <c r="G465" s="371">
        <v>4754.7</v>
      </c>
      <c r="H465" s="371"/>
      <c r="I465" s="371"/>
      <c r="J465" s="371"/>
      <c r="K465" s="371"/>
      <c r="L465" s="371"/>
      <c r="M465" s="371">
        <v>650000</v>
      </c>
      <c r="N465" s="371">
        <v>44000</v>
      </c>
      <c r="O465" s="371">
        <v>1600</v>
      </c>
      <c r="P465" s="371">
        <f t="shared" si="7"/>
        <v>91683</v>
      </c>
      <c r="Q465" s="381">
        <v>-41855.68</v>
      </c>
      <c r="R465" s="372">
        <v>261214.80471250002</v>
      </c>
      <c r="S465" s="400">
        <v>259150.07999999999</v>
      </c>
      <c r="T465" s="400">
        <v>34550.450000000004</v>
      </c>
      <c r="U465" s="400">
        <v>0</v>
      </c>
      <c r="V465" s="400">
        <v>3644.36</v>
      </c>
      <c r="W465" s="372">
        <v>262794.44</v>
      </c>
      <c r="X465" s="373">
        <v>297344.88999999996</v>
      </c>
      <c r="Y465" s="372">
        <v>295297.83471250004</v>
      </c>
      <c r="Z465" s="373">
        <v>1040725.1547124999</v>
      </c>
      <c r="AA465" s="400">
        <v>0</v>
      </c>
      <c r="AB465" s="400">
        <v>0</v>
      </c>
      <c r="AC465" s="400">
        <v>0</v>
      </c>
      <c r="AD465" s="400">
        <v>0</v>
      </c>
      <c r="AE465" s="372">
        <v>0</v>
      </c>
      <c r="AF465" s="372">
        <v>0</v>
      </c>
      <c r="AG465" s="400">
        <v>0</v>
      </c>
      <c r="AH465" s="374">
        <v>0</v>
      </c>
      <c r="AI465" s="375">
        <v>0</v>
      </c>
      <c r="AJ465" s="372">
        <v>231.91</v>
      </c>
      <c r="AK465" s="376">
        <v>0</v>
      </c>
      <c r="AL465" s="376">
        <v>0</v>
      </c>
      <c r="AM465" s="412">
        <v>253.43974619289352</v>
      </c>
    </row>
    <row r="466" spans="2:39" s="380" customFormat="1" ht="28.15" customHeight="1" x14ac:dyDescent="0.25">
      <c r="B466" s="369">
        <v>43472</v>
      </c>
      <c r="C466" s="370">
        <v>254821.23382840003</v>
      </c>
      <c r="D466" s="370">
        <v>34488.340000000004</v>
      </c>
      <c r="E466" s="371">
        <v>0</v>
      </c>
      <c r="F466" s="371">
        <v>0</v>
      </c>
      <c r="G466" s="371">
        <v>4852.6099999999997</v>
      </c>
      <c r="H466" s="371"/>
      <c r="I466" s="371"/>
      <c r="J466" s="371"/>
      <c r="K466" s="371"/>
      <c r="L466" s="371"/>
      <c r="M466" s="371">
        <v>650000</v>
      </c>
      <c r="N466" s="371">
        <v>44000</v>
      </c>
      <c r="O466" s="371">
        <v>1600</v>
      </c>
      <c r="P466" s="371">
        <f t="shared" si="7"/>
        <v>91683</v>
      </c>
      <c r="Q466" s="381">
        <v>-41855.68</v>
      </c>
      <c r="R466" s="372">
        <v>259673.84382840001</v>
      </c>
      <c r="S466" s="400">
        <v>259150.07999999999</v>
      </c>
      <c r="T466" s="400">
        <v>34550.450000000004</v>
      </c>
      <c r="U466" s="400">
        <v>0</v>
      </c>
      <c r="V466" s="400">
        <v>3644.36</v>
      </c>
      <c r="W466" s="372">
        <v>262794.44</v>
      </c>
      <c r="X466" s="373">
        <v>297344.88999999996</v>
      </c>
      <c r="Y466" s="372">
        <v>294162.18382840004</v>
      </c>
      <c r="Z466" s="373">
        <v>1039589.5038283999</v>
      </c>
      <c r="AA466" s="400">
        <v>-1638.8708840999752</v>
      </c>
      <c r="AB466" s="400">
        <v>405.31000000000495</v>
      </c>
      <c r="AC466" s="400">
        <v>0</v>
      </c>
      <c r="AD466" s="400">
        <v>97.909999999999854</v>
      </c>
      <c r="AE466" s="372">
        <v>-1540.9608840999754</v>
      </c>
      <c r="AF466" s="372">
        <v>-1135.6508840999704</v>
      </c>
      <c r="AG466" s="400">
        <v>1.7400000000000091</v>
      </c>
      <c r="AH466" s="374">
        <v>-5.934216790499265E-3</v>
      </c>
      <c r="AI466" s="375">
        <v>1.175208780706769E-2</v>
      </c>
      <c r="AJ466" s="372">
        <v>233.65</v>
      </c>
      <c r="AK466" s="376">
        <v>7.4470361652044046E-3</v>
      </c>
      <c r="AL466" s="376">
        <v>-1.3381252955703669E-2</v>
      </c>
      <c r="AM466" s="412">
        <v>253.32979695431484</v>
      </c>
    </row>
    <row r="467" spans="2:39" s="380" customFormat="1" ht="28.15" customHeight="1" x14ac:dyDescent="0.25">
      <c r="B467" s="369">
        <v>43473</v>
      </c>
      <c r="C467" s="370">
        <v>254570.78012320003</v>
      </c>
      <c r="D467" s="370">
        <v>35031.43</v>
      </c>
      <c r="E467" s="371">
        <v>0</v>
      </c>
      <c r="F467" s="371">
        <v>0</v>
      </c>
      <c r="G467" s="371">
        <v>4852.6099999999997</v>
      </c>
      <c r="H467" s="371"/>
      <c r="I467" s="371"/>
      <c r="J467" s="371"/>
      <c r="K467" s="371"/>
      <c r="L467" s="371"/>
      <c r="M467" s="371">
        <v>650000</v>
      </c>
      <c r="N467" s="371">
        <v>44000</v>
      </c>
      <c r="O467" s="371">
        <v>1600</v>
      </c>
      <c r="P467" s="371">
        <f t="shared" si="7"/>
        <v>91683</v>
      </c>
      <c r="Q467" s="381">
        <v>-41855.68</v>
      </c>
      <c r="R467" s="372">
        <v>259423.39012320002</v>
      </c>
      <c r="S467" s="400">
        <v>259150.07999999999</v>
      </c>
      <c r="T467" s="400">
        <v>34550.450000000004</v>
      </c>
      <c r="U467" s="400">
        <v>0</v>
      </c>
      <c r="V467" s="400">
        <v>3644.36</v>
      </c>
      <c r="W467" s="372">
        <v>262794.44</v>
      </c>
      <c r="X467" s="373">
        <v>297344.88999999996</v>
      </c>
      <c r="Y467" s="372">
        <v>294454.82012320001</v>
      </c>
      <c r="Z467" s="373">
        <v>1039882.1401232</v>
      </c>
      <c r="AA467" s="400">
        <v>-250.45370519999415</v>
      </c>
      <c r="AB467" s="400">
        <v>543.08999999999651</v>
      </c>
      <c r="AC467" s="400">
        <v>0</v>
      </c>
      <c r="AD467" s="400">
        <v>0</v>
      </c>
      <c r="AE467" s="372">
        <v>-250.45370519999415</v>
      </c>
      <c r="AF467" s="372">
        <v>292.63629480000236</v>
      </c>
      <c r="AG467" s="400">
        <v>2.2699999999999818</v>
      </c>
      <c r="AH467" s="374">
        <v>-9.6542453277267644E-4</v>
      </c>
      <c r="AI467" s="375">
        <v>1.5502935506771962E-2</v>
      </c>
      <c r="AJ467" s="372">
        <v>235.92</v>
      </c>
      <c r="AK467" s="376">
        <v>9.6219057307561119E-3</v>
      </c>
      <c r="AL467" s="376">
        <v>-1.0587330263528788E-2</v>
      </c>
      <c r="AM467" s="412">
        <v>253.2286802030458</v>
      </c>
    </row>
    <row r="468" spans="2:39" s="380" customFormat="1" ht="28.15" customHeight="1" x14ac:dyDescent="0.25">
      <c r="B468" s="369">
        <v>43474</v>
      </c>
      <c r="C468" s="370">
        <v>253843.16687360004</v>
      </c>
      <c r="D468" s="370">
        <v>35185.120000000003</v>
      </c>
      <c r="E468" s="371">
        <v>0</v>
      </c>
      <c r="F468" s="371">
        <v>0</v>
      </c>
      <c r="G468" s="371">
        <v>4891.07</v>
      </c>
      <c r="H468" s="371"/>
      <c r="I468" s="371"/>
      <c r="J468" s="371"/>
      <c r="K468" s="371"/>
      <c r="L468" s="371"/>
      <c r="M468" s="371">
        <v>650000</v>
      </c>
      <c r="N468" s="371">
        <v>42000</v>
      </c>
      <c r="O468" s="371">
        <v>1600</v>
      </c>
      <c r="P468" s="371">
        <f t="shared" si="7"/>
        <v>91683</v>
      </c>
      <c r="Q468" s="381">
        <v>-41855.68</v>
      </c>
      <c r="R468" s="372">
        <v>258734.23687360005</v>
      </c>
      <c r="S468" s="400">
        <v>259150.07999999999</v>
      </c>
      <c r="T468" s="400">
        <v>34550.450000000004</v>
      </c>
      <c r="U468" s="400">
        <v>0</v>
      </c>
      <c r="V468" s="400">
        <v>3644.36</v>
      </c>
      <c r="W468" s="372">
        <v>262794.44</v>
      </c>
      <c r="X468" s="373">
        <v>297344.88999999996</v>
      </c>
      <c r="Y468" s="372">
        <v>293919.35687360005</v>
      </c>
      <c r="Z468" s="373">
        <v>1037346.6768736</v>
      </c>
      <c r="AA468" s="400">
        <v>-727.61324959999183</v>
      </c>
      <c r="AB468" s="400">
        <v>153.69000000000233</v>
      </c>
      <c r="AC468" s="400">
        <v>0</v>
      </c>
      <c r="AD468" s="400">
        <v>38.460000000000036</v>
      </c>
      <c r="AE468" s="372">
        <v>-689.1532495999918</v>
      </c>
      <c r="AF468" s="372">
        <v>-535.46324959998947</v>
      </c>
      <c r="AG468" s="400">
        <v>1.0900000000000034</v>
      </c>
      <c r="AH468" s="374">
        <v>-2.6635564659989903E-3</v>
      </c>
      <c r="AI468" s="375">
        <v>4.3680396713156678E-3</v>
      </c>
      <c r="AJ468" s="372">
        <v>237.01</v>
      </c>
      <c r="AK468" s="376">
        <v>4.5989620691110223E-3</v>
      </c>
      <c r="AL468" s="376">
        <v>-7.2625185351100126E-3</v>
      </c>
      <c r="AM468" s="412">
        <v>253.15690355329963</v>
      </c>
    </row>
    <row r="469" spans="2:39" s="380" customFormat="1" ht="28.15" customHeight="1" x14ac:dyDescent="0.25">
      <c r="B469" s="369">
        <v>43475</v>
      </c>
      <c r="C469" s="370">
        <v>254153.43442720003</v>
      </c>
      <c r="D469" s="370">
        <v>35515.1</v>
      </c>
      <c r="E469" s="371">
        <v>0</v>
      </c>
      <c r="F469" s="371">
        <v>0</v>
      </c>
      <c r="G469" s="371">
        <v>4899.76</v>
      </c>
      <c r="H469" s="371"/>
      <c r="I469" s="371"/>
      <c r="J469" s="371"/>
      <c r="K469" s="371"/>
      <c r="L469" s="371"/>
      <c r="M469" s="371">
        <v>650000</v>
      </c>
      <c r="N469" s="371">
        <v>42000</v>
      </c>
      <c r="O469" s="371">
        <v>1600</v>
      </c>
      <c r="P469" s="371">
        <f t="shared" si="7"/>
        <v>91683</v>
      </c>
      <c r="Q469" s="381">
        <v>-41855.68</v>
      </c>
      <c r="R469" s="372">
        <v>259053.19442720004</v>
      </c>
      <c r="S469" s="400">
        <v>259150.07999999999</v>
      </c>
      <c r="T469" s="400">
        <v>34550.450000000004</v>
      </c>
      <c r="U469" s="400">
        <v>0</v>
      </c>
      <c r="V469" s="400">
        <v>3644.36</v>
      </c>
      <c r="W469" s="372">
        <v>262794.44</v>
      </c>
      <c r="X469" s="373">
        <v>297344.88999999996</v>
      </c>
      <c r="Y469" s="372">
        <v>294568.29442720005</v>
      </c>
      <c r="Z469" s="373">
        <v>1037995.6144271999</v>
      </c>
      <c r="AA469" s="400">
        <v>310.26755359998788</v>
      </c>
      <c r="AB469" s="400">
        <v>329.97999999999593</v>
      </c>
      <c r="AC469" s="400">
        <v>0</v>
      </c>
      <c r="AD469" s="400">
        <v>8.6900000000005093</v>
      </c>
      <c r="AE469" s="372">
        <v>318.95755359998839</v>
      </c>
      <c r="AF469" s="372">
        <v>648.93755359998431</v>
      </c>
      <c r="AG469" s="400">
        <v>0.99000000000000909</v>
      </c>
      <c r="AH469" s="374">
        <v>1.2312434683743028E-3</v>
      </c>
      <c r="AI469" s="375">
        <v>9.2912592108707545E-3</v>
      </c>
      <c r="AJ469" s="372">
        <v>238</v>
      </c>
      <c r="AK469" s="376">
        <v>4.1596638655462563E-3</v>
      </c>
      <c r="AL469" s="376">
        <v>-2.9284203971719535E-3</v>
      </c>
      <c r="AM469" s="412">
        <v>253.08786802030471</v>
      </c>
    </row>
    <row r="470" spans="2:39" s="380" customFormat="1" ht="28.15" customHeight="1" x14ac:dyDescent="0.25">
      <c r="B470" s="369">
        <v>43476</v>
      </c>
      <c r="C470" s="370">
        <v>254577.94650580001</v>
      </c>
      <c r="D470" s="370">
        <v>35627.61</v>
      </c>
      <c r="E470" s="371">
        <v>0</v>
      </c>
      <c r="F470" s="371">
        <v>0</v>
      </c>
      <c r="G470" s="371">
        <v>4920.76</v>
      </c>
      <c r="H470" s="371"/>
      <c r="I470" s="371"/>
      <c r="J470" s="371"/>
      <c r="K470" s="371"/>
      <c r="L470" s="371"/>
      <c r="M470" s="371">
        <v>650000</v>
      </c>
      <c r="N470" s="371">
        <v>42000</v>
      </c>
      <c r="O470" s="371">
        <v>1600</v>
      </c>
      <c r="P470" s="371">
        <f t="shared" si="7"/>
        <v>91683</v>
      </c>
      <c r="Q470" s="381">
        <v>-41855.68</v>
      </c>
      <c r="R470" s="372">
        <v>259498.70650580002</v>
      </c>
      <c r="S470" s="400">
        <v>259150.07999999999</v>
      </c>
      <c r="T470" s="400">
        <v>34550.450000000004</v>
      </c>
      <c r="U470" s="400">
        <v>0</v>
      </c>
      <c r="V470" s="400">
        <v>3644.36</v>
      </c>
      <c r="W470" s="372">
        <v>262794.44</v>
      </c>
      <c r="X470" s="373">
        <v>297344.88999999996</v>
      </c>
      <c r="Y470" s="372">
        <v>295126.3165058</v>
      </c>
      <c r="Z470" s="373">
        <v>1038553.6365058</v>
      </c>
      <c r="AA470" s="400">
        <v>424.51207859997521</v>
      </c>
      <c r="AB470" s="400">
        <v>112.51000000000204</v>
      </c>
      <c r="AC470" s="400">
        <v>0</v>
      </c>
      <c r="AD470" s="400">
        <v>21</v>
      </c>
      <c r="AE470" s="372">
        <v>445.51207859997521</v>
      </c>
      <c r="AF470" s="372">
        <v>558.02207859997725</v>
      </c>
      <c r="AG470" s="400">
        <v>-0.11000000000001364</v>
      </c>
      <c r="AH470" s="374">
        <v>1.7168181090336865E-3</v>
      </c>
      <c r="AI470" s="375">
        <v>3.1579440776409655E-3</v>
      </c>
      <c r="AJ470" s="372">
        <v>237.89</v>
      </c>
      <c r="AK470" s="376">
        <v>-4.6239858758255351E-4</v>
      </c>
      <c r="AL470" s="376">
        <v>2.1792166966162398E-3</v>
      </c>
      <c r="AM470" s="412">
        <v>253.03441624365496</v>
      </c>
    </row>
    <row r="471" spans="2:39" s="380" customFormat="1" ht="28.15" customHeight="1" x14ac:dyDescent="0.25">
      <c r="B471" s="378">
        <v>43477</v>
      </c>
      <c r="C471" s="370">
        <v>254577.94650580001</v>
      </c>
      <c r="D471" s="370">
        <v>35627.61</v>
      </c>
      <c r="E471" s="371">
        <v>0</v>
      </c>
      <c r="F471" s="371">
        <v>0</v>
      </c>
      <c r="G471" s="371">
        <v>4920.76</v>
      </c>
      <c r="H471" s="371"/>
      <c r="I471" s="371"/>
      <c r="J471" s="371"/>
      <c r="K471" s="371"/>
      <c r="L471" s="371"/>
      <c r="M471" s="371">
        <v>650000</v>
      </c>
      <c r="N471" s="371">
        <v>42000</v>
      </c>
      <c r="O471" s="371">
        <v>1600</v>
      </c>
      <c r="P471" s="371">
        <f t="shared" si="7"/>
        <v>91683</v>
      </c>
      <c r="Q471" s="381">
        <v>-41855.68</v>
      </c>
      <c r="R471" s="372">
        <v>259498.70650580002</v>
      </c>
      <c r="S471" s="400">
        <v>259150.07999999999</v>
      </c>
      <c r="T471" s="400">
        <v>34550.450000000004</v>
      </c>
      <c r="U471" s="400">
        <v>0</v>
      </c>
      <c r="V471" s="400">
        <v>3644.36</v>
      </c>
      <c r="W471" s="372">
        <v>262794.44</v>
      </c>
      <c r="X471" s="373">
        <v>297344.88999999996</v>
      </c>
      <c r="Y471" s="372">
        <v>295126.3165058</v>
      </c>
      <c r="Z471" s="373">
        <v>1038553.6365058</v>
      </c>
      <c r="AA471" s="400">
        <v>0</v>
      </c>
      <c r="AB471" s="400">
        <v>0</v>
      </c>
      <c r="AC471" s="400">
        <v>0</v>
      </c>
      <c r="AD471" s="400">
        <v>0</v>
      </c>
      <c r="AE471" s="372">
        <v>0</v>
      </c>
      <c r="AF471" s="372">
        <v>0</v>
      </c>
      <c r="AG471" s="400">
        <v>0</v>
      </c>
      <c r="AH471" s="374">
        <v>0</v>
      </c>
      <c r="AI471" s="375">
        <v>0</v>
      </c>
      <c r="AJ471" s="372">
        <v>237.89</v>
      </c>
      <c r="AK471" s="376">
        <v>0</v>
      </c>
      <c r="AL471" s="376">
        <v>0</v>
      </c>
      <c r="AM471" s="412">
        <v>252.97862944162449</v>
      </c>
    </row>
    <row r="472" spans="2:39" s="380" customFormat="1" ht="28.15" customHeight="1" x14ac:dyDescent="0.25">
      <c r="B472" s="378">
        <v>43478</v>
      </c>
      <c r="C472" s="370">
        <v>254577.94650580001</v>
      </c>
      <c r="D472" s="370">
        <v>35627.61</v>
      </c>
      <c r="E472" s="371">
        <v>0</v>
      </c>
      <c r="F472" s="371">
        <v>0</v>
      </c>
      <c r="G472" s="371">
        <v>4920.76</v>
      </c>
      <c r="H472" s="371"/>
      <c r="I472" s="371"/>
      <c r="J472" s="371"/>
      <c r="K472" s="371"/>
      <c r="L472" s="371"/>
      <c r="M472" s="371">
        <v>650000</v>
      </c>
      <c r="N472" s="371">
        <v>42000</v>
      </c>
      <c r="O472" s="371">
        <v>1600</v>
      </c>
      <c r="P472" s="371">
        <f t="shared" si="7"/>
        <v>91683</v>
      </c>
      <c r="Q472" s="381">
        <v>-41855.68</v>
      </c>
      <c r="R472" s="372">
        <v>259498.70650580002</v>
      </c>
      <c r="S472" s="400">
        <v>259150.07999999999</v>
      </c>
      <c r="T472" s="400">
        <v>34550.450000000004</v>
      </c>
      <c r="U472" s="400">
        <v>0</v>
      </c>
      <c r="V472" s="400">
        <v>3644.36</v>
      </c>
      <c r="W472" s="372">
        <v>262794.44</v>
      </c>
      <c r="X472" s="373">
        <v>297344.88999999996</v>
      </c>
      <c r="Y472" s="372">
        <v>295126.3165058</v>
      </c>
      <c r="Z472" s="373">
        <v>1038553.6365058</v>
      </c>
      <c r="AA472" s="400">
        <v>0</v>
      </c>
      <c r="AB472" s="400">
        <v>0</v>
      </c>
      <c r="AC472" s="400">
        <v>0</v>
      </c>
      <c r="AD472" s="400">
        <v>0</v>
      </c>
      <c r="AE472" s="372">
        <v>0</v>
      </c>
      <c r="AF472" s="372">
        <v>0</v>
      </c>
      <c r="AG472" s="400">
        <v>0</v>
      </c>
      <c r="AH472" s="374">
        <v>0</v>
      </c>
      <c r="AI472" s="375">
        <v>0</v>
      </c>
      <c r="AJ472" s="372">
        <v>237.89</v>
      </c>
      <c r="AK472" s="376">
        <v>0</v>
      </c>
      <c r="AL472" s="376">
        <v>0</v>
      </c>
      <c r="AM472" s="412">
        <v>252.9196446700509</v>
      </c>
    </row>
    <row r="473" spans="2:39" s="380" customFormat="1" ht="28.15" customHeight="1" x14ac:dyDescent="0.25">
      <c r="B473" s="369">
        <v>43479</v>
      </c>
      <c r="C473" s="370">
        <v>254360.08555300004</v>
      </c>
      <c r="D473" s="370">
        <v>35675.040000000001</v>
      </c>
      <c r="E473" s="371">
        <v>0</v>
      </c>
      <c r="F473" s="371">
        <v>0</v>
      </c>
      <c r="G473" s="371">
        <v>4935.43</v>
      </c>
      <c r="H473" s="371">
        <v>75</v>
      </c>
      <c r="I473" s="371"/>
      <c r="J473" s="371"/>
      <c r="K473" s="371"/>
      <c r="L473" s="371"/>
      <c r="M473" s="371">
        <v>650000</v>
      </c>
      <c r="N473" s="371">
        <v>42000</v>
      </c>
      <c r="O473" s="371">
        <v>1600</v>
      </c>
      <c r="P473" s="371">
        <f t="shared" si="7"/>
        <v>91683</v>
      </c>
      <c r="Q473" s="381">
        <v>-41855.68</v>
      </c>
      <c r="R473" s="372">
        <v>259295.51555300003</v>
      </c>
      <c r="S473" s="400">
        <v>259225.08</v>
      </c>
      <c r="T473" s="400">
        <v>34550.450000000004</v>
      </c>
      <c r="U473" s="400">
        <v>0</v>
      </c>
      <c r="V473" s="400">
        <v>3644.36</v>
      </c>
      <c r="W473" s="372">
        <v>262869.44</v>
      </c>
      <c r="X473" s="373">
        <v>297419.88999999996</v>
      </c>
      <c r="Y473" s="372">
        <v>294970.55555300001</v>
      </c>
      <c r="Z473" s="373">
        <v>1038397.8755529999</v>
      </c>
      <c r="AA473" s="400">
        <v>-292.86095279996516</v>
      </c>
      <c r="AB473" s="400">
        <v>47.430000000000291</v>
      </c>
      <c r="AC473" s="400">
        <v>0</v>
      </c>
      <c r="AD473" s="400">
        <v>14.670000000000073</v>
      </c>
      <c r="AE473" s="372">
        <v>-278.19095279996509</v>
      </c>
      <c r="AF473" s="372">
        <v>-230.7609527999648</v>
      </c>
      <c r="AG473" s="400">
        <v>-1.3099999999999739</v>
      </c>
      <c r="AH473" s="374">
        <v>-1.0728722099441895E-3</v>
      </c>
      <c r="AI473" s="375">
        <v>1.3295009620171495E-3</v>
      </c>
      <c r="AJ473" s="372">
        <v>236.58</v>
      </c>
      <c r="AK473" s="376">
        <v>-5.5372389889254111E-3</v>
      </c>
      <c r="AL473" s="376">
        <v>4.4643667789812215E-3</v>
      </c>
      <c r="AM473" s="412">
        <v>252.86065989847728</v>
      </c>
    </row>
    <row r="474" spans="2:39" s="380" customFormat="1" ht="28.15" customHeight="1" x14ac:dyDescent="0.25">
      <c r="B474" s="369">
        <v>43480</v>
      </c>
      <c r="C474" s="370">
        <v>256753.11193600003</v>
      </c>
      <c r="D474" s="370">
        <v>36018.43</v>
      </c>
      <c r="E474" s="371">
        <v>0</v>
      </c>
      <c r="F474" s="371">
        <v>0</v>
      </c>
      <c r="G474" s="371">
        <v>4919.45</v>
      </c>
      <c r="H474" s="371"/>
      <c r="I474" s="371"/>
      <c r="J474" s="371"/>
      <c r="K474" s="371"/>
      <c r="L474" s="371"/>
      <c r="M474" s="371">
        <v>650000</v>
      </c>
      <c r="N474" s="371">
        <v>42000</v>
      </c>
      <c r="O474" s="371">
        <v>1600</v>
      </c>
      <c r="P474" s="371">
        <f t="shared" si="7"/>
        <v>91683</v>
      </c>
      <c r="Q474" s="381">
        <v>-41855.68</v>
      </c>
      <c r="R474" s="372">
        <v>261672.56193600004</v>
      </c>
      <c r="S474" s="400">
        <v>259225.08</v>
      </c>
      <c r="T474" s="400">
        <v>34550.450000000004</v>
      </c>
      <c r="U474" s="400">
        <v>0</v>
      </c>
      <c r="V474" s="400">
        <v>3644.36</v>
      </c>
      <c r="W474" s="372">
        <v>262869.44</v>
      </c>
      <c r="X474" s="373">
        <v>297419.88999999996</v>
      </c>
      <c r="Y474" s="372">
        <v>297690.99193600006</v>
      </c>
      <c r="Z474" s="373">
        <v>1041118.311936</v>
      </c>
      <c r="AA474" s="400">
        <v>2393.0263829999894</v>
      </c>
      <c r="AB474" s="400">
        <v>343.38999999999942</v>
      </c>
      <c r="AC474" s="400">
        <v>0</v>
      </c>
      <c r="AD474" s="400">
        <v>-15.980000000000473</v>
      </c>
      <c r="AE474" s="372">
        <v>2377.046382999989</v>
      </c>
      <c r="AF474" s="372">
        <v>2720.4363829999884</v>
      </c>
      <c r="AG474" s="400">
        <v>2.7699999999999818</v>
      </c>
      <c r="AH474" s="374">
        <v>9.0840490321693248E-3</v>
      </c>
      <c r="AI474" s="375">
        <v>9.5337303708129262E-3</v>
      </c>
      <c r="AJ474" s="372">
        <v>239.35</v>
      </c>
      <c r="AK474" s="376">
        <v>1.1573010236055909E-2</v>
      </c>
      <c r="AL474" s="376">
        <v>-2.4889612038865843E-3</v>
      </c>
      <c r="AM474" s="412">
        <v>252.7950253807108</v>
      </c>
    </row>
    <row r="475" spans="2:39" s="380" customFormat="1" ht="28.15" customHeight="1" x14ac:dyDescent="0.25">
      <c r="B475" s="369">
        <v>43481</v>
      </c>
      <c r="C475" s="370">
        <v>256446.92100000003</v>
      </c>
      <c r="D475" s="370">
        <v>36501.730000000003</v>
      </c>
      <c r="E475" s="371">
        <v>0</v>
      </c>
      <c r="F475" s="371">
        <v>0</v>
      </c>
      <c r="G475" s="371">
        <v>4928.38</v>
      </c>
      <c r="H475" s="371"/>
      <c r="I475" s="371">
        <v>210</v>
      </c>
      <c r="J475" s="371"/>
      <c r="K475" s="371"/>
      <c r="L475" s="371"/>
      <c r="M475" s="371">
        <v>650000</v>
      </c>
      <c r="N475" s="371">
        <v>42000</v>
      </c>
      <c r="O475" s="371">
        <v>1600</v>
      </c>
      <c r="P475" s="371">
        <f t="shared" si="7"/>
        <v>91683</v>
      </c>
      <c r="Q475" s="381">
        <v>-41855.68</v>
      </c>
      <c r="R475" s="372">
        <v>261375.30100000004</v>
      </c>
      <c r="S475" s="400">
        <v>259225.08</v>
      </c>
      <c r="T475" s="400">
        <v>34760.450000000004</v>
      </c>
      <c r="U475" s="400">
        <v>0</v>
      </c>
      <c r="V475" s="400">
        <v>3644.36</v>
      </c>
      <c r="W475" s="372">
        <v>262869.44</v>
      </c>
      <c r="X475" s="373">
        <v>297629.88999999996</v>
      </c>
      <c r="Y475" s="372">
        <v>297877.03100000002</v>
      </c>
      <c r="Z475" s="373">
        <v>1041304.3509999999</v>
      </c>
      <c r="AA475" s="400">
        <v>-306.19093599999906</v>
      </c>
      <c r="AB475" s="400">
        <v>273.30000000000291</v>
      </c>
      <c r="AC475" s="400">
        <v>0</v>
      </c>
      <c r="AD475" s="400">
        <v>8.930000000000291</v>
      </c>
      <c r="AE475" s="372">
        <v>-297.26093599999876</v>
      </c>
      <c r="AF475" s="372">
        <v>-23.960935999995854</v>
      </c>
      <c r="AG475" s="400">
        <v>0.53000000000000114</v>
      </c>
      <c r="AH475" s="374">
        <v>-1.1372954325167806E-3</v>
      </c>
      <c r="AI475" s="375">
        <v>7.4873163545947788E-3</v>
      </c>
      <c r="AJ475" s="372">
        <v>239.88</v>
      </c>
      <c r="AK475" s="376">
        <v>2.209438052359518E-3</v>
      </c>
      <c r="AL475" s="376">
        <v>-3.3467334848762986E-3</v>
      </c>
      <c r="AM475" s="412">
        <v>252.74197969543161</v>
      </c>
    </row>
    <row r="476" spans="2:39" s="380" customFormat="1" ht="28.15" customHeight="1" x14ac:dyDescent="0.25">
      <c r="B476" s="369">
        <v>43482</v>
      </c>
      <c r="C476" s="370">
        <v>259456.51562400002</v>
      </c>
      <c r="D476" s="370">
        <v>36737.64</v>
      </c>
      <c r="E476" s="371">
        <v>0</v>
      </c>
      <c r="F476" s="371">
        <v>0</v>
      </c>
      <c r="G476" s="371">
        <v>5727.46</v>
      </c>
      <c r="H476" s="371"/>
      <c r="I476" s="371"/>
      <c r="J476" s="371"/>
      <c r="K476" s="371"/>
      <c r="L476" s="371"/>
      <c r="M476" s="371">
        <v>650000</v>
      </c>
      <c r="N476" s="371">
        <v>42000</v>
      </c>
      <c r="O476" s="371">
        <v>1600</v>
      </c>
      <c r="P476" s="371">
        <f t="shared" si="7"/>
        <v>91683</v>
      </c>
      <c r="Q476" s="381">
        <v>-41855.68</v>
      </c>
      <c r="R476" s="372">
        <v>265183.97562400001</v>
      </c>
      <c r="S476" s="400">
        <v>259225.08</v>
      </c>
      <c r="T476" s="400">
        <v>34760.450000000004</v>
      </c>
      <c r="U476" s="400">
        <v>0</v>
      </c>
      <c r="V476" s="400">
        <v>3644.36</v>
      </c>
      <c r="W476" s="372">
        <v>262869.44</v>
      </c>
      <c r="X476" s="373">
        <v>297629.88999999996</v>
      </c>
      <c r="Y476" s="372">
        <v>301921.61562400003</v>
      </c>
      <c r="Z476" s="373">
        <v>1045348.935624</v>
      </c>
      <c r="AA476" s="400">
        <v>3009.5946239999903</v>
      </c>
      <c r="AB476" s="400">
        <v>235.90999999999622</v>
      </c>
      <c r="AC476" s="400">
        <v>0</v>
      </c>
      <c r="AD476" s="400">
        <v>799.07999999999993</v>
      </c>
      <c r="AE476" s="372">
        <v>3808.6746239999902</v>
      </c>
      <c r="AF476" s="372">
        <v>4044.5846239999864</v>
      </c>
      <c r="AG476" s="400">
        <v>1.789999999999992</v>
      </c>
      <c r="AH476" s="374">
        <v>1.4362386019132043E-2</v>
      </c>
      <c r="AI476" s="375">
        <v>6.4214794417931098E-3</v>
      </c>
      <c r="AJ476" s="372">
        <v>241.67</v>
      </c>
      <c r="AK476" s="376">
        <v>7.4067943890428773E-3</v>
      </c>
      <c r="AL476" s="376">
        <v>6.9555916300891654E-3</v>
      </c>
      <c r="AM476" s="412">
        <v>252.69675126903562</v>
      </c>
    </row>
    <row r="477" spans="2:39" s="380" customFormat="1" ht="28.15" customHeight="1" x14ac:dyDescent="0.25">
      <c r="B477" s="369">
        <v>43483</v>
      </c>
      <c r="C477" s="370">
        <v>262217.78122</v>
      </c>
      <c r="D477" s="370">
        <v>37001.160000000003</v>
      </c>
      <c r="E477" s="371">
        <v>0</v>
      </c>
      <c r="F477" s="371">
        <v>0</v>
      </c>
      <c r="G477" s="371">
        <v>5782.2</v>
      </c>
      <c r="H477" s="371"/>
      <c r="I477" s="371"/>
      <c r="J477" s="371"/>
      <c r="K477" s="371"/>
      <c r="L477" s="371"/>
      <c r="M477" s="371">
        <v>650000</v>
      </c>
      <c r="N477" s="371">
        <v>42000</v>
      </c>
      <c r="O477" s="371">
        <v>1600</v>
      </c>
      <c r="P477" s="371">
        <f t="shared" si="7"/>
        <v>91683</v>
      </c>
      <c r="Q477" s="381">
        <v>-41855.68</v>
      </c>
      <c r="R477" s="372">
        <v>267999.98122000002</v>
      </c>
      <c r="S477" s="406">
        <v>259225.08</v>
      </c>
      <c r="T477" s="400">
        <v>34760.450000000004</v>
      </c>
      <c r="U477" s="400">
        <v>0</v>
      </c>
      <c r="V477" s="400">
        <v>3644.36</v>
      </c>
      <c r="W477" s="372">
        <v>262869.44</v>
      </c>
      <c r="X477" s="373">
        <v>297629.88999999996</v>
      </c>
      <c r="Y477" s="372">
        <v>305001.14122000005</v>
      </c>
      <c r="Z477" s="373">
        <v>1048428.4612200001</v>
      </c>
      <c r="AA477" s="400">
        <v>2761.2655959999829</v>
      </c>
      <c r="AB477" s="400">
        <v>263.52000000000407</v>
      </c>
      <c r="AC477" s="400">
        <v>0</v>
      </c>
      <c r="AD477" s="400">
        <v>54.739999999999782</v>
      </c>
      <c r="AE477" s="372">
        <v>2816.0055959999827</v>
      </c>
      <c r="AF477" s="372">
        <v>3079.5255959999868</v>
      </c>
      <c r="AG477" s="400">
        <v>3.25</v>
      </c>
      <c r="AH477" s="374">
        <v>1.0507484303472156E-2</v>
      </c>
      <c r="AI477" s="375">
        <v>7.1219388797541493E-3</v>
      </c>
      <c r="AJ477" s="372">
        <v>244.92</v>
      </c>
      <c r="AK477" s="376">
        <v>1.326963906581741E-2</v>
      </c>
      <c r="AL477" s="376">
        <v>-2.7621547623452539E-3</v>
      </c>
      <c r="AM477" s="412">
        <v>252.6606091370559</v>
      </c>
    </row>
    <row r="478" spans="2:39" s="380" customFormat="1" ht="28.15" customHeight="1" x14ac:dyDescent="0.25">
      <c r="B478" s="378">
        <v>43484</v>
      </c>
      <c r="C478" s="370">
        <v>262217.78122</v>
      </c>
      <c r="D478" s="370">
        <v>37001.160000000003</v>
      </c>
      <c r="E478" s="371">
        <v>0</v>
      </c>
      <c r="F478" s="371">
        <v>0</v>
      </c>
      <c r="G478" s="371">
        <v>5782.2</v>
      </c>
      <c r="H478" s="371"/>
      <c r="I478" s="371"/>
      <c r="J478" s="371"/>
      <c r="K478" s="371"/>
      <c r="L478" s="371"/>
      <c r="M478" s="371">
        <v>650000</v>
      </c>
      <c r="N478" s="371">
        <v>42000</v>
      </c>
      <c r="O478" s="371">
        <v>1600</v>
      </c>
      <c r="P478" s="371">
        <f t="shared" si="7"/>
        <v>91683</v>
      </c>
      <c r="Q478" s="381">
        <v>-41855.68</v>
      </c>
      <c r="R478" s="372">
        <v>267999.98122000002</v>
      </c>
      <c r="S478" s="406">
        <v>259225.08</v>
      </c>
      <c r="T478" s="400">
        <v>34760.450000000004</v>
      </c>
      <c r="U478" s="400">
        <v>0</v>
      </c>
      <c r="V478" s="400">
        <v>3644.36</v>
      </c>
      <c r="W478" s="372">
        <v>262869.44</v>
      </c>
      <c r="X478" s="373">
        <v>297629.88999999996</v>
      </c>
      <c r="Y478" s="372">
        <v>305001.14122000005</v>
      </c>
      <c r="Z478" s="373">
        <v>1048428.4612200001</v>
      </c>
      <c r="AA478" s="400">
        <v>0</v>
      </c>
      <c r="AB478" s="400">
        <v>0</v>
      </c>
      <c r="AC478" s="400">
        <v>0</v>
      </c>
      <c r="AD478" s="400">
        <v>0</v>
      </c>
      <c r="AE478" s="372">
        <v>0</v>
      </c>
      <c r="AF478" s="372">
        <v>0</v>
      </c>
      <c r="AG478" s="400">
        <v>0</v>
      </c>
      <c r="AH478" s="374">
        <v>0</v>
      </c>
      <c r="AI478" s="375">
        <v>0</v>
      </c>
      <c r="AJ478" s="372">
        <v>244.92</v>
      </c>
      <c r="AK478" s="376">
        <v>0</v>
      </c>
      <c r="AL478" s="376">
        <v>0</v>
      </c>
      <c r="AM478" s="412">
        <v>252.63015228426406</v>
      </c>
    </row>
    <row r="479" spans="2:39" s="380" customFormat="1" ht="28.15" customHeight="1" x14ac:dyDescent="0.25">
      <c r="B479" s="378">
        <v>43485</v>
      </c>
      <c r="C479" s="370">
        <v>262217.78122</v>
      </c>
      <c r="D479" s="370">
        <v>37001.160000000003</v>
      </c>
      <c r="E479" s="371">
        <v>0</v>
      </c>
      <c r="F479" s="371">
        <v>0</v>
      </c>
      <c r="G479" s="371">
        <v>5782.2</v>
      </c>
      <c r="H479" s="371"/>
      <c r="I479" s="371"/>
      <c r="J479" s="371"/>
      <c r="K479" s="371"/>
      <c r="L479" s="371"/>
      <c r="M479" s="371">
        <v>650000</v>
      </c>
      <c r="N479" s="371">
        <v>42000</v>
      </c>
      <c r="O479" s="371">
        <v>1600</v>
      </c>
      <c r="P479" s="371">
        <f t="shared" si="7"/>
        <v>91683</v>
      </c>
      <c r="Q479" s="381">
        <v>-41855.68</v>
      </c>
      <c r="R479" s="372">
        <v>267999.98122000002</v>
      </c>
      <c r="S479" s="406">
        <v>259225.08</v>
      </c>
      <c r="T479" s="400">
        <v>34760.450000000004</v>
      </c>
      <c r="U479" s="400">
        <v>0</v>
      </c>
      <c r="V479" s="400">
        <v>3644.36</v>
      </c>
      <c r="W479" s="372">
        <v>262869.44</v>
      </c>
      <c r="X479" s="373">
        <v>297629.88999999996</v>
      </c>
      <c r="Y479" s="372">
        <v>305001.14122000005</v>
      </c>
      <c r="Z479" s="373">
        <v>1048428.4612200001</v>
      </c>
      <c r="AA479" s="400">
        <v>0</v>
      </c>
      <c r="AB479" s="400">
        <v>0</v>
      </c>
      <c r="AC479" s="400">
        <v>0</v>
      </c>
      <c r="AD479" s="400">
        <v>0</v>
      </c>
      <c r="AE479" s="372">
        <v>0</v>
      </c>
      <c r="AF479" s="372">
        <v>0</v>
      </c>
      <c r="AG479" s="400">
        <v>0</v>
      </c>
      <c r="AH479" s="374">
        <v>0</v>
      </c>
      <c r="AI479" s="375">
        <v>0</v>
      </c>
      <c r="AJ479" s="372">
        <v>244.92</v>
      </c>
      <c r="AK479" s="376">
        <v>0</v>
      </c>
      <c r="AL479" s="376">
        <v>0</v>
      </c>
      <c r="AM479" s="412">
        <v>252.58908629441632</v>
      </c>
    </row>
    <row r="480" spans="2:39" s="380" customFormat="1" ht="28.15" customHeight="1" x14ac:dyDescent="0.25">
      <c r="B480" s="369">
        <v>43486</v>
      </c>
      <c r="C480" s="370">
        <v>262947.54505900003</v>
      </c>
      <c r="D480" s="370">
        <v>37144.800000000003</v>
      </c>
      <c r="E480" s="371">
        <v>0</v>
      </c>
      <c r="F480" s="371">
        <v>0</v>
      </c>
      <c r="G480" s="371">
        <v>5851.92</v>
      </c>
      <c r="H480" s="371"/>
      <c r="I480" s="371"/>
      <c r="J480" s="371"/>
      <c r="K480" s="371"/>
      <c r="L480" s="371"/>
      <c r="M480" s="371">
        <v>650000</v>
      </c>
      <c r="N480" s="371">
        <v>32000</v>
      </c>
      <c r="O480" s="371">
        <v>1600</v>
      </c>
      <c r="P480" s="371">
        <f t="shared" si="7"/>
        <v>91683</v>
      </c>
      <c r="Q480" s="381">
        <v>-41855.68</v>
      </c>
      <c r="R480" s="372">
        <v>268799.46505900001</v>
      </c>
      <c r="S480" s="400">
        <v>259225.08</v>
      </c>
      <c r="T480" s="400">
        <v>34760.450000000004</v>
      </c>
      <c r="U480" s="400">
        <v>0</v>
      </c>
      <c r="V480" s="400">
        <v>3644.36</v>
      </c>
      <c r="W480" s="372">
        <v>262869.44</v>
      </c>
      <c r="X480" s="373">
        <v>297629.88999999996</v>
      </c>
      <c r="Y480" s="372">
        <v>305944.265059</v>
      </c>
      <c r="Z480" s="373">
        <v>1039371.5850589998</v>
      </c>
      <c r="AA480" s="400">
        <v>729.76383900002111</v>
      </c>
      <c r="AB480" s="400">
        <v>143.63999999999942</v>
      </c>
      <c r="AC480" s="400">
        <v>0</v>
      </c>
      <c r="AD480" s="400">
        <v>69.720000000000255</v>
      </c>
      <c r="AE480" s="372">
        <v>799.48383900002136</v>
      </c>
      <c r="AF480" s="372">
        <v>943.12383900002078</v>
      </c>
      <c r="AG480" s="400">
        <v>0</v>
      </c>
      <c r="AH480" s="374">
        <v>2.9742761535055105E-3</v>
      </c>
      <c r="AI480" s="375">
        <v>3.8670284938941498E-3</v>
      </c>
      <c r="AJ480" s="372">
        <v>244.92</v>
      </c>
      <c r="AK480" s="376">
        <v>0</v>
      </c>
      <c r="AL480" s="376">
        <v>2.9742761535055105E-3</v>
      </c>
      <c r="AM480" s="412">
        <v>252.54802030456864</v>
      </c>
    </row>
    <row r="481" spans="2:39" s="380" customFormat="1" ht="28.15" customHeight="1" x14ac:dyDescent="0.25">
      <c r="B481" s="369">
        <v>43487</v>
      </c>
      <c r="C481" s="370">
        <v>260271.90132000003</v>
      </c>
      <c r="D481" s="370">
        <v>37006.039999999994</v>
      </c>
      <c r="E481" s="371">
        <v>0</v>
      </c>
      <c r="F481" s="371">
        <v>0</v>
      </c>
      <c r="G481" s="371">
        <v>5851.89</v>
      </c>
      <c r="H481" s="371"/>
      <c r="I481" s="371"/>
      <c r="J481" s="371"/>
      <c r="K481" s="371"/>
      <c r="L481" s="371"/>
      <c r="M481" s="371">
        <v>650000</v>
      </c>
      <c r="N481" s="371">
        <v>32000</v>
      </c>
      <c r="O481" s="371">
        <v>1600</v>
      </c>
      <c r="P481" s="371">
        <f t="shared" si="7"/>
        <v>91683</v>
      </c>
      <c r="Q481" s="381">
        <v>-41855.68</v>
      </c>
      <c r="R481" s="372">
        <v>266123.79132000002</v>
      </c>
      <c r="S481" s="400">
        <v>259225.08</v>
      </c>
      <c r="T481" s="400">
        <v>34760.450000000004</v>
      </c>
      <c r="U481" s="400">
        <v>0</v>
      </c>
      <c r="V481" s="400">
        <v>3644.36</v>
      </c>
      <c r="W481" s="372">
        <v>262869.44</v>
      </c>
      <c r="X481" s="373">
        <v>297629.88999999996</v>
      </c>
      <c r="Y481" s="372">
        <v>303129.83132000006</v>
      </c>
      <c r="Z481" s="373">
        <v>1036557.1513200001</v>
      </c>
      <c r="AA481" s="400">
        <v>-2675.6437389999919</v>
      </c>
      <c r="AB481" s="400">
        <v>-138.76000000000931</v>
      </c>
      <c r="AC481" s="400">
        <v>0</v>
      </c>
      <c r="AD481" s="400">
        <v>-2.9999999999745341E-2</v>
      </c>
      <c r="AE481" s="372">
        <v>-2675.6737389999917</v>
      </c>
      <c r="AF481" s="372">
        <v>-2814.433739000001</v>
      </c>
      <c r="AG481" s="400">
        <v>-3.2599999999999909</v>
      </c>
      <c r="AH481" s="374">
        <v>-1.0054244777321067E-2</v>
      </c>
      <c r="AI481" s="375">
        <v>-3.7496581639107924E-3</v>
      </c>
      <c r="AJ481" s="372">
        <v>241.66</v>
      </c>
      <c r="AK481" s="376">
        <v>-1.3490027311098199E-2</v>
      </c>
      <c r="AL481" s="376">
        <v>3.4357825337771319E-3</v>
      </c>
      <c r="AM481" s="412">
        <v>252.5069543147209</v>
      </c>
    </row>
    <row r="482" spans="2:39" s="380" customFormat="1" ht="28.15" customHeight="1" x14ac:dyDescent="0.25">
      <c r="B482" s="369">
        <v>43488</v>
      </c>
      <c r="C482" s="370">
        <v>260558.14504000003</v>
      </c>
      <c r="D482" s="370">
        <v>36974.079999999994</v>
      </c>
      <c r="E482" s="371">
        <v>0</v>
      </c>
      <c r="F482" s="371">
        <v>0</v>
      </c>
      <c r="G482" s="371">
        <v>5801.18</v>
      </c>
      <c r="H482" s="371"/>
      <c r="I482" s="371"/>
      <c r="J482" s="371"/>
      <c r="K482" s="371"/>
      <c r="L482" s="371"/>
      <c r="M482" s="371">
        <v>650000</v>
      </c>
      <c r="N482" s="371">
        <v>32000</v>
      </c>
      <c r="O482" s="371">
        <v>1600</v>
      </c>
      <c r="P482" s="371">
        <f t="shared" si="7"/>
        <v>91683</v>
      </c>
      <c r="Q482" s="381">
        <v>-41855.68</v>
      </c>
      <c r="R482" s="372">
        <v>266359.32504000003</v>
      </c>
      <c r="S482" s="400">
        <v>259225.08</v>
      </c>
      <c r="T482" s="400">
        <v>34760.450000000004</v>
      </c>
      <c r="U482" s="400">
        <v>0</v>
      </c>
      <c r="V482" s="400">
        <v>3644.36</v>
      </c>
      <c r="W482" s="372">
        <v>262869.44</v>
      </c>
      <c r="X482" s="373">
        <v>297629.88999999996</v>
      </c>
      <c r="Y482" s="372">
        <v>303333.40504000004</v>
      </c>
      <c r="Z482" s="373">
        <v>1036760.72504</v>
      </c>
      <c r="AA482" s="400">
        <v>286.24371999999858</v>
      </c>
      <c r="AB482" s="400">
        <v>-31.959999999999127</v>
      </c>
      <c r="AC482" s="400">
        <v>0</v>
      </c>
      <c r="AD482" s="400">
        <v>-50.710000000000036</v>
      </c>
      <c r="AE482" s="372">
        <v>235.53371999999854</v>
      </c>
      <c r="AF482" s="372">
        <v>203.57371999999941</v>
      </c>
      <c r="AG482" s="400">
        <v>0.36000000000001364</v>
      </c>
      <c r="AH482" s="374">
        <v>8.8427059936658006E-4</v>
      </c>
      <c r="AI482" s="375">
        <v>-8.6438932354771588E-4</v>
      </c>
      <c r="AJ482" s="372">
        <v>242.02</v>
      </c>
      <c r="AK482" s="376">
        <v>1.4874803735229058E-3</v>
      </c>
      <c r="AL482" s="376">
        <v>-6.0320977415632569E-4</v>
      </c>
      <c r="AM482" s="412">
        <v>252.43796954314732</v>
      </c>
    </row>
    <row r="483" spans="2:39" s="380" customFormat="1" ht="28.15" customHeight="1" x14ac:dyDescent="0.25">
      <c r="B483" s="369">
        <v>43489</v>
      </c>
      <c r="C483" s="370">
        <v>260097.07792100002</v>
      </c>
      <c r="D483" s="370">
        <v>37002.559999999998</v>
      </c>
      <c r="E483" s="371">
        <v>0</v>
      </c>
      <c r="F483" s="371">
        <v>0</v>
      </c>
      <c r="G483" s="371">
        <v>5791.91</v>
      </c>
      <c r="H483" s="371"/>
      <c r="I483" s="371"/>
      <c r="J483" s="371"/>
      <c r="K483" s="371"/>
      <c r="L483" s="371"/>
      <c r="M483" s="371">
        <v>650000</v>
      </c>
      <c r="N483" s="371">
        <v>32000</v>
      </c>
      <c r="O483" s="371">
        <v>1600</v>
      </c>
      <c r="P483" s="371">
        <f t="shared" si="7"/>
        <v>91683</v>
      </c>
      <c r="Q483" s="381">
        <v>-41855.68</v>
      </c>
      <c r="R483" s="372">
        <v>265888.98792099999</v>
      </c>
      <c r="S483" s="400">
        <v>259225.08</v>
      </c>
      <c r="T483" s="400">
        <v>34760.450000000004</v>
      </c>
      <c r="U483" s="400">
        <v>0</v>
      </c>
      <c r="V483" s="400">
        <v>3644.36</v>
      </c>
      <c r="W483" s="372">
        <v>262869.44</v>
      </c>
      <c r="X483" s="373">
        <v>297629.88999999996</v>
      </c>
      <c r="Y483" s="372">
        <v>302891.54792099999</v>
      </c>
      <c r="Z483" s="373">
        <v>1036318.867921</v>
      </c>
      <c r="AA483" s="400">
        <v>-461.06711900001392</v>
      </c>
      <c r="AB483" s="400">
        <v>28.480000000003201</v>
      </c>
      <c r="AC483" s="400">
        <v>0</v>
      </c>
      <c r="AD483" s="400">
        <v>-9.2700000000004366</v>
      </c>
      <c r="AE483" s="372">
        <v>-470.33711900001435</v>
      </c>
      <c r="AF483" s="372">
        <v>-441.85711900001115</v>
      </c>
      <c r="AG483" s="400">
        <v>0.23999999999998067</v>
      </c>
      <c r="AH483" s="374">
        <v>-1.7689228977762676E-3</v>
      </c>
      <c r="AI483" s="375">
        <v>7.6967647643847348E-4</v>
      </c>
      <c r="AJ483" s="372">
        <v>242.26</v>
      </c>
      <c r="AK483" s="376">
        <v>9.906711797241835E-4</v>
      </c>
      <c r="AL483" s="376">
        <v>-2.7595940775004511E-3</v>
      </c>
      <c r="AM483" s="412">
        <v>252.36629441624373</v>
      </c>
    </row>
    <row r="484" spans="2:39" s="380" customFormat="1" ht="28.15" customHeight="1" x14ac:dyDescent="0.25">
      <c r="B484" s="369">
        <v>43490</v>
      </c>
      <c r="C484" s="370">
        <v>260698.75599199999</v>
      </c>
      <c r="D484" s="370">
        <v>37233.039999999994</v>
      </c>
      <c r="E484" s="371">
        <v>0</v>
      </c>
      <c r="F484" s="371">
        <v>0</v>
      </c>
      <c r="G484" s="371">
        <v>5783.09</v>
      </c>
      <c r="H484" s="371"/>
      <c r="I484" s="371"/>
      <c r="J484" s="371"/>
      <c r="K484" s="371"/>
      <c r="L484" s="371"/>
      <c r="M484" s="371">
        <v>650000</v>
      </c>
      <c r="N484" s="371">
        <v>32000</v>
      </c>
      <c r="O484" s="371">
        <v>1600</v>
      </c>
      <c r="P484" s="371">
        <f t="shared" si="7"/>
        <v>91683</v>
      </c>
      <c r="Q484" s="381">
        <v>-41855.68</v>
      </c>
      <c r="R484" s="372">
        <v>266481.84599200002</v>
      </c>
      <c r="S484" s="400">
        <v>259225.08</v>
      </c>
      <c r="T484" s="400">
        <v>34760.450000000004</v>
      </c>
      <c r="U484" s="400">
        <v>0</v>
      </c>
      <c r="V484" s="400">
        <v>3644.36</v>
      </c>
      <c r="W484" s="372">
        <v>262869.44</v>
      </c>
      <c r="X484" s="373">
        <v>297629.88999999996</v>
      </c>
      <c r="Y484" s="372">
        <v>303714.885992</v>
      </c>
      <c r="Z484" s="373">
        <v>1037142.2059919998</v>
      </c>
      <c r="AA484" s="400">
        <v>601.67807099997299</v>
      </c>
      <c r="AB484" s="400">
        <v>230.47999999999593</v>
      </c>
      <c r="AC484" s="400">
        <v>0</v>
      </c>
      <c r="AD484" s="400">
        <v>-8.819999999999709</v>
      </c>
      <c r="AE484" s="372">
        <v>592.85807099997328</v>
      </c>
      <c r="AF484" s="372">
        <v>823.3380709999692</v>
      </c>
      <c r="AG484" s="400">
        <v>2.0600000000000023</v>
      </c>
      <c r="AH484" s="374">
        <v>2.2247596972056827E-3</v>
      </c>
      <c r="AI484" s="375">
        <v>6.1902009612966324E-3</v>
      </c>
      <c r="AJ484" s="372">
        <v>244.32</v>
      </c>
      <c r="AK484" s="376">
        <v>8.4315651604453274E-3</v>
      </c>
      <c r="AL484" s="376">
        <v>-6.2068054632396447E-3</v>
      </c>
      <c r="AM484" s="412">
        <v>252.30472081218289</v>
      </c>
    </row>
    <row r="485" spans="2:39" s="380" customFormat="1" ht="28.15" customHeight="1" x14ac:dyDescent="0.25">
      <c r="B485" s="378">
        <v>43491</v>
      </c>
      <c r="C485" s="370">
        <v>260698.75599199999</v>
      </c>
      <c r="D485" s="370">
        <v>37233.039999999994</v>
      </c>
      <c r="E485" s="371">
        <v>0</v>
      </c>
      <c r="F485" s="371">
        <v>0</v>
      </c>
      <c r="G485" s="371">
        <v>5783.09</v>
      </c>
      <c r="H485" s="371"/>
      <c r="I485" s="371"/>
      <c r="J485" s="371"/>
      <c r="K485" s="371"/>
      <c r="L485" s="371"/>
      <c r="M485" s="371">
        <v>650000</v>
      </c>
      <c r="N485" s="371">
        <v>32000</v>
      </c>
      <c r="O485" s="371">
        <v>1600</v>
      </c>
      <c r="P485" s="371">
        <f t="shared" si="7"/>
        <v>91683</v>
      </c>
      <c r="Q485" s="381">
        <v>-41855.68</v>
      </c>
      <c r="R485" s="372">
        <v>266481.84599200002</v>
      </c>
      <c r="S485" s="400">
        <v>259225.08</v>
      </c>
      <c r="T485" s="400">
        <v>34760.450000000004</v>
      </c>
      <c r="U485" s="400">
        <v>0</v>
      </c>
      <c r="V485" s="400">
        <v>3644.36</v>
      </c>
      <c r="W485" s="372">
        <v>262869.44</v>
      </c>
      <c r="X485" s="373">
        <v>297629.88999999996</v>
      </c>
      <c r="Y485" s="372">
        <v>303714.885992</v>
      </c>
      <c r="Z485" s="373">
        <v>1037142.2059919998</v>
      </c>
      <c r="AA485" s="400">
        <v>0</v>
      </c>
      <c r="AB485" s="400">
        <v>0</v>
      </c>
      <c r="AC485" s="400">
        <v>0</v>
      </c>
      <c r="AD485" s="400">
        <v>0</v>
      </c>
      <c r="AE485" s="372">
        <v>0</v>
      </c>
      <c r="AF485" s="372">
        <v>0</v>
      </c>
      <c r="AG485" s="400">
        <v>0</v>
      </c>
      <c r="AH485" s="374">
        <v>0</v>
      </c>
      <c r="AI485" s="375">
        <v>0</v>
      </c>
      <c r="AJ485" s="372">
        <v>244.32</v>
      </c>
      <c r="AK485" s="376">
        <v>0</v>
      </c>
      <c r="AL485" s="376">
        <v>0</v>
      </c>
      <c r="AM485" s="412">
        <v>252.24253807106609</v>
      </c>
    </row>
    <row r="486" spans="2:39" s="380" customFormat="1" ht="28.15" customHeight="1" x14ac:dyDescent="0.25">
      <c r="B486" s="378">
        <v>43492</v>
      </c>
      <c r="C486" s="370">
        <v>260698.75599199999</v>
      </c>
      <c r="D486" s="370">
        <v>37233.039999999994</v>
      </c>
      <c r="E486" s="371">
        <v>0</v>
      </c>
      <c r="F486" s="371">
        <v>0</v>
      </c>
      <c r="G486" s="371">
        <v>5783.09</v>
      </c>
      <c r="H486" s="371"/>
      <c r="I486" s="371"/>
      <c r="J486" s="371"/>
      <c r="K486" s="371"/>
      <c r="L486" s="371"/>
      <c r="M486" s="371">
        <v>650000</v>
      </c>
      <c r="N486" s="371">
        <v>32000</v>
      </c>
      <c r="O486" s="371">
        <v>1600</v>
      </c>
      <c r="P486" s="371">
        <f t="shared" si="7"/>
        <v>91683</v>
      </c>
      <c r="Q486" s="381">
        <v>-41855.68</v>
      </c>
      <c r="R486" s="372">
        <v>266481.84599200002</v>
      </c>
      <c r="S486" s="400">
        <v>259225.08</v>
      </c>
      <c r="T486" s="400">
        <v>34760.450000000004</v>
      </c>
      <c r="U486" s="400">
        <v>0</v>
      </c>
      <c r="V486" s="400">
        <v>3644.36</v>
      </c>
      <c r="W486" s="372">
        <v>262869.44</v>
      </c>
      <c r="X486" s="373">
        <v>297629.88999999996</v>
      </c>
      <c r="Y486" s="372">
        <v>303714.885992</v>
      </c>
      <c r="Z486" s="373">
        <v>1037142.2059919998</v>
      </c>
      <c r="AA486" s="400">
        <v>0</v>
      </c>
      <c r="AB486" s="400">
        <v>0</v>
      </c>
      <c r="AC486" s="400">
        <v>0</v>
      </c>
      <c r="AD486" s="400">
        <v>0</v>
      </c>
      <c r="AE486" s="372">
        <v>0</v>
      </c>
      <c r="AF486" s="372">
        <v>0</v>
      </c>
      <c r="AG486" s="400">
        <v>0</v>
      </c>
      <c r="AH486" s="374">
        <v>0</v>
      </c>
      <c r="AI486" s="375">
        <v>0</v>
      </c>
      <c r="AJ486" s="372">
        <v>244.32</v>
      </c>
      <c r="AK486" s="376">
        <v>0</v>
      </c>
      <c r="AL486" s="376">
        <v>0</v>
      </c>
      <c r="AM486" s="412">
        <v>252.17923857868033</v>
      </c>
    </row>
    <row r="487" spans="2:39" s="380" customFormat="1" ht="28.15" customHeight="1" x14ac:dyDescent="0.25">
      <c r="B487" s="369">
        <v>43493</v>
      </c>
      <c r="C487" s="370">
        <v>259145.83702000004</v>
      </c>
      <c r="D487" s="370">
        <v>37360.559999999998</v>
      </c>
      <c r="E487" s="371">
        <v>0</v>
      </c>
      <c r="F487" s="371">
        <v>0</v>
      </c>
      <c r="G487" s="371">
        <v>5778.42</v>
      </c>
      <c r="H487" s="371">
        <v>75</v>
      </c>
      <c r="I487" s="371"/>
      <c r="J487" s="371"/>
      <c r="K487" s="371"/>
      <c r="L487" s="371"/>
      <c r="M487" s="371">
        <v>650000</v>
      </c>
      <c r="N487" s="371">
        <v>32000</v>
      </c>
      <c r="O487" s="371">
        <v>1600</v>
      </c>
      <c r="P487" s="371">
        <f t="shared" si="7"/>
        <v>91683</v>
      </c>
      <c r="Q487" s="381">
        <v>-41554.050000000003</v>
      </c>
      <c r="R487" s="372">
        <v>264924.25702000002</v>
      </c>
      <c r="S487" s="400">
        <v>259300.08</v>
      </c>
      <c r="T487" s="400">
        <v>34760.450000000004</v>
      </c>
      <c r="U487" s="400">
        <v>0</v>
      </c>
      <c r="V487" s="400">
        <v>3644.36</v>
      </c>
      <c r="W487" s="372">
        <v>262944.44</v>
      </c>
      <c r="X487" s="373">
        <v>297704.88999999996</v>
      </c>
      <c r="Y487" s="372">
        <v>302284.81702000002</v>
      </c>
      <c r="Z487" s="373">
        <v>1036013.7670199999</v>
      </c>
      <c r="AA487" s="400">
        <v>-1627.9189719999558</v>
      </c>
      <c r="AB487" s="400">
        <v>127.52000000000407</v>
      </c>
      <c r="AC487" s="400">
        <v>0</v>
      </c>
      <c r="AD487" s="400">
        <v>-4.6700000000000728</v>
      </c>
      <c r="AE487" s="372">
        <v>-1632.5889719999559</v>
      </c>
      <c r="AF487" s="372">
        <v>-1505.0689719999518</v>
      </c>
      <c r="AG487" s="400">
        <v>-1.8899999999999864</v>
      </c>
      <c r="AH487" s="374">
        <v>-6.1624744761545423E-3</v>
      </c>
      <c r="AI487" s="375">
        <v>3.4132250694316169E-3</v>
      </c>
      <c r="AJ487" s="372">
        <v>242.43</v>
      </c>
      <c r="AK487" s="376">
        <v>-7.7960648434599114E-3</v>
      </c>
      <c r="AL487" s="376">
        <v>1.6335903673053691E-3</v>
      </c>
      <c r="AM487" s="412">
        <v>252.11593908629459</v>
      </c>
    </row>
    <row r="488" spans="2:39" s="380" customFormat="1" ht="28.15" customHeight="1" x14ac:dyDescent="0.25">
      <c r="B488" s="369">
        <v>43494</v>
      </c>
      <c r="C488" s="370">
        <v>259348.29375400001</v>
      </c>
      <c r="D488" s="370">
        <v>37674.22</v>
      </c>
      <c r="E488" s="371">
        <v>0</v>
      </c>
      <c r="F488" s="371">
        <v>0</v>
      </c>
      <c r="G488" s="371">
        <v>5746.37</v>
      </c>
      <c r="H488" s="371"/>
      <c r="I488" s="371"/>
      <c r="J488" s="371"/>
      <c r="K488" s="371"/>
      <c r="L488" s="371"/>
      <c r="M488" s="371">
        <v>650000</v>
      </c>
      <c r="N488" s="371">
        <v>32000</v>
      </c>
      <c r="O488" s="371">
        <v>1600</v>
      </c>
      <c r="P488" s="371">
        <f t="shared" si="7"/>
        <v>91683</v>
      </c>
      <c r="Q488" s="381">
        <v>-41554.050000000003</v>
      </c>
      <c r="R488" s="372">
        <v>265094.66375400004</v>
      </c>
      <c r="S488" s="400">
        <v>259300.08</v>
      </c>
      <c r="T488" s="400">
        <v>34760.450000000004</v>
      </c>
      <c r="U488" s="400">
        <v>0</v>
      </c>
      <c r="V488" s="400">
        <v>3644.36</v>
      </c>
      <c r="W488" s="372">
        <v>262944.44</v>
      </c>
      <c r="X488" s="373">
        <v>297704.88999999996</v>
      </c>
      <c r="Y488" s="372">
        <v>302768.88375400001</v>
      </c>
      <c r="Z488" s="373">
        <v>1036497.833754</v>
      </c>
      <c r="AA488" s="400">
        <v>202.45673399997759</v>
      </c>
      <c r="AB488" s="400">
        <v>313.66000000000349</v>
      </c>
      <c r="AC488" s="400">
        <v>0</v>
      </c>
      <c r="AD488" s="400">
        <v>-32.050000000000182</v>
      </c>
      <c r="AE488" s="372">
        <v>170.4067339999774</v>
      </c>
      <c r="AF488" s="372">
        <v>484.0667339999809</v>
      </c>
      <c r="AG488" s="400">
        <v>-0.30000000000001137</v>
      </c>
      <c r="AH488" s="374">
        <v>6.4281465189397317E-4</v>
      </c>
      <c r="AI488" s="375">
        <v>8.325587099082701E-3</v>
      </c>
      <c r="AJ488" s="372">
        <v>242.13</v>
      </c>
      <c r="AK488" s="376">
        <v>-1.2390038409119538E-3</v>
      </c>
      <c r="AL488" s="376">
        <v>1.8818184928059271E-3</v>
      </c>
      <c r="AM488" s="412">
        <v>252.04304568527934</v>
      </c>
    </row>
    <row r="489" spans="2:39" s="380" customFormat="1" ht="28.15" customHeight="1" x14ac:dyDescent="0.25">
      <c r="B489" s="369">
        <v>43495</v>
      </c>
      <c r="C489" s="370">
        <v>261594.18913600003</v>
      </c>
      <c r="D489" s="370">
        <v>37567.24</v>
      </c>
      <c r="E489" s="371">
        <v>0</v>
      </c>
      <c r="F489" s="371">
        <v>0</v>
      </c>
      <c r="G489" s="371">
        <v>5758.37</v>
      </c>
      <c r="H489" s="371"/>
      <c r="I489" s="371"/>
      <c r="J489" s="371"/>
      <c r="K489" s="371"/>
      <c r="L489" s="371"/>
      <c r="M489" s="371">
        <v>650000</v>
      </c>
      <c r="N489" s="371">
        <v>32000</v>
      </c>
      <c r="O489" s="371">
        <v>1600</v>
      </c>
      <c r="P489" s="371">
        <f t="shared" si="7"/>
        <v>91683</v>
      </c>
      <c r="Q489" s="381">
        <v>-41554.050000000003</v>
      </c>
      <c r="R489" s="372">
        <v>267352.55913600005</v>
      </c>
      <c r="S489" s="400">
        <v>259300.08</v>
      </c>
      <c r="T489" s="400">
        <v>34760.450000000004</v>
      </c>
      <c r="U489" s="400">
        <v>0</v>
      </c>
      <c r="V489" s="400">
        <v>3644.36</v>
      </c>
      <c r="W489" s="372">
        <v>262944.44</v>
      </c>
      <c r="X489" s="373">
        <v>297704.88999999996</v>
      </c>
      <c r="Y489" s="372">
        <v>304919.79913600005</v>
      </c>
      <c r="Z489" s="373">
        <v>1038648.7491359999</v>
      </c>
      <c r="AA489" s="400">
        <v>2245.895382000017</v>
      </c>
      <c r="AB489" s="400">
        <v>-106.9800000000032</v>
      </c>
      <c r="AC489" s="400">
        <v>0</v>
      </c>
      <c r="AD489" s="400">
        <v>12</v>
      </c>
      <c r="AE489" s="372">
        <v>2257.895382000017</v>
      </c>
      <c r="AF489" s="372">
        <v>2150.9153820000138</v>
      </c>
      <c r="AG489" s="400">
        <v>3.8300000000000125</v>
      </c>
      <c r="AH489" s="374">
        <v>8.4453853342448988E-3</v>
      </c>
      <c r="AI489" s="375">
        <v>-2.8476938950000906E-3</v>
      </c>
      <c r="AJ489" s="372">
        <v>245.96</v>
      </c>
      <c r="AK489" s="376">
        <v>1.5571637664660971E-2</v>
      </c>
      <c r="AL489" s="376">
        <v>-7.1262523304160726E-3</v>
      </c>
      <c r="AM489" s="412">
        <v>251.96944162436566</v>
      </c>
    </row>
    <row r="490" spans="2:39" s="380" customFormat="1" ht="28.15" customHeight="1" x14ac:dyDescent="0.25">
      <c r="B490" s="369">
        <v>43496</v>
      </c>
      <c r="C490" s="370">
        <v>263791.77766399999</v>
      </c>
      <c r="D490" s="370">
        <v>37655.39</v>
      </c>
      <c r="E490" s="371">
        <v>0</v>
      </c>
      <c r="F490" s="371">
        <v>0</v>
      </c>
      <c r="G490" s="371">
        <v>5773.72</v>
      </c>
      <c r="H490" s="371"/>
      <c r="I490" s="371"/>
      <c r="J490" s="371"/>
      <c r="K490" s="371"/>
      <c r="L490" s="371"/>
      <c r="M490" s="371">
        <v>650000</v>
      </c>
      <c r="N490" s="371">
        <v>32000</v>
      </c>
      <c r="O490" s="371">
        <v>1600</v>
      </c>
      <c r="P490" s="371">
        <f t="shared" si="7"/>
        <v>91683</v>
      </c>
      <c r="Q490" s="381">
        <v>-41554.050000000003</v>
      </c>
      <c r="R490" s="372">
        <v>269565.49766399997</v>
      </c>
      <c r="S490" s="400">
        <v>259300.08</v>
      </c>
      <c r="T490" s="400">
        <v>34760.450000000004</v>
      </c>
      <c r="U490" s="400">
        <v>0</v>
      </c>
      <c r="V490" s="400">
        <v>3644.36</v>
      </c>
      <c r="W490" s="372">
        <v>262944.44</v>
      </c>
      <c r="X490" s="373">
        <v>297704.88999999996</v>
      </c>
      <c r="Y490" s="372">
        <v>307220.88766399998</v>
      </c>
      <c r="Z490" s="373">
        <v>1040949.837664</v>
      </c>
      <c r="AA490" s="400">
        <v>2197.5885279999638</v>
      </c>
      <c r="AB490" s="400">
        <v>88.150000000001455</v>
      </c>
      <c r="AC490" s="400">
        <v>0</v>
      </c>
      <c r="AD490" s="400">
        <v>15.350000000000364</v>
      </c>
      <c r="AE490" s="372">
        <v>2212.9385279999642</v>
      </c>
      <c r="AF490" s="372">
        <v>2301.0885279999657</v>
      </c>
      <c r="AG490" s="400">
        <v>2.0499999999999829</v>
      </c>
      <c r="AH490" s="374">
        <v>8.2092795523790747E-3</v>
      </c>
      <c r="AI490" s="375">
        <v>2.3409663264675113E-3</v>
      </c>
      <c r="AJ490" s="372">
        <v>248.01</v>
      </c>
      <c r="AK490" s="376">
        <v>8.2657957340429144E-3</v>
      </c>
      <c r="AL490" s="376">
        <v>-5.6516181663839732E-5</v>
      </c>
      <c r="AM490" s="412">
        <v>251.90969543147227</v>
      </c>
    </row>
    <row r="491" spans="2:39" s="380" customFormat="1" ht="28.15" customHeight="1" x14ac:dyDescent="0.25">
      <c r="B491" s="369">
        <v>43497</v>
      </c>
      <c r="C491" s="370">
        <v>262928.036815</v>
      </c>
      <c r="D491" s="370">
        <v>37628.33</v>
      </c>
      <c r="E491" s="371">
        <v>0</v>
      </c>
      <c r="F491" s="371">
        <v>0</v>
      </c>
      <c r="G491" s="371">
        <v>5817.37</v>
      </c>
      <c r="H491" s="371"/>
      <c r="I491" s="371"/>
      <c r="J491" s="371"/>
      <c r="K491" s="371"/>
      <c r="L491" s="371"/>
      <c r="M491" s="371">
        <v>650000</v>
      </c>
      <c r="N491" s="371">
        <v>32000</v>
      </c>
      <c r="O491" s="371">
        <v>1600</v>
      </c>
      <c r="P491" s="371">
        <f t="shared" si="7"/>
        <v>91683</v>
      </c>
      <c r="Q491" s="381">
        <v>-41554.050000000003</v>
      </c>
      <c r="R491" s="372">
        <v>268745.40681499999</v>
      </c>
      <c r="S491" s="400">
        <v>259300.08</v>
      </c>
      <c r="T491" s="400">
        <v>34760.450000000004</v>
      </c>
      <c r="U491" s="400">
        <v>0</v>
      </c>
      <c r="V491" s="400">
        <v>3644.36</v>
      </c>
      <c r="W491" s="372">
        <v>262944.44</v>
      </c>
      <c r="X491" s="373">
        <v>297704.88999999996</v>
      </c>
      <c r="Y491" s="372">
        <v>306373.73681500001</v>
      </c>
      <c r="Z491" s="373">
        <v>1040102.6868149999</v>
      </c>
      <c r="AA491" s="400">
        <v>-863.74084899999434</v>
      </c>
      <c r="AB491" s="400">
        <v>-27.059999999997672</v>
      </c>
      <c r="AC491" s="400">
        <v>0</v>
      </c>
      <c r="AD491" s="400">
        <v>43.649999999999636</v>
      </c>
      <c r="AE491" s="372">
        <v>-820.09084899999471</v>
      </c>
      <c r="AF491" s="372">
        <v>-847.15084899999238</v>
      </c>
      <c r="AG491" s="400">
        <v>0.21000000000000796</v>
      </c>
      <c r="AH491" s="374">
        <v>-3.0515529873391734E-3</v>
      </c>
      <c r="AI491" s="375">
        <v>-7.1913901042107561E-4</v>
      </c>
      <c r="AJ491" s="372">
        <v>248.22</v>
      </c>
      <c r="AK491" s="376">
        <v>8.4602368866331463E-4</v>
      </c>
      <c r="AL491" s="376">
        <v>-3.8975766760024882E-3</v>
      </c>
      <c r="AM491" s="412">
        <v>251.85796954314736</v>
      </c>
    </row>
    <row r="492" spans="2:39" s="380" customFormat="1" ht="28.15" customHeight="1" x14ac:dyDescent="0.25">
      <c r="B492" s="378">
        <v>43498</v>
      </c>
      <c r="C492" s="370">
        <v>262928.036815</v>
      </c>
      <c r="D492" s="370">
        <v>37628.33</v>
      </c>
      <c r="E492" s="371">
        <v>0</v>
      </c>
      <c r="F492" s="371">
        <v>0</v>
      </c>
      <c r="G492" s="371">
        <v>5817.37</v>
      </c>
      <c r="H492" s="371"/>
      <c r="I492" s="371"/>
      <c r="J492" s="371"/>
      <c r="K492" s="371"/>
      <c r="L492" s="371"/>
      <c r="M492" s="371">
        <v>650000</v>
      </c>
      <c r="N492" s="371">
        <v>32000</v>
      </c>
      <c r="O492" s="371">
        <v>1600</v>
      </c>
      <c r="P492" s="371">
        <f t="shared" si="7"/>
        <v>91683</v>
      </c>
      <c r="Q492" s="381">
        <v>-41554.050000000003</v>
      </c>
      <c r="R492" s="372">
        <v>268745.40681499999</v>
      </c>
      <c r="S492" s="400">
        <v>259300.08</v>
      </c>
      <c r="T492" s="400">
        <v>34760.450000000004</v>
      </c>
      <c r="U492" s="400">
        <v>0</v>
      </c>
      <c r="V492" s="400">
        <v>3644.36</v>
      </c>
      <c r="W492" s="372">
        <v>262944.44</v>
      </c>
      <c r="X492" s="373">
        <v>297704.88999999996</v>
      </c>
      <c r="Y492" s="372">
        <v>306373.73681500001</v>
      </c>
      <c r="Z492" s="373">
        <v>1040102.6868149999</v>
      </c>
      <c r="AA492" s="400">
        <v>0</v>
      </c>
      <c r="AB492" s="400">
        <v>0</v>
      </c>
      <c r="AC492" s="400">
        <v>0</v>
      </c>
      <c r="AD492" s="400">
        <v>0</v>
      </c>
      <c r="AE492" s="372">
        <v>0</v>
      </c>
      <c r="AF492" s="372">
        <v>0</v>
      </c>
      <c r="AG492" s="400">
        <v>0</v>
      </c>
      <c r="AH492" s="374">
        <v>0</v>
      </c>
      <c r="AI492" s="375">
        <v>0</v>
      </c>
      <c r="AJ492" s="372">
        <v>248.22</v>
      </c>
      <c r="AK492" s="376">
        <v>0</v>
      </c>
      <c r="AL492" s="376">
        <v>0</v>
      </c>
      <c r="AM492" s="412">
        <v>251.81228426395955</v>
      </c>
    </row>
    <row r="493" spans="2:39" s="380" customFormat="1" ht="28.15" customHeight="1" x14ac:dyDescent="0.25">
      <c r="B493" s="378">
        <v>43499</v>
      </c>
      <c r="C493" s="370">
        <v>262928.036815</v>
      </c>
      <c r="D493" s="370">
        <v>37628.33</v>
      </c>
      <c r="E493" s="371">
        <v>0</v>
      </c>
      <c r="F493" s="371">
        <v>0</v>
      </c>
      <c r="G493" s="371">
        <v>5817.37</v>
      </c>
      <c r="H493" s="371"/>
      <c r="I493" s="371"/>
      <c r="J493" s="371"/>
      <c r="K493" s="371"/>
      <c r="L493" s="371"/>
      <c r="M493" s="371">
        <v>650000</v>
      </c>
      <c r="N493" s="371">
        <v>32000</v>
      </c>
      <c r="O493" s="371">
        <v>1600</v>
      </c>
      <c r="P493" s="371">
        <f t="shared" si="7"/>
        <v>91683</v>
      </c>
      <c r="Q493" s="381">
        <v>-41554.050000000003</v>
      </c>
      <c r="R493" s="372">
        <v>268745.40681499999</v>
      </c>
      <c r="S493" s="400">
        <v>259300.08</v>
      </c>
      <c r="T493" s="400">
        <v>34760.450000000004</v>
      </c>
      <c r="U493" s="400">
        <v>0</v>
      </c>
      <c r="V493" s="400">
        <v>3644.36</v>
      </c>
      <c r="W493" s="372">
        <v>262944.44</v>
      </c>
      <c r="X493" s="373">
        <v>297704.88999999996</v>
      </c>
      <c r="Y493" s="372">
        <v>306373.73681500001</v>
      </c>
      <c r="Z493" s="373">
        <v>1040102.6868149999</v>
      </c>
      <c r="AA493" s="400">
        <v>0</v>
      </c>
      <c r="AB493" s="400">
        <v>0</v>
      </c>
      <c r="AC493" s="400">
        <v>0</v>
      </c>
      <c r="AD493" s="400">
        <v>0</v>
      </c>
      <c r="AE493" s="372">
        <v>0</v>
      </c>
      <c r="AF493" s="372">
        <v>0</v>
      </c>
      <c r="AG493" s="400">
        <v>0</v>
      </c>
      <c r="AH493" s="374">
        <v>0</v>
      </c>
      <c r="AI493" s="375">
        <v>0</v>
      </c>
      <c r="AJ493" s="372">
        <v>248.22</v>
      </c>
      <c r="AK493" s="376">
        <v>0</v>
      </c>
      <c r="AL493" s="376">
        <v>0</v>
      </c>
      <c r="AM493" s="412">
        <v>251.76781725888341</v>
      </c>
    </row>
    <row r="494" spans="2:39" s="380" customFormat="1" ht="28.15" customHeight="1" x14ac:dyDescent="0.25">
      <c r="B494" s="369">
        <v>43500</v>
      </c>
      <c r="C494" s="370">
        <v>265210.86345199996</v>
      </c>
      <c r="D494" s="370">
        <v>37872.97</v>
      </c>
      <c r="E494" s="371">
        <v>0</v>
      </c>
      <c r="F494" s="371">
        <v>0</v>
      </c>
      <c r="G494" s="371">
        <v>5831.21</v>
      </c>
      <c r="H494" s="371"/>
      <c r="I494" s="371"/>
      <c r="J494" s="371"/>
      <c r="K494" s="371"/>
      <c r="L494" s="371"/>
      <c r="M494" s="371">
        <v>650000</v>
      </c>
      <c r="N494" s="371">
        <v>32000</v>
      </c>
      <c r="O494" s="371">
        <v>1600</v>
      </c>
      <c r="P494" s="371">
        <f t="shared" si="7"/>
        <v>91683</v>
      </c>
      <c r="Q494" s="381">
        <v>-41554.050000000003</v>
      </c>
      <c r="R494" s="372">
        <v>271042.07345199998</v>
      </c>
      <c r="S494" s="400">
        <v>259300.08</v>
      </c>
      <c r="T494" s="400">
        <v>34760.450000000004</v>
      </c>
      <c r="U494" s="400">
        <v>0</v>
      </c>
      <c r="V494" s="400">
        <v>3644.36</v>
      </c>
      <c r="W494" s="372">
        <v>262944.44</v>
      </c>
      <c r="X494" s="373">
        <v>297704.88999999996</v>
      </c>
      <c r="Y494" s="372">
        <v>308915.04345199995</v>
      </c>
      <c r="Z494" s="373">
        <v>1042643.993452</v>
      </c>
      <c r="AA494" s="400">
        <v>2282.8266369999619</v>
      </c>
      <c r="AB494" s="400">
        <v>244.63999999999942</v>
      </c>
      <c r="AC494" s="400">
        <v>0</v>
      </c>
      <c r="AD494" s="400">
        <v>13.840000000000146</v>
      </c>
      <c r="AE494" s="372">
        <v>2296.6666369999621</v>
      </c>
      <c r="AF494" s="372">
        <v>2541.3066369999615</v>
      </c>
      <c r="AG494" s="400">
        <v>1.7700000000000102</v>
      </c>
      <c r="AH494" s="374">
        <v>8.4734691103471385E-3</v>
      </c>
      <c r="AI494" s="375">
        <v>6.4594881257001866E-3</v>
      </c>
      <c r="AJ494" s="372">
        <v>249.99</v>
      </c>
      <c r="AK494" s="376">
        <v>7.0802832113284935E-3</v>
      </c>
      <c r="AL494" s="376">
        <v>1.393185899018645E-3</v>
      </c>
      <c r="AM494" s="412">
        <v>251.72335025380727</v>
      </c>
    </row>
    <row r="495" spans="2:39" s="380" customFormat="1" ht="28.15" customHeight="1" x14ac:dyDescent="0.25">
      <c r="B495" s="369">
        <v>43501</v>
      </c>
      <c r="C495" s="370">
        <v>266719.68281199998</v>
      </c>
      <c r="D495" s="370">
        <v>37924.18</v>
      </c>
      <c r="E495" s="371">
        <v>0</v>
      </c>
      <c r="F495" s="371">
        <v>0</v>
      </c>
      <c r="G495" s="371">
        <v>5858.8</v>
      </c>
      <c r="H495" s="371"/>
      <c r="I495" s="371"/>
      <c r="J495" s="371"/>
      <c r="K495" s="371"/>
      <c r="L495" s="371"/>
      <c r="M495" s="371">
        <v>650000</v>
      </c>
      <c r="N495" s="371">
        <v>32000</v>
      </c>
      <c r="O495" s="371">
        <v>1600</v>
      </c>
      <c r="P495" s="371">
        <f t="shared" si="7"/>
        <v>91683</v>
      </c>
      <c r="Q495" s="381">
        <v>-41554.050000000003</v>
      </c>
      <c r="R495" s="372">
        <v>272578.48281199997</v>
      </c>
      <c r="S495" s="400">
        <v>259300.08</v>
      </c>
      <c r="T495" s="400">
        <v>34760.450000000004</v>
      </c>
      <c r="U495" s="400">
        <v>0</v>
      </c>
      <c r="V495" s="400">
        <v>3644.36</v>
      </c>
      <c r="W495" s="372">
        <v>262944.44</v>
      </c>
      <c r="X495" s="373">
        <v>297704.88999999996</v>
      </c>
      <c r="Y495" s="372">
        <v>310502.66281199997</v>
      </c>
      <c r="Z495" s="373">
        <v>1044231.6128119999</v>
      </c>
      <c r="AA495" s="400">
        <v>1508.8193600000232</v>
      </c>
      <c r="AB495" s="400">
        <v>51.209999999999127</v>
      </c>
      <c r="AC495" s="400">
        <v>0</v>
      </c>
      <c r="AD495" s="400">
        <v>27.590000000000146</v>
      </c>
      <c r="AE495" s="372">
        <v>1536.4093600000233</v>
      </c>
      <c r="AF495" s="372">
        <v>1587.6193600000224</v>
      </c>
      <c r="AG495" s="400">
        <v>1.1099999999999852</v>
      </c>
      <c r="AH495" s="374">
        <v>5.6365760941581725E-3</v>
      </c>
      <c r="AI495" s="375">
        <v>1.350325834335749E-3</v>
      </c>
      <c r="AJ495" s="372">
        <v>251.1</v>
      </c>
      <c r="AK495" s="376">
        <v>4.4205495818398456E-3</v>
      </c>
      <c r="AL495" s="376">
        <v>1.2160265123183269E-3</v>
      </c>
      <c r="AM495" s="412">
        <v>251.68786802030465</v>
      </c>
    </row>
    <row r="496" spans="2:39" s="380" customFormat="1" ht="28.15" customHeight="1" x14ac:dyDescent="0.25">
      <c r="B496" s="369">
        <v>43502</v>
      </c>
      <c r="C496" s="370">
        <v>267212.25809999998</v>
      </c>
      <c r="D496" s="370">
        <v>37975.89</v>
      </c>
      <c r="E496" s="371">
        <v>0</v>
      </c>
      <c r="F496" s="371">
        <v>0</v>
      </c>
      <c r="G496" s="371">
        <v>5875.94</v>
      </c>
      <c r="H496" s="371"/>
      <c r="I496" s="371"/>
      <c r="J496" s="371"/>
      <c r="K496" s="371"/>
      <c r="L496" s="371"/>
      <c r="M496" s="371">
        <v>650000</v>
      </c>
      <c r="N496" s="371">
        <v>32000</v>
      </c>
      <c r="O496" s="371">
        <v>1600</v>
      </c>
      <c r="P496" s="371">
        <f t="shared" si="7"/>
        <v>91683</v>
      </c>
      <c r="Q496" s="381">
        <v>-41554.050000000003</v>
      </c>
      <c r="R496" s="372">
        <v>273088.19809999998</v>
      </c>
      <c r="S496" s="400">
        <v>259300.08</v>
      </c>
      <c r="T496" s="400">
        <v>34760.450000000004</v>
      </c>
      <c r="U496" s="400">
        <v>0</v>
      </c>
      <c r="V496" s="400">
        <v>3644.36</v>
      </c>
      <c r="W496" s="372">
        <v>262944.44</v>
      </c>
      <c r="X496" s="373">
        <v>297704.88999999996</v>
      </c>
      <c r="Y496" s="372">
        <v>311064.08809999999</v>
      </c>
      <c r="Z496" s="373">
        <v>1044793.0381</v>
      </c>
      <c r="AA496" s="400">
        <v>492.57528799999272</v>
      </c>
      <c r="AB496" s="400">
        <v>51.709999999999127</v>
      </c>
      <c r="AC496" s="400">
        <v>0</v>
      </c>
      <c r="AD496" s="400">
        <v>17.139999999999418</v>
      </c>
      <c r="AE496" s="372">
        <v>509.71528799999214</v>
      </c>
      <c r="AF496" s="372">
        <v>561.42528799999127</v>
      </c>
      <c r="AG496" s="400">
        <v>-0.31000000000000227</v>
      </c>
      <c r="AH496" s="374">
        <v>1.8664859614817319E-3</v>
      </c>
      <c r="AI496" s="375">
        <v>1.3616534069379052E-3</v>
      </c>
      <c r="AJ496" s="372">
        <v>250.79</v>
      </c>
      <c r="AK496" s="376">
        <v>-1.2360939431396876E-3</v>
      </c>
      <c r="AL496" s="376">
        <v>3.1025799046214197E-3</v>
      </c>
      <c r="AM496" s="412">
        <v>251.65553299492393</v>
      </c>
    </row>
    <row r="497" spans="2:39" s="380" customFormat="1" ht="28.15" customHeight="1" x14ac:dyDescent="0.25">
      <c r="B497" s="369">
        <v>43503</v>
      </c>
      <c r="C497" s="370">
        <v>267098.81357499998</v>
      </c>
      <c r="D497" s="370">
        <v>37704.590000000004</v>
      </c>
      <c r="E497" s="371">
        <v>0</v>
      </c>
      <c r="F497" s="371">
        <v>0</v>
      </c>
      <c r="G497" s="371">
        <v>5884.27</v>
      </c>
      <c r="H497" s="371"/>
      <c r="I497" s="371"/>
      <c r="J497" s="371"/>
      <c r="K497" s="371"/>
      <c r="L497" s="371"/>
      <c r="M497" s="371">
        <v>650000</v>
      </c>
      <c r="N497" s="371">
        <v>32000</v>
      </c>
      <c r="O497" s="371">
        <v>1600</v>
      </c>
      <c r="P497" s="371">
        <f t="shared" si="7"/>
        <v>91683</v>
      </c>
      <c r="Q497" s="381">
        <v>-41554.050000000003</v>
      </c>
      <c r="R497" s="372">
        <v>272983.083575</v>
      </c>
      <c r="S497" s="400">
        <v>259300.08</v>
      </c>
      <c r="T497" s="400">
        <v>34760.450000000004</v>
      </c>
      <c r="U497" s="400">
        <v>0</v>
      </c>
      <c r="V497" s="400">
        <v>3644.36</v>
      </c>
      <c r="W497" s="372">
        <v>262944.44</v>
      </c>
      <c r="X497" s="373">
        <v>297704.88999999996</v>
      </c>
      <c r="Y497" s="372">
        <v>310687.67357500002</v>
      </c>
      <c r="Z497" s="373">
        <v>1044416.6235749999</v>
      </c>
      <c r="AA497" s="400">
        <v>-113.44452499999898</v>
      </c>
      <c r="AB497" s="400">
        <v>-271.29999999999563</v>
      </c>
      <c r="AC497" s="400">
        <v>0</v>
      </c>
      <c r="AD497" s="400">
        <v>8.3300000000008367</v>
      </c>
      <c r="AE497" s="372">
        <v>-105.11452499999814</v>
      </c>
      <c r="AF497" s="372">
        <v>-376.41452499999377</v>
      </c>
      <c r="AG497" s="400">
        <v>-2.4599999999999795</v>
      </c>
      <c r="AH497" s="374">
        <v>-3.8505875024713295E-4</v>
      </c>
      <c r="AI497" s="375">
        <v>-7.1954104261575478E-3</v>
      </c>
      <c r="AJ497" s="372">
        <v>248.33</v>
      </c>
      <c r="AK497" s="376">
        <v>-9.9061732372245775E-3</v>
      </c>
      <c r="AL497" s="376">
        <v>9.5211144869774451E-3</v>
      </c>
      <c r="AM497" s="412">
        <v>251.6154822335026</v>
      </c>
    </row>
    <row r="498" spans="2:39" s="380" customFormat="1" ht="28.15" customHeight="1" x14ac:dyDescent="0.25">
      <c r="B498" s="369">
        <v>43504</v>
      </c>
      <c r="C498" s="370">
        <v>267146.29844999994</v>
      </c>
      <c r="D498" s="370">
        <v>37744.51</v>
      </c>
      <c r="E498" s="371">
        <v>0</v>
      </c>
      <c r="F498" s="371">
        <v>0</v>
      </c>
      <c r="G498" s="371">
        <v>5852.43</v>
      </c>
      <c r="H498" s="371"/>
      <c r="I498" s="371"/>
      <c r="J498" s="371"/>
      <c r="K498" s="371"/>
      <c r="L498" s="371"/>
      <c r="M498" s="371">
        <v>650000</v>
      </c>
      <c r="N498" s="371">
        <v>32000</v>
      </c>
      <c r="O498" s="371">
        <v>1600</v>
      </c>
      <c r="P498" s="371">
        <f t="shared" si="7"/>
        <v>91683</v>
      </c>
      <c r="Q498" s="381">
        <v>-41554.050000000003</v>
      </c>
      <c r="R498" s="372">
        <v>272998.72844999994</v>
      </c>
      <c r="S498" s="400">
        <v>259300.08</v>
      </c>
      <c r="T498" s="400">
        <v>34760.450000000004</v>
      </c>
      <c r="U498" s="400">
        <v>0</v>
      </c>
      <c r="V498" s="400">
        <v>3644.36</v>
      </c>
      <c r="W498" s="372">
        <v>262944.44</v>
      </c>
      <c r="X498" s="373">
        <v>297704.88999999996</v>
      </c>
      <c r="Y498" s="372">
        <v>310743.23844999995</v>
      </c>
      <c r="Z498" s="373">
        <v>1044472.18845</v>
      </c>
      <c r="AA498" s="400">
        <v>47.484874999965541</v>
      </c>
      <c r="AB498" s="400">
        <v>39.919999999998254</v>
      </c>
      <c r="AC498" s="400">
        <v>0</v>
      </c>
      <c r="AD498" s="400">
        <v>-31.840000000000146</v>
      </c>
      <c r="AE498" s="372">
        <v>15.644874999965396</v>
      </c>
      <c r="AF498" s="372">
        <v>55.564874999963649</v>
      </c>
      <c r="AG498" s="400">
        <v>0.31999999999999318</v>
      </c>
      <c r="AH498" s="374">
        <v>5.730750135281591E-5</v>
      </c>
      <c r="AI498" s="375">
        <v>1.0576372563850544E-3</v>
      </c>
      <c r="AJ498" s="372">
        <v>248.65</v>
      </c>
      <c r="AK498" s="376">
        <v>1.2869495274481929E-3</v>
      </c>
      <c r="AL498" s="376">
        <v>-1.2296420260953769E-3</v>
      </c>
      <c r="AM498" s="412">
        <v>251.55091370558384</v>
      </c>
    </row>
    <row r="499" spans="2:39" s="380" customFormat="1" ht="28.15" customHeight="1" x14ac:dyDescent="0.25">
      <c r="B499" s="378">
        <v>43505</v>
      </c>
      <c r="C499" s="370">
        <v>267146.29844999994</v>
      </c>
      <c r="D499" s="370">
        <v>37744.51</v>
      </c>
      <c r="E499" s="371">
        <v>0</v>
      </c>
      <c r="F499" s="371">
        <v>0</v>
      </c>
      <c r="G499" s="371">
        <v>5852.43</v>
      </c>
      <c r="H499" s="371"/>
      <c r="I499" s="371"/>
      <c r="J499" s="371"/>
      <c r="K499" s="371"/>
      <c r="L499" s="371"/>
      <c r="M499" s="371">
        <v>650000</v>
      </c>
      <c r="N499" s="371">
        <v>32000</v>
      </c>
      <c r="O499" s="371">
        <v>1600</v>
      </c>
      <c r="P499" s="371">
        <f t="shared" si="7"/>
        <v>91683</v>
      </c>
      <c r="Q499" s="381">
        <v>-41554.050000000003</v>
      </c>
      <c r="R499" s="372">
        <v>272998.72844999994</v>
      </c>
      <c r="S499" s="400">
        <v>259300.08</v>
      </c>
      <c r="T499" s="400">
        <v>34760.450000000004</v>
      </c>
      <c r="U499" s="400">
        <v>0</v>
      </c>
      <c r="V499" s="400">
        <v>3644.36</v>
      </c>
      <c r="W499" s="372">
        <v>262944.44</v>
      </c>
      <c r="X499" s="373">
        <v>297704.88999999996</v>
      </c>
      <c r="Y499" s="372">
        <v>310743.23844999995</v>
      </c>
      <c r="Z499" s="373">
        <v>1044472.18845</v>
      </c>
      <c r="AA499" s="400">
        <v>0</v>
      </c>
      <c r="AB499" s="400">
        <v>0</v>
      </c>
      <c r="AC499" s="400">
        <v>0</v>
      </c>
      <c r="AD499" s="400">
        <v>0</v>
      </c>
      <c r="AE499" s="372">
        <v>0</v>
      </c>
      <c r="AF499" s="372">
        <v>0</v>
      </c>
      <c r="AG499" s="400">
        <v>0</v>
      </c>
      <c r="AH499" s="374">
        <v>0</v>
      </c>
      <c r="AI499" s="375">
        <v>0</v>
      </c>
      <c r="AJ499" s="372">
        <v>248.65</v>
      </c>
      <c r="AK499" s="376">
        <v>0</v>
      </c>
      <c r="AL499" s="376">
        <v>0</v>
      </c>
      <c r="AM499" s="412">
        <v>251.49187817258891</v>
      </c>
    </row>
    <row r="500" spans="2:39" s="380" customFormat="1" ht="28.15" customHeight="1" x14ac:dyDescent="0.25">
      <c r="B500" s="378">
        <v>43506</v>
      </c>
      <c r="C500" s="370">
        <v>267146.29844999994</v>
      </c>
      <c r="D500" s="370">
        <v>37744.51</v>
      </c>
      <c r="E500" s="371">
        <v>0</v>
      </c>
      <c r="F500" s="371">
        <v>0</v>
      </c>
      <c r="G500" s="371">
        <v>5852.43</v>
      </c>
      <c r="H500" s="371"/>
      <c r="I500" s="371"/>
      <c r="J500" s="371"/>
      <c r="K500" s="371"/>
      <c r="L500" s="371"/>
      <c r="M500" s="371">
        <v>650000</v>
      </c>
      <c r="N500" s="371">
        <v>32000</v>
      </c>
      <c r="O500" s="371">
        <v>1600</v>
      </c>
      <c r="P500" s="371">
        <f t="shared" si="7"/>
        <v>91683</v>
      </c>
      <c r="Q500" s="381">
        <v>-41554.050000000003</v>
      </c>
      <c r="R500" s="372">
        <v>272998.72844999994</v>
      </c>
      <c r="S500" s="400">
        <v>259300.08</v>
      </c>
      <c r="T500" s="400">
        <v>34760.450000000004</v>
      </c>
      <c r="U500" s="400">
        <v>0</v>
      </c>
      <c r="V500" s="400">
        <v>3644.36</v>
      </c>
      <c r="W500" s="372">
        <v>262944.44</v>
      </c>
      <c r="X500" s="373">
        <v>297704.88999999996</v>
      </c>
      <c r="Y500" s="372">
        <v>310743.23844999995</v>
      </c>
      <c r="Z500" s="373">
        <v>1044472.18845</v>
      </c>
      <c r="AA500" s="400">
        <v>0</v>
      </c>
      <c r="AB500" s="400">
        <v>0</v>
      </c>
      <c r="AC500" s="400">
        <v>0</v>
      </c>
      <c r="AD500" s="400">
        <v>0</v>
      </c>
      <c r="AE500" s="372">
        <v>0</v>
      </c>
      <c r="AF500" s="372">
        <v>0</v>
      </c>
      <c r="AG500" s="400">
        <v>0</v>
      </c>
      <c r="AH500" s="374">
        <v>0</v>
      </c>
      <c r="AI500" s="375">
        <v>0</v>
      </c>
      <c r="AJ500" s="372">
        <v>248.65</v>
      </c>
      <c r="AK500" s="376">
        <v>0</v>
      </c>
      <c r="AL500" s="376">
        <v>0</v>
      </c>
      <c r="AM500" s="412">
        <v>251.44142131979703</v>
      </c>
    </row>
    <row r="501" spans="2:39" s="380" customFormat="1" ht="28.15" customHeight="1" x14ac:dyDescent="0.25">
      <c r="B501" s="369">
        <v>43507</v>
      </c>
      <c r="C501" s="370">
        <v>267744.66846999998</v>
      </c>
      <c r="D501" s="370">
        <v>37772.29</v>
      </c>
      <c r="E501" s="371">
        <v>0</v>
      </c>
      <c r="F501" s="371">
        <v>0</v>
      </c>
      <c r="G501" s="371">
        <v>5856.34</v>
      </c>
      <c r="H501" s="371">
        <v>75</v>
      </c>
      <c r="I501" s="371"/>
      <c r="J501" s="371"/>
      <c r="K501" s="371"/>
      <c r="L501" s="371"/>
      <c r="M501" s="371">
        <v>650000</v>
      </c>
      <c r="N501" s="371">
        <v>32000</v>
      </c>
      <c r="O501" s="371">
        <v>1600</v>
      </c>
      <c r="P501" s="371">
        <f t="shared" si="7"/>
        <v>91683</v>
      </c>
      <c r="Q501" s="381">
        <v>-41554.050000000003</v>
      </c>
      <c r="R501" s="372">
        <v>273601.00847</v>
      </c>
      <c r="S501" s="400">
        <v>259375.08</v>
      </c>
      <c r="T501" s="400">
        <v>34760.450000000004</v>
      </c>
      <c r="U501" s="400">
        <v>0</v>
      </c>
      <c r="V501" s="400">
        <v>3644.36</v>
      </c>
      <c r="W501" s="372">
        <v>263019.44</v>
      </c>
      <c r="X501" s="373">
        <v>297779.88999999996</v>
      </c>
      <c r="Y501" s="372">
        <v>311373.29846999998</v>
      </c>
      <c r="Z501" s="373">
        <v>1045102.24847</v>
      </c>
      <c r="AA501" s="400">
        <v>523.37002000003122</v>
      </c>
      <c r="AB501" s="400">
        <v>27.779999999998836</v>
      </c>
      <c r="AC501" s="400">
        <v>0</v>
      </c>
      <c r="AD501" s="400">
        <v>3.9099999999998545</v>
      </c>
      <c r="AE501" s="372">
        <v>527.28002000003107</v>
      </c>
      <c r="AF501" s="372">
        <v>555.06002000002991</v>
      </c>
      <c r="AG501" s="400">
        <v>0.12999999999999545</v>
      </c>
      <c r="AH501" s="374">
        <v>1.9271859520863083E-3</v>
      </c>
      <c r="AI501" s="375">
        <v>7.3545977752471014E-4</v>
      </c>
      <c r="AJ501" s="372">
        <v>248.78</v>
      </c>
      <c r="AK501" s="376">
        <v>5.2255004421575474E-4</v>
      </c>
      <c r="AL501" s="376">
        <v>1.4046359078705535E-3</v>
      </c>
      <c r="AM501" s="412">
        <v>251.39096446700515</v>
      </c>
    </row>
    <row r="502" spans="2:39" s="380" customFormat="1" ht="28.15" customHeight="1" x14ac:dyDescent="0.25">
      <c r="B502" s="369">
        <v>43508</v>
      </c>
      <c r="C502" s="370">
        <v>270006.74560000002</v>
      </c>
      <c r="D502" s="370">
        <v>38158.49</v>
      </c>
      <c r="E502" s="371">
        <v>0</v>
      </c>
      <c r="F502" s="371">
        <v>0</v>
      </c>
      <c r="G502" s="371">
        <v>5880.42</v>
      </c>
      <c r="H502" s="371"/>
      <c r="I502" s="371"/>
      <c r="J502" s="371"/>
      <c r="K502" s="371"/>
      <c r="L502" s="371"/>
      <c r="M502" s="371">
        <v>650000</v>
      </c>
      <c r="N502" s="371">
        <v>32000</v>
      </c>
      <c r="O502" s="371">
        <v>1600</v>
      </c>
      <c r="P502" s="371">
        <f t="shared" si="7"/>
        <v>91683</v>
      </c>
      <c r="Q502" s="381">
        <v>-41554.050000000003</v>
      </c>
      <c r="R502" s="372">
        <v>275887.16560000001</v>
      </c>
      <c r="S502" s="400">
        <v>259375.08</v>
      </c>
      <c r="T502" s="400">
        <v>34760.450000000004</v>
      </c>
      <c r="U502" s="400">
        <v>0</v>
      </c>
      <c r="V502" s="400">
        <v>3644.36</v>
      </c>
      <c r="W502" s="372">
        <v>263019.44</v>
      </c>
      <c r="X502" s="373">
        <v>297779.88999999996</v>
      </c>
      <c r="Y502" s="372">
        <v>314045.6556</v>
      </c>
      <c r="Z502" s="373">
        <v>1047774.6055999999</v>
      </c>
      <c r="AA502" s="400">
        <v>2262.0771300000488</v>
      </c>
      <c r="AB502" s="400">
        <v>386.19999999999709</v>
      </c>
      <c r="AC502" s="400">
        <v>0</v>
      </c>
      <c r="AD502" s="400">
        <v>24.079999999999927</v>
      </c>
      <c r="AE502" s="372">
        <v>2286.1571300000487</v>
      </c>
      <c r="AF502" s="372">
        <v>2672.3571300000458</v>
      </c>
      <c r="AG502" s="400">
        <v>3.2199999999999989</v>
      </c>
      <c r="AH502" s="374">
        <v>8.2865657234475164E-3</v>
      </c>
      <c r="AI502" s="375">
        <v>1.0120945561525027E-2</v>
      </c>
      <c r="AJ502" s="372">
        <v>252</v>
      </c>
      <c r="AK502" s="376">
        <v>1.2777777777777773E-2</v>
      </c>
      <c r="AL502" s="376">
        <v>-4.4912120543302569E-3</v>
      </c>
      <c r="AM502" s="412">
        <v>251.34116751269039</v>
      </c>
    </row>
    <row r="503" spans="2:39" s="380" customFormat="1" ht="28.15" customHeight="1" x14ac:dyDescent="0.25">
      <c r="B503" s="369">
        <v>43509</v>
      </c>
      <c r="C503" s="370">
        <v>270539.03820000001</v>
      </c>
      <c r="D503" s="370">
        <v>38225.329999999994</v>
      </c>
      <c r="E503" s="371">
        <v>0</v>
      </c>
      <c r="F503" s="371">
        <v>0</v>
      </c>
      <c r="G503" s="371">
        <v>5944.12</v>
      </c>
      <c r="H503" s="371"/>
      <c r="I503" s="371"/>
      <c r="J503" s="371"/>
      <c r="K503" s="371"/>
      <c r="L503" s="371"/>
      <c r="M503" s="371">
        <v>650000</v>
      </c>
      <c r="N503" s="371">
        <v>32000</v>
      </c>
      <c r="O503" s="371">
        <v>1600</v>
      </c>
      <c r="P503" s="371">
        <f t="shared" si="7"/>
        <v>91683</v>
      </c>
      <c r="Q503" s="381">
        <v>-41554.050000000003</v>
      </c>
      <c r="R503" s="372">
        <v>276483.15820000001</v>
      </c>
      <c r="S503" s="400">
        <v>259375.08</v>
      </c>
      <c r="T503" s="400">
        <v>34760.450000000004</v>
      </c>
      <c r="U503" s="400">
        <v>0</v>
      </c>
      <c r="V503" s="400">
        <v>3644.36</v>
      </c>
      <c r="W503" s="372">
        <v>263019.44</v>
      </c>
      <c r="X503" s="373">
        <v>297779.88999999996</v>
      </c>
      <c r="Y503" s="372">
        <v>314708.48820000002</v>
      </c>
      <c r="Z503" s="373">
        <v>1048437.4382</v>
      </c>
      <c r="AA503" s="400">
        <v>532.29259999998612</v>
      </c>
      <c r="AB503" s="400">
        <v>66.839999999996508</v>
      </c>
      <c r="AC503" s="400">
        <v>0</v>
      </c>
      <c r="AD503" s="400">
        <v>63.699999999999818</v>
      </c>
      <c r="AE503" s="372">
        <v>595.99259999998594</v>
      </c>
      <c r="AF503" s="372">
        <v>662.83259999998245</v>
      </c>
      <c r="AG503" s="400">
        <v>0.75999999999999091</v>
      </c>
      <c r="AH503" s="374">
        <v>2.1556199078457501E-3</v>
      </c>
      <c r="AI503" s="375">
        <v>1.748578756546942E-3</v>
      </c>
      <c r="AJ503" s="372">
        <v>252.76</v>
      </c>
      <c r="AK503" s="376">
        <v>3.0068048741889179E-3</v>
      </c>
      <c r="AL503" s="376">
        <v>-8.5118496634316787E-4</v>
      </c>
      <c r="AM503" s="412">
        <v>251.31527918781731</v>
      </c>
    </row>
    <row r="504" spans="2:39" s="380" customFormat="1" ht="28.15" customHeight="1" x14ac:dyDescent="0.25">
      <c r="B504" s="369">
        <v>43510</v>
      </c>
      <c r="C504" s="370">
        <v>271223.17069</v>
      </c>
      <c r="D504" s="370">
        <v>38189.61</v>
      </c>
      <c r="E504" s="371">
        <v>0</v>
      </c>
      <c r="F504" s="371">
        <v>0</v>
      </c>
      <c r="G504" s="371">
        <v>5956.05</v>
      </c>
      <c r="H504" s="371"/>
      <c r="I504" s="371"/>
      <c r="J504" s="371"/>
      <c r="K504" s="371"/>
      <c r="L504" s="371"/>
      <c r="M504" s="371">
        <v>650000</v>
      </c>
      <c r="N504" s="371">
        <v>32000</v>
      </c>
      <c r="O504" s="371">
        <v>1600</v>
      </c>
      <c r="P504" s="371">
        <f t="shared" si="7"/>
        <v>91683</v>
      </c>
      <c r="Q504" s="381">
        <v>-41554.050000000003</v>
      </c>
      <c r="R504" s="372">
        <v>277179.22068999999</v>
      </c>
      <c r="S504" s="400">
        <v>259375.08</v>
      </c>
      <c r="T504" s="400">
        <v>34760.450000000004</v>
      </c>
      <c r="U504" s="400">
        <v>0</v>
      </c>
      <c r="V504" s="400">
        <v>3644.36</v>
      </c>
      <c r="W504" s="372">
        <v>263019.44</v>
      </c>
      <c r="X504" s="373">
        <v>297779.88999999996</v>
      </c>
      <c r="Y504" s="372">
        <v>315368.83068999997</v>
      </c>
      <c r="Z504" s="373">
        <v>1049097.7806899999</v>
      </c>
      <c r="AA504" s="400">
        <v>684.13248999998905</v>
      </c>
      <c r="AB504" s="400">
        <v>-35.719999999993888</v>
      </c>
      <c r="AC504" s="400">
        <v>0</v>
      </c>
      <c r="AD504" s="400">
        <v>11.930000000000291</v>
      </c>
      <c r="AE504" s="372">
        <v>696.06248999998934</v>
      </c>
      <c r="AF504" s="372">
        <v>660.34248999999545</v>
      </c>
      <c r="AG504" s="400">
        <v>-0.56000000000000227</v>
      </c>
      <c r="AH504" s="374">
        <v>2.511236189593276E-3</v>
      </c>
      <c r="AI504" s="375">
        <v>-9.3533293479545587E-4</v>
      </c>
      <c r="AJ504" s="372">
        <v>252.2</v>
      </c>
      <c r="AK504" s="376">
        <v>-2.2204599524187243E-3</v>
      </c>
      <c r="AL504" s="376">
        <v>4.7316961420119999E-3</v>
      </c>
      <c r="AM504" s="412">
        <v>251.28664974619295</v>
      </c>
    </row>
    <row r="505" spans="2:39" s="380" customFormat="1" ht="28.15" customHeight="1" x14ac:dyDescent="0.25">
      <c r="B505" s="369">
        <v>43511</v>
      </c>
      <c r="C505" s="370">
        <v>273685.33156600001</v>
      </c>
      <c r="D505" s="370">
        <v>38518.949999999997</v>
      </c>
      <c r="E505" s="371">
        <v>0</v>
      </c>
      <c r="F505" s="371">
        <v>0</v>
      </c>
      <c r="G505" s="371">
        <v>5982.63</v>
      </c>
      <c r="H505" s="371"/>
      <c r="I505" s="371"/>
      <c r="J505" s="371"/>
      <c r="K505" s="371"/>
      <c r="L505" s="371"/>
      <c r="M505" s="371">
        <v>650000</v>
      </c>
      <c r="N505" s="371">
        <v>32000</v>
      </c>
      <c r="O505" s="371">
        <v>1600</v>
      </c>
      <c r="P505" s="371">
        <f t="shared" si="7"/>
        <v>91683</v>
      </c>
      <c r="Q505" s="381">
        <v>-41554.050000000003</v>
      </c>
      <c r="R505" s="372">
        <v>279667.96156600001</v>
      </c>
      <c r="S505" s="400">
        <v>259375.08</v>
      </c>
      <c r="T505" s="400">
        <v>34760.450000000004</v>
      </c>
      <c r="U505" s="400">
        <v>0</v>
      </c>
      <c r="V505" s="400">
        <v>3644.36</v>
      </c>
      <c r="W505" s="372">
        <v>263019.44</v>
      </c>
      <c r="X505" s="373">
        <v>297779.88999999996</v>
      </c>
      <c r="Y505" s="372">
        <v>318186.91156600002</v>
      </c>
      <c r="Z505" s="373">
        <v>1051915.8615659999</v>
      </c>
      <c r="AA505" s="400">
        <v>2462.160876000009</v>
      </c>
      <c r="AB505" s="400">
        <v>329.33999999999651</v>
      </c>
      <c r="AC505" s="400">
        <v>0</v>
      </c>
      <c r="AD505" s="400">
        <v>26.579999999999927</v>
      </c>
      <c r="AE505" s="372">
        <v>2488.7408760000089</v>
      </c>
      <c r="AF505" s="372">
        <v>2818.0808760000054</v>
      </c>
      <c r="AG505" s="400">
        <v>2.7800000000000011</v>
      </c>
      <c r="AH505" s="374">
        <v>8.8989130612756318E-3</v>
      </c>
      <c r="AI505" s="375">
        <v>8.5500772996147754E-3</v>
      </c>
      <c r="AJ505" s="372">
        <v>254.98</v>
      </c>
      <c r="AK505" s="376">
        <v>1.0902815907129975E-2</v>
      </c>
      <c r="AL505" s="376">
        <v>-2.0039028458543433E-3</v>
      </c>
      <c r="AM505" s="412">
        <v>251.2568020304569</v>
      </c>
    </row>
    <row r="506" spans="2:39" s="380" customFormat="1" ht="28.15" customHeight="1" x14ac:dyDescent="0.25">
      <c r="B506" s="378">
        <v>43512</v>
      </c>
      <c r="C506" s="370">
        <v>273685.33156600001</v>
      </c>
      <c r="D506" s="370">
        <v>38518.949999999997</v>
      </c>
      <c r="E506" s="371">
        <v>0</v>
      </c>
      <c r="F506" s="371">
        <v>0</v>
      </c>
      <c r="G506" s="371">
        <v>5982.63</v>
      </c>
      <c r="H506" s="371"/>
      <c r="I506" s="371"/>
      <c r="J506" s="371"/>
      <c r="K506" s="371"/>
      <c r="L506" s="371"/>
      <c r="M506" s="371">
        <v>650000</v>
      </c>
      <c r="N506" s="371">
        <v>32000</v>
      </c>
      <c r="O506" s="371">
        <v>1600</v>
      </c>
      <c r="P506" s="371">
        <f t="shared" si="7"/>
        <v>91683</v>
      </c>
      <c r="Q506" s="381">
        <v>-41554.050000000003</v>
      </c>
      <c r="R506" s="372">
        <v>279667.96156600001</v>
      </c>
      <c r="S506" s="400">
        <v>259375.08</v>
      </c>
      <c r="T506" s="400">
        <v>34760.450000000004</v>
      </c>
      <c r="U506" s="400">
        <v>0</v>
      </c>
      <c r="V506" s="400">
        <v>3644.36</v>
      </c>
      <c r="W506" s="372">
        <v>263019.44</v>
      </c>
      <c r="X506" s="373">
        <v>297779.88999999996</v>
      </c>
      <c r="Y506" s="372">
        <v>318186.91156600002</v>
      </c>
      <c r="Z506" s="373">
        <v>1051915.8615659999</v>
      </c>
      <c r="AA506" s="400">
        <v>0</v>
      </c>
      <c r="AB506" s="400">
        <v>0</v>
      </c>
      <c r="AC506" s="400">
        <v>0</v>
      </c>
      <c r="AD506" s="400">
        <v>0</v>
      </c>
      <c r="AE506" s="372">
        <v>0</v>
      </c>
      <c r="AF506" s="372">
        <v>0</v>
      </c>
      <c r="AG506" s="400">
        <v>0</v>
      </c>
      <c r="AH506" s="374">
        <v>0</v>
      </c>
      <c r="AI506" s="375">
        <v>0</v>
      </c>
      <c r="AJ506" s="372">
        <v>254.98</v>
      </c>
      <c r="AK506" s="376">
        <v>0</v>
      </c>
      <c r="AL506" s="376">
        <v>0</v>
      </c>
      <c r="AM506" s="412">
        <v>251.23441624365489</v>
      </c>
    </row>
    <row r="507" spans="2:39" s="380" customFormat="1" ht="28.15" customHeight="1" x14ac:dyDescent="0.25">
      <c r="B507" s="378">
        <v>43513</v>
      </c>
      <c r="C507" s="370">
        <v>273685.33156600001</v>
      </c>
      <c r="D507" s="370">
        <v>38518.949999999997</v>
      </c>
      <c r="E507" s="371">
        <v>0</v>
      </c>
      <c r="F507" s="371">
        <v>0</v>
      </c>
      <c r="G507" s="371">
        <v>5982.63</v>
      </c>
      <c r="H507" s="371"/>
      <c r="I507" s="371"/>
      <c r="J507" s="371"/>
      <c r="K507" s="371"/>
      <c r="L507" s="371"/>
      <c r="M507" s="371">
        <v>650000</v>
      </c>
      <c r="N507" s="371">
        <v>32000</v>
      </c>
      <c r="O507" s="371">
        <v>1600</v>
      </c>
      <c r="P507" s="371">
        <f t="shared" si="7"/>
        <v>91683</v>
      </c>
      <c r="Q507" s="381">
        <v>-41554.050000000003</v>
      </c>
      <c r="R507" s="372">
        <v>279667.96156600001</v>
      </c>
      <c r="S507" s="400">
        <v>259375.08</v>
      </c>
      <c r="T507" s="400">
        <v>34760.450000000004</v>
      </c>
      <c r="U507" s="400">
        <v>0</v>
      </c>
      <c r="V507" s="400">
        <v>3644.36</v>
      </c>
      <c r="W507" s="372">
        <v>263019.44</v>
      </c>
      <c r="X507" s="373">
        <v>297779.88999999996</v>
      </c>
      <c r="Y507" s="372">
        <v>318186.91156600002</v>
      </c>
      <c r="Z507" s="373">
        <v>1051915.8615659999</v>
      </c>
      <c r="AA507" s="400">
        <v>0</v>
      </c>
      <c r="AB507" s="400">
        <v>0</v>
      </c>
      <c r="AC507" s="400">
        <v>0</v>
      </c>
      <c r="AD507" s="400">
        <v>0</v>
      </c>
      <c r="AE507" s="372">
        <v>0</v>
      </c>
      <c r="AF507" s="372">
        <v>0</v>
      </c>
      <c r="AG507" s="400">
        <v>0</v>
      </c>
      <c r="AH507" s="374">
        <v>0</v>
      </c>
      <c r="AI507" s="375">
        <v>0</v>
      </c>
      <c r="AJ507" s="372">
        <v>254.98</v>
      </c>
      <c r="AK507" s="376">
        <v>0</v>
      </c>
      <c r="AL507" s="376">
        <v>0</v>
      </c>
      <c r="AM507" s="412">
        <v>251.20558375634525</v>
      </c>
    </row>
    <row r="508" spans="2:39" s="380" customFormat="1" ht="28.15" customHeight="1" x14ac:dyDescent="0.25">
      <c r="B508" s="378">
        <v>43514</v>
      </c>
      <c r="C508" s="370">
        <v>273685.33156600001</v>
      </c>
      <c r="D508" s="370">
        <v>38518.949999999997</v>
      </c>
      <c r="E508" s="371">
        <v>0</v>
      </c>
      <c r="F508" s="371">
        <v>0</v>
      </c>
      <c r="G508" s="371">
        <v>5982.63</v>
      </c>
      <c r="H508" s="371"/>
      <c r="I508" s="371"/>
      <c r="J508" s="371"/>
      <c r="K508" s="371"/>
      <c r="L508" s="371"/>
      <c r="M508" s="371">
        <v>650000</v>
      </c>
      <c r="N508" s="371">
        <v>32000</v>
      </c>
      <c r="O508" s="371">
        <v>1600</v>
      </c>
      <c r="P508" s="371">
        <f t="shared" si="7"/>
        <v>91683</v>
      </c>
      <c r="Q508" s="381">
        <v>-41554.050000000003</v>
      </c>
      <c r="R508" s="372">
        <v>279667.96156600001</v>
      </c>
      <c r="S508" s="400">
        <v>259375.08</v>
      </c>
      <c r="T508" s="400">
        <v>34760.450000000004</v>
      </c>
      <c r="U508" s="400">
        <v>0</v>
      </c>
      <c r="V508" s="400">
        <v>3644.36</v>
      </c>
      <c r="W508" s="372">
        <v>263019.44</v>
      </c>
      <c r="X508" s="373">
        <v>297779.88999999996</v>
      </c>
      <c r="Y508" s="372">
        <v>318186.91156600002</v>
      </c>
      <c r="Z508" s="373">
        <v>1051915.8615659999</v>
      </c>
      <c r="AA508" s="400">
        <v>0</v>
      </c>
      <c r="AB508" s="400">
        <v>0</v>
      </c>
      <c r="AC508" s="400">
        <v>0</v>
      </c>
      <c r="AD508" s="400">
        <v>0</v>
      </c>
      <c r="AE508" s="372">
        <v>0</v>
      </c>
      <c r="AF508" s="372">
        <v>0</v>
      </c>
      <c r="AG508" s="400">
        <v>0</v>
      </c>
      <c r="AH508" s="374">
        <v>0</v>
      </c>
      <c r="AI508" s="375">
        <v>0</v>
      </c>
      <c r="AJ508" s="372">
        <v>254.98</v>
      </c>
      <c r="AK508" s="376">
        <v>0</v>
      </c>
      <c r="AL508" s="376">
        <v>0</v>
      </c>
      <c r="AM508" s="412">
        <v>251.17675126903561</v>
      </c>
    </row>
    <row r="509" spans="2:39" s="380" customFormat="1" ht="28.15" customHeight="1" x14ac:dyDescent="0.25">
      <c r="B509" s="369">
        <v>43515</v>
      </c>
      <c r="C509" s="370">
        <v>273511.45172200003</v>
      </c>
      <c r="D509" s="370">
        <v>38781.869999999995</v>
      </c>
      <c r="E509" s="371">
        <v>0</v>
      </c>
      <c r="F509" s="371">
        <v>0</v>
      </c>
      <c r="G509" s="371">
        <v>6047.52</v>
      </c>
      <c r="H509" s="371"/>
      <c r="I509" s="371">
        <v>210</v>
      </c>
      <c r="J509" s="371"/>
      <c r="K509" s="371"/>
      <c r="L509" s="371"/>
      <c r="M509" s="371">
        <v>650000</v>
      </c>
      <c r="N509" s="371">
        <v>32000</v>
      </c>
      <c r="O509" s="371">
        <v>1600</v>
      </c>
      <c r="P509" s="371">
        <f t="shared" si="7"/>
        <v>91683</v>
      </c>
      <c r="Q509" s="381">
        <v>-41554.050000000003</v>
      </c>
      <c r="R509" s="372">
        <v>279558.97172200005</v>
      </c>
      <c r="S509" s="400">
        <v>259375.08</v>
      </c>
      <c r="T509" s="400">
        <v>34970.450000000004</v>
      </c>
      <c r="U509" s="400">
        <v>0</v>
      </c>
      <c r="V509" s="400">
        <v>3644.36</v>
      </c>
      <c r="W509" s="372">
        <v>263019.44</v>
      </c>
      <c r="X509" s="373">
        <v>297989.88999999996</v>
      </c>
      <c r="Y509" s="372">
        <v>318340.84172200004</v>
      </c>
      <c r="Z509" s="373">
        <v>1052069.7917219999</v>
      </c>
      <c r="AA509" s="400">
        <v>-173.87984399998095</v>
      </c>
      <c r="AB509" s="400">
        <v>52.919999999998254</v>
      </c>
      <c r="AC509" s="400">
        <v>0</v>
      </c>
      <c r="AD509" s="400">
        <v>64.890000000000327</v>
      </c>
      <c r="AE509" s="372">
        <v>-108.98984399998062</v>
      </c>
      <c r="AF509" s="372">
        <v>-56.069843999982368</v>
      </c>
      <c r="AG509" s="400">
        <v>0.43999999999999773</v>
      </c>
      <c r="AH509" s="374">
        <v>-3.8986351727020465E-4</v>
      </c>
      <c r="AI509" s="375">
        <v>1.3645551387800089E-3</v>
      </c>
      <c r="AJ509" s="372">
        <v>255.42</v>
      </c>
      <c r="AK509" s="376">
        <v>1.7226528854435742E-3</v>
      </c>
      <c r="AL509" s="376">
        <v>-2.112516402713779E-3</v>
      </c>
      <c r="AM509" s="412">
        <v>251.14791878172596</v>
      </c>
    </row>
    <row r="510" spans="2:39" s="380" customFormat="1" ht="28.15" customHeight="1" x14ac:dyDescent="0.25">
      <c r="B510" s="369">
        <v>43516</v>
      </c>
      <c r="C510" s="370">
        <v>272579.09443599998</v>
      </c>
      <c r="D510" s="370">
        <v>38844.49</v>
      </c>
      <c r="E510" s="371">
        <v>0</v>
      </c>
      <c r="F510" s="371">
        <v>0</v>
      </c>
      <c r="G510" s="371">
        <v>6035.57</v>
      </c>
      <c r="H510" s="371"/>
      <c r="I510" s="371"/>
      <c r="J510" s="371"/>
      <c r="K510" s="371"/>
      <c r="L510" s="371"/>
      <c r="M510" s="371">
        <v>650000</v>
      </c>
      <c r="N510" s="371">
        <v>32000</v>
      </c>
      <c r="O510" s="371">
        <v>1600</v>
      </c>
      <c r="P510" s="371">
        <f t="shared" si="7"/>
        <v>91683</v>
      </c>
      <c r="Q510" s="381">
        <v>-41554.050000000003</v>
      </c>
      <c r="R510" s="372">
        <v>278614.66443599999</v>
      </c>
      <c r="S510" s="400">
        <v>259375.08</v>
      </c>
      <c r="T510" s="400">
        <v>34970.450000000004</v>
      </c>
      <c r="U510" s="400">
        <v>0</v>
      </c>
      <c r="V510" s="400">
        <v>3644.36</v>
      </c>
      <c r="W510" s="372">
        <v>263019.44</v>
      </c>
      <c r="X510" s="373">
        <v>297989.88999999996</v>
      </c>
      <c r="Y510" s="372">
        <v>317459.15443599998</v>
      </c>
      <c r="Z510" s="373">
        <v>1051188.1044359999</v>
      </c>
      <c r="AA510" s="400">
        <v>-932.35728600004222</v>
      </c>
      <c r="AB510" s="400">
        <v>62.620000000002619</v>
      </c>
      <c r="AC510" s="400">
        <v>0</v>
      </c>
      <c r="AD510" s="400">
        <v>-11.950000000000728</v>
      </c>
      <c r="AE510" s="372">
        <v>-944.30728600004295</v>
      </c>
      <c r="AF510" s="372">
        <v>-881.68728600004033</v>
      </c>
      <c r="AG510" s="400">
        <v>0.59000000000000341</v>
      </c>
      <c r="AH510" s="374">
        <v>-3.3892949888750662E-3</v>
      </c>
      <c r="AI510" s="375">
        <v>1.6120690476307611E-3</v>
      </c>
      <c r="AJ510" s="372">
        <v>256.01</v>
      </c>
      <c r="AK510" s="376">
        <v>2.3045974766610815E-3</v>
      </c>
      <c r="AL510" s="376">
        <v>-5.6938924655361477E-3</v>
      </c>
      <c r="AM510" s="412">
        <v>251.11634517766504</v>
      </c>
    </row>
    <row r="511" spans="2:39" s="380" customFormat="1" ht="28.15" customHeight="1" x14ac:dyDescent="0.25">
      <c r="B511" s="369">
        <v>43517</v>
      </c>
      <c r="C511" s="370">
        <v>272283.02685200004</v>
      </c>
      <c r="D511" s="370">
        <v>38756.509999999995</v>
      </c>
      <c r="E511" s="371">
        <v>0</v>
      </c>
      <c r="F511" s="371">
        <v>0</v>
      </c>
      <c r="G511" s="371">
        <v>7624.55</v>
      </c>
      <c r="H511" s="371"/>
      <c r="I511" s="371"/>
      <c r="J511" s="371"/>
      <c r="K511" s="371"/>
      <c r="L511" s="371">
        <v>1822.18</v>
      </c>
      <c r="M511" s="371">
        <v>650000</v>
      </c>
      <c r="N511" s="371">
        <v>32000</v>
      </c>
      <c r="O511" s="371">
        <v>1600</v>
      </c>
      <c r="P511" s="371">
        <f t="shared" si="7"/>
        <v>91683</v>
      </c>
      <c r="Q511" s="381">
        <v>-41554.050000000003</v>
      </c>
      <c r="R511" s="372">
        <v>279907.57685200003</v>
      </c>
      <c r="S511" s="400">
        <v>259375.08</v>
      </c>
      <c r="T511" s="400">
        <v>34970.450000000004</v>
      </c>
      <c r="U511" s="400">
        <v>0</v>
      </c>
      <c r="V511" s="400">
        <v>5466.54</v>
      </c>
      <c r="W511" s="372">
        <v>264841.62</v>
      </c>
      <c r="X511" s="373">
        <v>299812.06999999995</v>
      </c>
      <c r="Y511" s="372">
        <v>318664.08685200004</v>
      </c>
      <c r="Z511" s="373">
        <v>1052393.036852</v>
      </c>
      <c r="AA511" s="400">
        <v>-296.06758399994578</v>
      </c>
      <c r="AB511" s="400">
        <v>-87.980000000003201</v>
      </c>
      <c r="AC511" s="400">
        <v>0</v>
      </c>
      <c r="AD511" s="400">
        <v>-233.19999999999959</v>
      </c>
      <c r="AE511" s="372">
        <v>-529.26758399994537</v>
      </c>
      <c r="AF511" s="372">
        <v>-617.24758399994857</v>
      </c>
      <c r="AG511" s="400">
        <v>-0.9299999999999784</v>
      </c>
      <c r="AH511" s="374">
        <v>-1.8908655133683409E-3</v>
      </c>
      <c r="AI511" s="375">
        <v>-2.2700702411028034E-3</v>
      </c>
      <c r="AJ511" s="372">
        <v>255.08</v>
      </c>
      <c r="AK511" s="376">
        <v>-3.6459150070565246E-3</v>
      </c>
      <c r="AL511" s="376">
        <v>1.7550494936881837E-3</v>
      </c>
      <c r="AM511" s="412">
        <v>251.08406091370566</v>
      </c>
    </row>
    <row r="512" spans="2:39" s="380" customFormat="1" ht="28.15" customHeight="1" x14ac:dyDescent="0.25">
      <c r="B512" s="369">
        <v>43518</v>
      </c>
      <c r="C512" s="370">
        <v>273289.14363999997</v>
      </c>
      <c r="D512" s="370">
        <v>38951.300000000003</v>
      </c>
      <c r="E512" s="371">
        <v>0</v>
      </c>
      <c r="F512" s="371">
        <v>0</v>
      </c>
      <c r="G512" s="371">
        <v>7613.1</v>
      </c>
      <c r="H512" s="371"/>
      <c r="I512" s="371"/>
      <c r="J512" s="371"/>
      <c r="K512" s="371"/>
      <c r="L512" s="371"/>
      <c r="M512" s="371">
        <v>650000</v>
      </c>
      <c r="N512" s="371">
        <v>32000</v>
      </c>
      <c r="O512" s="371">
        <v>1600</v>
      </c>
      <c r="P512" s="371">
        <f t="shared" si="7"/>
        <v>91683</v>
      </c>
      <c r="Q512" s="381">
        <v>-41554.050000000003</v>
      </c>
      <c r="R512" s="372">
        <v>280902.24363999994</v>
      </c>
      <c r="S512" s="400">
        <v>259375.08</v>
      </c>
      <c r="T512" s="400">
        <v>34970.450000000004</v>
      </c>
      <c r="U512" s="400">
        <v>0</v>
      </c>
      <c r="V512" s="400">
        <v>5466.54</v>
      </c>
      <c r="W512" s="372">
        <v>264841.62</v>
      </c>
      <c r="X512" s="373">
        <v>299812.06999999995</v>
      </c>
      <c r="Y512" s="372">
        <v>319853.54363999993</v>
      </c>
      <c r="Z512" s="373">
        <v>1053582.4936399998</v>
      </c>
      <c r="AA512" s="400">
        <v>1006.1167879999266</v>
      </c>
      <c r="AB512" s="400">
        <v>194.79000000000815</v>
      </c>
      <c r="AC512" s="400">
        <v>0</v>
      </c>
      <c r="AD512" s="400">
        <v>-11.449999999999818</v>
      </c>
      <c r="AE512" s="372">
        <v>994.66678799992678</v>
      </c>
      <c r="AF512" s="372">
        <v>1189.4567879999349</v>
      </c>
      <c r="AG512" s="400">
        <v>1.5300000000000011</v>
      </c>
      <c r="AH512" s="374">
        <v>3.5409713183874626E-3</v>
      </c>
      <c r="AI512" s="375">
        <v>5.0008600483169531E-3</v>
      </c>
      <c r="AJ512" s="372">
        <v>256.61</v>
      </c>
      <c r="AK512" s="376">
        <v>5.9623553252016719E-3</v>
      </c>
      <c r="AL512" s="376">
        <v>-2.4213840068142093E-3</v>
      </c>
      <c r="AM512" s="412">
        <v>251.04776649746202</v>
      </c>
    </row>
    <row r="513" spans="2:39" s="380" customFormat="1" ht="28.15" customHeight="1" x14ac:dyDescent="0.25">
      <c r="B513" s="378">
        <v>43519</v>
      </c>
      <c r="C513" s="370">
        <v>273289.14363999997</v>
      </c>
      <c r="D513" s="370">
        <v>38951.300000000003</v>
      </c>
      <c r="E513" s="371">
        <v>0</v>
      </c>
      <c r="F513" s="371">
        <v>0</v>
      </c>
      <c r="G513" s="371">
        <v>7613.1</v>
      </c>
      <c r="H513" s="371"/>
      <c r="I513" s="371"/>
      <c r="J513" s="371"/>
      <c r="K513" s="371"/>
      <c r="L513" s="371"/>
      <c r="M513" s="371">
        <v>650000</v>
      </c>
      <c r="N513" s="371">
        <v>32000</v>
      </c>
      <c r="O513" s="371">
        <v>1600</v>
      </c>
      <c r="P513" s="371">
        <f t="shared" si="7"/>
        <v>91683</v>
      </c>
      <c r="Q513" s="381">
        <v>-41554.050000000003</v>
      </c>
      <c r="R513" s="372">
        <v>280902.24363999994</v>
      </c>
      <c r="S513" s="400">
        <v>259375.08</v>
      </c>
      <c r="T513" s="400">
        <v>34970.450000000004</v>
      </c>
      <c r="U513" s="400">
        <v>0</v>
      </c>
      <c r="V513" s="400">
        <v>5466.54</v>
      </c>
      <c r="W513" s="372">
        <v>264841.62</v>
      </c>
      <c r="X513" s="373">
        <v>299812.06999999995</v>
      </c>
      <c r="Y513" s="372">
        <v>319853.54363999993</v>
      </c>
      <c r="Z513" s="373">
        <v>1053582.4936399998</v>
      </c>
      <c r="AA513" s="400">
        <v>0</v>
      </c>
      <c r="AB513" s="400">
        <v>0</v>
      </c>
      <c r="AC513" s="400">
        <v>0</v>
      </c>
      <c r="AD513" s="400">
        <v>0</v>
      </c>
      <c r="AE513" s="372">
        <v>0</v>
      </c>
      <c r="AF513" s="372">
        <v>0</v>
      </c>
      <c r="AG513" s="400">
        <v>0</v>
      </c>
      <c r="AH513" s="374">
        <v>0</v>
      </c>
      <c r="AI513" s="375">
        <v>0</v>
      </c>
      <c r="AJ513" s="372">
        <v>256.61</v>
      </c>
      <c r="AK513" s="376">
        <v>0</v>
      </c>
      <c r="AL513" s="376">
        <v>0</v>
      </c>
      <c r="AM513" s="412">
        <v>251.02091370558384</v>
      </c>
    </row>
    <row r="514" spans="2:39" s="380" customFormat="1" ht="28.15" customHeight="1" x14ac:dyDescent="0.25">
      <c r="B514" s="378">
        <v>43520</v>
      </c>
      <c r="C514" s="370">
        <v>273289.14363999997</v>
      </c>
      <c r="D514" s="370">
        <v>38951.300000000003</v>
      </c>
      <c r="E514" s="371">
        <v>0</v>
      </c>
      <c r="F514" s="371">
        <v>0</v>
      </c>
      <c r="G514" s="371">
        <v>7613.1</v>
      </c>
      <c r="H514" s="371"/>
      <c r="I514" s="371"/>
      <c r="J514" s="371"/>
      <c r="K514" s="371"/>
      <c r="L514" s="371"/>
      <c r="M514" s="371">
        <v>650000</v>
      </c>
      <c r="N514" s="371">
        <v>32000</v>
      </c>
      <c r="O514" s="371">
        <v>1600</v>
      </c>
      <c r="P514" s="371">
        <f t="shared" si="7"/>
        <v>91683</v>
      </c>
      <c r="Q514" s="381">
        <v>-41554.050000000003</v>
      </c>
      <c r="R514" s="372">
        <v>280902.24363999994</v>
      </c>
      <c r="S514" s="400">
        <v>259375.08</v>
      </c>
      <c r="T514" s="400">
        <v>34970.450000000004</v>
      </c>
      <c r="U514" s="400">
        <v>0</v>
      </c>
      <c r="V514" s="400">
        <v>5466.54</v>
      </c>
      <c r="W514" s="372">
        <v>264841.62</v>
      </c>
      <c r="X514" s="373">
        <v>299812.06999999995</v>
      </c>
      <c r="Y514" s="372">
        <v>319853.54363999993</v>
      </c>
      <c r="Z514" s="373">
        <v>1053582.4936399998</v>
      </c>
      <c r="AA514" s="400">
        <v>0</v>
      </c>
      <c r="AB514" s="400">
        <v>0</v>
      </c>
      <c r="AC514" s="400">
        <v>0</v>
      </c>
      <c r="AD514" s="400">
        <v>0</v>
      </c>
      <c r="AE514" s="372">
        <v>0</v>
      </c>
      <c r="AF514" s="372">
        <v>0</v>
      </c>
      <c r="AG514" s="400">
        <v>0</v>
      </c>
      <c r="AH514" s="374">
        <v>0</v>
      </c>
      <c r="AI514" s="375">
        <v>0</v>
      </c>
      <c r="AJ514" s="372">
        <v>256.61</v>
      </c>
      <c r="AK514" s="376">
        <v>0</v>
      </c>
      <c r="AL514" s="376">
        <v>0</v>
      </c>
      <c r="AM514" s="412">
        <v>251.00309644670062</v>
      </c>
    </row>
    <row r="515" spans="2:39" s="380" customFormat="1" ht="28.15" customHeight="1" x14ac:dyDescent="0.25">
      <c r="B515" s="369">
        <v>43521</v>
      </c>
      <c r="C515" s="370">
        <v>273786.04048999998</v>
      </c>
      <c r="D515" s="370">
        <v>38994.240000000005</v>
      </c>
      <c r="E515" s="371">
        <v>0</v>
      </c>
      <c r="F515" s="371">
        <v>0</v>
      </c>
      <c r="G515" s="371">
        <v>7640.33</v>
      </c>
      <c r="H515" s="371">
        <v>75</v>
      </c>
      <c r="I515" s="371"/>
      <c r="J515" s="371"/>
      <c r="K515" s="371"/>
      <c r="L515" s="371"/>
      <c r="M515" s="371">
        <v>650000</v>
      </c>
      <c r="N515" s="371">
        <v>32000</v>
      </c>
      <c r="O515" s="371">
        <v>1600</v>
      </c>
      <c r="P515" s="371">
        <f t="shared" si="7"/>
        <v>91683</v>
      </c>
      <c r="Q515" s="381">
        <v>-41554.050000000003</v>
      </c>
      <c r="R515" s="372">
        <v>281426.37049</v>
      </c>
      <c r="S515" s="400">
        <v>259450.08</v>
      </c>
      <c r="T515" s="400">
        <v>34970.450000000004</v>
      </c>
      <c r="U515" s="400">
        <v>0</v>
      </c>
      <c r="V515" s="400">
        <v>5466.54</v>
      </c>
      <c r="W515" s="372">
        <v>264916.62</v>
      </c>
      <c r="X515" s="373">
        <v>299887.06999999995</v>
      </c>
      <c r="Y515" s="372">
        <v>320420.61048999999</v>
      </c>
      <c r="Z515" s="373">
        <v>1054149.5604899998</v>
      </c>
      <c r="AA515" s="400">
        <v>421.89685000001919</v>
      </c>
      <c r="AB515" s="400">
        <v>42.940000000002328</v>
      </c>
      <c r="AC515" s="400">
        <v>0</v>
      </c>
      <c r="AD515" s="400">
        <v>27.229999999999563</v>
      </c>
      <c r="AE515" s="372">
        <v>449.12685000001875</v>
      </c>
      <c r="AF515" s="372">
        <v>492.06685000002108</v>
      </c>
      <c r="AG515" s="400">
        <v>0.37999999999999545</v>
      </c>
      <c r="AH515" s="374">
        <v>1.5958946889661773E-3</v>
      </c>
      <c r="AI515" s="375">
        <v>1.1011882780636916E-3</v>
      </c>
      <c r="AJ515" s="372">
        <v>256.99</v>
      </c>
      <c r="AK515" s="376">
        <v>1.4786567570722418E-3</v>
      </c>
      <c r="AL515" s="376">
        <v>1.1723793189393557E-4</v>
      </c>
      <c r="AM515" s="412">
        <v>250.98527918781741</v>
      </c>
    </row>
    <row r="516" spans="2:39" s="380" customFormat="1" ht="28.15" customHeight="1" x14ac:dyDescent="0.25">
      <c r="B516" s="369">
        <v>43522</v>
      </c>
      <c r="C516" s="370">
        <v>274100.75709500001</v>
      </c>
      <c r="D516" s="370">
        <v>38996.340000000004</v>
      </c>
      <c r="E516" s="371">
        <v>0</v>
      </c>
      <c r="F516" s="371">
        <v>0</v>
      </c>
      <c r="G516" s="371">
        <v>7614.16</v>
      </c>
      <c r="H516" s="371"/>
      <c r="I516" s="371"/>
      <c r="J516" s="371"/>
      <c r="K516" s="371"/>
      <c r="L516" s="371"/>
      <c r="M516" s="371">
        <v>650000</v>
      </c>
      <c r="N516" s="371">
        <v>32000</v>
      </c>
      <c r="O516" s="371">
        <v>1600</v>
      </c>
      <c r="P516" s="371">
        <f t="shared" si="7"/>
        <v>91683</v>
      </c>
      <c r="Q516" s="381">
        <v>-41554.050000000003</v>
      </c>
      <c r="R516" s="372">
        <v>281714.91709499998</v>
      </c>
      <c r="S516" s="400">
        <v>259450.08</v>
      </c>
      <c r="T516" s="400">
        <v>34970.450000000004</v>
      </c>
      <c r="U516" s="400">
        <v>0</v>
      </c>
      <c r="V516" s="400">
        <v>5466.54</v>
      </c>
      <c r="W516" s="372">
        <v>264916.62</v>
      </c>
      <c r="X516" s="373">
        <v>299887.06999999995</v>
      </c>
      <c r="Y516" s="372">
        <v>320711.25709500001</v>
      </c>
      <c r="Z516" s="373">
        <v>1054440.207095</v>
      </c>
      <c r="AA516" s="400">
        <v>314.71660500002326</v>
      </c>
      <c r="AB516" s="400">
        <v>2.0999999999985448</v>
      </c>
      <c r="AC516" s="400">
        <v>0</v>
      </c>
      <c r="AD516" s="400">
        <v>-26.170000000000073</v>
      </c>
      <c r="AE516" s="372">
        <v>288.54660500002319</v>
      </c>
      <c r="AF516" s="372">
        <v>290.64660500002174</v>
      </c>
      <c r="AG516" s="400">
        <v>-0.18999999999999773</v>
      </c>
      <c r="AH516" s="374">
        <v>1.0242503591058312E-3</v>
      </c>
      <c r="AI516" s="375">
        <v>5.38512075748274E-5</v>
      </c>
      <c r="AJ516" s="372">
        <v>256.8</v>
      </c>
      <c r="AK516" s="376">
        <v>-7.3987538940809082E-4</v>
      </c>
      <c r="AL516" s="376">
        <v>1.7641257485139219E-3</v>
      </c>
      <c r="AM516" s="412">
        <v>250.96939086294427</v>
      </c>
    </row>
    <row r="517" spans="2:39" s="380" customFormat="1" ht="28.15" customHeight="1" x14ac:dyDescent="0.25">
      <c r="B517" s="369">
        <v>43523</v>
      </c>
      <c r="C517" s="370">
        <v>272870.70770999999</v>
      </c>
      <c r="D517" s="370">
        <v>38951.300000000003</v>
      </c>
      <c r="E517" s="371">
        <v>0</v>
      </c>
      <c r="F517" s="371">
        <v>0</v>
      </c>
      <c r="G517" s="371">
        <v>8426.2199999999993</v>
      </c>
      <c r="H517" s="371"/>
      <c r="I517" s="371"/>
      <c r="J517" s="371"/>
      <c r="K517" s="371"/>
      <c r="L517" s="371"/>
      <c r="M517" s="371">
        <v>650000</v>
      </c>
      <c r="N517" s="371">
        <v>32000</v>
      </c>
      <c r="O517" s="371">
        <v>1600</v>
      </c>
      <c r="P517" s="371">
        <f t="shared" si="7"/>
        <v>91683</v>
      </c>
      <c r="Q517" s="381">
        <v>-41554.050000000003</v>
      </c>
      <c r="R517" s="372">
        <v>281296.92770999996</v>
      </c>
      <c r="S517" s="400">
        <v>259450.08</v>
      </c>
      <c r="T517" s="400">
        <v>34970.450000000004</v>
      </c>
      <c r="U517" s="400">
        <v>0</v>
      </c>
      <c r="V517" s="400">
        <v>5466.54</v>
      </c>
      <c r="W517" s="372">
        <v>264916.62</v>
      </c>
      <c r="X517" s="373">
        <v>299887.06999999995</v>
      </c>
      <c r="Y517" s="372">
        <v>320248.22770999995</v>
      </c>
      <c r="Z517" s="373">
        <v>1053977.17771</v>
      </c>
      <c r="AA517" s="400">
        <v>-1230.0493850000203</v>
      </c>
      <c r="AB517" s="400">
        <v>-45.040000000000873</v>
      </c>
      <c r="AC517" s="400">
        <v>0</v>
      </c>
      <c r="AD517" s="400">
        <v>812.05999999999949</v>
      </c>
      <c r="AE517" s="372">
        <v>-417.98938500002077</v>
      </c>
      <c r="AF517" s="372">
        <v>-463.02938500002165</v>
      </c>
      <c r="AG517" s="400">
        <v>-0.12999999999999545</v>
      </c>
      <c r="AH517" s="374">
        <v>-1.4859365454248489E-3</v>
      </c>
      <c r="AI517" s="375">
        <v>-1.1563157070495944E-3</v>
      </c>
      <c r="AJ517" s="372">
        <v>256.67</v>
      </c>
      <c r="AK517" s="376">
        <v>-5.0648692874116742E-4</v>
      </c>
      <c r="AL517" s="376">
        <v>-9.7944961668368141E-4</v>
      </c>
      <c r="AM517" s="412">
        <v>250.95751269035551</v>
      </c>
    </row>
    <row r="518" spans="2:39" s="380" customFormat="1" ht="28.15" customHeight="1" x14ac:dyDescent="0.25">
      <c r="B518" s="369">
        <v>43524</v>
      </c>
      <c r="C518" s="370">
        <v>272778.00155699998</v>
      </c>
      <c r="D518" s="370">
        <v>38906.240000000005</v>
      </c>
      <c r="E518" s="371">
        <v>0</v>
      </c>
      <c r="F518" s="371">
        <v>0</v>
      </c>
      <c r="G518" s="371">
        <v>8406.2999999999993</v>
      </c>
      <c r="H518" s="371"/>
      <c r="I518" s="371"/>
      <c r="J518" s="371"/>
      <c r="K518" s="371"/>
      <c r="L518" s="371"/>
      <c r="M518" s="371">
        <v>650000</v>
      </c>
      <c r="N518" s="371">
        <v>32000</v>
      </c>
      <c r="O518" s="371">
        <v>1600</v>
      </c>
      <c r="P518" s="371">
        <f t="shared" si="7"/>
        <v>91683</v>
      </c>
      <c r="Q518" s="381">
        <v>-41251.51</v>
      </c>
      <c r="R518" s="372">
        <v>281184.30155699997</v>
      </c>
      <c r="S518" s="400">
        <v>259450.08</v>
      </c>
      <c r="T518" s="400">
        <v>34970.450000000004</v>
      </c>
      <c r="U518" s="400">
        <v>0</v>
      </c>
      <c r="V518" s="400">
        <v>5466.54</v>
      </c>
      <c r="W518" s="372">
        <v>264916.62</v>
      </c>
      <c r="X518" s="373">
        <v>299887.06999999995</v>
      </c>
      <c r="Y518" s="372">
        <v>320090.54155699996</v>
      </c>
      <c r="Z518" s="373">
        <v>1054122.031557</v>
      </c>
      <c r="AA518" s="400">
        <v>-92.706153000006452</v>
      </c>
      <c r="AB518" s="400">
        <v>-45.059999999997672</v>
      </c>
      <c r="AC518" s="400">
        <v>0</v>
      </c>
      <c r="AD518" s="400">
        <v>-19.920000000000073</v>
      </c>
      <c r="AE518" s="372">
        <v>-112.62615300000652</v>
      </c>
      <c r="AF518" s="372">
        <v>-157.6861530000042</v>
      </c>
      <c r="AG518" s="400">
        <v>-0.60000000000002274</v>
      </c>
      <c r="AH518" s="374">
        <v>-4.0054210841914886E-4</v>
      </c>
      <c r="AI518" s="375">
        <v>-1.15816897238072E-3</v>
      </c>
      <c r="AJ518" s="372">
        <v>256.07</v>
      </c>
      <c r="AK518" s="376">
        <v>-2.3431093060492163E-3</v>
      </c>
      <c r="AL518" s="376">
        <v>1.9425671976300673E-3</v>
      </c>
      <c r="AM518" s="412">
        <v>250.93649746192906</v>
      </c>
    </row>
    <row r="519" spans="2:39" s="380" customFormat="1" ht="28.15" customHeight="1" x14ac:dyDescent="0.25">
      <c r="B519" s="369">
        <v>43525</v>
      </c>
      <c r="C519" s="370">
        <v>276061.15924000001</v>
      </c>
      <c r="D519" s="370">
        <v>39096.780000000006</v>
      </c>
      <c r="E519" s="371">
        <v>0</v>
      </c>
      <c r="F519" s="371">
        <v>0</v>
      </c>
      <c r="G519" s="371">
        <v>8406.2999999999993</v>
      </c>
      <c r="H519" s="371"/>
      <c r="I519" s="371"/>
      <c r="J519" s="371"/>
      <c r="K519" s="371"/>
      <c r="L519" s="371"/>
      <c r="M519" s="371">
        <v>650000</v>
      </c>
      <c r="N519" s="371">
        <v>32000</v>
      </c>
      <c r="O519" s="371">
        <v>1600</v>
      </c>
      <c r="P519" s="371">
        <f t="shared" si="7"/>
        <v>91683</v>
      </c>
      <c r="Q519" s="381">
        <v>-41251.51</v>
      </c>
      <c r="R519" s="372">
        <v>284467.45924</v>
      </c>
      <c r="S519" s="400">
        <v>259450.08</v>
      </c>
      <c r="T519" s="400">
        <v>34970.450000000004</v>
      </c>
      <c r="U519" s="400">
        <v>0</v>
      </c>
      <c r="V519" s="400">
        <v>5466.54</v>
      </c>
      <c r="W519" s="372">
        <v>264916.62</v>
      </c>
      <c r="X519" s="373">
        <v>299887.06999999995</v>
      </c>
      <c r="Y519" s="372">
        <v>323564.23924000002</v>
      </c>
      <c r="Z519" s="373">
        <v>1057595.72924</v>
      </c>
      <c r="AA519" s="400">
        <v>3283.1576830000267</v>
      </c>
      <c r="AB519" s="400">
        <v>190.54000000000087</v>
      </c>
      <c r="AC519" s="400">
        <v>0</v>
      </c>
      <c r="AD519" s="400">
        <v>0</v>
      </c>
      <c r="AE519" s="372">
        <v>3283.1576830000267</v>
      </c>
      <c r="AF519" s="372">
        <v>3473.6976830000276</v>
      </c>
      <c r="AG519" s="400">
        <v>1.7599999999999909</v>
      </c>
      <c r="AH519" s="374">
        <v>1.1541417397165582E-2</v>
      </c>
      <c r="AI519" s="375">
        <v>4.873547130991372E-3</v>
      </c>
      <c r="AJ519" s="372">
        <v>257.83</v>
      </c>
      <c r="AK519" s="376">
        <v>6.8262033122599812E-3</v>
      </c>
      <c r="AL519" s="376">
        <v>4.7152140849056005E-3</v>
      </c>
      <c r="AM519" s="412">
        <v>250.92218274111684</v>
      </c>
    </row>
    <row r="520" spans="2:39" s="380" customFormat="1" ht="28.15" customHeight="1" x14ac:dyDescent="0.25">
      <c r="B520" s="378">
        <v>43526</v>
      </c>
      <c r="C520" s="370">
        <v>276061.15924000001</v>
      </c>
      <c r="D520" s="370">
        <v>39096.780000000006</v>
      </c>
      <c r="E520" s="371">
        <v>0</v>
      </c>
      <c r="F520" s="371">
        <v>0</v>
      </c>
      <c r="G520" s="371">
        <v>8406.2999999999993</v>
      </c>
      <c r="H520" s="371"/>
      <c r="I520" s="371"/>
      <c r="J520" s="371"/>
      <c r="K520" s="371"/>
      <c r="L520" s="371"/>
      <c r="M520" s="371">
        <v>650000</v>
      </c>
      <c r="N520" s="371">
        <v>32000</v>
      </c>
      <c r="O520" s="371">
        <v>1600</v>
      </c>
      <c r="P520" s="371">
        <f t="shared" si="7"/>
        <v>91683</v>
      </c>
      <c r="Q520" s="381">
        <v>-41251.51</v>
      </c>
      <c r="R520" s="372">
        <v>284467.45924</v>
      </c>
      <c r="S520" s="400">
        <v>259450.08</v>
      </c>
      <c r="T520" s="400">
        <v>34970.450000000004</v>
      </c>
      <c r="U520" s="400">
        <v>0</v>
      </c>
      <c r="V520" s="400">
        <v>5466.54</v>
      </c>
      <c r="W520" s="372">
        <v>264916.62</v>
      </c>
      <c r="X520" s="373">
        <v>299887.06999999995</v>
      </c>
      <c r="Y520" s="372">
        <v>323564.23924000002</v>
      </c>
      <c r="Z520" s="373">
        <v>1057595.72924</v>
      </c>
      <c r="AA520" s="400">
        <v>0</v>
      </c>
      <c r="AB520" s="400">
        <v>0</v>
      </c>
      <c r="AC520" s="400">
        <v>0</v>
      </c>
      <c r="AD520" s="400">
        <v>0</v>
      </c>
      <c r="AE520" s="372">
        <v>0</v>
      </c>
      <c r="AF520" s="372">
        <v>0</v>
      </c>
      <c r="AG520" s="400">
        <v>0</v>
      </c>
      <c r="AH520" s="374">
        <v>0</v>
      </c>
      <c r="AI520" s="375">
        <v>0</v>
      </c>
      <c r="AJ520" s="372">
        <v>257.83</v>
      </c>
      <c r="AK520" s="376">
        <v>0</v>
      </c>
      <c r="AL520" s="376">
        <v>0</v>
      </c>
      <c r="AM520" s="412">
        <v>250.90614213197978</v>
      </c>
    </row>
    <row r="521" spans="2:39" s="380" customFormat="1" ht="28.15" customHeight="1" x14ac:dyDescent="0.25">
      <c r="B521" s="378">
        <v>43527</v>
      </c>
      <c r="C521" s="370">
        <v>276061.15924000001</v>
      </c>
      <c r="D521" s="370">
        <v>39096.780000000006</v>
      </c>
      <c r="E521" s="371">
        <v>0</v>
      </c>
      <c r="F521" s="371">
        <v>0</v>
      </c>
      <c r="G521" s="371">
        <v>8406.2999999999993</v>
      </c>
      <c r="H521" s="371"/>
      <c r="I521" s="371"/>
      <c r="J521" s="371"/>
      <c r="K521" s="371"/>
      <c r="L521" s="371"/>
      <c r="M521" s="371">
        <v>650000</v>
      </c>
      <c r="N521" s="371">
        <v>32000</v>
      </c>
      <c r="O521" s="371">
        <v>1600</v>
      </c>
      <c r="P521" s="371">
        <f t="shared" si="7"/>
        <v>91683</v>
      </c>
      <c r="Q521" s="381">
        <v>-41251.51</v>
      </c>
      <c r="R521" s="372">
        <v>284467.45924</v>
      </c>
      <c r="S521" s="400">
        <v>259450.08</v>
      </c>
      <c r="T521" s="400">
        <v>34970.450000000004</v>
      </c>
      <c r="U521" s="400">
        <v>0</v>
      </c>
      <c r="V521" s="400">
        <v>5466.54</v>
      </c>
      <c r="W521" s="372">
        <v>264916.62</v>
      </c>
      <c r="X521" s="373">
        <v>299887.06999999995</v>
      </c>
      <c r="Y521" s="372">
        <v>323564.23924000002</v>
      </c>
      <c r="Z521" s="373">
        <v>1057595.72924</v>
      </c>
      <c r="AA521" s="400">
        <v>0</v>
      </c>
      <c r="AB521" s="400">
        <v>0</v>
      </c>
      <c r="AC521" s="400">
        <v>0</v>
      </c>
      <c r="AD521" s="400">
        <v>0</v>
      </c>
      <c r="AE521" s="372">
        <v>0</v>
      </c>
      <c r="AF521" s="372">
        <v>0</v>
      </c>
      <c r="AG521" s="400">
        <v>0</v>
      </c>
      <c r="AH521" s="374">
        <v>0</v>
      </c>
      <c r="AI521" s="375">
        <v>0</v>
      </c>
      <c r="AJ521" s="372">
        <v>257.83</v>
      </c>
      <c r="AK521" s="376">
        <v>0</v>
      </c>
      <c r="AL521" s="376">
        <v>0</v>
      </c>
      <c r="AM521" s="412">
        <v>250.8856852791879</v>
      </c>
    </row>
    <row r="522" spans="2:39" s="380" customFormat="1" ht="28.15" customHeight="1" x14ac:dyDescent="0.25">
      <c r="B522" s="369">
        <v>43528</v>
      </c>
      <c r="C522" s="370">
        <v>276400.857922</v>
      </c>
      <c r="D522" s="370">
        <v>38976.230000000003</v>
      </c>
      <c r="E522" s="371">
        <v>0</v>
      </c>
      <c r="F522" s="371">
        <v>0</v>
      </c>
      <c r="G522" s="371">
        <v>8491.7999999999993</v>
      </c>
      <c r="H522" s="371"/>
      <c r="I522" s="371"/>
      <c r="J522" s="371"/>
      <c r="K522" s="371"/>
      <c r="L522" s="371"/>
      <c r="M522" s="371">
        <v>650000</v>
      </c>
      <c r="N522" s="371">
        <v>32000</v>
      </c>
      <c r="O522" s="371">
        <v>1600</v>
      </c>
      <c r="P522" s="371">
        <f t="shared" si="7"/>
        <v>91683</v>
      </c>
      <c r="Q522" s="381">
        <v>-41251.51</v>
      </c>
      <c r="R522" s="372">
        <v>284892.65792199998</v>
      </c>
      <c r="S522" s="400">
        <v>259450.08</v>
      </c>
      <c r="T522" s="400">
        <v>34970.450000000004</v>
      </c>
      <c r="U522" s="400">
        <v>0</v>
      </c>
      <c r="V522" s="400">
        <v>5466.54</v>
      </c>
      <c r="W522" s="372">
        <v>264916.62</v>
      </c>
      <c r="X522" s="373">
        <v>299887.06999999995</v>
      </c>
      <c r="Y522" s="372">
        <v>323868.88792199997</v>
      </c>
      <c r="Z522" s="373">
        <v>1057900.3779219999</v>
      </c>
      <c r="AA522" s="400">
        <v>339.69868199998746</v>
      </c>
      <c r="AB522" s="400">
        <v>-120.55000000000291</v>
      </c>
      <c r="AC522" s="400">
        <v>0</v>
      </c>
      <c r="AD522" s="400">
        <v>85.5</v>
      </c>
      <c r="AE522" s="372">
        <v>425.19868199998746</v>
      </c>
      <c r="AF522" s="372">
        <v>304.64868199998455</v>
      </c>
      <c r="AG522" s="400">
        <v>-0.99000000000000909</v>
      </c>
      <c r="AH522" s="374">
        <v>1.4924873287412044E-3</v>
      </c>
      <c r="AI522" s="375">
        <v>-3.0929107304632311E-3</v>
      </c>
      <c r="AJ522" s="372">
        <v>256.83999999999997</v>
      </c>
      <c r="AK522" s="376">
        <v>-3.8545397913098008E-3</v>
      </c>
      <c r="AL522" s="376">
        <v>5.3470271200510055E-3</v>
      </c>
      <c r="AM522" s="412">
        <v>250.86522842639607</v>
      </c>
    </row>
    <row r="523" spans="2:39" s="380" customFormat="1" ht="28.15" customHeight="1" x14ac:dyDescent="0.25">
      <c r="B523" s="369">
        <v>43529</v>
      </c>
      <c r="C523" s="370">
        <v>276732.14567</v>
      </c>
      <c r="D523" s="370">
        <v>38984.240000000005</v>
      </c>
      <c r="E523" s="371">
        <v>0</v>
      </c>
      <c r="F523" s="371">
        <v>0</v>
      </c>
      <c r="G523" s="371">
        <v>8476.65</v>
      </c>
      <c r="H523" s="371"/>
      <c r="I523" s="371"/>
      <c r="J523" s="371"/>
      <c r="K523" s="371"/>
      <c r="L523" s="371"/>
      <c r="M523" s="371">
        <v>650000</v>
      </c>
      <c r="N523" s="371">
        <v>32000</v>
      </c>
      <c r="O523" s="371">
        <v>1600</v>
      </c>
      <c r="P523" s="371">
        <f t="shared" si="7"/>
        <v>91683</v>
      </c>
      <c r="Q523" s="381">
        <v>-41251.51</v>
      </c>
      <c r="R523" s="372">
        <v>285208.79567000002</v>
      </c>
      <c r="S523" s="400">
        <v>259450.08</v>
      </c>
      <c r="T523" s="400">
        <v>34970.450000000004</v>
      </c>
      <c r="U523" s="400">
        <v>0</v>
      </c>
      <c r="V523" s="400">
        <v>5466.54</v>
      </c>
      <c r="W523" s="372">
        <v>264916.62</v>
      </c>
      <c r="X523" s="373">
        <v>299887.06999999995</v>
      </c>
      <c r="Y523" s="372">
        <v>324193.03567000001</v>
      </c>
      <c r="Z523" s="373">
        <v>1058224.5256700001</v>
      </c>
      <c r="AA523" s="400">
        <v>331.28774800000247</v>
      </c>
      <c r="AB523" s="400">
        <v>8.0100000000020373</v>
      </c>
      <c r="AC523" s="400">
        <v>0</v>
      </c>
      <c r="AD523" s="400">
        <v>-15.149999999999636</v>
      </c>
      <c r="AE523" s="372">
        <v>316.13774800000283</v>
      </c>
      <c r="AF523" s="372">
        <v>324.14774800000487</v>
      </c>
      <c r="AG523" s="400">
        <v>-0.29999999999995453</v>
      </c>
      <c r="AH523" s="374">
        <v>1.1084431924946278E-3</v>
      </c>
      <c r="AI523" s="375">
        <v>2.054676453870086E-4</v>
      </c>
      <c r="AJ523" s="372">
        <v>256.54000000000002</v>
      </c>
      <c r="AK523" s="376">
        <v>-1.1694082794104408E-3</v>
      </c>
      <c r="AL523" s="376">
        <v>2.2778514719050688E-3</v>
      </c>
      <c r="AM523" s="412">
        <v>250.8397461928935</v>
      </c>
    </row>
    <row r="524" spans="2:39" s="380" customFormat="1" ht="28.15" customHeight="1" x14ac:dyDescent="0.25">
      <c r="B524" s="369">
        <v>43530</v>
      </c>
      <c r="C524" s="370">
        <v>276810.10811999999</v>
      </c>
      <c r="D524" s="370">
        <v>38807.880000000005</v>
      </c>
      <c r="E524" s="371">
        <v>0</v>
      </c>
      <c r="F524" s="371">
        <v>0</v>
      </c>
      <c r="G524" s="371">
        <v>8485.1299999999992</v>
      </c>
      <c r="H524" s="371"/>
      <c r="I524" s="371"/>
      <c r="J524" s="371"/>
      <c r="K524" s="371"/>
      <c r="L524" s="371"/>
      <c r="M524" s="371">
        <v>650000</v>
      </c>
      <c r="N524" s="371">
        <v>31000</v>
      </c>
      <c r="O524" s="371">
        <v>1600</v>
      </c>
      <c r="P524" s="371">
        <f t="shared" si="7"/>
        <v>91683</v>
      </c>
      <c r="Q524" s="381">
        <v>-41251.51</v>
      </c>
      <c r="R524" s="372">
        <v>285295.23811999999</v>
      </c>
      <c r="S524" s="400">
        <v>259450.08</v>
      </c>
      <c r="T524" s="400">
        <v>34970.450000000004</v>
      </c>
      <c r="U524" s="400">
        <v>0</v>
      </c>
      <c r="V524" s="400">
        <v>5466.54</v>
      </c>
      <c r="W524" s="372">
        <v>264916.62</v>
      </c>
      <c r="X524" s="373">
        <v>299887.06999999995</v>
      </c>
      <c r="Y524" s="372">
        <v>324103.11812</v>
      </c>
      <c r="Z524" s="373">
        <v>1057134.60812</v>
      </c>
      <c r="AA524" s="400">
        <v>77.962449999991804</v>
      </c>
      <c r="AB524" s="400">
        <v>-176.36000000000058</v>
      </c>
      <c r="AC524" s="400">
        <v>0</v>
      </c>
      <c r="AD524" s="400">
        <v>8.4799999999995634</v>
      </c>
      <c r="AE524" s="372">
        <v>86.442449999991368</v>
      </c>
      <c r="AF524" s="372">
        <v>-89.917550000009214</v>
      </c>
      <c r="AG524" s="400">
        <v>-1.6400000000000148</v>
      </c>
      <c r="AH524" s="374">
        <v>3.029929646552047E-4</v>
      </c>
      <c r="AI524" s="375">
        <v>-4.5444378822033192E-3</v>
      </c>
      <c r="AJ524" s="372">
        <v>254.9</v>
      </c>
      <c r="AK524" s="376">
        <v>-6.4338956453511755E-3</v>
      </c>
      <c r="AL524" s="376">
        <v>6.7368886100063804E-3</v>
      </c>
      <c r="AM524" s="412">
        <v>250.80979695431483</v>
      </c>
    </row>
    <row r="525" spans="2:39" s="380" customFormat="1" ht="28.15" customHeight="1" x14ac:dyDescent="0.25">
      <c r="B525" s="369">
        <v>43531</v>
      </c>
      <c r="C525" s="370">
        <v>277198.48226200003</v>
      </c>
      <c r="D525" s="370">
        <v>38565.600000000006</v>
      </c>
      <c r="E525" s="371">
        <v>0</v>
      </c>
      <c r="F525" s="371">
        <v>0</v>
      </c>
      <c r="G525" s="371">
        <v>8457.02</v>
      </c>
      <c r="H525" s="371"/>
      <c r="I525" s="371"/>
      <c r="J525" s="371"/>
      <c r="K525" s="371"/>
      <c r="L525" s="371"/>
      <c r="M525" s="371">
        <v>650000</v>
      </c>
      <c r="N525" s="371">
        <v>31000</v>
      </c>
      <c r="O525" s="371">
        <v>1600</v>
      </c>
      <c r="P525" s="371">
        <f t="shared" si="7"/>
        <v>91683</v>
      </c>
      <c r="Q525" s="381">
        <v>-41251.51</v>
      </c>
      <c r="R525" s="372">
        <v>285655.50226200005</v>
      </c>
      <c r="S525" s="400">
        <v>259450.08</v>
      </c>
      <c r="T525" s="400">
        <v>34970.450000000004</v>
      </c>
      <c r="U525" s="400">
        <v>0</v>
      </c>
      <c r="V525" s="400">
        <v>5466.54</v>
      </c>
      <c r="W525" s="372">
        <v>264916.62</v>
      </c>
      <c r="X525" s="373">
        <v>299887.06999999995</v>
      </c>
      <c r="Y525" s="372">
        <v>324221.10226200009</v>
      </c>
      <c r="Z525" s="373">
        <v>1057252.5922620001</v>
      </c>
      <c r="AA525" s="400">
        <v>388.37414200004423</v>
      </c>
      <c r="AB525" s="400">
        <v>-242.27999999999884</v>
      </c>
      <c r="AC525" s="400">
        <v>0</v>
      </c>
      <c r="AD525" s="400">
        <v>-28.109999999998763</v>
      </c>
      <c r="AE525" s="372">
        <v>360.26414200004547</v>
      </c>
      <c r="AF525" s="372">
        <v>117.98414200004663</v>
      </c>
      <c r="AG525" s="400">
        <v>-2.0500000000000114</v>
      </c>
      <c r="AH525" s="374">
        <v>1.2611839756183488E-3</v>
      </c>
      <c r="AI525" s="375">
        <v>-6.2822826560457717E-3</v>
      </c>
      <c r="AJ525" s="372">
        <v>252.85</v>
      </c>
      <c r="AK525" s="376">
        <v>-8.1075736602729334E-3</v>
      </c>
      <c r="AL525" s="376">
        <v>9.3687576358912825E-3</v>
      </c>
      <c r="AM525" s="412">
        <v>250.76862944162446</v>
      </c>
    </row>
    <row r="526" spans="2:39" s="380" customFormat="1" ht="28.15" customHeight="1" x14ac:dyDescent="0.25">
      <c r="B526" s="369">
        <v>43532</v>
      </c>
      <c r="C526" s="370">
        <v>276782.97482200002</v>
      </c>
      <c r="D526" s="370">
        <v>38525.68</v>
      </c>
      <c r="E526" s="371">
        <v>0</v>
      </c>
      <c r="F526" s="371">
        <v>0</v>
      </c>
      <c r="G526" s="371">
        <v>8410.3700000000008</v>
      </c>
      <c r="H526" s="371"/>
      <c r="I526" s="371"/>
      <c r="J526" s="371"/>
      <c r="K526" s="371"/>
      <c r="L526" s="371"/>
      <c r="M526" s="371">
        <v>650000</v>
      </c>
      <c r="N526" s="371">
        <v>31000</v>
      </c>
      <c r="O526" s="371">
        <v>1600</v>
      </c>
      <c r="P526" s="371">
        <f t="shared" si="7"/>
        <v>91683</v>
      </c>
      <c r="Q526" s="381">
        <v>-41251.51</v>
      </c>
      <c r="R526" s="372">
        <v>285193.34482200001</v>
      </c>
      <c r="S526" s="400">
        <v>259450.08</v>
      </c>
      <c r="T526" s="400">
        <v>34970.450000000004</v>
      </c>
      <c r="U526" s="400">
        <v>0</v>
      </c>
      <c r="V526" s="400">
        <v>5466.54</v>
      </c>
      <c r="W526" s="372">
        <v>264916.62</v>
      </c>
      <c r="X526" s="373">
        <v>299887.06999999995</v>
      </c>
      <c r="Y526" s="372">
        <v>323719.02482200001</v>
      </c>
      <c r="Z526" s="373">
        <v>1056750.5148219999</v>
      </c>
      <c r="AA526" s="400">
        <v>-415.50744000001578</v>
      </c>
      <c r="AB526" s="400">
        <v>-39.92000000000553</v>
      </c>
      <c r="AC526" s="400">
        <v>0</v>
      </c>
      <c r="AD526" s="400">
        <v>-46.649999999999636</v>
      </c>
      <c r="AE526" s="372">
        <v>-462.15744000001541</v>
      </c>
      <c r="AF526" s="372">
        <v>-502.07744000002094</v>
      </c>
      <c r="AG526" s="400">
        <v>-0.50999999999999091</v>
      </c>
      <c r="AH526" s="374">
        <v>-1.6205056968929812E-3</v>
      </c>
      <c r="AI526" s="375">
        <v>-1.0361919633866431E-3</v>
      </c>
      <c r="AJ526" s="372">
        <v>252.34</v>
      </c>
      <c r="AK526" s="376">
        <v>-2.0210826662439207E-3</v>
      </c>
      <c r="AL526" s="376">
        <v>4.005769693509395E-4</v>
      </c>
      <c r="AM526" s="412">
        <v>250.71746192893411</v>
      </c>
    </row>
    <row r="527" spans="2:39" s="380" customFormat="1" ht="28.15" customHeight="1" x14ac:dyDescent="0.25">
      <c r="B527" s="378">
        <v>43533</v>
      </c>
      <c r="C527" s="370">
        <v>276782.97482200002</v>
      </c>
      <c r="D527" s="370">
        <v>38525.68</v>
      </c>
      <c r="E527" s="371">
        <v>0</v>
      </c>
      <c r="F527" s="371">
        <v>0</v>
      </c>
      <c r="G527" s="371">
        <v>8410.3700000000008</v>
      </c>
      <c r="H527" s="371"/>
      <c r="I527" s="371"/>
      <c r="J527" s="371"/>
      <c r="K527" s="371"/>
      <c r="L527" s="371"/>
      <c r="M527" s="371">
        <v>650000</v>
      </c>
      <c r="N527" s="371">
        <v>31000</v>
      </c>
      <c r="O527" s="371">
        <v>1600</v>
      </c>
      <c r="P527" s="371">
        <f t="shared" si="7"/>
        <v>91683</v>
      </c>
      <c r="Q527" s="381">
        <v>-41251.51</v>
      </c>
      <c r="R527" s="372">
        <v>285193.34482200001</v>
      </c>
      <c r="S527" s="400">
        <v>259450.08</v>
      </c>
      <c r="T527" s="400">
        <v>34970.450000000004</v>
      </c>
      <c r="U527" s="400">
        <v>0</v>
      </c>
      <c r="V527" s="400">
        <v>5466.54</v>
      </c>
      <c r="W527" s="372">
        <v>264916.62</v>
      </c>
      <c r="X527" s="373">
        <v>299887.06999999995</v>
      </c>
      <c r="Y527" s="372">
        <v>323719.02482200001</v>
      </c>
      <c r="Z527" s="373">
        <v>1056750.5148219999</v>
      </c>
      <c r="AA527" s="400">
        <v>0</v>
      </c>
      <c r="AB527" s="400">
        <v>0</v>
      </c>
      <c r="AC527" s="400">
        <v>0</v>
      </c>
      <c r="AD527" s="400">
        <v>0</v>
      </c>
      <c r="AE527" s="372">
        <v>0</v>
      </c>
      <c r="AF527" s="372">
        <v>0</v>
      </c>
      <c r="AG527" s="400">
        <v>0</v>
      </c>
      <c r="AH527" s="374">
        <v>0</v>
      </c>
      <c r="AI527" s="375">
        <v>0</v>
      </c>
      <c r="AJ527" s="372">
        <v>252.34</v>
      </c>
      <c r="AK527" s="376">
        <v>0</v>
      </c>
      <c r="AL527" s="376">
        <v>0</v>
      </c>
      <c r="AM527" s="412">
        <v>250.66563451776656</v>
      </c>
    </row>
    <row r="528" spans="2:39" s="380" customFormat="1" ht="28.15" customHeight="1" x14ac:dyDescent="0.25">
      <c r="B528" s="378">
        <v>43534</v>
      </c>
      <c r="C528" s="370">
        <v>276782.97482200002</v>
      </c>
      <c r="D528" s="370">
        <v>38525.68</v>
      </c>
      <c r="E528" s="371">
        <v>0</v>
      </c>
      <c r="F528" s="371">
        <v>0</v>
      </c>
      <c r="G528" s="371">
        <v>8410.3700000000008</v>
      </c>
      <c r="H528" s="371"/>
      <c r="I528" s="371"/>
      <c r="J528" s="371"/>
      <c r="K528" s="371"/>
      <c r="L528" s="371"/>
      <c r="M528" s="371">
        <v>650000</v>
      </c>
      <c r="N528" s="371">
        <v>31000</v>
      </c>
      <c r="O528" s="371">
        <v>1600</v>
      </c>
      <c r="P528" s="371">
        <f t="shared" si="7"/>
        <v>91683</v>
      </c>
      <c r="Q528" s="381">
        <v>-41251.51</v>
      </c>
      <c r="R528" s="372">
        <v>285193.34482200001</v>
      </c>
      <c r="S528" s="400">
        <v>259450.08</v>
      </c>
      <c r="T528" s="400">
        <v>34970.450000000004</v>
      </c>
      <c r="U528" s="400">
        <v>0</v>
      </c>
      <c r="V528" s="400">
        <v>5466.54</v>
      </c>
      <c r="W528" s="372">
        <v>264916.62</v>
      </c>
      <c r="X528" s="373">
        <v>299887.06999999995</v>
      </c>
      <c r="Y528" s="372">
        <v>323719.02482200001</v>
      </c>
      <c r="Z528" s="373">
        <v>1056750.5148219999</v>
      </c>
      <c r="AA528" s="400">
        <v>0</v>
      </c>
      <c r="AB528" s="400">
        <v>0</v>
      </c>
      <c r="AC528" s="400">
        <v>0</v>
      </c>
      <c r="AD528" s="400">
        <v>0</v>
      </c>
      <c r="AE528" s="372">
        <v>0</v>
      </c>
      <c r="AF528" s="372">
        <v>0</v>
      </c>
      <c r="AG528" s="400">
        <v>0</v>
      </c>
      <c r="AH528" s="374">
        <v>0</v>
      </c>
      <c r="AI528" s="375">
        <v>0</v>
      </c>
      <c r="AJ528" s="372">
        <v>252.34</v>
      </c>
      <c r="AK528" s="376">
        <v>0</v>
      </c>
      <c r="AL528" s="376">
        <v>0</v>
      </c>
      <c r="AM528" s="412">
        <v>250.60543147208128</v>
      </c>
    </row>
    <row r="529" spans="2:39" s="380" customFormat="1" ht="28.15" customHeight="1" x14ac:dyDescent="0.25">
      <c r="B529" s="369">
        <v>43535</v>
      </c>
      <c r="C529" s="370">
        <v>277651.35846999998</v>
      </c>
      <c r="D529" s="370">
        <v>38981.22</v>
      </c>
      <c r="E529" s="371">
        <v>0</v>
      </c>
      <c r="F529" s="371">
        <v>0</v>
      </c>
      <c r="G529" s="371">
        <v>8409.7900000000009</v>
      </c>
      <c r="H529" s="371">
        <v>75</v>
      </c>
      <c r="I529" s="371"/>
      <c r="J529" s="371"/>
      <c r="K529" s="371"/>
      <c r="L529" s="371"/>
      <c r="M529" s="371">
        <v>650000</v>
      </c>
      <c r="N529" s="371">
        <v>31000</v>
      </c>
      <c r="O529" s="371">
        <v>1600</v>
      </c>
      <c r="P529" s="371">
        <f t="shared" si="7"/>
        <v>91683</v>
      </c>
      <c r="Q529" s="381">
        <v>-41251.51</v>
      </c>
      <c r="R529" s="372">
        <v>286061.14846999996</v>
      </c>
      <c r="S529" s="400">
        <v>259525.08</v>
      </c>
      <c r="T529" s="400">
        <v>34970.450000000004</v>
      </c>
      <c r="U529" s="400">
        <v>0</v>
      </c>
      <c r="V529" s="400">
        <v>5466.54</v>
      </c>
      <c r="W529" s="372">
        <v>264991.62</v>
      </c>
      <c r="X529" s="373">
        <v>299962.06999999995</v>
      </c>
      <c r="Y529" s="372">
        <v>325042.36846999993</v>
      </c>
      <c r="Z529" s="373">
        <v>1058073.8584699999</v>
      </c>
      <c r="AA529" s="400">
        <v>793.38364799995907</v>
      </c>
      <c r="AB529" s="400">
        <v>455.54000000000087</v>
      </c>
      <c r="AC529" s="400">
        <v>0</v>
      </c>
      <c r="AD529" s="400">
        <v>-0.57999999999992724</v>
      </c>
      <c r="AE529" s="372">
        <v>792.80364799995914</v>
      </c>
      <c r="AF529" s="372">
        <v>1248.34364799996</v>
      </c>
      <c r="AG529" s="400">
        <v>3.6799999999999784</v>
      </c>
      <c r="AH529" s="374">
        <v>2.7714481754697378E-3</v>
      </c>
      <c r="AI529" s="375">
        <v>1.1686140146460291E-2</v>
      </c>
      <c r="AJ529" s="372">
        <v>256.02</v>
      </c>
      <c r="AK529" s="376">
        <v>1.43738770408561E-2</v>
      </c>
      <c r="AL529" s="376">
        <v>-1.1602428865386361E-2</v>
      </c>
      <c r="AM529" s="412">
        <v>250.54522842639602</v>
      </c>
    </row>
    <row r="530" spans="2:39" s="380" customFormat="1" ht="28.15" customHeight="1" x14ac:dyDescent="0.25">
      <c r="B530" s="369">
        <v>43536</v>
      </c>
      <c r="C530" s="370">
        <v>277242.67592400004</v>
      </c>
      <c r="D530" s="370">
        <v>39079.18</v>
      </c>
      <c r="E530" s="371">
        <v>0</v>
      </c>
      <c r="F530" s="371">
        <v>0</v>
      </c>
      <c r="G530" s="371">
        <v>8498.15</v>
      </c>
      <c r="H530" s="371"/>
      <c r="I530" s="371"/>
      <c r="J530" s="371"/>
      <c r="K530" s="371"/>
      <c r="L530" s="371"/>
      <c r="M530" s="371">
        <v>650000</v>
      </c>
      <c r="N530" s="371">
        <v>31000</v>
      </c>
      <c r="O530" s="371">
        <v>1600</v>
      </c>
      <c r="P530" s="371">
        <f t="shared" si="7"/>
        <v>91683</v>
      </c>
      <c r="Q530" s="381">
        <v>-41251.51</v>
      </c>
      <c r="R530" s="372">
        <v>285740.82592400006</v>
      </c>
      <c r="S530" s="400">
        <v>259525.08</v>
      </c>
      <c r="T530" s="400">
        <v>34970.450000000004</v>
      </c>
      <c r="U530" s="400">
        <v>0</v>
      </c>
      <c r="V530" s="400">
        <v>5466.54</v>
      </c>
      <c r="W530" s="372">
        <v>264991.62</v>
      </c>
      <c r="X530" s="373">
        <v>299962.06999999995</v>
      </c>
      <c r="Y530" s="372">
        <v>324820.00592400006</v>
      </c>
      <c r="Z530" s="373">
        <v>1057851.4959239999</v>
      </c>
      <c r="AA530" s="400">
        <v>-408.68254599993816</v>
      </c>
      <c r="AB530" s="400">
        <v>97.959999999999127</v>
      </c>
      <c r="AC530" s="400">
        <v>0</v>
      </c>
      <c r="AD530" s="400">
        <v>88.359999999998763</v>
      </c>
      <c r="AE530" s="372">
        <v>-320.32254599993939</v>
      </c>
      <c r="AF530" s="372">
        <v>-222.36254599994027</v>
      </c>
      <c r="AG530" s="400">
        <v>0.91000000000002501</v>
      </c>
      <c r="AH530" s="374">
        <v>-1.1210247781853098E-3</v>
      </c>
      <c r="AI530" s="375">
        <v>2.506705616648024E-3</v>
      </c>
      <c r="AJ530" s="372">
        <v>256.93</v>
      </c>
      <c r="AK530" s="376">
        <v>3.5418207293816408E-3</v>
      </c>
      <c r="AL530" s="376">
        <v>-4.6628455075669508E-3</v>
      </c>
      <c r="AM530" s="412">
        <v>250.50370558375639</v>
      </c>
    </row>
    <row r="531" spans="2:39" s="380" customFormat="1" ht="28.15" customHeight="1" x14ac:dyDescent="0.25">
      <c r="B531" s="369">
        <v>43537</v>
      </c>
      <c r="C531" s="370">
        <v>276611.16284800001</v>
      </c>
      <c r="D531" s="370">
        <v>39305.700000000004</v>
      </c>
      <c r="E531" s="371">
        <v>0</v>
      </c>
      <c r="F531" s="371">
        <v>0</v>
      </c>
      <c r="G531" s="371">
        <v>8474.0400000000009</v>
      </c>
      <c r="H531" s="371"/>
      <c r="I531" s="371"/>
      <c r="J531" s="371"/>
      <c r="K531" s="371"/>
      <c r="L531" s="371"/>
      <c r="M531" s="371">
        <v>650000</v>
      </c>
      <c r="N531" s="371">
        <v>31000</v>
      </c>
      <c r="O531" s="371">
        <v>1600</v>
      </c>
      <c r="P531" s="371">
        <f t="shared" si="7"/>
        <v>91683</v>
      </c>
      <c r="Q531" s="381">
        <v>-41251.51</v>
      </c>
      <c r="R531" s="372">
        <v>285085.20284799999</v>
      </c>
      <c r="S531" s="400">
        <v>259525.08</v>
      </c>
      <c r="T531" s="400">
        <v>34970.450000000004</v>
      </c>
      <c r="U531" s="400">
        <v>0</v>
      </c>
      <c r="V531" s="400">
        <v>5466.54</v>
      </c>
      <c r="W531" s="372">
        <v>264991.62</v>
      </c>
      <c r="X531" s="373">
        <v>299962.06999999995</v>
      </c>
      <c r="Y531" s="372">
        <v>324390.902848</v>
      </c>
      <c r="Z531" s="373">
        <v>1057422.3928479999</v>
      </c>
      <c r="AA531" s="400">
        <v>-631.51307600003202</v>
      </c>
      <c r="AB531" s="400">
        <v>226.52000000000407</v>
      </c>
      <c r="AC531" s="400">
        <v>0</v>
      </c>
      <c r="AD531" s="400">
        <v>-24.109999999998763</v>
      </c>
      <c r="AE531" s="372">
        <v>-655.62307600003078</v>
      </c>
      <c r="AF531" s="372">
        <v>-429.1030760000267</v>
      </c>
      <c r="AG531" s="400">
        <v>1.75</v>
      </c>
      <c r="AH531" s="374">
        <v>-2.2997443201202973E-3</v>
      </c>
      <c r="AI531" s="375">
        <v>5.763031824900817E-3</v>
      </c>
      <c r="AJ531" s="372">
        <v>258.68</v>
      </c>
      <c r="AK531" s="376">
        <v>6.7651152002474102E-3</v>
      </c>
      <c r="AL531" s="376">
        <v>-9.064859520367707E-3</v>
      </c>
      <c r="AM531" s="412">
        <v>250.45670050761424</v>
      </c>
    </row>
    <row r="532" spans="2:39" s="380" customFormat="1" ht="28.15" customHeight="1" x14ac:dyDescent="0.25">
      <c r="B532" s="369">
        <v>43538</v>
      </c>
      <c r="C532" s="370">
        <v>276574.04689699999</v>
      </c>
      <c r="D532" s="370">
        <v>39292.700000000004</v>
      </c>
      <c r="E532" s="371">
        <v>0</v>
      </c>
      <c r="F532" s="371">
        <v>0</v>
      </c>
      <c r="G532" s="371">
        <v>8477.44</v>
      </c>
      <c r="H532" s="371"/>
      <c r="I532" s="371"/>
      <c r="J532" s="371"/>
      <c r="K532" s="371"/>
      <c r="L532" s="371"/>
      <c r="M532" s="371">
        <v>650000</v>
      </c>
      <c r="N532" s="371">
        <v>31000</v>
      </c>
      <c r="O532" s="371">
        <v>1600</v>
      </c>
      <c r="P532" s="371">
        <f t="shared" si="7"/>
        <v>91683</v>
      </c>
      <c r="Q532" s="381">
        <v>-41251.51</v>
      </c>
      <c r="R532" s="372">
        <v>285051.486897</v>
      </c>
      <c r="S532" s="400">
        <v>259525.08</v>
      </c>
      <c r="T532" s="400">
        <v>34970.450000000004</v>
      </c>
      <c r="U532" s="400">
        <v>0</v>
      </c>
      <c r="V532" s="400">
        <v>5466.54</v>
      </c>
      <c r="W532" s="372">
        <v>264991.62</v>
      </c>
      <c r="X532" s="373">
        <v>299962.06999999995</v>
      </c>
      <c r="Y532" s="372">
        <v>324344.18689700001</v>
      </c>
      <c r="Z532" s="373">
        <v>1057375.6768970001</v>
      </c>
      <c r="AA532" s="400">
        <v>-37.11595100001432</v>
      </c>
      <c r="AB532" s="400">
        <v>-13</v>
      </c>
      <c r="AC532" s="400">
        <v>0</v>
      </c>
      <c r="AD532" s="400">
        <v>3.3999999999996362</v>
      </c>
      <c r="AE532" s="372">
        <v>-33.715951000014684</v>
      </c>
      <c r="AF532" s="372">
        <v>-46.715951000014684</v>
      </c>
      <c r="AG532" s="400">
        <v>-9.0000000000031832E-2</v>
      </c>
      <c r="AH532" s="374">
        <v>-1.1828021445191601E-4</v>
      </c>
      <c r="AI532" s="375">
        <v>-3.3085025971745386E-4</v>
      </c>
      <c r="AJ532" s="372">
        <v>258.58999999999997</v>
      </c>
      <c r="AK532" s="376">
        <v>-3.4804130090116341E-4</v>
      </c>
      <c r="AL532" s="376">
        <v>2.297610864492474E-4</v>
      </c>
      <c r="AM532" s="412">
        <v>250.4178172588833</v>
      </c>
    </row>
    <row r="533" spans="2:39" s="380" customFormat="1" ht="28.15" customHeight="1" x14ac:dyDescent="0.25">
      <c r="B533" s="369">
        <v>43539</v>
      </c>
      <c r="C533" s="370">
        <v>277248.71556000004</v>
      </c>
      <c r="D533" s="370">
        <v>39463.54</v>
      </c>
      <c r="E533" s="371">
        <v>0</v>
      </c>
      <c r="F533" s="371">
        <v>0</v>
      </c>
      <c r="G533" s="371">
        <v>8482.9</v>
      </c>
      <c r="H533" s="371"/>
      <c r="I533" s="371"/>
      <c r="J533" s="371"/>
      <c r="K533" s="371"/>
      <c r="L533" s="371"/>
      <c r="M533" s="371">
        <v>650000</v>
      </c>
      <c r="N533" s="371">
        <v>31000</v>
      </c>
      <c r="O533" s="371">
        <v>1600</v>
      </c>
      <c r="P533" s="371">
        <f t="shared" si="7"/>
        <v>91683</v>
      </c>
      <c r="Q533" s="381">
        <v>-41251.51</v>
      </c>
      <c r="R533" s="372">
        <v>285731.61556000006</v>
      </c>
      <c r="S533" s="400">
        <v>259525.08</v>
      </c>
      <c r="T533" s="400">
        <v>34970.450000000004</v>
      </c>
      <c r="U533" s="400">
        <v>0</v>
      </c>
      <c r="V533" s="400">
        <v>5466.54</v>
      </c>
      <c r="W533" s="372">
        <v>264991.62</v>
      </c>
      <c r="X533" s="373">
        <v>299962.06999999995</v>
      </c>
      <c r="Y533" s="372">
        <v>325195.15556000004</v>
      </c>
      <c r="Z533" s="373">
        <v>1058226.6455600001</v>
      </c>
      <c r="AA533" s="400">
        <v>674.66866300004767</v>
      </c>
      <c r="AB533" s="400">
        <v>170.83999999999651</v>
      </c>
      <c r="AC533" s="400">
        <v>0</v>
      </c>
      <c r="AD533" s="400">
        <v>5.4599999999991269</v>
      </c>
      <c r="AE533" s="372">
        <v>680.1286630000468</v>
      </c>
      <c r="AF533" s="372">
        <v>850.96866300004331</v>
      </c>
      <c r="AG533" s="400">
        <v>1.2600000000000477</v>
      </c>
      <c r="AH533" s="374">
        <v>2.3803059443284753E-3</v>
      </c>
      <c r="AI533" s="375">
        <v>4.3290591771543178E-3</v>
      </c>
      <c r="AJ533" s="372">
        <v>259.85000000000002</v>
      </c>
      <c r="AK533" s="376">
        <v>4.8489513180682998E-3</v>
      </c>
      <c r="AL533" s="376">
        <v>-2.4686453737398245E-3</v>
      </c>
      <c r="AM533" s="412">
        <v>250.37106598984772</v>
      </c>
    </row>
    <row r="534" spans="2:39" s="380" customFormat="1" ht="28.15" customHeight="1" x14ac:dyDescent="0.25">
      <c r="B534" s="378">
        <v>43540</v>
      </c>
      <c r="C534" s="370">
        <v>277248.71556000004</v>
      </c>
      <c r="D534" s="370">
        <v>39463.54</v>
      </c>
      <c r="E534" s="371">
        <v>0</v>
      </c>
      <c r="F534" s="371">
        <v>0</v>
      </c>
      <c r="G534" s="371">
        <v>8482.9</v>
      </c>
      <c r="H534" s="371"/>
      <c r="I534" s="371"/>
      <c r="J534" s="371"/>
      <c r="K534" s="371"/>
      <c r="L534" s="371"/>
      <c r="M534" s="371">
        <v>650000</v>
      </c>
      <c r="N534" s="371">
        <v>31000</v>
      </c>
      <c r="O534" s="371">
        <v>1600</v>
      </c>
      <c r="P534" s="371">
        <f t="shared" si="7"/>
        <v>91683</v>
      </c>
      <c r="Q534" s="381">
        <v>-41251.51</v>
      </c>
      <c r="R534" s="372">
        <v>285731.61556000006</v>
      </c>
      <c r="S534" s="400">
        <v>259525.08</v>
      </c>
      <c r="T534" s="400">
        <v>34970.450000000004</v>
      </c>
      <c r="U534" s="400">
        <v>0</v>
      </c>
      <c r="V534" s="400">
        <v>5466.54</v>
      </c>
      <c r="W534" s="372">
        <v>264991.62</v>
      </c>
      <c r="X534" s="373">
        <v>299962.06999999995</v>
      </c>
      <c r="Y534" s="372">
        <v>325195.15556000004</v>
      </c>
      <c r="Z534" s="373">
        <v>1058226.6455600001</v>
      </c>
      <c r="AA534" s="400">
        <v>0</v>
      </c>
      <c r="AB534" s="400">
        <v>0</v>
      </c>
      <c r="AC534" s="400">
        <v>0</v>
      </c>
      <c r="AD534" s="400">
        <v>0</v>
      </c>
      <c r="AE534" s="372">
        <v>0</v>
      </c>
      <c r="AF534" s="372">
        <v>0</v>
      </c>
      <c r="AG534" s="400">
        <v>0</v>
      </c>
      <c r="AH534" s="374">
        <v>0</v>
      </c>
      <c r="AI534" s="375">
        <v>0</v>
      </c>
      <c r="AJ534" s="372">
        <v>259.85000000000002</v>
      </c>
      <c r="AK534" s="376">
        <v>0</v>
      </c>
      <c r="AL534" s="376">
        <v>0</v>
      </c>
      <c r="AM534" s="412">
        <v>250.33624365482237</v>
      </c>
    </row>
    <row r="535" spans="2:39" s="380" customFormat="1" ht="28.15" customHeight="1" x14ac:dyDescent="0.25">
      <c r="B535" s="378">
        <v>43541</v>
      </c>
      <c r="C535" s="370">
        <v>277248.71556000004</v>
      </c>
      <c r="D535" s="370">
        <v>39463.54</v>
      </c>
      <c r="E535" s="371">
        <v>0</v>
      </c>
      <c r="F535" s="371">
        <v>0</v>
      </c>
      <c r="G535" s="371">
        <v>8482.9</v>
      </c>
      <c r="H535" s="371"/>
      <c r="I535" s="371"/>
      <c r="J535" s="371"/>
      <c r="K535" s="371"/>
      <c r="L535" s="371"/>
      <c r="M535" s="371">
        <v>650000</v>
      </c>
      <c r="N535" s="371">
        <v>31000</v>
      </c>
      <c r="O535" s="371">
        <v>1600</v>
      </c>
      <c r="P535" s="371">
        <f t="shared" si="7"/>
        <v>91683</v>
      </c>
      <c r="Q535" s="381">
        <v>-41251.51</v>
      </c>
      <c r="R535" s="372">
        <v>285731.61556000006</v>
      </c>
      <c r="S535" s="400">
        <v>259525.08</v>
      </c>
      <c r="T535" s="400">
        <v>34970.450000000004</v>
      </c>
      <c r="U535" s="400">
        <v>0</v>
      </c>
      <c r="V535" s="400">
        <v>5466.54</v>
      </c>
      <c r="W535" s="372">
        <v>264991.62</v>
      </c>
      <c r="X535" s="373">
        <v>299962.06999999995</v>
      </c>
      <c r="Y535" s="372">
        <v>325195.15556000004</v>
      </c>
      <c r="Z535" s="373">
        <v>1058226.6455600001</v>
      </c>
      <c r="AA535" s="400">
        <v>0</v>
      </c>
      <c r="AB535" s="400">
        <v>0</v>
      </c>
      <c r="AC535" s="400">
        <v>0</v>
      </c>
      <c r="AD535" s="400">
        <v>0</v>
      </c>
      <c r="AE535" s="372">
        <v>0</v>
      </c>
      <c r="AF535" s="372">
        <v>0</v>
      </c>
      <c r="AG535" s="400">
        <v>0</v>
      </c>
      <c r="AH535" s="374">
        <v>0</v>
      </c>
      <c r="AI535" s="375">
        <v>0</v>
      </c>
      <c r="AJ535" s="372">
        <v>259.85000000000002</v>
      </c>
      <c r="AK535" s="376">
        <v>0</v>
      </c>
      <c r="AL535" s="376">
        <v>0</v>
      </c>
      <c r="AM535" s="412">
        <v>250.30137055837565</v>
      </c>
    </row>
    <row r="536" spans="2:39" s="380" customFormat="1" ht="28.15" customHeight="1" x14ac:dyDescent="0.25">
      <c r="B536" s="369">
        <v>43542</v>
      </c>
      <c r="C536" s="370">
        <v>277958.36544000002</v>
      </c>
      <c r="D536" s="370">
        <v>39809.279999999999</v>
      </c>
      <c r="E536" s="371">
        <v>0</v>
      </c>
      <c r="F536" s="371">
        <v>0</v>
      </c>
      <c r="G536" s="371">
        <v>8559.18</v>
      </c>
      <c r="H536" s="371"/>
      <c r="I536" s="371"/>
      <c r="J536" s="371"/>
      <c r="K536" s="371"/>
      <c r="L536" s="371"/>
      <c r="M536" s="371">
        <v>650000</v>
      </c>
      <c r="N536" s="371">
        <v>31000</v>
      </c>
      <c r="O536" s="371">
        <v>1600</v>
      </c>
      <c r="P536" s="371">
        <f t="shared" si="7"/>
        <v>91683</v>
      </c>
      <c r="Q536" s="381">
        <v>-41251.51</v>
      </c>
      <c r="R536" s="372">
        <v>286517.54544000002</v>
      </c>
      <c r="S536" s="400">
        <v>259525.08</v>
      </c>
      <c r="T536" s="400">
        <v>34970.450000000004</v>
      </c>
      <c r="U536" s="400">
        <v>0</v>
      </c>
      <c r="V536" s="400">
        <v>5466.54</v>
      </c>
      <c r="W536" s="372">
        <v>264991.62</v>
      </c>
      <c r="X536" s="373">
        <v>299962.06999999995</v>
      </c>
      <c r="Y536" s="372">
        <v>326326.82543999999</v>
      </c>
      <c r="Z536" s="373">
        <v>1059358.31544</v>
      </c>
      <c r="AA536" s="400">
        <v>709.64987999998266</v>
      </c>
      <c r="AB536" s="400">
        <v>345.73999999999796</v>
      </c>
      <c r="AC536" s="400">
        <v>0</v>
      </c>
      <c r="AD536" s="400">
        <v>76.280000000000655</v>
      </c>
      <c r="AE536" s="372">
        <v>785.92987999998331</v>
      </c>
      <c r="AF536" s="372">
        <v>1131.6698799999813</v>
      </c>
      <c r="AG536" s="400">
        <v>0.92999999999994998</v>
      </c>
      <c r="AH536" s="374">
        <v>2.7430427647739493E-3</v>
      </c>
      <c r="AI536" s="375">
        <v>8.6849096492073695E-3</v>
      </c>
      <c r="AJ536" s="372">
        <v>260.77999999999997</v>
      </c>
      <c r="AK536" s="376">
        <v>3.5662244037117496E-3</v>
      </c>
      <c r="AL536" s="376">
        <v>-8.2318163893780032E-4</v>
      </c>
      <c r="AM536" s="412">
        <v>250.26649746192894</v>
      </c>
    </row>
    <row r="537" spans="2:39" s="380" customFormat="1" ht="28.15" customHeight="1" x14ac:dyDescent="0.25">
      <c r="B537" s="369">
        <v>43543</v>
      </c>
      <c r="C537" s="370">
        <v>276900.18841599999</v>
      </c>
      <c r="D537" s="370">
        <v>39789.360000000001</v>
      </c>
      <c r="E537" s="371">
        <v>0</v>
      </c>
      <c r="F537" s="371">
        <v>0</v>
      </c>
      <c r="G537" s="371">
        <v>9391.27</v>
      </c>
      <c r="H537" s="371"/>
      <c r="I537" s="371">
        <v>210</v>
      </c>
      <c r="J537" s="371"/>
      <c r="K537" s="371"/>
      <c r="L537" s="371"/>
      <c r="M537" s="371">
        <v>650000</v>
      </c>
      <c r="N537" s="371">
        <v>31000</v>
      </c>
      <c r="O537" s="371">
        <v>1600</v>
      </c>
      <c r="P537" s="371">
        <f t="shared" si="7"/>
        <v>91683</v>
      </c>
      <c r="Q537" s="381">
        <v>-41251.51</v>
      </c>
      <c r="R537" s="372">
        <v>286291.45841600001</v>
      </c>
      <c r="S537" s="400">
        <v>259525.08</v>
      </c>
      <c r="T537" s="400">
        <v>35180.450000000004</v>
      </c>
      <c r="U537" s="400">
        <v>0</v>
      </c>
      <c r="V537" s="400">
        <v>5466.54</v>
      </c>
      <c r="W537" s="372">
        <v>264991.62</v>
      </c>
      <c r="X537" s="373">
        <v>300172.06999999995</v>
      </c>
      <c r="Y537" s="372">
        <v>326080.81841599999</v>
      </c>
      <c r="Z537" s="373">
        <v>1059112.3084159999</v>
      </c>
      <c r="AA537" s="400">
        <v>-1058.1770240000333</v>
      </c>
      <c r="AB537" s="400">
        <v>-229.91999999999825</v>
      </c>
      <c r="AC537" s="400">
        <v>0</v>
      </c>
      <c r="AD537" s="400">
        <v>832.09000000000015</v>
      </c>
      <c r="AE537" s="372">
        <v>-226.08702400003313</v>
      </c>
      <c r="AF537" s="372">
        <v>-456.00702400003138</v>
      </c>
      <c r="AG537" s="400">
        <v>8.0000000000040927E-2</v>
      </c>
      <c r="AH537" s="374">
        <v>-7.8970928874697358E-4</v>
      </c>
      <c r="AI537" s="375">
        <v>-5.7784292082103924E-3</v>
      </c>
      <c r="AJ537" s="372">
        <v>260.86</v>
      </c>
      <c r="AK537" s="376">
        <v>3.0667791152357943E-4</v>
      </c>
      <c r="AL537" s="376">
        <v>-1.0963872002705531E-3</v>
      </c>
      <c r="AM537" s="412">
        <v>250.23634517766496</v>
      </c>
    </row>
    <row r="538" spans="2:39" s="380" customFormat="1" ht="28.15" customHeight="1" x14ac:dyDescent="0.25">
      <c r="B538" s="369">
        <v>43544</v>
      </c>
      <c r="C538" s="370">
        <v>276742.15774900001</v>
      </c>
      <c r="D538" s="370">
        <v>39733.68</v>
      </c>
      <c r="E538" s="371">
        <v>0</v>
      </c>
      <c r="F538" s="371">
        <v>0</v>
      </c>
      <c r="G538" s="371">
        <v>9361.4699999999993</v>
      </c>
      <c r="H538" s="371"/>
      <c r="I538" s="371"/>
      <c r="J538" s="371"/>
      <c r="K538" s="371"/>
      <c r="L538" s="371"/>
      <c r="M538" s="371">
        <v>650000</v>
      </c>
      <c r="N538" s="371">
        <v>31000</v>
      </c>
      <c r="O538" s="371">
        <v>1600</v>
      </c>
      <c r="P538" s="371">
        <f t="shared" si="7"/>
        <v>91683</v>
      </c>
      <c r="Q538" s="381">
        <v>-41251.51</v>
      </c>
      <c r="R538" s="372">
        <v>286103.62774899998</v>
      </c>
      <c r="S538" s="400">
        <v>259525.08</v>
      </c>
      <c r="T538" s="400">
        <v>35180.450000000004</v>
      </c>
      <c r="U538" s="400">
        <v>0</v>
      </c>
      <c r="V538" s="400">
        <v>5466.54</v>
      </c>
      <c r="W538" s="372">
        <v>264991.62</v>
      </c>
      <c r="X538" s="373">
        <v>300172.06999999995</v>
      </c>
      <c r="Y538" s="372">
        <v>325837.30774899997</v>
      </c>
      <c r="Z538" s="373">
        <v>1058868.7977489999</v>
      </c>
      <c r="AA538" s="400">
        <v>-158.03066699998453</v>
      </c>
      <c r="AB538" s="400">
        <v>-55.680000000000291</v>
      </c>
      <c r="AC538" s="400">
        <v>0</v>
      </c>
      <c r="AD538" s="400">
        <v>-29.800000000001091</v>
      </c>
      <c r="AE538" s="372">
        <v>-187.83066699998562</v>
      </c>
      <c r="AF538" s="372">
        <v>-243.51066699998592</v>
      </c>
      <c r="AG538" s="400">
        <v>-0.93000000000000682</v>
      </c>
      <c r="AH538" s="374">
        <v>-6.5651270652454052E-4</v>
      </c>
      <c r="AI538" s="375">
        <v>-1.4013300555095901E-3</v>
      </c>
      <c r="AJ538" s="372">
        <v>259.93</v>
      </c>
      <c r="AK538" s="376">
        <v>-3.5778863540184159E-3</v>
      </c>
      <c r="AL538" s="376">
        <v>2.9213736474938755E-3</v>
      </c>
      <c r="AM538" s="412">
        <v>250.20659898477155</v>
      </c>
    </row>
    <row r="539" spans="2:39" s="380" customFormat="1" ht="28.15" customHeight="1" x14ac:dyDescent="0.25">
      <c r="B539" s="369">
        <v>43545</v>
      </c>
      <c r="C539" s="370">
        <v>279144.18348199996</v>
      </c>
      <c r="D539" s="370">
        <v>40063.020000000004</v>
      </c>
      <c r="E539" s="371">
        <v>0</v>
      </c>
      <c r="F539" s="371">
        <v>0</v>
      </c>
      <c r="G539" s="371">
        <v>9302.32</v>
      </c>
      <c r="H539" s="371"/>
      <c r="I539" s="371"/>
      <c r="J539" s="371"/>
      <c r="K539" s="371"/>
      <c r="L539" s="371"/>
      <c r="M539" s="371">
        <v>650000</v>
      </c>
      <c r="N539" s="371">
        <v>31000</v>
      </c>
      <c r="O539" s="371">
        <v>1600</v>
      </c>
      <c r="P539" s="371">
        <f t="shared" si="7"/>
        <v>91683</v>
      </c>
      <c r="Q539" s="381">
        <v>-41251.51</v>
      </c>
      <c r="R539" s="372">
        <v>288446.50348199997</v>
      </c>
      <c r="S539" s="400">
        <v>259525.08</v>
      </c>
      <c r="T539" s="400">
        <v>35180.450000000004</v>
      </c>
      <c r="U539" s="400">
        <v>0</v>
      </c>
      <c r="V539" s="400">
        <v>5466.54</v>
      </c>
      <c r="W539" s="372">
        <v>264991.62</v>
      </c>
      <c r="X539" s="373">
        <v>300172.06999999995</v>
      </c>
      <c r="Y539" s="372">
        <v>328509.52348199999</v>
      </c>
      <c r="Z539" s="373">
        <v>1061541.013482</v>
      </c>
      <c r="AA539" s="400">
        <v>2402.0257329999586</v>
      </c>
      <c r="AB539" s="400">
        <v>329.34000000000378</v>
      </c>
      <c r="AC539" s="400">
        <v>0</v>
      </c>
      <c r="AD539" s="400">
        <v>-59.149999999999636</v>
      </c>
      <c r="AE539" s="372">
        <v>2342.8757329999589</v>
      </c>
      <c r="AF539" s="372">
        <v>2672.2157329999627</v>
      </c>
      <c r="AG539" s="400">
        <v>1.5</v>
      </c>
      <c r="AH539" s="374">
        <v>8.1223925570869764E-3</v>
      </c>
      <c r="AI539" s="375">
        <v>8.2205485257976999E-3</v>
      </c>
      <c r="AJ539" s="372">
        <v>261.43</v>
      </c>
      <c r="AK539" s="376">
        <v>5.7376735646253296E-3</v>
      </c>
      <c r="AL539" s="376">
        <v>2.3847189924616468E-3</v>
      </c>
      <c r="AM539" s="412">
        <v>250.17401015228421</v>
      </c>
    </row>
    <row r="540" spans="2:39" s="380" customFormat="1" ht="28.15" customHeight="1" x14ac:dyDescent="0.25">
      <c r="B540" s="369">
        <v>43546</v>
      </c>
      <c r="C540" s="370">
        <v>290264.42961599998</v>
      </c>
      <c r="D540" s="370">
        <v>39509.520000000004</v>
      </c>
      <c r="E540" s="371">
        <v>0</v>
      </c>
      <c r="F540" s="371">
        <v>0</v>
      </c>
      <c r="G540" s="371">
        <v>9453.0499999999993</v>
      </c>
      <c r="H540" s="371"/>
      <c r="I540" s="371"/>
      <c r="J540" s="371"/>
      <c r="K540" s="371"/>
      <c r="L540" s="371"/>
      <c r="M540" s="371">
        <v>650000</v>
      </c>
      <c r="N540" s="371">
        <v>31000</v>
      </c>
      <c r="O540" s="371">
        <v>1600</v>
      </c>
      <c r="P540" s="371">
        <f t="shared" si="7"/>
        <v>91683</v>
      </c>
      <c r="Q540" s="381">
        <v>-41251.51</v>
      </c>
      <c r="R540" s="372">
        <v>299717.47961599997</v>
      </c>
      <c r="S540" s="400">
        <v>259525.08</v>
      </c>
      <c r="T540" s="400">
        <v>35180.450000000004</v>
      </c>
      <c r="U540" s="400">
        <v>0</v>
      </c>
      <c r="V540" s="400">
        <v>5466.54</v>
      </c>
      <c r="W540" s="372">
        <v>264991.62</v>
      </c>
      <c r="X540" s="373">
        <v>300172.06999999995</v>
      </c>
      <c r="Y540" s="372">
        <v>339226.99961599999</v>
      </c>
      <c r="Z540" s="373">
        <v>1072258.4896159999</v>
      </c>
      <c r="AA540" s="400">
        <v>11120.246134000015</v>
      </c>
      <c r="AB540" s="400">
        <v>-553.5</v>
      </c>
      <c r="AC540" s="400">
        <v>0</v>
      </c>
      <c r="AD540" s="400">
        <v>150.72999999999956</v>
      </c>
      <c r="AE540" s="372">
        <v>11270.976134000015</v>
      </c>
      <c r="AF540" s="372">
        <v>10717.476134000015</v>
      </c>
      <c r="AG540" s="400">
        <v>-4.9700000000000273</v>
      </c>
      <c r="AH540" s="374">
        <v>3.7605334691992155E-2</v>
      </c>
      <c r="AI540" s="375">
        <v>-1.4009281813598342E-2</v>
      </c>
      <c r="AJ540" s="372">
        <v>256.45999999999998</v>
      </c>
      <c r="AK540" s="376">
        <v>-1.9379240427357201E-2</v>
      </c>
      <c r="AL540" s="376">
        <v>5.6984575119349359E-2</v>
      </c>
      <c r="AM540" s="412">
        <v>250.15284263959387</v>
      </c>
    </row>
    <row r="541" spans="2:39" s="380" customFormat="1" ht="28.15" customHeight="1" x14ac:dyDescent="0.25">
      <c r="B541" s="378">
        <v>43547</v>
      </c>
      <c r="C541" s="370">
        <v>290264.42961599998</v>
      </c>
      <c r="D541" s="370">
        <v>39509.520000000004</v>
      </c>
      <c r="E541" s="371">
        <v>0</v>
      </c>
      <c r="F541" s="371">
        <v>0</v>
      </c>
      <c r="G541" s="371">
        <v>9453.0499999999993</v>
      </c>
      <c r="H541" s="371"/>
      <c r="I541" s="371"/>
      <c r="J541" s="371"/>
      <c r="K541" s="371"/>
      <c r="L541" s="371"/>
      <c r="M541" s="371">
        <v>650000</v>
      </c>
      <c r="N541" s="371">
        <v>31000</v>
      </c>
      <c r="O541" s="371">
        <v>1600</v>
      </c>
      <c r="P541" s="371">
        <f t="shared" si="7"/>
        <v>91683</v>
      </c>
      <c r="Q541" s="381">
        <v>-41251.51</v>
      </c>
      <c r="R541" s="372">
        <v>299717.47961599997</v>
      </c>
      <c r="S541" s="400">
        <v>259525.08</v>
      </c>
      <c r="T541" s="400">
        <v>35180.450000000004</v>
      </c>
      <c r="U541" s="400">
        <v>0</v>
      </c>
      <c r="V541" s="400">
        <v>5466.54</v>
      </c>
      <c r="W541" s="372">
        <v>264991.62</v>
      </c>
      <c r="X541" s="373">
        <v>300172.06999999995</v>
      </c>
      <c r="Y541" s="372">
        <v>339226.99961599999</v>
      </c>
      <c r="Z541" s="373">
        <v>1072258.4896159999</v>
      </c>
      <c r="AA541" s="400">
        <v>0</v>
      </c>
      <c r="AB541" s="400">
        <v>0</v>
      </c>
      <c r="AC541" s="400">
        <v>0</v>
      </c>
      <c r="AD541" s="400">
        <v>0</v>
      </c>
      <c r="AE541" s="372">
        <v>0</v>
      </c>
      <c r="AF541" s="372">
        <v>0</v>
      </c>
      <c r="AG541" s="400">
        <v>0</v>
      </c>
      <c r="AH541" s="374">
        <v>0</v>
      </c>
      <c r="AI541" s="375">
        <v>0</v>
      </c>
      <c r="AJ541" s="372">
        <v>256.45999999999998</v>
      </c>
      <c r="AK541" s="376">
        <v>0</v>
      </c>
      <c r="AL541" s="376">
        <v>0</v>
      </c>
      <c r="AM541" s="412">
        <v>250.11040609137049</v>
      </c>
    </row>
    <row r="542" spans="2:39" s="380" customFormat="1" ht="28.15" customHeight="1" x14ac:dyDescent="0.25">
      <c r="B542" s="378">
        <v>43548</v>
      </c>
      <c r="C542" s="370">
        <v>290264.42961599998</v>
      </c>
      <c r="D542" s="370">
        <v>39509.520000000004</v>
      </c>
      <c r="E542" s="371">
        <v>0</v>
      </c>
      <c r="F542" s="371">
        <v>0</v>
      </c>
      <c r="G542" s="371">
        <v>9453.0499999999993</v>
      </c>
      <c r="H542" s="371"/>
      <c r="I542" s="371"/>
      <c r="J542" s="371"/>
      <c r="K542" s="371"/>
      <c r="L542" s="371"/>
      <c r="M542" s="371">
        <v>650000</v>
      </c>
      <c r="N542" s="371">
        <v>31000</v>
      </c>
      <c r="O542" s="371">
        <v>1600</v>
      </c>
      <c r="P542" s="371">
        <f t="shared" si="7"/>
        <v>91683</v>
      </c>
      <c r="Q542" s="381">
        <v>-41251.51</v>
      </c>
      <c r="R542" s="372">
        <v>299717.47961599997</v>
      </c>
      <c r="S542" s="400">
        <v>259525.08</v>
      </c>
      <c r="T542" s="400">
        <v>35180.450000000004</v>
      </c>
      <c r="U542" s="400">
        <v>0</v>
      </c>
      <c r="V542" s="400">
        <v>5466.54</v>
      </c>
      <c r="W542" s="372">
        <v>264991.62</v>
      </c>
      <c r="X542" s="373">
        <v>300172.06999999995</v>
      </c>
      <c r="Y542" s="372">
        <v>339226.99961599999</v>
      </c>
      <c r="Z542" s="373">
        <v>1072258.4896159999</v>
      </c>
      <c r="AA542" s="400">
        <v>0</v>
      </c>
      <c r="AB542" s="400">
        <v>0</v>
      </c>
      <c r="AC542" s="400">
        <v>0</v>
      </c>
      <c r="AD542" s="400">
        <v>0</v>
      </c>
      <c r="AE542" s="372">
        <v>0</v>
      </c>
      <c r="AF542" s="372">
        <v>0</v>
      </c>
      <c r="AG542" s="400">
        <v>0</v>
      </c>
      <c r="AH542" s="374">
        <v>0</v>
      </c>
      <c r="AI542" s="375">
        <v>0</v>
      </c>
      <c r="AJ542" s="372">
        <v>256.45999999999998</v>
      </c>
      <c r="AK542" s="376">
        <v>0</v>
      </c>
      <c r="AL542" s="376">
        <v>0</v>
      </c>
      <c r="AM542" s="412">
        <v>250.07121827411163</v>
      </c>
    </row>
    <row r="543" spans="2:39" s="380" customFormat="1" ht="28.15" customHeight="1" x14ac:dyDescent="0.25">
      <c r="B543" s="369">
        <v>43549</v>
      </c>
      <c r="C543" s="370">
        <v>290478.20972599997</v>
      </c>
      <c r="D543" s="370">
        <v>39497.700000000004</v>
      </c>
      <c r="E543" s="371">
        <v>0</v>
      </c>
      <c r="F543" s="371">
        <v>0</v>
      </c>
      <c r="G543" s="371">
        <v>9292.06</v>
      </c>
      <c r="H543" s="371">
        <v>14811.92</v>
      </c>
      <c r="I543" s="371"/>
      <c r="J543" s="371"/>
      <c r="K543" s="371"/>
      <c r="L543" s="371"/>
      <c r="M543" s="371">
        <v>650000</v>
      </c>
      <c r="N543" s="371">
        <v>31000</v>
      </c>
      <c r="O543" s="371">
        <v>1600</v>
      </c>
      <c r="P543" s="371">
        <f t="shared" si="7"/>
        <v>91683</v>
      </c>
      <c r="Q543" s="381">
        <v>-41251.51</v>
      </c>
      <c r="R543" s="372">
        <v>299770.26972599997</v>
      </c>
      <c r="S543" s="400">
        <v>274337</v>
      </c>
      <c r="T543" s="400">
        <v>35180.450000000004</v>
      </c>
      <c r="U543" s="400">
        <v>0</v>
      </c>
      <c r="V543" s="400">
        <v>5466.54</v>
      </c>
      <c r="W543" s="372">
        <v>279803.53999999998</v>
      </c>
      <c r="X543" s="373">
        <v>314983.99</v>
      </c>
      <c r="Y543" s="372">
        <v>339267.96972599998</v>
      </c>
      <c r="Z543" s="373">
        <v>1072299.459726</v>
      </c>
      <c r="AA543" s="400">
        <v>-14598.139890000008</v>
      </c>
      <c r="AB543" s="400">
        <v>-11.819999999999709</v>
      </c>
      <c r="AC543" s="400">
        <v>0</v>
      </c>
      <c r="AD543" s="400">
        <v>-160.98999999999978</v>
      </c>
      <c r="AE543" s="372">
        <v>-14759.129890000007</v>
      </c>
      <c r="AF543" s="372">
        <v>-14770.949890000007</v>
      </c>
      <c r="AG543" s="400">
        <v>-0.22999999999996135</v>
      </c>
      <c r="AH543" s="374">
        <v>-4.923480204854986E-2</v>
      </c>
      <c r="AI543" s="375">
        <v>-2.9925793147448352E-4</v>
      </c>
      <c r="AJ543" s="372">
        <v>256.23</v>
      </c>
      <c r="AK543" s="376">
        <v>-8.9763103461718507E-4</v>
      </c>
      <c r="AL543" s="376">
        <v>-4.8337171013932673E-2</v>
      </c>
      <c r="AM543" s="412">
        <v>250.03203045685274</v>
      </c>
    </row>
    <row r="544" spans="2:39" s="380" customFormat="1" ht="28.15" customHeight="1" x14ac:dyDescent="0.25">
      <c r="B544" s="369">
        <v>43550</v>
      </c>
      <c r="C544" s="370">
        <v>290881.165048</v>
      </c>
      <c r="D544" s="370">
        <v>39704.26</v>
      </c>
      <c r="E544" s="371">
        <v>0</v>
      </c>
      <c r="F544" s="371">
        <v>0</v>
      </c>
      <c r="G544" s="371">
        <v>9277.23</v>
      </c>
      <c r="H544" s="371"/>
      <c r="I544" s="371"/>
      <c r="J544" s="371"/>
      <c r="K544" s="371"/>
      <c r="L544" s="371"/>
      <c r="M544" s="371">
        <v>650000</v>
      </c>
      <c r="N544" s="371">
        <v>31000</v>
      </c>
      <c r="O544" s="371">
        <v>1600</v>
      </c>
      <c r="P544" s="371">
        <f t="shared" si="7"/>
        <v>91683</v>
      </c>
      <c r="Q544" s="381">
        <v>-41251.51</v>
      </c>
      <c r="R544" s="372">
        <v>300158.39504799998</v>
      </c>
      <c r="S544" s="400">
        <v>274337</v>
      </c>
      <c r="T544" s="400">
        <v>35180.450000000004</v>
      </c>
      <c r="U544" s="400">
        <v>0</v>
      </c>
      <c r="V544" s="400">
        <v>5466.54</v>
      </c>
      <c r="W544" s="372">
        <v>279803.53999999998</v>
      </c>
      <c r="X544" s="373">
        <v>314983.99</v>
      </c>
      <c r="Y544" s="372">
        <v>339862.65504799999</v>
      </c>
      <c r="Z544" s="373">
        <v>1072894.1450479999</v>
      </c>
      <c r="AA544" s="400">
        <v>402.95532200002344</v>
      </c>
      <c r="AB544" s="400">
        <v>206.55999999999767</v>
      </c>
      <c r="AC544" s="400">
        <v>0</v>
      </c>
      <c r="AD544" s="400">
        <v>-14.829999999999927</v>
      </c>
      <c r="AE544" s="372">
        <v>388.12532200002352</v>
      </c>
      <c r="AF544" s="372">
        <v>594.68532200002119</v>
      </c>
      <c r="AG544" s="400">
        <v>1.8499999999999659</v>
      </c>
      <c r="AH544" s="374">
        <v>1.2930683545864384E-3</v>
      </c>
      <c r="AI544" s="375">
        <v>5.2024644206943452E-3</v>
      </c>
      <c r="AJ544" s="372">
        <v>258.08</v>
      </c>
      <c r="AK544" s="376">
        <v>7.1683199008058199E-3</v>
      </c>
      <c r="AL544" s="376">
        <v>-5.875251546219382E-3</v>
      </c>
      <c r="AM544" s="412">
        <v>249.99167512690352</v>
      </c>
    </row>
    <row r="545" spans="2:39" s="380" customFormat="1" ht="28.15" customHeight="1" x14ac:dyDescent="0.25">
      <c r="B545" s="369">
        <v>43551</v>
      </c>
      <c r="C545" s="370">
        <v>293070.914024</v>
      </c>
      <c r="D545" s="370">
        <v>39583.58</v>
      </c>
      <c r="E545" s="371">
        <v>0</v>
      </c>
      <c r="F545" s="371">
        <v>0</v>
      </c>
      <c r="G545" s="371">
        <v>9341.3799999999992</v>
      </c>
      <c r="H545" s="371"/>
      <c r="I545" s="371"/>
      <c r="J545" s="371"/>
      <c r="K545" s="371"/>
      <c r="L545" s="371"/>
      <c r="M545" s="371">
        <v>650000</v>
      </c>
      <c r="N545" s="371">
        <v>31000</v>
      </c>
      <c r="O545" s="371">
        <v>1600</v>
      </c>
      <c r="P545" s="371">
        <f t="shared" si="7"/>
        <v>91683</v>
      </c>
      <c r="Q545" s="381">
        <v>-41251.51</v>
      </c>
      <c r="R545" s="372">
        <v>302412.294024</v>
      </c>
      <c r="S545" s="406">
        <v>274337</v>
      </c>
      <c r="T545" s="400">
        <v>35180.450000000004</v>
      </c>
      <c r="U545" s="400">
        <v>0</v>
      </c>
      <c r="V545" s="400">
        <v>5466.54</v>
      </c>
      <c r="W545" s="372">
        <v>279803.53999999998</v>
      </c>
      <c r="X545" s="373">
        <v>314983.99</v>
      </c>
      <c r="Y545" s="372">
        <v>341995.87402400002</v>
      </c>
      <c r="Z545" s="373">
        <v>1075027.364024</v>
      </c>
      <c r="AA545" s="400">
        <v>2189.7489760000026</v>
      </c>
      <c r="AB545" s="400">
        <v>-120.68000000000029</v>
      </c>
      <c r="AC545" s="400">
        <v>0</v>
      </c>
      <c r="AD545" s="400">
        <v>64.149999999999636</v>
      </c>
      <c r="AE545" s="372">
        <v>2253.8989760000022</v>
      </c>
      <c r="AF545" s="372">
        <v>2133.2189760000019</v>
      </c>
      <c r="AG545" s="400">
        <v>-1.1999999999999886</v>
      </c>
      <c r="AH545" s="374">
        <v>7.4530666263889671E-3</v>
      </c>
      <c r="AI545" s="375">
        <v>-3.0487388962797271E-3</v>
      </c>
      <c r="AJ545" s="372">
        <v>256.88</v>
      </c>
      <c r="AK545" s="376">
        <v>-4.6714419184054369E-3</v>
      </c>
      <c r="AL545" s="376">
        <v>1.2124508544794403E-2</v>
      </c>
      <c r="AM545" s="412">
        <v>249.95817258883247</v>
      </c>
    </row>
    <row r="546" spans="2:39" s="380" customFormat="1" ht="28.15" customHeight="1" x14ac:dyDescent="0.25">
      <c r="B546" s="369">
        <v>43552</v>
      </c>
      <c r="C546" s="370">
        <v>293110.576091</v>
      </c>
      <c r="D546" s="370">
        <v>39529.72</v>
      </c>
      <c r="E546" s="371">
        <v>0</v>
      </c>
      <c r="F546" s="371">
        <v>0</v>
      </c>
      <c r="G546" s="371">
        <v>9351.39</v>
      </c>
      <c r="H546" s="371"/>
      <c r="I546" s="371"/>
      <c r="J546" s="371"/>
      <c r="K546" s="371"/>
      <c r="L546" s="371"/>
      <c r="M546" s="371">
        <v>650000</v>
      </c>
      <c r="N546" s="371">
        <v>31000</v>
      </c>
      <c r="O546" s="371">
        <v>1600</v>
      </c>
      <c r="P546" s="371">
        <f t="shared" si="7"/>
        <v>91683</v>
      </c>
      <c r="Q546" s="381">
        <v>-40936.019999999997</v>
      </c>
      <c r="R546" s="372">
        <v>302461.96609100001</v>
      </c>
      <c r="S546" s="406">
        <v>274337</v>
      </c>
      <c r="T546" s="400">
        <v>35180.450000000004</v>
      </c>
      <c r="U546" s="400">
        <v>0</v>
      </c>
      <c r="V546" s="400">
        <v>5466.54</v>
      </c>
      <c r="W546" s="372">
        <v>279803.53999999998</v>
      </c>
      <c r="X546" s="373">
        <v>314983.99</v>
      </c>
      <c r="Y546" s="372">
        <v>341991.68609099998</v>
      </c>
      <c r="Z546" s="373">
        <v>1075338.666091</v>
      </c>
      <c r="AA546" s="400">
        <v>39.662066999997478</v>
      </c>
      <c r="AB546" s="400">
        <v>-53.860000000000582</v>
      </c>
      <c r="AC546" s="400">
        <v>0</v>
      </c>
      <c r="AD546" s="400">
        <v>10.010000000000218</v>
      </c>
      <c r="AE546" s="372">
        <v>49.672066999997696</v>
      </c>
      <c r="AF546" s="372">
        <v>-4.1879330000028858</v>
      </c>
      <c r="AG546" s="400">
        <v>1</v>
      </c>
      <c r="AH546" s="374">
        <v>1.6422582859576185E-4</v>
      </c>
      <c r="AI546" s="375">
        <v>-1.3625191374995972E-3</v>
      </c>
      <c r="AJ546" s="372">
        <v>257.88</v>
      </c>
      <c r="AK546" s="376">
        <v>3.8777726074143014E-3</v>
      </c>
      <c r="AL546" s="376">
        <v>-3.7135467788185395E-3</v>
      </c>
      <c r="AM546" s="412">
        <v>249.91350253807101</v>
      </c>
    </row>
    <row r="547" spans="2:39" s="380" customFormat="1" ht="28.15" customHeight="1" x14ac:dyDescent="0.25">
      <c r="B547" s="369">
        <v>43553</v>
      </c>
      <c r="C547" s="370">
        <v>291521.92509899999</v>
      </c>
      <c r="D547" s="370">
        <v>39286.200000000004</v>
      </c>
      <c r="E547" s="371">
        <v>0</v>
      </c>
      <c r="F547" s="371">
        <v>0</v>
      </c>
      <c r="G547" s="371">
        <v>9390.44</v>
      </c>
      <c r="H547" s="371"/>
      <c r="I547" s="371"/>
      <c r="J547" s="371"/>
      <c r="K547" s="371"/>
      <c r="L547" s="371"/>
      <c r="M547" s="371">
        <v>650000</v>
      </c>
      <c r="N547" s="371">
        <v>31000</v>
      </c>
      <c r="O547" s="371">
        <v>1600</v>
      </c>
      <c r="P547" s="371">
        <f t="shared" si="7"/>
        <v>91683</v>
      </c>
      <c r="Q547" s="381">
        <v>-40936.019999999997</v>
      </c>
      <c r="R547" s="372">
        <v>300912.36509899999</v>
      </c>
      <c r="S547" s="406">
        <v>274337</v>
      </c>
      <c r="T547" s="400">
        <v>35180.450000000004</v>
      </c>
      <c r="U547" s="400">
        <v>0</v>
      </c>
      <c r="V547" s="400">
        <v>5466.54</v>
      </c>
      <c r="W547" s="372">
        <v>279803.53999999998</v>
      </c>
      <c r="X547" s="373">
        <v>314983.99</v>
      </c>
      <c r="Y547" s="372">
        <v>340198.565099</v>
      </c>
      <c r="Z547" s="373">
        <v>1073545.545099</v>
      </c>
      <c r="AA547" s="400">
        <v>-1588.6509920000099</v>
      </c>
      <c r="AB547" s="400">
        <v>-243.5199999999968</v>
      </c>
      <c r="AC547" s="400">
        <v>0</v>
      </c>
      <c r="AD547" s="400">
        <v>39.050000000001091</v>
      </c>
      <c r="AE547" s="372">
        <v>-1549.6009920000088</v>
      </c>
      <c r="AF547" s="372">
        <v>-1793.1209920000056</v>
      </c>
      <c r="AG547" s="400">
        <v>1.660000000000025</v>
      </c>
      <c r="AH547" s="374">
        <v>-5.1496753597685858E-3</v>
      </c>
      <c r="AI547" s="375">
        <v>-6.1986142716780133E-3</v>
      </c>
      <c r="AJ547" s="372">
        <v>259.54000000000002</v>
      </c>
      <c r="AK547" s="376">
        <v>6.3959312630038718E-3</v>
      </c>
      <c r="AL547" s="376">
        <v>-1.1545606622772459E-2</v>
      </c>
      <c r="AM547" s="412">
        <v>249.87375634517761</v>
      </c>
    </row>
    <row r="548" spans="2:39" s="380" customFormat="1" ht="28.15" customHeight="1" x14ac:dyDescent="0.25">
      <c r="B548" s="378">
        <v>43554</v>
      </c>
      <c r="C548" s="370">
        <v>291521.92509899999</v>
      </c>
      <c r="D548" s="370">
        <v>39286.200000000004</v>
      </c>
      <c r="E548" s="371">
        <v>0</v>
      </c>
      <c r="F548" s="371">
        <v>0</v>
      </c>
      <c r="G548" s="371">
        <v>9390.44</v>
      </c>
      <c r="H548" s="371"/>
      <c r="I548" s="371"/>
      <c r="J548" s="371"/>
      <c r="K548" s="371"/>
      <c r="L548" s="371"/>
      <c r="M548" s="371">
        <v>650000</v>
      </c>
      <c r="N548" s="371">
        <v>31000</v>
      </c>
      <c r="O548" s="371">
        <v>1600</v>
      </c>
      <c r="P548" s="371">
        <f t="shared" si="7"/>
        <v>91683</v>
      </c>
      <c r="Q548" s="381">
        <v>-40936.019999999997</v>
      </c>
      <c r="R548" s="372">
        <v>300912.36509899999</v>
      </c>
      <c r="S548" s="406">
        <v>274337</v>
      </c>
      <c r="T548" s="400">
        <v>35180.450000000004</v>
      </c>
      <c r="U548" s="400">
        <v>0</v>
      </c>
      <c r="V548" s="400">
        <v>5466.54</v>
      </c>
      <c r="W548" s="372">
        <v>279803.53999999998</v>
      </c>
      <c r="X548" s="373">
        <v>314983.99</v>
      </c>
      <c r="Y548" s="372">
        <v>340198.565099</v>
      </c>
      <c r="Z548" s="373">
        <v>1073545.545099</v>
      </c>
      <c r="AA548" s="400">
        <v>0</v>
      </c>
      <c r="AB548" s="400">
        <v>0</v>
      </c>
      <c r="AC548" s="400">
        <v>0</v>
      </c>
      <c r="AD548" s="400">
        <v>0</v>
      </c>
      <c r="AE548" s="372">
        <v>0</v>
      </c>
      <c r="AF548" s="372">
        <v>0</v>
      </c>
      <c r="AG548" s="400">
        <v>0</v>
      </c>
      <c r="AH548" s="374">
        <v>0</v>
      </c>
      <c r="AI548" s="375">
        <v>0</v>
      </c>
      <c r="AJ548" s="372">
        <v>259.54000000000002</v>
      </c>
      <c r="AK548" s="376">
        <v>0</v>
      </c>
      <c r="AL548" s="376">
        <v>0</v>
      </c>
      <c r="AM548" s="412">
        <v>249.834771573604</v>
      </c>
    </row>
    <row r="549" spans="2:39" s="380" customFormat="1" ht="28.15" customHeight="1" x14ac:dyDescent="0.25">
      <c r="B549" s="378">
        <v>43555</v>
      </c>
      <c r="C549" s="370">
        <v>291521.92509899999</v>
      </c>
      <c r="D549" s="370">
        <v>39286.200000000004</v>
      </c>
      <c r="E549" s="371">
        <v>0</v>
      </c>
      <c r="F549" s="371">
        <v>0</v>
      </c>
      <c r="G549" s="371">
        <v>9390.44</v>
      </c>
      <c r="H549" s="371"/>
      <c r="I549" s="371"/>
      <c r="J549" s="371"/>
      <c r="K549" s="371"/>
      <c r="L549" s="371"/>
      <c r="M549" s="371">
        <v>650000</v>
      </c>
      <c r="N549" s="371">
        <v>31000</v>
      </c>
      <c r="O549" s="371">
        <v>1600</v>
      </c>
      <c r="P549" s="371">
        <f t="shared" ref="P549" si="8">91683</f>
        <v>91683</v>
      </c>
      <c r="Q549" s="381">
        <v>-40936.019999999997</v>
      </c>
      <c r="R549" s="372">
        <v>300912.36509899999</v>
      </c>
      <c r="S549" s="406">
        <v>274337</v>
      </c>
      <c r="T549" s="400">
        <v>35180.450000000004</v>
      </c>
      <c r="U549" s="400">
        <v>0</v>
      </c>
      <c r="V549" s="400">
        <v>5466.54</v>
      </c>
      <c r="W549" s="372">
        <v>279803.53999999998</v>
      </c>
      <c r="X549" s="373">
        <v>314983.99</v>
      </c>
      <c r="Y549" s="372">
        <v>340198.565099</v>
      </c>
      <c r="Z549" s="373">
        <v>1073545.545099</v>
      </c>
      <c r="AA549" s="400">
        <v>0</v>
      </c>
      <c r="AB549" s="400">
        <v>0</v>
      </c>
      <c r="AC549" s="400">
        <v>0</v>
      </c>
      <c r="AD549" s="400">
        <v>0</v>
      </c>
      <c r="AE549" s="372">
        <v>0</v>
      </c>
      <c r="AF549" s="372">
        <v>0</v>
      </c>
      <c r="AG549" s="400">
        <v>0</v>
      </c>
      <c r="AH549" s="374">
        <v>0</v>
      </c>
      <c r="AI549" s="375">
        <v>0</v>
      </c>
      <c r="AJ549" s="372">
        <v>259.54000000000002</v>
      </c>
      <c r="AK549" s="376">
        <v>0</v>
      </c>
      <c r="AL549" s="376">
        <v>0</v>
      </c>
      <c r="AM549" s="412">
        <v>249.79507614213193</v>
      </c>
    </row>
    <row r="550" spans="2:39" s="380" customFormat="1" ht="28.15" customHeight="1" x14ac:dyDescent="0.25">
      <c r="B550" s="369">
        <v>43556</v>
      </c>
      <c r="C550" s="370">
        <v>289808.16207700007</v>
      </c>
      <c r="D550" s="370">
        <v>39118.780000000006</v>
      </c>
      <c r="E550" s="371">
        <v>0</v>
      </c>
      <c r="F550" s="371">
        <v>0</v>
      </c>
      <c r="G550" s="371">
        <v>9392.07</v>
      </c>
      <c r="H550" s="371"/>
      <c r="I550" s="371"/>
      <c r="J550" s="371"/>
      <c r="K550" s="371"/>
      <c r="L550" s="371"/>
      <c r="M550" s="371">
        <v>650000</v>
      </c>
      <c r="N550" s="371">
        <v>31000</v>
      </c>
      <c r="O550" s="371">
        <v>1600</v>
      </c>
      <c r="P550" s="371">
        <f t="shared" ref="P550:P607" si="9">91683</f>
        <v>91683</v>
      </c>
      <c r="Q550" s="381">
        <v>-40936.019999999997</v>
      </c>
      <c r="R550" s="372">
        <v>299200.23207700008</v>
      </c>
      <c r="S550" s="400">
        <v>274337</v>
      </c>
      <c r="T550" s="400">
        <v>35180.450000000004</v>
      </c>
      <c r="U550" s="400">
        <v>0</v>
      </c>
      <c r="V550" s="400">
        <v>5466.54</v>
      </c>
      <c r="W550" s="372">
        <v>279803.53999999998</v>
      </c>
      <c r="X550" s="373">
        <v>314983.99</v>
      </c>
      <c r="Y550" s="372">
        <v>338319.01207700011</v>
      </c>
      <c r="Z550" s="373">
        <v>1071665.992077</v>
      </c>
      <c r="AA550" s="400">
        <v>-1713.7630219999119</v>
      </c>
      <c r="AB550" s="400">
        <v>-167.41999999999825</v>
      </c>
      <c r="AC550" s="400">
        <v>0</v>
      </c>
      <c r="AD550" s="400">
        <v>1.6299999999991996</v>
      </c>
      <c r="AE550" s="372">
        <v>-1712.1330219999127</v>
      </c>
      <c r="AF550" s="372">
        <v>-1879.5530219999109</v>
      </c>
      <c r="AG550" s="400">
        <v>2.9899999999999523</v>
      </c>
      <c r="AH550" s="374">
        <v>-5.7223652873347039E-3</v>
      </c>
      <c r="AI550" s="375">
        <v>-4.2797858215414238E-3</v>
      </c>
      <c r="AJ550" s="372">
        <v>262.52999999999997</v>
      </c>
      <c r="AK550" s="376">
        <v>1.1389174570525093E-2</v>
      </c>
      <c r="AL550" s="376">
        <v>-1.7111539857859796E-2</v>
      </c>
      <c r="AM550" s="412">
        <v>249.75538071065984</v>
      </c>
    </row>
    <row r="551" spans="2:39" s="380" customFormat="1" ht="28.15" customHeight="1" x14ac:dyDescent="0.25">
      <c r="B551" s="369">
        <v>43557</v>
      </c>
      <c r="C551" s="370">
        <v>290073.87920000002</v>
      </c>
      <c r="D551" s="370">
        <v>39252.100000000006</v>
      </c>
      <c r="E551" s="371">
        <v>0</v>
      </c>
      <c r="F551" s="371">
        <v>0</v>
      </c>
      <c r="G551" s="371">
        <v>9500.0400000000009</v>
      </c>
      <c r="H551" s="371"/>
      <c r="I551" s="371"/>
      <c r="J551" s="371"/>
      <c r="K551" s="371"/>
      <c r="L551" s="371"/>
      <c r="M551" s="371">
        <v>650000</v>
      </c>
      <c r="N551" s="371">
        <v>31000</v>
      </c>
      <c r="O551" s="371">
        <v>1600</v>
      </c>
      <c r="P551" s="371">
        <f t="shared" si="9"/>
        <v>91683</v>
      </c>
      <c r="Q551" s="381">
        <v>-40936.019999999997</v>
      </c>
      <c r="R551" s="372">
        <v>299573.9192</v>
      </c>
      <c r="S551" s="400">
        <v>274337</v>
      </c>
      <c r="T551" s="400">
        <v>35180.450000000004</v>
      </c>
      <c r="U551" s="400">
        <v>0</v>
      </c>
      <c r="V551" s="400">
        <v>5466.54</v>
      </c>
      <c r="W551" s="372">
        <v>279803.53999999998</v>
      </c>
      <c r="X551" s="373">
        <v>314983.99</v>
      </c>
      <c r="Y551" s="372">
        <v>338826.01920000004</v>
      </c>
      <c r="Z551" s="373">
        <v>1072172.9992</v>
      </c>
      <c r="AA551" s="400">
        <v>265.71712299995124</v>
      </c>
      <c r="AB551" s="400">
        <v>133.31999999999971</v>
      </c>
      <c r="AC551" s="400">
        <v>0</v>
      </c>
      <c r="AD551" s="400">
        <v>107.97000000000116</v>
      </c>
      <c r="AE551" s="372">
        <v>373.68712299995241</v>
      </c>
      <c r="AF551" s="372">
        <v>507.00712299995212</v>
      </c>
      <c r="AG551" s="400">
        <v>9.0000000000031832E-2</v>
      </c>
      <c r="AH551" s="374">
        <v>1.2473953807389799E-3</v>
      </c>
      <c r="AI551" s="375">
        <v>3.3965061741919461E-3</v>
      </c>
      <c r="AJ551" s="372">
        <v>262.62</v>
      </c>
      <c r="AK551" s="376">
        <v>3.4270047978079288E-4</v>
      </c>
      <c r="AL551" s="376">
        <v>9.0469490095818712E-4</v>
      </c>
      <c r="AM551" s="412">
        <v>249.73086294416237</v>
      </c>
    </row>
    <row r="552" spans="2:39" s="380" customFormat="1" ht="28.15" customHeight="1" x14ac:dyDescent="0.25">
      <c r="B552" s="369">
        <v>43558</v>
      </c>
      <c r="C552" s="370">
        <v>289391.48173600005</v>
      </c>
      <c r="D552" s="370">
        <v>39160.780000000006</v>
      </c>
      <c r="E552" s="371">
        <v>0</v>
      </c>
      <c r="F552" s="371">
        <v>0</v>
      </c>
      <c r="G552" s="371">
        <v>9489.15</v>
      </c>
      <c r="H552" s="371"/>
      <c r="I552" s="371"/>
      <c r="J552" s="371"/>
      <c r="K552" s="371"/>
      <c r="L552" s="371"/>
      <c r="M552" s="371">
        <v>650000</v>
      </c>
      <c r="N552" s="371">
        <v>31000</v>
      </c>
      <c r="O552" s="371">
        <v>1600</v>
      </c>
      <c r="P552" s="371">
        <f t="shared" si="9"/>
        <v>91683</v>
      </c>
      <c r="Q552" s="381">
        <v>-40936.019999999997</v>
      </c>
      <c r="R552" s="372">
        <v>298880.63173600007</v>
      </c>
      <c r="S552" s="400">
        <v>274337</v>
      </c>
      <c r="T552" s="400">
        <v>35180.450000000004</v>
      </c>
      <c r="U552" s="400">
        <v>0</v>
      </c>
      <c r="V552" s="400">
        <v>5466.54</v>
      </c>
      <c r="W552" s="372">
        <v>279803.53999999998</v>
      </c>
      <c r="X552" s="373">
        <v>314983.99</v>
      </c>
      <c r="Y552" s="372">
        <v>338041.4117360001</v>
      </c>
      <c r="Z552" s="373">
        <v>1071388.3917360001</v>
      </c>
      <c r="AA552" s="400">
        <v>-682.39746399997966</v>
      </c>
      <c r="AB552" s="400">
        <v>-91.319999999999709</v>
      </c>
      <c r="AC552" s="400">
        <v>0</v>
      </c>
      <c r="AD552" s="400">
        <v>-10.890000000001237</v>
      </c>
      <c r="AE552" s="372">
        <v>-693.2874639999809</v>
      </c>
      <c r="AF552" s="372">
        <v>-784.60746399998061</v>
      </c>
      <c r="AG552" s="400">
        <v>0.49000000000000909</v>
      </c>
      <c r="AH552" s="374">
        <v>-2.3196132180701447E-3</v>
      </c>
      <c r="AI552" s="375">
        <v>-2.331924951443758E-3</v>
      </c>
      <c r="AJ552" s="372">
        <v>263.11</v>
      </c>
      <c r="AK552" s="376">
        <v>1.8623389456881498E-3</v>
      </c>
      <c r="AL552" s="376">
        <v>-4.1819521637582943E-3</v>
      </c>
      <c r="AM552" s="412">
        <v>249.71446700507607</v>
      </c>
    </row>
    <row r="553" spans="2:39" s="380" customFormat="1" ht="28.15" customHeight="1" x14ac:dyDescent="0.25">
      <c r="B553" s="369">
        <v>43559</v>
      </c>
      <c r="C553" s="370">
        <v>290259.017054</v>
      </c>
      <c r="D553" s="370">
        <v>39206.44</v>
      </c>
      <c r="E553" s="371">
        <v>0</v>
      </c>
      <c r="F553" s="371">
        <v>0</v>
      </c>
      <c r="G553" s="371">
        <v>9503.4</v>
      </c>
      <c r="H553" s="371"/>
      <c r="I553" s="371"/>
      <c r="J553" s="371"/>
      <c r="K553" s="371"/>
      <c r="L553" s="371"/>
      <c r="M553" s="371">
        <v>650000</v>
      </c>
      <c r="N553" s="371">
        <v>31000</v>
      </c>
      <c r="O553" s="371">
        <v>1600</v>
      </c>
      <c r="P553" s="371">
        <f t="shared" si="9"/>
        <v>91683</v>
      </c>
      <c r="Q553" s="381">
        <v>-40936.019999999997</v>
      </c>
      <c r="R553" s="372">
        <v>299762.41705400002</v>
      </c>
      <c r="S553" s="400">
        <v>274337</v>
      </c>
      <c r="T553" s="400">
        <v>35180.450000000004</v>
      </c>
      <c r="U553" s="400">
        <v>0</v>
      </c>
      <c r="V553" s="400">
        <v>5466.54</v>
      </c>
      <c r="W553" s="372">
        <v>279803.53999999998</v>
      </c>
      <c r="X553" s="373">
        <v>314983.99</v>
      </c>
      <c r="Y553" s="372">
        <v>338968.85705400002</v>
      </c>
      <c r="Z553" s="373">
        <v>1072315.837054</v>
      </c>
      <c r="AA553" s="400">
        <v>867.53531799995108</v>
      </c>
      <c r="AB553" s="400">
        <v>45.659999999996217</v>
      </c>
      <c r="AC553" s="400">
        <v>0</v>
      </c>
      <c r="AD553" s="400">
        <v>14.25</v>
      </c>
      <c r="AE553" s="372">
        <v>881.78531799995108</v>
      </c>
      <c r="AF553" s="372">
        <v>927.44531799994729</v>
      </c>
      <c r="AG553" s="400">
        <v>0.62999999999999545</v>
      </c>
      <c r="AH553" s="374">
        <v>2.9416139843878556E-3</v>
      </c>
      <c r="AI553" s="375">
        <v>1.1646045904702446E-3</v>
      </c>
      <c r="AJ553" s="372">
        <v>263.74</v>
      </c>
      <c r="AK553" s="376">
        <v>2.3887161598543849E-3</v>
      </c>
      <c r="AL553" s="376">
        <v>5.5289782453347069E-4</v>
      </c>
      <c r="AM553" s="412">
        <v>249.69319796954309</v>
      </c>
    </row>
    <row r="554" spans="2:39" s="380" customFormat="1" ht="28.15" customHeight="1" x14ac:dyDescent="0.25">
      <c r="B554" s="369">
        <v>43560</v>
      </c>
      <c r="C554" s="370">
        <v>291714.13001800003</v>
      </c>
      <c r="D554" s="370">
        <v>39228.94</v>
      </c>
      <c r="E554" s="371">
        <v>0</v>
      </c>
      <c r="F554" s="371">
        <v>0</v>
      </c>
      <c r="G554" s="371">
        <v>9565.2999999999993</v>
      </c>
      <c r="H554" s="371"/>
      <c r="I554" s="371"/>
      <c r="J554" s="371"/>
      <c r="K554" s="371"/>
      <c r="L554" s="371"/>
      <c r="M554" s="371">
        <v>650000</v>
      </c>
      <c r="N554" s="371">
        <v>31000</v>
      </c>
      <c r="O554" s="371">
        <v>1600</v>
      </c>
      <c r="P554" s="371">
        <f t="shared" si="9"/>
        <v>91683</v>
      </c>
      <c r="Q554" s="381">
        <v>-40936.019999999997</v>
      </c>
      <c r="R554" s="372">
        <v>301279.43001800001</v>
      </c>
      <c r="S554" s="406">
        <v>274337</v>
      </c>
      <c r="T554" s="400">
        <v>35180.450000000004</v>
      </c>
      <c r="U554" s="400">
        <v>0</v>
      </c>
      <c r="V554" s="400">
        <v>5466.54</v>
      </c>
      <c r="W554" s="372">
        <v>279803.53999999998</v>
      </c>
      <c r="X554" s="373">
        <v>314983.99</v>
      </c>
      <c r="Y554" s="372">
        <v>340508.37001800002</v>
      </c>
      <c r="Z554" s="373">
        <v>1073855.350018</v>
      </c>
      <c r="AA554" s="400">
        <v>1455.112964000029</v>
      </c>
      <c r="AB554" s="400">
        <v>22.5</v>
      </c>
      <c r="AC554" s="400">
        <v>0</v>
      </c>
      <c r="AD554" s="400">
        <v>61.899999999999636</v>
      </c>
      <c r="AE554" s="372">
        <v>1517.0129640000287</v>
      </c>
      <c r="AF554" s="372">
        <v>1539.5129640000287</v>
      </c>
      <c r="AG554" s="400">
        <v>1.2699999999999818</v>
      </c>
      <c r="AH554" s="374">
        <v>5.0352357740101753E-3</v>
      </c>
      <c r="AI554" s="375">
        <v>5.7355615522621819E-4</v>
      </c>
      <c r="AJ554" s="372">
        <v>265.01</v>
      </c>
      <c r="AK554" s="376">
        <v>4.7922719897361679E-3</v>
      </c>
      <c r="AL554" s="376">
        <v>2.429637842740074E-4</v>
      </c>
      <c r="AM554" s="412">
        <v>249.67360406091365</v>
      </c>
    </row>
    <row r="555" spans="2:39" s="380" customFormat="1" ht="28.15" customHeight="1" x14ac:dyDescent="0.25">
      <c r="B555" s="378">
        <v>43561</v>
      </c>
      <c r="C555" s="370">
        <v>291714.13001800003</v>
      </c>
      <c r="D555" s="370">
        <v>39228.94</v>
      </c>
      <c r="E555" s="371">
        <v>0</v>
      </c>
      <c r="F555" s="371">
        <v>0</v>
      </c>
      <c r="G555" s="371">
        <v>9565.2999999999993</v>
      </c>
      <c r="H555" s="371"/>
      <c r="I555" s="371"/>
      <c r="J555" s="371"/>
      <c r="K555" s="371"/>
      <c r="L555" s="371"/>
      <c r="M555" s="371">
        <v>650000</v>
      </c>
      <c r="N555" s="371">
        <v>31000</v>
      </c>
      <c r="O555" s="371">
        <v>1600</v>
      </c>
      <c r="P555" s="371">
        <f t="shared" si="9"/>
        <v>91683</v>
      </c>
      <c r="Q555" s="381">
        <v>-40936.019999999997</v>
      </c>
      <c r="R555" s="372">
        <v>301279.43001800001</v>
      </c>
      <c r="S555" s="406">
        <v>274337</v>
      </c>
      <c r="T555" s="400">
        <v>35180.450000000004</v>
      </c>
      <c r="U555" s="400">
        <v>0</v>
      </c>
      <c r="V555" s="400">
        <v>5466.54</v>
      </c>
      <c r="W555" s="372">
        <v>279803.53999999998</v>
      </c>
      <c r="X555" s="373">
        <v>314983.99</v>
      </c>
      <c r="Y555" s="372">
        <v>340508.37001800002</v>
      </c>
      <c r="Z555" s="373">
        <v>1073855.350018</v>
      </c>
      <c r="AA555" s="400">
        <v>0</v>
      </c>
      <c r="AB555" s="400">
        <v>0</v>
      </c>
      <c r="AC555" s="400">
        <v>0</v>
      </c>
      <c r="AD555" s="400">
        <v>0</v>
      </c>
      <c r="AE555" s="372">
        <v>0</v>
      </c>
      <c r="AF555" s="372">
        <v>0</v>
      </c>
      <c r="AG555" s="400">
        <v>0</v>
      </c>
      <c r="AH555" s="374">
        <v>0</v>
      </c>
      <c r="AI555" s="375">
        <v>0</v>
      </c>
      <c r="AJ555" s="372">
        <v>265.01</v>
      </c>
      <c r="AK555" s="376">
        <v>0</v>
      </c>
      <c r="AL555" s="376">
        <v>0</v>
      </c>
      <c r="AM555" s="412">
        <v>249.64954314720808</v>
      </c>
    </row>
    <row r="556" spans="2:39" s="380" customFormat="1" ht="28.15" customHeight="1" x14ac:dyDescent="0.25">
      <c r="B556" s="378">
        <v>43562</v>
      </c>
      <c r="C556" s="370">
        <v>291714.13001800003</v>
      </c>
      <c r="D556" s="370">
        <v>39228.94</v>
      </c>
      <c r="E556" s="371">
        <v>0</v>
      </c>
      <c r="F556" s="371">
        <v>0</v>
      </c>
      <c r="G556" s="371">
        <v>9565.2999999999993</v>
      </c>
      <c r="H556" s="371"/>
      <c r="I556" s="371"/>
      <c r="J556" s="371"/>
      <c r="K556" s="371"/>
      <c r="L556" s="371"/>
      <c r="M556" s="371">
        <v>650000</v>
      </c>
      <c r="N556" s="371">
        <v>31000</v>
      </c>
      <c r="O556" s="371">
        <v>1600</v>
      </c>
      <c r="P556" s="371">
        <f t="shared" si="9"/>
        <v>91683</v>
      </c>
      <c r="Q556" s="381">
        <v>-40936.019999999997</v>
      </c>
      <c r="R556" s="372">
        <v>301279.43001800001</v>
      </c>
      <c r="S556" s="406">
        <v>274337</v>
      </c>
      <c r="T556" s="400">
        <v>35180.450000000004</v>
      </c>
      <c r="U556" s="400">
        <v>0</v>
      </c>
      <c r="V556" s="400">
        <v>5466.54</v>
      </c>
      <c r="W556" s="372">
        <v>279803.53999999998</v>
      </c>
      <c r="X556" s="373">
        <v>314983.99</v>
      </c>
      <c r="Y556" s="372">
        <v>340508.37001800002</v>
      </c>
      <c r="Z556" s="373">
        <v>1073855.350018</v>
      </c>
      <c r="AA556" s="400">
        <v>0</v>
      </c>
      <c r="AB556" s="400">
        <v>0</v>
      </c>
      <c r="AC556" s="400">
        <v>0</v>
      </c>
      <c r="AD556" s="400">
        <v>0</v>
      </c>
      <c r="AE556" s="372">
        <v>0</v>
      </c>
      <c r="AF556" s="372">
        <v>0</v>
      </c>
      <c r="AG556" s="400">
        <v>0</v>
      </c>
      <c r="AH556" s="374">
        <v>0</v>
      </c>
      <c r="AI556" s="375">
        <v>0</v>
      </c>
      <c r="AJ556" s="372">
        <v>265.01</v>
      </c>
      <c r="AK556" s="376">
        <v>0</v>
      </c>
      <c r="AL556" s="376">
        <v>0</v>
      </c>
      <c r="AM556" s="412">
        <v>249.62644670050756</v>
      </c>
    </row>
    <row r="557" spans="2:39" s="380" customFormat="1" ht="28.15" customHeight="1" x14ac:dyDescent="0.25">
      <c r="B557" s="369">
        <v>43563</v>
      </c>
      <c r="C557" s="370">
        <v>290628.16150000005</v>
      </c>
      <c r="D557" s="370">
        <v>39179.040000000001</v>
      </c>
      <c r="E557" s="371">
        <v>0</v>
      </c>
      <c r="F557" s="371">
        <v>0</v>
      </c>
      <c r="G557" s="371">
        <v>9646.7900000000009</v>
      </c>
      <c r="H557" s="371">
        <v>875</v>
      </c>
      <c r="I557" s="371"/>
      <c r="J557" s="371"/>
      <c r="K557" s="371"/>
      <c r="L557" s="371"/>
      <c r="M557" s="371">
        <v>650000</v>
      </c>
      <c r="N557" s="371">
        <v>31000</v>
      </c>
      <c r="O557" s="371">
        <v>1600</v>
      </c>
      <c r="P557" s="371">
        <f t="shared" si="9"/>
        <v>91683</v>
      </c>
      <c r="Q557" s="381">
        <v>-40936.019999999997</v>
      </c>
      <c r="R557" s="372">
        <v>300274.95150000002</v>
      </c>
      <c r="S557" s="400">
        <v>275212</v>
      </c>
      <c r="T557" s="400">
        <v>35180.450000000004</v>
      </c>
      <c r="U557" s="400">
        <v>0</v>
      </c>
      <c r="V557" s="400">
        <v>5466.54</v>
      </c>
      <c r="W557" s="372">
        <v>280678.53999999998</v>
      </c>
      <c r="X557" s="373">
        <v>315858.99</v>
      </c>
      <c r="Y557" s="372">
        <v>339453.9915</v>
      </c>
      <c r="Z557" s="373">
        <v>1072800.9715</v>
      </c>
      <c r="AA557" s="400">
        <v>-1960.9685179999797</v>
      </c>
      <c r="AB557" s="400">
        <v>-49.900000000001455</v>
      </c>
      <c r="AC557" s="400">
        <v>0</v>
      </c>
      <c r="AD557" s="400">
        <v>81.490000000001601</v>
      </c>
      <c r="AE557" s="372">
        <v>-1879.4785179999781</v>
      </c>
      <c r="AF557" s="372">
        <v>-1929.3785179999795</v>
      </c>
      <c r="AG557" s="400">
        <v>0.23000000000001819</v>
      </c>
      <c r="AH557" s="374">
        <v>-6.2591918127409239E-3</v>
      </c>
      <c r="AI557" s="375">
        <v>-1.27364019128599E-3</v>
      </c>
      <c r="AJ557" s="372">
        <v>265.24</v>
      </c>
      <c r="AK557" s="376">
        <v>8.6713919469166866E-4</v>
      </c>
      <c r="AL557" s="376">
        <v>-7.1263310074325924E-3</v>
      </c>
      <c r="AM557" s="412">
        <v>249.60335025380706</v>
      </c>
    </row>
    <row r="558" spans="2:39" s="380" customFormat="1" ht="28.15" customHeight="1" x14ac:dyDescent="0.25">
      <c r="B558" s="369">
        <v>43564</v>
      </c>
      <c r="C558" s="370">
        <v>290080.04089200002</v>
      </c>
      <c r="D558" s="370">
        <v>39159.040000000001</v>
      </c>
      <c r="E558" s="371">
        <v>0</v>
      </c>
      <c r="F558" s="371">
        <v>0</v>
      </c>
      <c r="G558" s="371">
        <v>9652.84</v>
      </c>
      <c r="H558" s="371"/>
      <c r="I558" s="371"/>
      <c r="J558" s="371"/>
      <c r="K558" s="371"/>
      <c r="L558" s="371"/>
      <c r="M558" s="371">
        <v>650000</v>
      </c>
      <c r="N558" s="371">
        <v>31000</v>
      </c>
      <c r="O558" s="371">
        <v>1600</v>
      </c>
      <c r="P558" s="371">
        <f t="shared" si="9"/>
        <v>91683</v>
      </c>
      <c r="Q558" s="381">
        <v>-40936.019999999997</v>
      </c>
      <c r="R558" s="372">
        <v>299732.88089200004</v>
      </c>
      <c r="S558" s="400">
        <v>275212</v>
      </c>
      <c r="T558" s="400">
        <v>35180.450000000004</v>
      </c>
      <c r="U558" s="400">
        <v>0</v>
      </c>
      <c r="V558" s="400">
        <v>5466.54</v>
      </c>
      <c r="W558" s="372">
        <v>280678.53999999998</v>
      </c>
      <c r="X558" s="373">
        <v>315858.99</v>
      </c>
      <c r="Y558" s="372">
        <v>338891.92089200002</v>
      </c>
      <c r="Z558" s="373">
        <v>1072238.9008919999</v>
      </c>
      <c r="AA558" s="400">
        <v>-548.12060800002655</v>
      </c>
      <c r="AB558" s="400">
        <v>-20</v>
      </c>
      <c r="AC558" s="400">
        <v>0</v>
      </c>
      <c r="AD558" s="400">
        <v>6.0499999999992724</v>
      </c>
      <c r="AE558" s="372">
        <v>-542.07060800002728</v>
      </c>
      <c r="AF558" s="372">
        <v>-562.07060800002728</v>
      </c>
      <c r="AG558" s="400">
        <v>-1.410000000000025</v>
      </c>
      <c r="AH558" s="374">
        <v>-1.8085123206597628E-3</v>
      </c>
      <c r="AI558" s="375">
        <v>-5.1073775046579285E-4</v>
      </c>
      <c r="AJ558" s="372">
        <v>263.83</v>
      </c>
      <c r="AK558" s="376">
        <v>-5.3443505287496685E-3</v>
      </c>
      <c r="AL558" s="376">
        <v>3.5358382080899059E-3</v>
      </c>
      <c r="AM558" s="412">
        <v>249.58142131979693</v>
      </c>
    </row>
    <row r="559" spans="2:39" s="380" customFormat="1" ht="28.15" customHeight="1" x14ac:dyDescent="0.25">
      <c r="B559" s="369">
        <v>43565</v>
      </c>
      <c r="C559" s="370">
        <v>291192.92119800003</v>
      </c>
      <c r="D559" s="370">
        <v>39258.189999999995</v>
      </c>
      <c r="E559" s="371">
        <v>0</v>
      </c>
      <c r="F559" s="371">
        <v>0</v>
      </c>
      <c r="G559" s="371">
        <v>9564.5</v>
      </c>
      <c r="H559" s="371"/>
      <c r="I559" s="371"/>
      <c r="J559" s="371"/>
      <c r="K559" s="371"/>
      <c r="L559" s="371"/>
      <c r="M559" s="371">
        <v>650000</v>
      </c>
      <c r="N559" s="371">
        <v>31000</v>
      </c>
      <c r="O559" s="371">
        <v>1600</v>
      </c>
      <c r="P559" s="371">
        <f t="shared" si="9"/>
        <v>91683</v>
      </c>
      <c r="Q559" s="381">
        <v>-40936.019999999997</v>
      </c>
      <c r="R559" s="372">
        <v>300757.42119800003</v>
      </c>
      <c r="S559" s="406">
        <v>275212</v>
      </c>
      <c r="T559" s="400">
        <v>35180.450000000004</v>
      </c>
      <c r="U559" s="400">
        <v>0</v>
      </c>
      <c r="V559" s="400">
        <v>5466.54</v>
      </c>
      <c r="W559" s="372">
        <v>280678.53999999998</v>
      </c>
      <c r="X559" s="373">
        <v>315858.99</v>
      </c>
      <c r="Y559" s="372">
        <v>340015.61119800003</v>
      </c>
      <c r="Z559" s="373">
        <v>1073362.5911980001</v>
      </c>
      <c r="AA559" s="400">
        <v>1112.8803060000064</v>
      </c>
      <c r="AB559" s="400">
        <v>99.149999999994179</v>
      </c>
      <c r="AC559" s="400">
        <v>0</v>
      </c>
      <c r="AD559" s="400">
        <v>-88.340000000000146</v>
      </c>
      <c r="AE559" s="372">
        <v>1024.5403060000062</v>
      </c>
      <c r="AF559" s="372">
        <v>1123.6903060000004</v>
      </c>
      <c r="AG559" s="400">
        <v>0.91000000000002501</v>
      </c>
      <c r="AH559" s="374">
        <v>3.4065337504191207E-3</v>
      </c>
      <c r="AI559" s="375">
        <v>2.5255876544485159E-3</v>
      </c>
      <c r="AJ559" s="372">
        <v>264.74</v>
      </c>
      <c r="AK559" s="376">
        <v>3.4373347435220406E-3</v>
      </c>
      <c r="AL559" s="376">
        <v>-3.0800993102919876E-5</v>
      </c>
      <c r="AM559" s="412">
        <v>249.55690355329949</v>
      </c>
    </row>
    <row r="560" spans="2:39" s="380" customFormat="1" ht="28.15" customHeight="1" x14ac:dyDescent="0.25">
      <c r="B560" s="369">
        <v>43566</v>
      </c>
      <c r="C560" s="370">
        <v>293393.52611000004</v>
      </c>
      <c r="D560" s="370">
        <v>39285.74</v>
      </c>
      <c r="E560" s="371">
        <v>0</v>
      </c>
      <c r="F560" s="371">
        <v>0</v>
      </c>
      <c r="G560" s="371">
        <v>9650</v>
      </c>
      <c r="H560" s="371"/>
      <c r="I560" s="371"/>
      <c r="J560" s="371"/>
      <c r="K560" s="371"/>
      <c r="L560" s="371"/>
      <c r="M560" s="371">
        <v>650000</v>
      </c>
      <c r="N560" s="371">
        <v>31000</v>
      </c>
      <c r="O560" s="371">
        <v>1600</v>
      </c>
      <c r="P560" s="371">
        <f t="shared" si="9"/>
        <v>91683</v>
      </c>
      <c r="Q560" s="381">
        <v>-40936.019999999997</v>
      </c>
      <c r="R560" s="372">
        <v>303043.52611000004</v>
      </c>
      <c r="S560" s="400">
        <v>275212</v>
      </c>
      <c r="T560" s="400">
        <v>35180.450000000004</v>
      </c>
      <c r="U560" s="400">
        <v>0</v>
      </c>
      <c r="V560" s="400">
        <v>5466.54</v>
      </c>
      <c r="W560" s="372">
        <v>280678.53999999998</v>
      </c>
      <c r="X560" s="373">
        <v>315858.99</v>
      </c>
      <c r="Y560" s="372">
        <v>342329.26611000003</v>
      </c>
      <c r="Z560" s="373">
        <v>1075676.2461099999</v>
      </c>
      <c r="AA560" s="400">
        <v>2200.6049120000098</v>
      </c>
      <c r="AB560" s="400">
        <v>27.55000000000291</v>
      </c>
      <c r="AC560" s="400">
        <v>0</v>
      </c>
      <c r="AD560" s="400">
        <v>85.5</v>
      </c>
      <c r="AE560" s="372">
        <v>2286.1049120000098</v>
      </c>
      <c r="AF560" s="372">
        <v>2313.6549120000127</v>
      </c>
      <c r="AG560" s="400">
        <v>-5.0000000000011369E-2</v>
      </c>
      <c r="AH560" s="374">
        <v>7.5438170263706266E-3</v>
      </c>
      <c r="AI560" s="375">
        <v>7.0127226825822582E-4</v>
      </c>
      <c r="AJ560" s="372">
        <v>264.69</v>
      </c>
      <c r="AK560" s="376">
        <v>-1.8890022290230597E-4</v>
      </c>
      <c r="AL560" s="376">
        <v>7.7327172492729322E-3</v>
      </c>
      <c r="AM560" s="412">
        <v>249.53868020304563</v>
      </c>
    </row>
    <row r="561" spans="2:39" s="380" customFormat="1" ht="28.15" customHeight="1" x14ac:dyDescent="0.25">
      <c r="B561" s="369">
        <v>43567</v>
      </c>
      <c r="C561" s="370">
        <v>292763.133906</v>
      </c>
      <c r="D561" s="370">
        <v>39298</v>
      </c>
      <c r="E561" s="371">
        <v>0</v>
      </c>
      <c r="F561" s="371">
        <v>0</v>
      </c>
      <c r="G561" s="371">
        <v>9702.43</v>
      </c>
      <c r="H561" s="371"/>
      <c r="I561" s="371"/>
      <c r="J561" s="371"/>
      <c r="K561" s="371"/>
      <c r="L561" s="371"/>
      <c r="M561" s="371">
        <v>650000</v>
      </c>
      <c r="N561" s="371">
        <v>31000</v>
      </c>
      <c r="O561" s="371">
        <v>1600</v>
      </c>
      <c r="P561" s="371">
        <f t="shared" si="9"/>
        <v>91683</v>
      </c>
      <c r="Q561" s="381">
        <v>-40936.019999999997</v>
      </c>
      <c r="R561" s="372">
        <v>302465.563906</v>
      </c>
      <c r="S561" s="406">
        <v>275212</v>
      </c>
      <c r="T561" s="400">
        <v>35180.450000000004</v>
      </c>
      <c r="U561" s="400">
        <v>0</v>
      </c>
      <c r="V561" s="400">
        <v>5466.54</v>
      </c>
      <c r="W561" s="372">
        <v>280678.53999999998</v>
      </c>
      <c r="X561" s="373">
        <v>315858.99</v>
      </c>
      <c r="Y561" s="372">
        <v>341763.563906</v>
      </c>
      <c r="Z561" s="373">
        <v>1075110.543906</v>
      </c>
      <c r="AA561" s="400">
        <v>-630.39220400003251</v>
      </c>
      <c r="AB561" s="400">
        <v>12.260000000002037</v>
      </c>
      <c r="AC561" s="400">
        <v>0</v>
      </c>
      <c r="AD561" s="400">
        <v>52.430000000000291</v>
      </c>
      <c r="AE561" s="372">
        <v>-577.96220400003222</v>
      </c>
      <c r="AF561" s="372">
        <v>-565.70220400003018</v>
      </c>
      <c r="AG561" s="400">
        <v>1.7900000000000205</v>
      </c>
      <c r="AH561" s="374">
        <v>-1.9108363826159426E-3</v>
      </c>
      <c r="AI561" s="375">
        <v>3.1197516413054193E-4</v>
      </c>
      <c r="AJ561" s="372">
        <v>266.48</v>
      </c>
      <c r="AK561" s="376">
        <v>6.7172020414290766E-3</v>
      </c>
      <c r="AL561" s="376">
        <v>-8.6280384240450189E-3</v>
      </c>
      <c r="AM561" s="412">
        <v>249.5303045685279</v>
      </c>
    </row>
    <row r="562" spans="2:39" s="380" customFormat="1" ht="28.15" customHeight="1" x14ac:dyDescent="0.25">
      <c r="B562" s="378">
        <v>43568</v>
      </c>
      <c r="C562" s="370">
        <v>292763.133906</v>
      </c>
      <c r="D562" s="370">
        <v>39298</v>
      </c>
      <c r="E562" s="371">
        <v>0</v>
      </c>
      <c r="F562" s="371">
        <v>0</v>
      </c>
      <c r="G562" s="371">
        <v>9702.43</v>
      </c>
      <c r="H562" s="371"/>
      <c r="I562" s="371"/>
      <c r="J562" s="371"/>
      <c r="K562" s="371"/>
      <c r="L562" s="371"/>
      <c r="M562" s="371">
        <v>650000</v>
      </c>
      <c r="N562" s="371">
        <v>31000</v>
      </c>
      <c r="O562" s="371">
        <v>1600</v>
      </c>
      <c r="P562" s="371">
        <f t="shared" si="9"/>
        <v>91683</v>
      </c>
      <c r="Q562" s="381">
        <v>-40936.019999999997</v>
      </c>
      <c r="R562" s="372">
        <v>302465.563906</v>
      </c>
      <c r="S562" s="406">
        <v>275212</v>
      </c>
      <c r="T562" s="400">
        <v>35180.450000000004</v>
      </c>
      <c r="U562" s="400">
        <v>0</v>
      </c>
      <c r="V562" s="400">
        <v>5466.54</v>
      </c>
      <c r="W562" s="372">
        <v>280678.53999999998</v>
      </c>
      <c r="X562" s="373">
        <v>315858.99</v>
      </c>
      <c r="Y562" s="372">
        <v>341763.563906</v>
      </c>
      <c r="Z562" s="373">
        <v>1075110.543906</v>
      </c>
      <c r="AA562" s="400">
        <v>0</v>
      </c>
      <c r="AB562" s="400">
        <v>0</v>
      </c>
      <c r="AC562" s="400">
        <v>0</v>
      </c>
      <c r="AD562" s="400">
        <v>0</v>
      </c>
      <c r="AE562" s="372">
        <v>0</v>
      </c>
      <c r="AF562" s="372">
        <v>0</v>
      </c>
      <c r="AG562" s="400">
        <v>0</v>
      </c>
      <c r="AH562" s="374">
        <v>0</v>
      </c>
      <c r="AI562" s="375">
        <v>0</v>
      </c>
      <c r="AJ562" s="372">
        <v>266.48</v>
      </c>
      <c r="AK562" s="376">
        <v>0</v>
      </c>
      <c r="AL562" s="376">
        <v>0</v>
      </c>
      <c r="AM562" s="412">
        <v>249.52725888324872</v>
      </c>
    </row>
    <row r="563" spans="2:39" s="380" customFormat="1" ht="28.15" customHeight="1" x14ac:dyDescent="0.25">
      <c r="B563" s="378">
        <v>43569</v>
      </c>
      <c r="C563" s="370">
        <v>292763.133906</v>
      </c>
      <c r="D563" s="370">
        <v>39298</v>
      </c>
      <c r="E563" s="371">
        <v>0</v>
      </c>
      <c r="F563" s="371">
        <v>0</v>
      </c>
      <c r="G563" s="371">
        <v>9702.43</v>
      </c>
      <c r="H563" s="371"/>
      <c r="I563" s="371"/>
      <c r="J563" s="371"/>
      <c r="K563" s="371"/>
      <c r="L563" s="371"/>
      <c r="M563" s="371">
        <v>650000</v>
      </c>
      <c r="N563" s="371">
        <v>31000</v>
      </c>
      <c r="O563" s="371">
        <v>1600</v>
      </c>
      <c r="P563" s="371">
        <f t="shared" si="9"/>
        <v>91683</v>
      </c>
      <c r="Q563" s="381">
        <v>-40936.019999999997</v>
      </c>
      <c r="R563" s="372">
        <v>302465.563906</v>
      </c>
      <c r="S563" s="406">
        <v>275212</v>
      </c>
      <c r="T563" s="400">
        <v>35180.450000000004</v>
      </c>
      <c r="U563" s="400">
        <v>0</v>
      </c>
      <c r="V563" s="400">
        <v>5466.54</v>
      </c>
      <c r="W563" s="372">
        <v>280678.53999999998</v>
      </c>
      <c r="X563" s="373">
        <v>315858.99</v>
      </c>
      <c r="Y563" s="372">
        <v>341763.563906</v>
      </c>
      <c r="Z563" s="373">
        <v>1075110.543906</v>
      </c>
      <c r="AA563" s="400">
        <v>0</v>
      </c>
      <c r="AB563" s="400">
        <v>0</v>
      </c>
      <c r="AC563" s="400">
        <v>0</v>
      </c>
      <c r="AD563" s="400">
        <v>0</v>
      </c>
      <c r="AE563" s="372">
        <v>0</v>
      </c>
      <c r="AF563" s="372">
        <v>0</v>
      </c>
      <c r="AG563" s="400">
        <v>0</v>
      </c>
      <c r="AH563" s="374">
        <v>0</v>
      </c>
      <c r="AI563" s="375">
        <v>0</v>
      </c>
      <c r="AJ563" s="372">
        <v>266.48</v>
      </c>
      <c r="AK563" s="376">
        <v>0</v>
      </c>
      <c r="AL563" s="376">
        <v>0</v>
      </c>
      <c r="AM563" s="412">
        <v>249.52436548223349</v>
      </c>
    </row>
    <row r="564" spans="2:39" s="380" customFormat="1" ht="28.15" customHeight="1" x14ac:dyDescent="0.25">
      <c r="B564" s="369">
        <v>43570</v>
      </c>
      <c r="C564" s="370">
        <v>293121.42096399999</v>
      </c>
      <c r="D564" s="370">
        <v>39315.32</v>
      </c>
      <c r="E564" s="371">
        <v>0</v>
      </c>
      <c r="F564" s="371">
        <v>0</v>
      </c>
      <c r="G564" s="371">
        <v>9702.43</v>
      </c>
      <c r="H564" s="371"/>
      <c r="I564" s="371"/>
      <c r="J564" s="371"/>
      <c r="K564" s="371"/>
      <c r="L564" s="371"/>
      <c r="M564" s="371">
        <v>650000</v>
      </c>
      <c r="N564" s="371">
        <v>31000</v>
      </c>
      <c r="O564" s="371">
        <v>1600</v>
      </c>
      <c r="P564" s="371">
        <f t="shared" si="9"/>
        <v>91683</v>
      </c>
      <c r="Q564" s="381">
        <v>-40936.019999999997</v>
      </c>
      <c r="R564" s="372">
        <v>302823.85096399998</v>
      </c>
      <c r="S564" s="400">
        <v>275212</v>
      </c>
      <c r="T564" s="400">
        <v>35180.450000000004</v>
      </c>
      <c r="U564" s="400">
        <v>0</v>
      </c>
      <c r="V564" s="400">
        <v>5466.54</v>
      </c>
      <c r="W564" s="372">
        <v>280678.53999999998</v>
      </c>
      <c r="X564" s="373">
        <v>315858.99</v>
      </c>
      <c r="Y564" s="372">
        <v>342139.17096399999</v>
      </c>
      <c r="Z564" s="373">
        <v>1075486.150964</v>
      </c>
      <c r="AA564" s="400">
        <v>358.28705799998716</v>
      </c>
      <c r="AB564" s="400">
        <v>17.319999999999709</v>
      </c>
      <c r="AC564" s="400">
        <v>0</v>
      </c>
      <c r="AD564" s="400">
        <v>0</v>
      </c>
      <c r="AE564" s="372">
        <v>358.28705799998716</v>
      </c>
      <c r="AF564" s="372">
        <v>375.60705799998686</v>
      </c>
      <c r="AG564" s="400">
        <v>-0.18000000000000682</v>
      </c>
      <c r="AH564" s="374">
        <v>1.1831533641073098E-3</v>
      </c>
      <c r="AI564" s="375">
        <v>4.4054073577424042E-4</v>
      </c>
      <c r="AJ564" s="372">
        <v>266.3</v>
      </c>
      <c r="AK564" s="376">
        <v>-6.75929402929053E-4</v>
      </c>
      <c r="AL564" s="376">
        <v>1.8590827670363628E-3</v>
      </c>
      <c r="AM564" s="412">
        <v>249.52147208121826</v>
      </c>
    </row>
    <row r="565" spans="2:39" s="380" customFormat="1" ht="28.15" customHeight="1" x14ac:dyDescent="0.25">
      <c r="B565" s="369">
        <v>43571</v>
      </c>
      <c r="C565" s="370">
        <v>293382.09796699998</v>
      </c>
      <c r="D565" s="370">
        <v>39506.769999999997</v>
      </c>
      <c r="E565" s="371">
        <v>0</v>
      </c>
      <c r="F565" s="371">
        <v>0</v>
      </c>
      <c r="G565" s="371">
        <v>11332.3</v>
      </c>
      <c r="H565" s="371"/>
      <c r="I565" s="371">
        <v>210</v>
      </c>
      <c r="J565" s="371"/>
      <c r="K565" s="371"/>
      <c r="L565" s="371">
        <v>1822.18</v>
      </c>
      <c r="M565" s="371">
        <v>650000</v>
      </c>
      <c r="N565" s="371">
        <v>31000</v>
      </c>
      <c r="O565" s="371">
        <v>1600</v>
      </c>
      <c r="P565" s="371">
        <f t="shared" si="9"/>
        <v>91683</v>
      </c>
      <c r="Q565" s="381">
        <v>-40936.019999999997</v>
      </c>
      <c r="R565" s="372">
        <v>304714.39796699997</v>
      </c>
      <c r="S565" s="400">
        <v>275212</v>
      </c>
      <c r="T565" s="400">
        <v>35390.450000000004</v>
      </c>
      <c r="U565" s="400">
        <v>0</v>
      </c>
      <c r="V565" s="400">
        <v>7288.72</v>
      </c>
      <c r="W565" s="372">
        <v>282500.71999999997</v>
      </c>
      <c r="X565" s="373">
        <v>317891.17</v>
      </c>
      <c r="Y565" s="372">
        <v>344221.16796699999</v>
      </c>
      <c r="Z565" s="373">
        <v>1077568.147967</v>
      </c>
      <c r="AA565" s="400">
        <v>260.67700299998978</v>
      </c>
      <c r="AB565" s="400">
        <v>-18.55000000000291</v>
      </c>
      <c r="AC565" s="400">
        <v>0</v>
      </c>
      <c r="AD565" s="400">
        <v>-192.31000000000108</v>
      </c>
      <c r="AE565" s="372">
        <v>68.367002999988699</v>
      </c>
      <c r="AF565" s="372">
        <v>49.817002999985789</v>
      </c>
      <c r="AG565" s="400">
        <v>0.18999999999999773</v>
      </c>
      <c r="AH565" s="374">
        <v>2.2436420286051835E-4</v>
      </c>
      <c r="AI565" s="375">
        <v>-4.6953977761287274E-4</v>
      </c>
      <c r="AJ565" s="372">
        <v>266.49</v>
      </c>
      <c r="AK565" s="376">
        <v>7.1297234417800942E-4</v>
      </c>
      <c r="AL565" s="376">
        <v>-4.886081413174911E-4</v>
      </c>
      <c r="AM565" s="412">
        <v>249.51766497461929</v>
      </c>
    </row>
    <row r="566" spans="2:39" s="380" customFormat="1" ht="28.15" customHeight="1" x14ac:dyDescent="0.25">
      <c r="B566" s="369">
        <v>43572</v>
      </c>
      <c r="C566" s="370">
        <v>292168.94090399996</v>
      </c>
      <c r="D566" s="370">
        <v>39437.979999999996</v>
      </c>
      <c r="E566" s="371">
        <v>0</v>
      </c>
      <c r="F566" s="371">
        <v>0</v>
      </c>
      <c r="G566" s="371">
        <v>11404.64</v>
      </c>
      <c r="H566" s="371"/>
      <c r="I566" s="371"/>
      <c r="J566" s="371"/>
      <c r="K566" s="371"/>
      <c r="L566" s="371"/>
      <c r="M566" s="371">
        <v>650000</v>
      </c>
      <c r="N566" s="371">
        <v>31000</v>
      </c>
      <c r="O566" s="371">
        <v>1600</v>
      </c>
      <c r="P566" s="371">
        <f t="shared" si="9"/>
        <v>91683</v>
      </c>
      <c r="Q566" s="381">
        <v>-40936.019999999997</v>
      </c>
      <c r="R566" s="372">
        <v>303573.58090399997</v>
      </c>
      <c r="S566" s="400">
        <v>275212</v>
      </c>
      <c r="T566" s="400">
        <v>35390.450000000004</v>
      </c>
      <c r="U566" s="400">
        <v>0</v>
      </c>
      <c r="V566" s="400">
        <v>7288.72</v>
      </c>
      <c r="W566" s="372">
        <v>282500.71999999997</v>
      </c>
      <c r="X566" s="373">
        <v>317891.17</v>
      </c>
      <c r="Y566" s="372">
        <v>343011.56090399995</v>
      </c>
      <c r="Z566" s="373">
        <v>1076358.5409039999</v>
      </c>
      <c r="AA566" s="400">
        <v>-1213.1570630000206</v>
      </c>
      <c r="AB566" s="400">
        <v>-68.790000000000873</v>
      </c>
      <c r="AC566" s="400">
        <v>0</v>
      </c>
      <c r="AD566" s="400">
        <v>72.340000000000146</v>
      </c>
      <c r="AE566" s="372">
        <v>-1140.8170630000204</v>
      </c>
      <c r="AF566" s="372">
        <v>-1209.6070630000213</v>
      </c>
      <c r="AG566" s="400">
        <v>-0.65000000000003411</v>
      </c>
      <c r="AH566" s="374">
        <v>-3.7579589752271118E-3</v>
      </c>
      <c r="AI566" s="375">
        <v>-1.7442576927114645E-3</v>
      </c>
      <c r="AJ566" s="372">
        <v>265.83999999999997</v>
      </c>
      <c r="AK566" s="376">
        <v>-2.4450797472164994E-3</v>
      </c>
      <c r="AL566" s="376">
        <v>-1.3128792280106124E-3</v>
      </c>
      <c r="AM566" s="412">
        <v>249.50979695431471</v>
      </c>
    </row>
    <row r="567" spans="2:39" s="380" customFormat="1" ht="28.15" customHeight="1" x14ac:dyDescent="0.25">
      <c r="B567" s="369">
        <v>43573</v>
      </c>
      <c r="C567" s="370">
        <v>293724.87342600001</v>
      </c>
      <c r="D567" s="370">
        <v>39535.85</v>
      </c>
      <c r="E567" s="371">
        <v>0</v>
      </c>
      <c r="F567" s="371">
        <v>0</v>
      </c>
      <c r="G567" s="371">
        <v>11332.61</v>
      </c>
      <c r="H567" s="371"/>
      <c r="I567" s="371"/>
      <c r="J567" s="371"/>
      <c r="K567" s="371"/>
      <c r="L567" s="371"/>
      <c r="M567" s="371">
        <v>650000</v>
      </c>
      <c r="N567" s="371">
        <v>31000</v>
      </c>
      <c r="O567" s="371">
        <v>1600</v>
      </c>
      <c r="P567" s="371">
        <f t="shared" si="9"/>
        <v>91683</v>
      </c>
      <c r="Q567" s="381">
        <v>-40936.019999999997</v>
      </c>
      <c r="R567" s="372">
        <v>305057.48342599999</v>
      </c>
      <c r="S567" s="400">
        <v>275212</v>
      </c>
      <c r="T567" s="400">
        <v>35390.450000000004</v>
      </c>
      <c r="U567" s="400">
        <v>0</v>
      </c>
      <c r="V567" s="400">
        <v>7288.72</v>
      </c>
      <c r="W567" s="372">
        <v>282500.71999999997</v>
      </c>
      <c r="X567" s="373">
        <v>317891.17</v>
      </c>
      <c r="Y567" s="372">
        <v>344593.33342599997</v>
      </c>
      <c r="Z567" s="373">
        <v>1077940.3134260001</v>
      </c>
      <c r="AA567" s="400">
        <v>1555.9325220000464</v>
      </c>
      <c r="AB567" s="400">
        <v>97.870000000002619</v>
      </c>
      <c r="AC567" s="400">
        <v>0</v>
      </c>
      <c r="AD567" s="400">
        <v>-72.029999999998836</v>
      </c>
      <c r="AE567" s="372">
        <v>1483.9025220000476</v>
      </c>
      <c r="AF567" s="372">
        <v>1581.7725220000502</v>
      </c>
      <c r="AG567" s="400">
        <v>0.5</v>
      </c>
      <c r="AH567" s="374">
        <v>4.8643373876124194E-3</v>
      </c>
      <c r="AI567" s="375">
        <v>2.4754747906015079E-3</v>
      </c>
      <c r="AJ567" s="372">
        <v>266.33999999999997</v>
      </c>
      <c r="AK567" s="376">
        <v>1.8772996921228506E-3</v>
      </c>
      <c r="AL567" s="376">
        <v>2.9870376954895688E-3</v>
      </c>
      <c r="AM567" s="412">
        <v>249.49878172588831</v>
      </c>
    </row>
    <row r="568" spans="2:39" s="380" customFormat="1" ht="28.15" customHeight="1" x14ac:dyDescent="0.25">
      <c r="B568" s="378">
        <v>43574</v>
      </c>
      <c r="C568" s="370">
        <v>293724.87342600001</v>
      </c>
      <c r="D568" s="370">
        <v>39535.85</v>
      </c>
      <c r="E568" s="371">
        <v>0</v>
      </c>
      <c r="F568" s="371">
        <v>0</v>
      </c>
      <c r="G568" s="371">
        <v>11332.61</v>
      </c>
      <c r="H568" s="371"/>
      <c r="I568" s="371"/>
      <c r="J568" s="371"/>
      <c r="K568" s="371"/>
      <c r="L568" s="371"/>
      <c r="M568" s="371">
        <v>650000</v>
      </c>
      <c r="N568" s="371">
        <v>31000</v>
      </c>
      <c r="O568" s="371">
        <v>1600</v>
      </c>
      <c r="P568" s="371">
        <f t="shared" si="9"/>
        <v>91683</v>
      </c>
      <c r="Q568" s="381">
        <v>-40936.019999999997</v>
      </c>
      <c r="R568" s="372">
        <v>305057.48342599999</v>
      </c>
      <c r="S568" s="400">
        <v>275212</v>
      </c>
      <c r="T568" s="400">
        <v>35390.450000000004</v>
      </c>
      <c r="U568" s="400">
        <v>0</v>
      </c>
      <c r="V568" s="400">
        <v>7288.72</v>
      </c>
      <c r="W568" s="372">
        <v>282500.71999999997</v>
      </c>
      <c r="X568" s="373">
        <v>317891.17</v>
      </c>
      <c r="Y568" s="372">
        <v>344593.33342599997</v>
      </c>
      <c r="Z568" s="373">
        <v>1077940.3134260001</v>
      </c>
      <c r="AA568" s="400">
        <v>0</v>
      </c>
      <c r="AB568" s="400">
        <v>0</v>
      </c>
      <c r="AC568" s="400">
        <v>0</v>
      </c>
      <c r="AD568" s="400">
        <v>0</v>
      </c>
      <c r="AE568" s="372">
        <v>0</v>
      </c>
      <c r="AF568" s="372">
        <v>0</v>
      </c>
      <c r="AG568" s="400">
        <v>0</v>
      </c>
      <c r="AH568" s="374">
        <v>0</v>
      </c>
      <c r="AI568" s="375">
        <v>0</v>
      </c>
      <c r="AJ568" s="372">
        <v>266.33999999999997</v>
      </c>
      <c r="AK568" s="376">
        <v>0</v>
      </c>
      <c r="AL568" s="376">
        <v>0</v>
      </c>
      <c r="AM568" s="412">
        <v>249.48913705583752</v>
      </c>
    </row>
    <row r="569" spans="2:39" s="380" customFormat="1" ht="28.15" customHeight="1" x14ac:dyDescent="0.25">
      <c r="B569" s="378">
        <v>43575</v>
      </c>
      <c r="C569" s="370">
        <v>293724.87342600001</v>
      </c>
      <c r="D569" s="370">
        <v>39535.85</v>
      </c>
      <c r="E569" s="371">
        <v>0</v>
      </c>
      <c r="F569" s="371">
        <v>0</v>
      </c>
      <c r="G569" s="371">
        <v>11332.61</v>
      </c>
      <c r="H569" s="371"/>
      <c r="I569" s="371"/>
      <c r="J569" s="371"/>
      <c r="K569" s="371"/>
      <c r="L569" s="371"/>
      <c r="M569" s="371">
        <v>650000</v>
      </c>
      <c r="N569" s="371">
        <v>31000</v>
      </c>
      <c r="O569" s="371">
        <v>1600</v>
      </c>
      <c r="P569" s="371">
        <f t="shared" si="9"/>
        <v>91683</v>
      </c>
      <c r="Q569" s="381">
        <v>-40936.019999999997</v>
      </c>
      <c r="R569" s="372">
        <v>305057.48342599999</v>
      </c>
      <c r="S569" s="400">
        <v>275212</v>
      </c>
      <c r="T569" s="400">
        <v>35390.450000000004</v>
      </c>
      <c r="U569" s="400">
        <v>0</v>
      </c>
      <c r="V569" s="400">
        <v>7288.72</v>
      </c>
      <c r="W569" s="372">
        <v>282500.71999999997</v>
      </c>
      <c r="X569" s="373">
        <v>317891.17</v>
      </c>
      <c r="Y569" s="372">
        <v>344593.33342599997</v>
      </c>
      <c r="Z569" s="373">
        <v>1077940.3134260001</v>
      </c>
      <c r="AA569" s="400">
        <v>0</v>
      </c>
      <c r="AB569" s="400">
        <v>0</v>
      </c>
      <c r="AC569" s="400">
        <v>0</v>
      </c>
      <c r="AD569" s="400">
        <v>0</v>
      </c>
      <c r="AE569" s="372">
        <v>0</v>
      </c>
      <c r="AF569" s="372">
        <v>0</v>
      </c>
      <c r="AG569" s="400">
        <v>0</v>
      </c>
      <c r="AH569" s="374">
        <v>0</v>
      </c>
      <c r="AI569" s="375">
        <v>0</v>
      </c>
      <c r="AJ569" s="372">
        <v>266.33999999999997</v>
      </c>
      <c r="AK569" s="376">
        <v>0</v>
      </c>
      <c r="AL569" s="376">
        <v>0</v>
      </c>
      <c r="AM569" s="412">
        <v>249.49065989847711</v>
      </c>
    </row>
    <row r="570" spans="2:39" s="380" customFormat="1" ht="28.15" customHeight="1" x14ac:dyDescent="0.25">
      <c r="B570" s="378">
        <v>43576</v>
      </c>
      <c r="C570" s="370">
        <v>293724.87342600001</v>
      </c>
      <c r="D570" s="370">
        <v>39535.85</v>
      </c>
      <c r="E570" s="371">
        <v>0</v>
      </c>
      <c r="F570" s="371">
        <v>0</v>
      </c>
      <c r="G570" s="371">
        <v>11332.61</v>
      </c>
      <c r="H570" s="371"/>
      <c r="I570" s="371"/>
      <c r="J570" s="371"/>
      <c r="K570" s="371"/>
      <c r="L570" s="371"/>
      <c r="M570" s="371">
        <v>650000</v>
      </c>
      <c r="N570" s="371">
        <v>31000</v>
      </c>
      <c r="O570" s="371">
        <v>1600</v>
      </c>
      <c r="P570" s="371">
        <f t="shared" si="9"/>
        <v>91683</v>
      </c>
      <c r="Q570" s="381">
        <v>-40936.019999999997</v>
      </c>
      <c r="R570" s="372">
        <v>305057.48342599999</v>
      </c>
      <c r="S570" s="400">
        <v>275212</v>
      </c>
      <c r="T570" s="400">
        <v>35390.450000000004</v>
      </c>
      <c r="U570" s="400">
        <v>0</v>
      </c>
      <c r="V570" s="400">
        <v>7288.72</v>
      </c>
      <c r="W570" s="372">
        <v>282500.71999999997</v>
      </c>
      <c r="X570" s="373">
        <v>317891.17</v>
      </c>
      <c r="Y570" s="372">
        <v>344593.33342599997</v>
      </c>
      <c r="Z570" s="373">
        <v>1077940.3134260001</v>
      </c>
      <c r="AA570" s="400">
        <v>0</v>
      </c>
      <c r="AB570" s="400">
        <v>0</v>
      </c>
      <c r="AC570" s="400">
        <v>0</v>
      </c>
      <c r="AD570" s="400">
        <v>0</v>
      </c>
      <c r="AE570" s="372">
        <v>0</v>
      </c>
      <c r="AF570" s="372">
        <v>0</v>
      </c>
      <c r="AG570" s="400">
        <v>0</v>
      </c>
      <c r="AH570" s="374">
        <v>0</v>
      </c>
      <c r="AI570" s="375">
        <v>0</v>
      </c>
      <c r="AJ570" s="372">
        <v>266.33999999999997</v>
      </c>
      <c r="AK570" s="376">
        <v>0</v>
      </c>
      <c r="AL570" s="376">
        <v>0</v>
      </c>
      <c r="AM570" s="412">
        <v>249.49979695431463</v>
      </c>
    </row>
    <row r="571" spans="2:39" s="380" customFormat="1" ht="28.15" customHeight="1" x14ac:dyDescent="0.25">
      <c r="B571" s="369">
        <v>43577</v>
      </c>
      <c r="C571" s="370">
        <v>294208.27608499996</v>
      </c>
      <c r="D571" s="370">
        <v>39520.400000000001</v>
      </c>
      <c r="E571" s="371">
        <v>0</v>
      </c>
      <c r="F571" s="371">
        <v>0</v>
      </c>
      <c r="G571" s="371">
        <v>11333</v>
      </c>
      <c r="H571" s="371">
        <v>875</v>
      </c>
      <c r="I571" s="371"/>
      <c r="J571" s="371"/>
      <c r="K571" s="371"/>
      <c r="L571" s="371"/>
      <c r="M571" s="371">
        <v>650000</v>
      </c>
      <c r="N571" s="371">
        <v>31000</v>
      </c>
      <c r="O571" s="371">
        <v>1600</v>
      </c>
      <c r="P571" s="371">
        <f t="shared" si="9"/>
        <v>91683</v>
      </c>
      <c r="Q571" s="381">
        <v>-40936.019999999997</v>
      </c>
      <c r="R571" s="372">
        <v>305541.27608499996</v>
      </c>
      <c r="S571" s="400">
        <v>276087</v>
      </c>
      <c r="T571" s="400">
        <v>35390.450000000004</v>
      </c>
      <c r="U571" s="400">
        <v>0</v>
      </c>
      <c r="V571" s="400">
        <v>7288.72</v>
      </c>
      <c r="W571" s="372">
        <v>283375.71999999997</v>
      </c>
      <c r="X571" s="373">
        <v>318766.17</v>
      </c>
      <c r="Y571" s="372">
        <v>345061.67608499998</v>
      </c>
      <c r="Z571" s="373">
        <v>1078408.6560849999</v>
      </c>
      <c r="AA571" s="400">
        <v>-391.59734100004425</v>
      </c>
      <c r="AB571" s="400">
        <v>-15.44999999999709</v>
      </c>
      <c r="AC571" s="400">
        <v>0</v>
      </c>
      <c r="AD571" s="400">
        <v>0.38999999999941792</v>
      </c>
      <c r="AE571" s="372">
        <v>-391.20734100004483</v>
      </c>
      <c r="AF571" s="372">
        <v>-406.65734100004192</v>
      </c>
      <c r="AG571" s="400">
        <v>0.26000000000004775</v>
      </c>
      <c r="AH571" s="374">
        <v>-1.2803747696962979E-3</v>
      </c>
      <c r="AI571" s="375">
        <v>-3.9093733869083027E-4</v>
      </c>
      <c r="AJ571" s="372">
        <v>266.60000000000002</v>
      </c>
      <c r="AK571" s="376">
        <v>9.7524381095291722E-4</v>
      </c>
      <c r="AL571" s="376">
        <v>-2.2556185806492154E-3</v>
      </c>
      <c r="AM571" s="412">
        <v>249.50893401015219</v>
      </c>
    </row>
    <row r="572" spans="2:39" s="380" customFormat="1" ht="28.15" customHeight="1" x14ac:dyDescent="0.25">
      <c r="B572" s="369">
        <v>43578</v>
      </c>
      <c r="C572" s="370">
        <v>297872.78202900005</v>
      </c>
      <c r="D572" s="370">
        <v>39731.15</v>
      </c>
      <c r="E572" s="371">
        <v>0</v>
      </c>
      <c r="F572" s="371">
        <v>0</v>
      </c>
      <c r="G572" s="371">
        <v>11333.33</v>
      </c>
      <c r="H572" s="371"/>
      <c r="I572" s="371"/>
      <c r="J572" s="371"/>
      <c r="K572" s="371"/>
      <c r="L572" s="371"/>
      <c r="M572" s="371">
        <v>650000</v>
      </c>
      <c r="N572" s="371">
        <v>31000</v>
      </c>
      <c r="O572" s="371">
        <v>1600</v>
      </c>
      <c r="P572" s="371">
        <f t="shared" si="9"/>
        <v>91683</v>
      </c>
      <c r="Q572" s="381">
        <v>-40936.019999999997</v>
      </c>
      <c r="R572" s="372">
        <v>309206.11202900007</v>
      </c>
      <c r="S572" s="400">
        <v>276087</v>
      </c>
      <c r="T572" s="400">
        <v>35390.450000000004</v>
      </c>
      <c r="U572" s="400">
        <v>0</v>
      </c>
      <c r="V572" s="400">
        <v>7288.72</v>
      </c>
      <c r="W572" s="372">
        <v>283375.71999999997</v>
      </c>
      <c r="X572" s="373">
        <v>318766.17</v>
      </c>
      <c r="Y572" s="372">
        <v>348937.26202900009</v>
      </c>
      <c r="Z572" s="373">
        <v>1082284.2420290001</v>
      </c>
      <c r="AA572" s="400">
        <v>3664.5059440000914</v>
      </c>
      <c r="AB572" s="400">
        <v>210.75</v>
      </c>
      <c r="AC572" s="400">
        <v>0</v>
      </c>
      <c r="AD572" s="400">
        <v>0.32999999999992724</v>
      </c>
      <c r="AE572" s="372">
        <v>3664.8359440000913</v>
      </c>
      <c r="AF572" s="372">
        <v>3875.5859440000913</v>
      </c>
      <c r="AG572" s="400">
        <v>2.2999999999999545</v>
      </c>
      <c r="AH572" s="374">
        <v>1.185240459818715E-2</v>
      </c>
      <c r="AI572" s="375">
        <v>5.3044022133766581E-3</v>
      </c>
      <c r="AJ572" s="372">
        <v>268.89999999999998</v>
      </c>
      <c r="AK572" s="376">
        <v>8.5533655634063028E-3</v>
      </c>
      <c r="AL572" s="376">
        <v>3.2990390347808467E-3</v>
      </c>
      <c r="AM572" s="412">
        <v>249.51939086294405</v>
      </c>
    </row>
    <row r="573" spans="2:39" s="380" customFormat="1" ht="28.15" customHeight="1" x14ac:dyDescent="0.25">
      <c r="B573" s="369">
        <v>43579</v>
      </c>
      <c r="C573" s="370">
        <v>298603.07787500002</v>
      </c>
      <c r="D573" s="370">
        <v>39819.03</v>
      </c>
      <c r="E573" s="371">
        <v>0</v>
      </c>
      <c r="F573" s="371">
        <v>0</v>
      </c>
      <c r="G573" s="371">
        <v>11405.73</v>
      </c>
      <c r="H573" s="371"/>
      <c r="I573" s="371"/>
      <c r="J573" s="371"/>
      <c r="K573" s="371"/>
      <c r="L573" s="371"/>
      <c r="M573" s="371">
        <v>650000</v>
      </c>
      <c r="N573" s="371">
        <v>31000</v>
      </c>
      <c r="O573" s="371">
        <v>1600</v>
      </c>
      <c r="P573" s="371">
        <f t="shared" si="9"/>
        <v>91683</v>
      </c>
      <c r="Q573" s="381">
        <v>-40936.019999999997</v>
      </c>
      <c r="R573" s="372">
        <v>310008.807875</v>
      </c>
      <c r="S573" s="400">
        <v>276087</v>
      </c>
      <c r="T573" s="400">
        <v>35390.450000000004</v>
      </c>
      <c r="U573" s="400">
        <v>0</v>
      </c>
      <c r="V573" s="400">
        <v>7288.72</v>
      </c>
      <c r="W573" s="372">
        <v>283375.71999999997</v>
      </c>
      <c r="X573" s="373">
        <v>318766.17</v>
      </c>
      <c r="Y573" s="372">
        <v>349827.83787499997</v>
      </c>
      <c r="Z573" s="373">
        <v>1083174.8178749999</v>
      </c>
      <c r="AA573" s="400">
        <v>730.29584599996451</v>
      </c>
      <c r="AB573" s="400">
        <v>87.879999999997381</v>
      </c>
      <c r="AC573" s="400">
        <v>0</v>
      </c>
      <c r="AD573" s="400">
        <v>72.399999999999636</v>
      </c>
      <c r="AE573" s="372">
        <v>802.69584599996415</v>
      </c>
      <c r="AF573" s="372">
        <v>890.57584599996153</v>
      </c>
      <c r="AG573" s="400">
        <v>-0.52999999999997272</v>
      </c>
      <c r="AH573" s="374">
        <v>2.5892678711361733E-3</v>
      </c>
      <c r="AI573" s="375">
        <v>2.2069849516675164E-3</v>
      </c>
      <c r="AJ573" s="372">
        <v>268.37</v>
      </c>
      <c r="AK573" s="376">
        <v>-1.9748854193835852E-3</v>
      </c>
      <c r="AL573" s="376">
        <v>4.5641532905197589E-3</v>
      </c>
      <c r="AM573" s="412">
        <v>249.5418781725887</v>
      </c>
    </row>
    <row r="574" spans="2:39" s="380" customFormat="1" ht="28.15" customHeight="1" x14ac:dyDescent="0.25">
      <c r="B574" s="369">
        <v>43580</v>
      </c>
      <c r="C574" s="370">
        <v>298870.26560899999</v>
      </c>
      <c r="D574" s="370">
        <v>39784.339999999997</v>
      </c>
      <c r="E574" s="371">
        <v>0</v>
      </c>
      <c r="F574" s="371">
        <v>0</v>
      </c>
      <c r="G574" s="371">
        <v>11405.73</v>
      </c>
      <c r="H574" s="371"/>
      <c r="I574" s="371"/>
      <c r="J574" s="371"/>
      <c r="K574" s="371"/>
      <c r="L574" s="371"/>
      <c r="M574" s="371">
        <v>650000</v>
      </c>
      <c r="N574" s="371">
        <v>31000</v>
      </c>
      <c r="O574" s="371">
        <v>1600</v>
      </c>
      <c r="P574" s="371">
        <f t="shared" si="9"/>
        <v>91683</v>
      </c>
      <c r="Q574" s="381">
        <v>-40936.019999999997</v>
      </c>
      <c r="R574" s="372">
        <v>310275.99560899998</v>
      </c>
      <c r="S574" s="400">
        <v>276087</v>
      </c>
      <c r="T574" s="400">
        <v>35390.450000000004</v>
      </c>
      <c r="U574" s="400">
        <v>0</v>
      </c>
      <c r="V574" s="400">
        <v>7288.72</v>
      </c>
      <c r="W574" s="372">
        <v>283375.71999999997</v>
      </c>
      <c r="X574" s="373">
        <v>318766.17</v>
      </c>
      <c r="Y574" s="372">
        <v>350060.33560899994</v>
      </c>
      <c r="Z574" s="373">
        <v>1083407.3156089999</v>
      </c>
      <c r="AA574" s="400">
        <v>267.18773399997735</v>
      </c>
      <c r="AB574" s="400">
        <v>-34.690000000002328</v>
      </c>
      <c r="AC574" s="400">
        <v>0</v>
      </c>
      <c r="AD574" s="400">
        <v>0</v>
      </c>
      <c r="AE574" s="372">
        <v>267.18773399997735</v>
      </c>
      <c r="AF574" s="372">
        <v>232.49773399997503</v>
      </c>
      <c r="AG574" s="400">
        <v>-0.10000000000002274</v>
      </c>
      <c r="AH574" s="374">
        <v>8.6112924551430309E-4</v>
      </c>
      <c r="AI574" s="375">
        <v>-8.7195112448773386E-4</v>
      </c>
      <c r="AJ574" s="372">
        <v>268.27</v>
      </c>
      <c r="AK574" s="376">
        <v>-3.727587877885069E-4</v>
      </c>
      <c r="AL574" s="376">
        <v>1.23388803330281E-3</v>
      </c>
      <c r="AM574" s="412">
        <v>249.56340101522827</v>
      </c>
    </row>
    <row r="575" spans="2:39" s="380" customFormat="1" ht="28.15" customHeight="1" x14ac:dyDescent="0.25">
      <c r="B575" s="369">
        <v>43581</v>
      </c>
      <c r="C575" s="370">
        <v>299442.59276000003</v>
      </c>
      <c r="D575" s="370">
        <v>39907.06</v>
      </c>
      <c r="E575" s="371">
        <v>0</v>
      </c>
      <c r="F575" s="371">
        <v>0</v>
      </c>
      <c r="G575" s="371">
        <v>11409.42</v>
      </c>
      <c r="H575" s="371"/>
      <c r="I575" s="371"/>
      <c r="J575" s="371"/>
      <c r="K575" s="371"/>
      <c r="L575" s="371"/>
      <c r="M575" s="371">
        <v>650000</v>
      </c>
      <c r="N575" s="371">
        <v>31000</v>
      </c>
      <c r="O575" s="371">
        <v>1600</v>
      </c>
      <c r="P575" s="371">
        <f t="shared" si="9"/>
        <v>91683</v>
      </c>
      <c r="Q575" s="381">
        <v>-40936.019999999997</v>
      </c>
      <c r="R575" s="372">
        <v>310852.01276000001</v>
      </c>
      <c r="S575" s="400">
        <v>276087</v>
      </c>
      <c r="T575" s="400">
        <v>35390.450000000004</v>
      </c>
      <c r="U575" s="400">
        <v>0</v>
      </c>
      <c r="V575" s="400">
        <v>7288.72</v>
      </c>
      <c r="W575" s="372">
        <v>283375.71999999997</v>
      </c>
      <c r="X575" s="373">
        <v>318766.17</v>
      </c>
      <c r="Y575" s="372">
        <v>350759.07276000001</v>
      </c>
      <c r="Z575" s="373">
        <v>1084106.0527599999</v>
      </c>
      <c r="AA575" s="400">
        <v>572.32715100003406</v>
      </c>
      <c r="AB575" s="400">
        <v>122.72000000000116</v>
      </c>
      <c r="AC575" s="400">
        <v>0</v>
      </c>
      <c r="AD575" s="400">
        <v>3.6900000000005093</v>
      </c>
      <c r="AE575" s="372">
        <v>576.01715100003457</v>
      </c>
      <c r="AF575" s="372">
        <v>698.73715100003574</v>
      </c>
      <c r="AG575" s="400">
        <v>1.2300000000000182</v>
      </c>
      <c r="AH575" s="374">
        <v>1.853026930357247E-3</v>
      </c>
      <c r="AI575" s="375">
        <v>3.0751450996390406E-3</v>
      </c>
      <c r="AJ575" s="372">
        <v>269.5</v>
      </c>
      <c r="AK575" s="376">
        <v>4.5640074211503456E-3</v>
      </c>
      <c r="AL575" s="376">
        <v>-2.7109804907930989E-3</v>
      </c>
      <c r="AM575" s="412">
        <v>249.62771573604044</v>
      </c>
    </row>
    <row r="576" spans="2:39" s="380" customFormat="1" ht="28.15" customHeight="1" x14ac:dyDescent="0.25">
      <c r="B576" s="378">
        <v>43582</v>
      </c>
      <c r="C576" s="370">
        <v>299442.59276000003</v>
      </c>
      <c r="D576" s="370">
        <v>39907.06</v>
      </c>
      <c r="E576" s="371">
        <v>0</v>
      </c>
      <c r="F576" s="371">
        <v>0</v>
      </c>
      <c r="G576" s="371">
        <v>11409.42</v>
      </c>
      <c r="H576" s="371"/>
      <c r="I576" s="371"/>
      <c r="J576" s="371"/>
      <c r="K576" s="371"/>
      <c r="L576" s="371"/>
      <c r="M576" s="371">
        <v>650000</v>
      </c>
      <c r="N576" s="371">
        <v>31000</v>
      </c>
      <c r="O576" s="371">
        <v>1600</v>
      </c>
      <c r="P576" s="371">
        <f t="shared" si="9"/>
        <v>91683</v>
      </c>
      <c r="Q576" s="381">
        <v>-40936.019999999997</v>
      </c>
      <c r="R576" s="372">
        <v>310852.01276000001</v>
      </c>
      <c r="S576" s="400">
        <v>276087</v>
      </c>
      <c r="T576" s="400">
        <v>35390.450000000004</v>
      </c>
      <c r="U576" s="400">
        <v>0</v>
      </c>
      <c r="V576" s="400">
        <v>7288.72</v>
      </c>
      <c r="W576" s="372">
        <v>283375.71999999997</v>
      </c>
      <c r="X576" s="373">
        <v>318766.17</v>
      </c>
      <c r="Y576" s="372">
        <v>350759.07276000001</v>
      </c>
      <c r="Z576" s="373">
        <v>1084106.0527599999</v>
      </c>
      <c r="AA576" s="400">
        <v>0</v>
      </c>
      <c r="AB576" s="400">
        <v>0</v>
      </c>
      <c r="AC576" s="400">
        <v>0</v>
      </c>
      <c r="AD576" s="400">
        <v>0</v>
      </c>
      <c r="AE576" s="372">
        <v>0</v>
      </c>
      <c r="AF576" s="372">
        <v>0</v>
      </c>
      <c r="AG576" s="400">
        <v>0</v>
      </c>
      <c r="AH576" s="374">
        <v>0</v>
      </c>
      <c r="AI576" s="375">
        <v>0</v>
      </c>
      <c r="AJ576" s="372">
        <v>269.5</v>
      </c>
      <c r="AK576" s="376">
        <v>0</v>
      </c>
      <c r="AL576" s="376">
        <v>0</v>
      </c>
      <c r="AM576" s="412">
        <v>249.725583756345</v>
      </c>
    </row>
    <row r="577" spans="2:39" s="380" customFormat="1" ht="28.15" customHeight="1" x14ac:dyDescent="0.25">
      <c r="B577" s="378">
        <v>43583</v>
      </c>
      <c r="C577" s="370">
        <v>299442.59276000003</v>
      </c>
      <c r="D577" s="370">
        <v>39907.06</v>
      </c>
      <c r="E577" s="371">
        <v>0</v>
      </c>
      <c r="F577" s="371">
        <v>0</v>
      </c>
      <c r="G577" s="371">
        <v>11409.42</v>
      </c>
      <c r="H577" s="371"/>
      <c r="I577" s="371"/>
      <c r="J577" s="371"/>
      <c r="K577" s="371"/>
      <c r="L577" s="371"/>
      <c r="M577" s="371">
        <v>650000</v>
      </c>
      <c r="N577" s="371">
        <v>31000</v>
      </c>
      <c r="O577" s="371">
        <v>1600</v>
      </c>
      <c r="P577" s="371">
        <f t="shared" si="9"/>
        <v>91683</v>
      </c>
      <c r="Q577" s="381">
        <v>-40936.019999999997</v>
      </c>
      <c r="R577" s="372">
        <v>310852.01276000001</v>
      </c>
      <c r="S577" s="400">
        <v>276087</v>
      </c>
      <c r="T577" s="400">
        <v>35390.450000000004</v>
      </c>
      <c r="U577" s="400">
        <v>0</v>
      </c>
      <c r="V577" s="400">
        <v>7288.72</v>
      </c>
      <c r="W577" s="372">
        <v>283375.71999999997</v>
      </c>
      <c r="X577" s="373">
        <v>318766.17</v>
      </c>
      <c r="Y577" s="372">
        <v>350759.07276000001</v>
      </c>
      <c r="Z577" s="373">
        <v>1084106.0527599999</v>
      </c>
      <c r="AA577" s="400">
        <v>0</v>
      </c>
      <c r="AB577" s="400">
        <v>0</v>
      </c>
      <c r="AC577" s="400">
        <v>0</v>
      </c>
      <c r="AD577" s="400">
        <v>0</v>
      </c>
      <c r="AE577" s="372">
        <v>0</v>
      </c>
      <c r="AF577" s="372">
        <v>0</v>
      </c>
      <c r="AG577" s="400">
        <v>0</v>
      </c>
      <c r="AH577" s="374">
        <v>0</v>
      </c>
      <c r="AI577" s="375">
        <v>0</v>
      </c>
      <c r="AJ577" s="372">
        <v>269.5</v>
      </c>
      <c r="AK577" s="376">
        <v>0</v>
      </c>
      <c r="AL577" s="376">
        <v>0</v>
      </c>
      <c r="AM577" s="412">
        <v>249.80629441624345</v>
      </c>
    </row>
    <row r="578" spans="2:39" s="382" customFormat="1" ht="28.15" customHeight="1" x14ac:dyDescent="0.25">
      <c r="B578" s="369">
        <v>43584</v>
      </c>
      <c r="C578" s="370">
        <v>299594.89462400001</v>
      </c>
      <c r="D578" s="370">
        <v>39881.079999999994</v>
      </c>
      <c r="E578" s="371">
        <v>0</v>
      </c>
      <c r="F578" s="371">
        <v>0</v>
      </c>
      <c r="G578" s="371">
        <v>11409.42</v>
      </c>
      <c r="H578" s="371"/>
      <c r="I578" s="371"/>
      <c r="J578" s="371"/>
      <c r="K578" s="371"/>
      <c r="L578" s="371"/>
      <c r="M578" s="371">
        <v>650000</v>
      </c>
      <c r="N578" s="371">
        <v>31000</v>
      </c>
      <c r="O578" s="371">
        <v>1600</v>
      </c>
      <c r="P578" s="371">
        <f t="shared" si="9"/>
        <v>91683</v>
      </c>
      <c r="Q578" s="381">
        <v>-40631.61</v>
      </c>
      <c r="R578" s="372">
        <v>311004.31462399999</v>
      </c>
      <c r="S578" s="406">
        <v>276087</v>
      </c>
      <c r="T578" s="400">
        <v>35390.450000000004</v>
      </c>
      <c r="U578" s="400">
        <v>0</v>
      </c>
      <c r="V578" s="400">
        <v>7288.72</v>
      </c>
      <c r="W578" s="372">
        <v>283375.71999999997</v>
      </c>
      <c r="X578" s="373">
        <v>318766.17</v>
      </c>
      <c r="Y578" s="372">
        <v>350885.39462400001</v>
      </c>
      <c r="Z578" s="373">
        <v>1084536.7846239998</v>
      </c>
      <c r="AA578" s="400">
        <v>152.3018639999791</v>
      </c>
      <c r="AB578" s="400">
        <v>-25.980000000003201</v>
      </c>
      <c r="AC578" s="400">
        <v>0</v>
      </c>
      <c r="AD578" s="400">
        <v>0</v>
      </c>
      <c r="AE578" s="372">
        <v>152.3018639999791</v>
      </c>
      <c r="AF578" s="372">
        <v>126.3218639999759</v>
      </c>
      <c r="AG578" s="400">
        <v>0.33999999999997499</v>
      </c>
      <c r="AH578" s="374">
        <v>4.897098105668084E-4</v>
      </c>
      <c r="AI578" s="375">
        <v>-6.5143672137272124E-4</v>
      </c>
      <c r="AJ578" s="372">
        <v>269.83999999999997</v>
      </c>
      <c r="AK578" s="376">
        <v>1.2600059294395755E-3</v>
      </c>
      <c r="AL578" s="376">
        <v>-7.7029611887276706E-4</v>
      </c>
      <c r="AM578" s="412">
        <v>249.88700507614195</v>
      </c>
    </row>
    <row r="579" spans="2:39" s="382" customFormat="1" ht="28.15" customHeight="1" x14ac:dyDescent="0.25">
      <c r="B579" s="369">
        <v>43585</v>
      </c>
      <c r="C579" s="370">
        <v>299942.14924200007</v>
      </c>
      <c r="D579" s="370">
        <v>39871.189999999995</v>
      </c>
      <c r="E579" s="371">
        <v>0</v>
      </c>
      <c r="F579" s="371">
        <v>0</v>
      </c>
      <c r="G579" s="371">
        <v>11449.25</v>
      </c>
      <c r="H579" s="371"/>
      <c r="I579" s="371"/>
      <c r="J579" s="371"/>
      <c r="K579" s="371"/>
      <c r="L579" s="371"/>
      <c r="M579" s="371">
        <v>650000</v>
      </c>
      <c r="N579" s="371">
        <v>31000</v>
      </c>
      <c r="O579" s="371">
        <v>1600</v>
      </c>
      <c r="P579" s="371">
        <f t="shared" si="9"/>
        <v>91683</v>
      </c>
      <c r="Q579" s="381">
        <v>-40631.61</v>
      </c>
      <c r="R579" s="372">
        <v>311391.39924200007</v>
      </c>
      <c r="S579" s="406">
        <v>276087</v>
      </c>
      <c r="T579" s="400">
        <v>35390.450000000004</v>
      </c>
      <c r="U579" s="400">
        <v>0</v>
      </c>
      <c r="V579" s="400">
        <v>7288.72</v>
      </c>
      <c r="W579" s="372">
        <v>283375.71999999997</v>
      </c>
      <c r="X579" s="373">
        <v>318766.17</v>
      </c>
      <c r="Y579" s="372">
        <v>351262.58924200007</v>
      </c>
      <c r="Z579" s="373">
        <v>1084913.979242</v>
      </c>
      <c r="AA579" s="400">
        <v>347.25461800006451</v>
      </c>
      <c r="AB579" s="400">
        <v>-9.8899999999994179</v>
      </c>
      <c r="AC579" s="400">
        <v>0</v>
      </c>
      <c r="AD579" s="400">
        <v>39.829999999999927</v>
      </c>
      <c r="AE579" s="372">
        <v>387.08461800006444</v>
      </c>
      <c r="AF579" s="372">
        <v>377.19461800006502</v>
      </c>
      <c r="AG579" s="400">
        <v>0.17000000000001592</v>
      </c>
      <c r="AH579" s="374">
        <v>1.2430806340262431E-3</v>
      </c>
      <c r="AI579" s="375">
        <v>-2.4804877908082048E-4</v>
      </c>
      <c r="AJ579" s="372">
        <v>270.01</v>
      </c>
      <c r="AK579" s="376">
        <v>6.2960631087743393E-4</v>
      </c>
      <c r="AL579" s="376">
        <v>6.1347432314880917E-4</v>
      </c>
      <c r="AM579" s="412">
        <v>249.96944162436529</v>
      </c>
    </row>
    <row r="580" spans="2:39" s="382" customFormat="1" ht="28.15" customHeight="1" x14ac:dyDescent="0.25">
      <c r="B580" s="369">
        <v>43586</v>
      </c>
      <c r="C580" s="370">
        <v>297821.72107999999</v>
      </c>
      <c r="D580" s="370">
        <v>39778.019999999997</v>
      </c>
      <c r="E580" s="371">
        <v>0</v>
      </c>
      <c r="F580" s="371">
        <v>0</v>
      </c>
      <c r="G580" s="371">
        <v>11469.59</v>
      </c>
      <c r="H580" s="371"/>
      <c r="I580" s="371"/>
      <c r="J580" s="371"/>
      <c r="K580" s="371"/>
      <c r="L580" s="371"/>
      <c r="M580" s="371">
        <v>650000</v>
      </c>
      <c r="N580" s="371">
        <v>31000</v>
      </c>
      <c r="O580" s="371">
        <v>1600</v>
      </c>
      <c r="P580" s="371">
        <f t="shared" si="9"/>
        <v>91683</v>
      </c>
      <c r="Q580" s="381">
        <v>-40631.61</v>
      </c>
      <c r="R580" s="372">
        <v>309291.31108000001</v>
      </c>
      <c r="S580" s="400">
        <v>276087</v>
      </c>
      <c r="T580" s="400">
        <v>35390.450000000004</v>
      </c>
      <c r="U580" s="400">
        <v>0</v>
      </c>
      <c r="V580" s="400">
        <v>7288.72</v>
      </c>
      <c r="W580" s="372">
        <v>283375.71999999997</v>
      </c>
      <c r="X580" s="373">
        <v>318766.17</v>
      </c>
      <c r="Y580" s="372">
        <v>349069.33108000003</v>
      </c>
      <c r="Z580" s="373">
        <v>1082720.7210799998</v>
      </c>
      <c r="AA580" s="400">
        <v>-2120.4281620000838</v>
      </c>
      <c r="AB580" s="400">
        <v>-93.169999999998254</v>
      </c>
      <c r="AC580" s="400">
        <v>0</v>
      </c>
      <c r="AD580" s="400">
        <v>20.340000000000146</v>
      </c>
      <c r="AE580" s="372">
        <v>-2100.0881620000837</v>
      </c>
      <c r="AF580" s="372">
        <v>-2193.2581620000819</v>
      </c>
      <c r="AG580" s="400">
        <v>-1.9699999999999704</v>
      </c>
      <c r="AH580" s="374">
        <v>-6.7900005165579431E-3</v>
      </c>
      <c r="AI580" s="375">
        <v>-2.3422483069795393E-3</v>
      </c>
      <c r="AJ580" s="372">
        <v>268.04000000000002</v>
      </c>
      <c r="AK580" s="376">
        <v>-7.3496493060736098E-3</v>
      </c>
      <c r="AL580" s="376">
        <v>5.5964878951566665E-4</v>
      </c>
      <c r="AM580" s="412">
        <v>250.05979695431452</v>
      </c>
    </row>
    <row r="581" spans="2:39" s="382" customFormat="1" ht="28.15" customHeight="1" x14ac:dyDescent="0.25">
      <c r="B581" s="369">
        <v>43587</v>
      </c>
      <c r="C581" s="370">
        <v>298597.31911199994</v>
      </c>
      <c r="D581" s="370">
        <v>39661.549999999996</v>
      </c>
      <c r="E581" s="371">
        <v>0</v>
      </c>
      <c r="F581" s="371">
        <v>0</v>
      </c>
      <c r="G581" s="371">
        <v>11321.63</v>
      </c>
      <c r="H581" s="371"/>
      <c r="I581" s="371"/>
      <c r="J581" s="371"/>
      <c r="K581" s="371"/>
      <c r="L581" s="371"/>
      <c r="M581" s="371">
        <v>650000</v>
      </c>
      <c r="N581" s="371">
        <v>31000</v>
      </c>
      <c r="O581" s="371">
        <v>1600</v>
      </c>
      <c r="P581" s="371">
        <f t="shared" si="9"/>
        <v>91683</v>
      </c>
      <c r="Q581" s="381">
        <v>-40631.61</v>
      </c>
      <c r="R581" s="372">
        <v>309918.94911199994</v>
      </c>
      <c r="S581" s="400">
        <v>276087</v>
      </c>
      <c r="T581" s="400">
        <v>35390.450000000004</v>
      </c>
      <c r="U581" s="400">
        <v>0</v>
      </c>
      <c r="V581" s="400">
        <v>7288.72</v>
      </c>
      <c r="W581" s="372">
        <v>283375.71999999997</v>
      </c>
      <c r="X581" s="373">
        <v>318766.17</v>
      </c>
      <c r="Y581" s="372">
        <v>349580.49911199993</v>
      </c>
      <c r="Z581" s="373">
        <v>1083231.8891119999</v>
      </c>
      <c r="AA581" s="400">
        <v>775.59803199995076</v>
      </c>
      <c r="AB581" s="400">
        <v>-116.47000000000116</v>
      </c>
      <c r="AC581" s="400">
        <v>0</v>
      </c>
      <c r="AD581" s="400">
        <v>-147.96000000000095</v>
      </c>
      <c r="AE581" s="372">
        <v>627.63803199994982</v>
      </c>
      <c r="AF581" s="372">
        <v>511.16803199994865</v>
      </c>
      <c r="AG581" s="400">
        <v>-0.53000000000002956</v>
      </c>
      <c r="AH581" s="374">
        <v>2.0251683022232082E-3</v>
      </c>
      <c r="AI581" s="375">
        <v>-2.9365972837673057E-3</v>
      </c>
      <c r="AJ581" s="372">
        <v>267.51</v>
      </c>
      <c r="AK581" s="376">
        <v>-1.981234346379685E-3</v>
      </c>
      <c r="AL581" s="376">
        <v>4.0064026486028928E-3</v>
      </c>
      <c r="AM581" s="412">
        <v>250.11289340101507</v>
      </c>
    </row>
    <row r="582" spans="2:39" s="382" customFormat="1" ht="28.15" customHeight="1" x14ac:dyDescent="0.25">
      <c r="B582" s="369">
        <v>43588</v>
      </c>
      <c r="C582" s="370">
        <v>299135.80216600001</v>
      </c>
      <c r="D582" s="370">
        <v>39859.949999999997</v>
      </c>
      <c r="E582" s="371">
        <v>0</v>
      </c>
      <c r="F582" s="371">
        <v>0</v>
      </c>
      <c r="G582" s="371">
        <v>11355.45</v>
      </c>
      <c r="H582" s="371"/>
      <c r="I582" s="371"/>
      <c r="J582" s="371"/>
      <c r="K582" s="371"/>
      <c r="L582" s="371"/>
      <c r="M582" s="371">
        <v>650000</v>
      </c>
      <c r="N582" s="371">
        <v>31000</v>
      </c>
      <c r="O582" s="371">
        <v>1600</v>
      </c>
      <c r="P582" s="371">
        <f t="shared" si="9"/>
        <v>91683</v>
      </c>
      <c r="Q582" s="381">
        <v>-40631.61</v>
      </c>
      <c r="R582" s="372">
        <v>310491.25216600002</v>
      </c>
      <c r="S582" s="400">
        <v>276087</v>
      </c>
      <c r="T582" s="400">
        <v>35390.450000000004</v>
      </c>
      <c r="U582" s="400">
        <v>0</v>
      </c>
      <c r="V582" s="400">
        <v>7288.72</v>
      </c>
      <c r="W582" s="372">
        <v>283375.71999999997</v>
      </c>
      <c r="X582" s="373">
        <v>318766.17</v>
      </c>
      <c r="Y582" s="372">
        <v>350351.20216600003</v>
      </c>
      <c r="Z582" s="373">
        <v>1084002.5921659998</v>
      </c>
      <c r="AA582" s="400">
        <v>538.48305400006939</v>
      </c>
      <c r="AB582" s="400">
        <v>198.40000000000146</v>
      </c>
      <c r="AC582" s="400">
        <v>0</v>
      </c>
      <c r="AD582" s="400">
        <v>33.820000000001528</v>
      </c>
      <c r="AE582" s="372">
        <v>572.30305400007092</v>
      </c>
      <c r="AF582" s="372">
        <v>770.70305400007237</v>
      </c>
      <c r="AG582" s="400">
        <v>2.5400000000000205</v>
      </c>
      <c r="AH582" s="374">
        <v>1.8432179651042043E-3</v>
      </c>
      <c r="AI582" s="375">
        <v>4.9774272170437107E-3</v>
      </c>
      <c r="AJ582" s="372">
        <v>270.05</v>
      </c>
      <c r="AK582" s="376">
        <v>9.4056656174783208E-3</v>
      </c>
      <c r="AL582" s="376">
        <v>-7.5624476523741165E-3</v>
      </c>
      <c r="AM582" s="412">
        <v>250.16284263959372</v>
      </c>
    </row>
    <row r="583" spans="2:39" s="382" customFormat="1" ht="28.15" customHeight="1" x14ac:dyDescent="0.25">
      <c r="B583" s="378">
        <v>43589</v>
      </c>
      <c r="C583" s="370">
        <v>299135.80216600001</v>
      </c>
      <c r="D583" s="370">
        <v>39859.949999999997</v>
      </c>
      <c r="E583" s="371">
        <v>0</v>
      </c>
      <c r="F583" s="371">
        <v>0</v>
      </c>
      <c r="G583" s="371">
        <v>11355.45</v>
      </c>
      <c r="H583" s="371"/>
      <c r="I583" s="371"/>
      <c r="J583" s="371"/>
      <c r="K583" s="371"/>
      <c r="L583" s="371"/>
      <c r="M583" s="371">
        <v>650000</v>
      </c>
      <c r="N583" s="371">
        <v>31000</v>
      </c>
      <c r="O583" s="371">
        <v>1600</v>
      </c>
      <c r="P583" s="371">
        <f t="shared" si="9"/>
        <v>91683</v>
      </c>
      <c r="Q583" s="381">
        <v>-40631.61</v>
      </c>
      <c r="R583" s="372">
        <v>310491.25216600002</v>
      </c>
      <c r="S583" s="400">
        <v>276087</v>
      </c>
      <c r="T583" s="400">
        <v>35390.450000000004</v>
      </c>
      <c r="U583" s="400">
        <v>0</v>
      </c>
      <c r="V583" s="400">
        <v>7288.72</v>
      </c>
      <c r="W583" s="372">
        <v>283375.71999999997</v>
      </c>
      <c r="X583" s="373">
        <v>318766.17</v>
      </c>
      <c r="Y583" s="372">
        <v>350351.20216600003</v>
      </c>
      <c r="Z583" s="373">
        <v>1084002.5921659998</v>
      </c>
      <c r="AA583" s="400">
        <v>0</v>
      </c>
      <c r="AB583" s="400">
        <v>0</v>
      </c>
      <c r="AC583" s="400">
        <v>0</v>
      </c>
      <c r="AD583" s="400">
        <v>0</v>
      </c>
      <c r="AE583" s="372">
        <v>0</v>
      </c>
      <c r="AF583" s="372">
        <v>0</v>
      </c>
      <c r="AG583" s="400">
        <v>0</v>
      </c>
      <c r="AH583" s="374">
        <v>0</v>
      </c>
      <c r="AI583" s="375">
        <v>0</v>
      </c>
      <c r="AJ583" s="372">
        <v>270.05</v>
      </c>
      <c r="AK583" s="376">
        <v>0</v>
      </c>
      <c r="AL583" s="376">
        <v>0</v>
      </c>
      <c r="AM583" s="412">
        <v>250.2440609137054</v>
      </c>
    </row>
    <row r="584" spans="2:39" s="382" customFormat="1" ht="28.15" customHeight="1" x14ac:dyDescent="0.25">
      <c r="B584" s="378">
        <v>43590</v>
      </c>
      <c r="C584" s="370">
        <v>299135.80216600001</v>
      </c>
      <c r="D584" s="370">
        <v>39859.949999999997</v>
      </c>
      <c r="E584" s="371">
        <v>0</v>
      </c>
      <c r="F584" s="371">
        <v>0</v>
      </c>
      <c r="G584" s="371">
        <v>11355.45</v>
      </c>
      <c r="H584" s="371"/>
      <c r="I584" s="371"/>
      <c r="J584" s="371"/>
      <c r="K584" s="371"/>
      <c r="L584" s="371"/>
      <c r="M584" s="371">
        <v>650000</v>
      </c>
      <c r="N584" s="371">
        <v>31000</v>
      </c>
      <c r="O584" s="371">
        <v>1600</v>
      </c>
      <c r="P584" s="371">
        <f t="shared" si="9"/>
        <v>91683</v>
      </c>
      <c r="Q584" s="381">
        <v>-40631.61</v>
      </c>
      <c r="R584" s="372">
        <v>310491.25216600002</v>
      </c>
      <c r="S584" s="400">
        <v>276087</v>
      </c>
      <c r="T584" s="400">
        <v>35390.450000000004</v>
      </c>
      <c r="U584" s="400">
        <v>0</v>
      </c>
      <c r="V584" s="400">
        <v>7288.72</v>
      </c>
      <c r="W584" s="372">
        <v>283375.71999999997</v>
      </c>
      <c r="X584" s="373">
        <v>318766.17</v>
      </c>
      <c r="Y584" s="372">
        <v>350351.20216600003</v>
      </c>
      <c r="Z584" s="373">
        <v>1084002.5921659998</v>
      </c>
      <c r="AA584" s="400">
        <v>0</v>
      </c>
      <c r="AB584" s="400">
        <v>0</v>
      </c>
      <c r="AC584" s="400">
        <v>0</v>
      </c>
      <c r="AD584" s="400">
        <v>0</v>
      </c>
      <c r="AE584" s="372">
        <v>0</v>
      </c>
      <c r="AF584" s="372">
        <v>0</v>
      </c>
      <c r="AG584" s="400">
        <v>0</v>
      </c>
      <c r="AH584" s="374">
        <v>0</v>
      </c>
      <c r="AI584" s="375">
        <v>0</v>
      </c>
      <c r="AJ584" s="372">
        <v>270.05</v>
      </c>
      <c r="AK584" s="376">
        <v>0</v>
      </c>
      <c r="AL584" s="376">
        <v>0</v>
      </c>
      <c r="AM584" s="412">
        <v>250.32629441624351</v>
      </c>
    </row>
    <row r="585" spans="2:39" s="382" customFormat="1" ht="28.15" customHeight="1" x14ac:dyDescent="0.25">
      <c r="B585" s="369">
        <v>43591</v>
      </c>
      <c r="C585" s="370">
        <v>298719.47931200004</v>
      </c>
      <c r="D585" s="370">
        <v>39804.1</v>
      </c>
      <c r="E585" s="371">
        <v>0</v>
      </c>
      <c r="F585" s="371">
        <v>0</v>
      </c>
      <c r="G585" s="371">
        <v>11446.23</v>
      </c>
      <c r="H585" s="371">
        <v>875</v>
      </c>
      <c r="I585" s="371"/>
      <c r="J585" s="371"/>
      <c r="K585" s="371"/>
      <c r="L585" s="371"/>
      <c r="M585" s="371">
        <v>650000</v>
      </c>
      <c r="N585" s="371">
        <v>31000</v>
      </c>
      <c r="O585" s="371">
        <v>1600</v>
      </c>
      <c r="P585" s="371">
        <f t="shared" si="9"/>
        <v>91683</v>
      </c>
      <c r="Q585" s="381">
        <v>-40631.61</v>
      </c>
      <c r="R585" s="372">
        <v>310165.70931200002</v>
      </c>
      <c r="S585" s="400">
        <v>276962</v>
      </c>
      <c r="T585" s="400">
        <v>35390.450000000004</v>
      </c>
      <c r="U585" s="400">
        <v>0</v>
      </c>
      <c r="V585" s="400">
        <v>7288.72</v>
      </c>
      <c r="W585" s="372">
        <v>284250.71999999997</v>
      </c>
      <c r="X585" s="373">
        <v>319641.17</v>
      </c>
      <c r="Y585" s="372">
        <v>349969.809312</v>
      </c>
      <c r="Z585" s="373">
        <v>1083621.1993119998</v>
      </c>
      <c r="AA585" s="400">
        <v>-1291.3228539999691</v>
      </c>
      <c r="AB585" s="400">
        <v>-55.849999999998545</v>
      </c>
      <c r="AC585" s="400">
        <v>0</v>
      </c>
      <c r="AD585" s="400">
        <v>90.779999999998836</v>
      </c>
      <c r="AE585" s="372">
        <v>-1200.5428539999702</v>
      </c>
      <c r="AF585" s="372">
        <v>-1256.3928539999688</v>
      </c>
      <c r="AG585" s="400">
        <v>-1.0699999999999932</v>
      </c>
      <c r="AH585" s="374">
        <v>-3.8706498428307153E-3</v>
      </c>
      <c r="AI585" s="375">
        <v>-1.4031217889614021E-3</v>
      </c>
      <c r="AJ585" s="372">
        <v>268.98</v>
      </c>
      <c r="AK585" s="376">
        <v>-3.9779909286935576E-3</v>
      </c>
      <c r="AL585" s="376">
        <v>1.0734108586284239E-4</v>
      </c>
      <c r="AM585" s="412">
        <v>250.4085279187816</v>
      </c>
    </row>
    <row r="586" spans="2:39" s="382" customFormat="1" ht="28.15" customHeight="1" x14ac:dyDescent="0.25">
      <c r="B586" s="369">
        <v>43592</v>
      </c>
      <c r="C586" s="370">
        <v>295191.92061199993</v>
      </c>
      <c r="D586" s="370">
        <v>39525.64</v>
      </c>
      <c r="E586" s="371">
        <v>0</v>
      </c>
      <c r="F586" s="371">
        <v>0</v>
      </c>
      <c r="G586" s="371">
        <v>11405.26</v>
      </c>
      <c r="H586" s="371"/>
      <c r="I586" s="371"/>
      <c r="J586" s="371"/>
      <c r="K586" s="371"/>
      <c r="L586" s="371"/>
      <c r="M586" s="371">
        <v>650000</v>
      </c>
      <c r="N586" s="371">
        <v>31000</v>
      </c>
      <c r="O586" s="371">
        <v>1600</v>
      </c>
      <c r="P586" s="371">
        <f t="shared" si="9"/>
        <v>91683</v>
      </c>
      <c r="Q586" s="381">
        <v>-32631.61</v>
      </c>
      <c r="R586" s="372">
        <v>306597.18061199994</v>
      </c>
      <c r="S586" s="400">
        <v>276962</v>
      </c>
      <c r="T586" s="400">
        <v>35390.450000000004</v>
      </c>
      <c r="U586" s="400">
        <v>0</v>
      </c>
      <c r="V586" s="400">
        <v>7288.72</v>
      </c>
      <c r="W586" s="372">
        <v>284250.71999999997</v>
      </c>
      <c r="X586" s="373">
        <v>319641.17</v>
      </c>
      <c r="Y586" s="372">
        <v>346122.82061199995</v>
      </c>
      <c r="Z586" s="373">
        <v>1087774.2106119997</v>
      </c>
      <c r="AA586" s="400">
        <v>-3527.5587000001105</v>
      </c>
      <c r="AB586" s="400">
        <v>-278.45999999999913</v>
      </c>
      <c r="AC586" s="400">
        <v>0</v>
      </c>
      <c r="AD586" s="400">
        <v>-40.969999999999345</v>
      </c>
      <c r="AE586" s="372">
        <v>-3568.5287000001099</v>
      </c>
      <c r="AF586" s="372">
        <v>-3846.988700000109</v>
      </c>
      <c r="AG586" s="400">
        <v>-4.3600000000000136</v>
      </c>
      <c r="AH586" s="374">
        <v>-1.163914388539697E-2</v>
      </c>
      <c r="AI586" s="375">
        <v>-7.0450472149217354E-3</v>
      </c>
      <c r="AJ586" s="372">
        <v>264.62</v>
      </c>
      <c r="AK586" s="376">
        <v>-1.6476456805985994E-2</v>
      </c>
      <c r="AL586" s="376">
        <v>4.8373129205890233E-3</v>
      </c>
      <c r="AM586" s="412">
        <v>250.48532994923846</v>
      </c>
    </row>
    <row r="587" spans="2:39" s="382" customFormat="1" ht="28.15" customHeight="1" x14ac:dyDescent="0.25">
      <c r="B587" s="369">
        <v>43593</v>
      </c>
      <c r="C587" s="370">
        <v>295805.13288599998</v>
      </c>
      <c r="D587" s="370">
        <v>39476.68</v>
      </c>
      <c r="E587" s="371">
        <v>0</v>
      </c>
      <c r="F587" s="371">
        <v>0</v>
      </c>
      <c r="G587" s="371">
        <v>11226.66</v>
      </c>
      <c r="H587" s="371"/>
      <c r="I587" s="371"/>
      <c r="J587" s="371"/>
      <c r="K587" s="371"/>
      <c r="L587" s="371"/>
      <c r="M587" s="371">
        <v>650000</v>
      </c>
      <c r="N587" s="371">
        <v>31000</v>
      </c>
      <c r="O587" s="371">
        <v>1600</v>
      </c>
      <c r="P587" s="371">
        <f t="shared" si="9"/>
        <v>91683</v>
      </c>
      <c r="Q587" s="381">
        <v>-32631.61</v>
      </c>
      <c r="R587" s="372">
        <v>307031.79288599995</v>
      </c>
      <c r="S587" s="400">
        <v>276962</v>
      </c>
      <c r="T587" s="400">
        <v>35390.450000000004</v>
      </c>
      <c r="U587" s="400">
        <v>0</v>
      </c>
      <c r="V587" s="400">
        <v>7288.72</v>
      </c>
      <c r="W587" s="372">
        <v>284250.71999999997</v>
      </c>
      <c r="X587" s="373">
        <v>319641.17</v>
      </c>
      <c r="Y587" s="372">
        <v>346508.47288599994</v>
      </c>
      <c r="Z587" s="373">
        <v>1088159.8628859997</v>
      </c>
      <c r="AA587" s="400">
        <v>613.21227400004864</v>
      </c>
      <c r="AB587" s="400">
        <v>-48.959999999999127</v>
      </c>
      <c r="AC587" s="400">
        <v>0</v>
      </c>
      <c r="AD587" s="400">
        <v>-178.60000000000036</v>
      </c>
      <c r="AE587" s="372">
        <v>434.61227400004827</v>
      </c>
      <c r="AF587" s="372">
        <v>385.65227400004915</v>
      </c>
      <c r="AG587" s="400">
        <v>-0.51999999999998181</v>
      </c>
      <c r="AH587" s="374">
        <v>1.4155285676275831E-3</v>
      </c>
      <c r="AI587" s="375">
        <v>-1.2402258751242285E-3</v>
      </c>
      <c r="AJ587" s="372">
        <v>264.10000000000002</v>
      </c>
      <c r="AK587" s="376">
        <v>-1.9689511548655124E-3</v>
      </c>
      <c r="AL587" s="376">
        <v>3.3844797224930954E-3</v>
      </c>
      <c r="AM587" s="412">
        <v>250.54532994923849</v>
      </c>
    </row>
    <row r="588" spans="2:39" s="382" customFormat="1" ht="28.15" customHeight="1" x14ac:dyDescent="0.25">
      <c r="B588" s="369">
        <v>43594</v>
      </c>
      <c r="C588" s="370">
        <v>296161.00959699997</v>
      </c>
      <c r="D588" s="370">
        <v>39395.509999999995</v>
      </c>
      <c r="E588" s="371">
        <v>0</v>
      </c>
      <c r="F588" s="371">
        <v>0</v>
      </c>
      <c r="G588" s="371">
        <v>11188.68</v>
      </c>
      <c r="H588" s="371"/>
      <c r="I588" s="371"/>
      <c r="J588" s="371"/>
      <c r="K588" s="371"/>
      <c r="L588" s="371"/>
      <c r="M588" s="371">
        <v>650000</v>
      </c>
      <c r="N588" s="371">
        <v>31000</v>
      </c>
      <c r="O588" s="371">
        <v>1600</v>
      </c>
      <c r="P588" s="371">
        <f t="shared" si="9"/>
        <v>91683</v>
      </c>
      <c r="Q588" s="381">
        <v>-32631.61</v>
      </c>
      <c r="R588" s="372">
        <v>307349.68959699996</v>
      </c>
      <c r="S588" s="400">
        <v>276962</v>
      </c>
      <c r="T588" s="400">
        <v>35390.450000000004</v>
      </c>
      <c r="U588" s="400">
        <v>0</v>
      </c>
      <c r="V588" s="400">
        <v>7288.72</v>
      </c>
      <c r="W588" s="372">
        <v>284250.71999999997</v>
      </c>
      <c r="X588" s="373">
        <v>319641.17</v>
      </c>
      <c r="Y588" s="372">
        <v>346745.19959699997</v>
      </c>
      <c r="Z588" s="373">
        <v>1088396.5895969998</v>
      </c>
      <c r="AA588" s="400">
        <v>355.87671099998988</v>
      </c>
      <c r="AB588" s="400">
        <v>-81.17000000000553</v>
      </c>
      <c r="AC588" s="400">
        <v>0</v>
      </c>
      <c r="AD588" s="400">
        <v>-37.979999999999563</v>
      </c>
      <c r="AE588" s="372">
        <v>317.89671099999032</v>
      </c>
      <c r="AF588" s="372">
        <v>236.72671099998479</v>
      </c>
      <c r="AG588" s="400">
        <v>-0.81000000000000227</v>
      </c>
      <c r="AH588" s="374">
        <v>1.0343160307622881E-3</v>
      </c>
      <c r="AI588" s="375">
        <v>-2.0603870847212169E-3</v>
      </c>
      <c r="AJ588" s="372">
        <v>263.29000000000002</v>
      </c>
      <c r="AK588" s="376">
        <v>-3.0764556192791302E-3</v>
      </c>
      <c r="AL588" s="376">
        <v>4.1107716500414183E-3</v>
      </c>
      <c r="AM588" s="412">
        <v>250.61040609137049</v>
      </c>
    </row>
    <row r="589" spans="2:39" s="382" customFormat="1" ht="28.15" customHeight="1" x14ac:dyDescent="0.25">
      <c r="B589" s="369">
        <v>43595</v>
      </c>
      <c r="C589" s="370">
        <v>294882.88636399998</v>
      </c>
      <c r="D589" s="370">
        <v>39350.869999999995</v>
      </c>
      <c r="E589" s="371">
        <v>0</v>
      </c>
      <c r="F589" s="371">
        <v>0</v>
      </c>
      <c r="G589" s="371">
        <v>11205.09</v>
      </c>
      <c r="H589" s="371"/>
      <c r="I589" s="371"/>
      <c r="J589" s="371"/>
      <c r="K589" s="371"/>
      <c r="L589" s="371"/>
      <c r="M589" s="371">
        <v>650000</v>
      </c>
      <c r="N589" s="371">
        <v>31000</v>
      </c>
      <c r="O589" s="371">
        <v>1600</v>
      </c>
      <c r="P589" s="371">
        <f t="shared" si="9"/>
        <v>91683</v>
      </c>
      <c r="Q589" s="381">
        <v>-32631.61</v>
      </c>
      <c r="R589" s="372">
        <v>306087.976364</v>
      </c>
      <c r="S589" s="400">
        <v>276962</v>
      </c>
      <c r="T589" s="400">
        <v>35390.450000000004</v>
      </c>
      <c r="U589" s="400">
        <v>0</v>
      </c>
      <c r="V589" s="400">
        <v>7288.72</v>
      </c>
      <c r="W589" s="372">
        <v>284250.71999999997</v>
      </c>
      <c r="X589" s="373">
        <v>319641.17</v>
      </c>
      <c r="Y589" s="372">
        <v>345438.846364</v>
      </c>
      <c r="Z589" s="373">
        <v>1087090.2363639998</v>
      </c>
      <c r="AA589" s="400">
        <v>-1278.1232329999912</v>
      </c>
      <c r="AB589" s="400">
        <v>-44.639999999999418</v>
      </c>
      <c r="AC589" s="400">
        <v>0</v>
      </c>
      <c r="AD589" s="400">
        <v>16.409999999999854</v>
      </c>
      <c r="AE589" s="372">
        <v>-1261.7132329999913</v>
      </c>
      <c r="AF589" s="372">
        <v>-1306.3532329999907</v>
      </c>
      <c r="AG589" s="400">
        <v>1.2299999999999613</v>
      </c>
      <c r="AH589" s="374">
        <v>-4.1220607486377094E-3</v>
      </c>
      <c r="AI589" s="375">
        <v>-1.1344094806544156E-3</v>
      </c>
      <c r="AJ589" s="372">
        <v>264.52</v>
      </c>
      <c r="AK589" s="376">
        <v>4.6499319522151873E-3</v>
      </c>
      <c r="AL589" s="376">
        <v>-8.7719927008528958E-3</v>
      </c>
      <c r="AM589" s="412">
        <v>250.70944162436541</v>
      </c>
    </row>
    <row r="590" spans="2:39" s="382" customFormat="1" ht="28.15" customHeight="1" x14ac:dyDescent="0.25">
      <c r="B590" s="378">
        <v>43596</v>
      </c>
      <c r="C590" s="370">
        <v>294882.88636399998</v>
      </c>
      <c r="D590" s="370">
        <v>39350.869999999995</v>
      </c>
      <c r="E590" s="371">
        <v>0</v>
      </c>
      <c r="F590" s="371">
        <v>0</v>
      </c>
      <c r="G590" s="371">
        <v>11205.09</v>
      </c>
      <c r="H590" s="371"/>
      <c r="I590" s="371"/>
      <c r="J590" s="371"/>
      <c r="K590" s="371"/>
      <c r="L590" s="371"/>
      <c r="M590" s="371">
        <v>650000</v>
      </c>
      <c r="N590" s="371">
        <v>31000</v>
      </c>
      <c r="O590" s="371">
        <v>1600</v>
      </c>
      <c r="P590" s="371">
        <f t="shared" si="9"/>
        <v>91683</v>
      </c>
      <c r="Q590" s="381">
        <v>-32631.61</v>
      </c>
      <c r="R590" s="372">
        <v>306087.976364</v>
      </c>
      <c r="S590" s="400">
        <v>276962</v>
      </c>
      <c r="T590" s="400">
        <v>35390.450000000004</v>
      </c>
      <c r="U590" s="400">
        <v>0</v>
      </c>
      <c r="V590" s="400">
        <v>7288.72</v>
      </c>
      <c r="W590" s="372">
        <v>284250.71999999997</v>
      </c>
      <c r="X590" s="373">
        <v>319641.17</v>
      </c>
      <c r="Y590" s="372">
        <v>345438.846364</v>
      </c>
      <c r="Z590" s="373">
        <v>1087090.2363639998</v>
      </c>
      <c r="AA590" s="400">
        <v>0</v>
      </c>
      <c r="AB590" s="400">
        <v>0</v>
      </c>
      <c r="AC590" s="400">
        <v>0</v>
      </c>
      <c r="AD590" s="400">
        <v>0</v>
      </c>
      <c r="AE590" s="372">
        <v>0</v>
      </c>
      <c r="AF590" s="372">
        <v>0</v>
      </c>
      <c r="AG590" s="400">
        <v>0</v>
      </c>
      <c r="AH590" s="374">
        <v>0</v>
      </c>
      <c r="AI590" s="375">
        <v>0</v>
      </c>
      <c r="AJ590" s="372">
        <v>264.52</v>
      </c>
      <c r="AK590" s="376">
        <v>0</v>
      </c>
      <c r="AL590" s="376">
        <v>0</v>
      </c>
      <c r="AM590" s="412">
        <v>250.79253807106591</v>
      </c>
    </row>
    <row r="591" spans="2:39" s="382" customFormat="1" ht="28.15" customHeight="1" x14ac:dyDescent="0.25">
      <c r="B591" s="378">
        <v>43597</v>
      </c>
      <c r="C591" s="370">
        <v>294882.88636399998</v>
      </c>
      <c r="D591" s="370">
        <v>39350.869999999995</v>
      </c>
      <c r="E591" s="371">
        <v>0</v>
      </c>
      <c r="F591" s="371">
        <v>0</v>
      </c>
      <c r="G591" s="371">
        <v>11205.09</v>
      </c>
      <c r="H591" s="371"/>
      <c r="I591" s="371"/>
      <c r="J591" s="371"/>
      <c r="K591" s="371"/>
      <c r="L591" s="371"/>
      <c r="M591" s="371">
        <v>650000</v>
      </c>
      <c r="N591" s="371">
        <v>31000</v>
      </c>
      <c r="O591" s="371">
        <v>1600</v>
      </c>
      <c r="P591" s="371">
        <f t="shared" si="9"/>
        <v>91683</v>
      </c>
      <c r="Q591" s="381">
        <v>-32631.61</v>
      </c>
      <c r="R591" s="372">
        <v>306087.976364</v>
      </c>
      <c r="S591" s="400">
        <v>276962</v>
      </c>
      <c r="T591" s="400">
        <v>35390.450000000004</v>
      </c>
      <c r="U591" s="400">
        <v>0</v>
      </c>
      <c r="V591" s="400">
        <v>7288.72</v>
      </c>
      <c r="W591" s="372">
        <v>284250.71999999997</v>
      </c>
      <c r="X591" s="373">
        <v>319641.17</v>
      </c>
      <c r="Y591" s="372">
        <v>345438.846364</v>
      </c>
      <c r="Z591" s="373">
        <v>1087090.2363639998</v>
      </c>
      <c r="AA591" s="400">
        <v>0</v>
      </c>
      <c r="AB591" s="400">
        <v>0</v>
      </c>
      <c r="AC591" s="400">
        <v>0</v>
      </c>
      <c r="AD591" s="400">
        <v>0</v>
      </c>
      <c r="AE591" s="372">
        <v>0</v>
      </c>
      <c r="AF591" s="372">
        <v>0</v>
      </c>
      <c r="AG591" s="400">
        <v>0</v>
      </c>
      <c r="AH591" s="374">
        <v>0</v>
      </c>
      <c r="AI591" s="375">
        <v>0</v>
      </c>
      <c r="AJ591" s="372">
        <v>264.52</v>
      </c>
      <c r="AK591" s="376">
        <v>0</v>
      </c>
      <c r="AL591" s="376">
        <v>0</v>
      </c>
      <c r="AM591" s="412">
        <v>250.89791878172582</v>
      </c>
    </row>
    <row r="592" spans="2:39" s="382" customFormat="1" ht="28.15" customHeight="1" x14ac:dyDescent="0.25">
      <c r="B592" s="369">
        <v>43598</v>
      </c>
      <c r="C592" s="370">
        <v>294918.68924699997</v>
      </c>
      <c r="D592" s="370">
        <v>39362.76</v>
      </c>
      <c r="E592" s="371">
        <v>0</v>
      </c>
      <c r="F592" s="371">
        <v>0</v>
      </c>
      <c r="G592" s="370">
        <v>11141.39</v>
      </c>
      <c r="H592" s="371"/>
      <c r="I592" s="371"/>
      <c r="J592" s="371"/>
      <c r="K592" s="371"/>
      <c r="L592" s="371"/>
      <c r="M592" s="371">
        <v>650000</v>
      </c>
      <c r="N592" s="371">
        <v>31000</v>
      </c>
      <c r="O592" s="371">
        <v>1600</v>
      </c>
      <c r="P592" s="371">
        <f t="shared" si="9"/>
        <v>91683</v>
      </c>
      <c r="Q592" s="381">
        <v>-32631.61</v>
      </c>
      <c r="R592" s="372">
        <v>306060.07924699999</v>
      </c>
      <c r="S592" s="400">
        <v>276962</v>
      </c>
      <c r="T592" s="400">
        <v>35390.450000000004</v>
      </c>
      <c r="U592" s="400">
        <v>0</v>
      </c>
      <c r="V592" s="400">
        <v>7288.72</v>
      </c>
      <c r="W592" s="372">
        <v>284250.71999999997</v>
      </c>
      <c r="X592" s="373">
        <v>319641.17</v>
      </c>
      <c r="Y592" s="372">
        <v>345422.839247</v>
      </c>
      <c r="Z592" s="373">
        <v>1087074.2292469998</v>
      </c>
      <c r="AA592" s="400">
        <v>35.802882999996655</v>
      </c>
      <c r="AB592" s="400">
        <v>11.890000000006694</v>
      </c>
      <c r="AC592" s="400">
        <v>0</v>
      </c>
      <c r="AD592" s="400">
        <v>-63.700000000000728</v>
      </c>
      <c r="AE592" s="372">
        <v>-27.897117000004073</v>
      </c>
      <c r="AF592" s="372">
        <v>-16.007116999997379</v>
      </c>
      <c r="AG592" s="400">
        <v>-6.4900000000000091</v>
      </c>
      <c r="AH592" s="374">
        <v>-9.1149153031128355E-5</v>
      </c>
      <c r="AI592" s="375">
        <v>3.0206215214600534E-4</v>
      </c>
      <c r="AJ592" s="372">
        <v>258.02999999999997</v>
      </c>
      <c r="AK592" s="376">
        <v>-2.5152114095260279E-2</v>
      </c>
      <c r="AL592" s="376">
        <v>2.506096494222915E-2</v>
      </c>
      <c r="AM592" s="412">
        <v>251.00329949238568</v>
      </c>
    </row>
    <row r="593" spans="2:39" s="382" customFormat="1" ht="28.15" customHeight="1" x14ac:dyDescent="0.25">
      <c r="B593" s="369">
        <v>43599</v>
      </c>
      <c r="C593" s="370">
        <v>298014.90811199998</v>
      </c>
      <c r="D593" s="370">
        <v>39486.080000000002</v>
      </c>
      <c r="E593" s="371">
        <v>0</v>
      </c>
      <c r="F593" s="371">
        <v>0</v>
      </c>
      <c r="G593" s="370">
        <v>10890.62</v>
      </c>
      <c r="H593" s="371"/>
      <c r="I593" s="371"/>
      <c r="J593" s="371"/>
      <c r="K593" s="371"/>
      <c r="L593" s="371"/>
      <c r="M593" s="371">
        <v>650000</v>
      </c>
      <c r="N593" s="371">
        <v>31000</v>
      </c>
      <c r="O593" s="371">
        <v>1600</v>
      </c>
      <c r="P593" s="371">
        <f t="shared" si="9"/>
        <v>91683</v>
      </c>
      <c r="Q593" s="381">
        <v>-32631.61</v>
      </c>
      <c r="R593" s="372">
        <v>308905.52811199997</v>
      </c>
      <c r="S593" s="400">
        <v>276962</v>
      </c>
      <c r="T593" s="400">
        <v>35390.450000000004</v>
      </c>
      <c r="U593" s="400">
        <v>0</v>
      </c>
      <c r="V593" s="400">
        <v>7288.72</v>
      </c>
      <c r="W593" s="372">
        <v>284250.71999999997</v>
      </c>
      <c r="X593" s="373">
        <v>319641.17</v>
      </c>
      <c r="Y593" s="372">
        <v>348391.60811199999</v>
      </c>
      <c r="Z593" s="373">
        <v>1090042.9981119998</v>
      </c>
      <c r="AA593" s="400">
        <v>3096.2188650000026</v>
      </c>
      <c r="AB593" s="400">
        <v>123.31999999999971</v>
      </c>
      <c r="AC593" s="400">
        <v>0</v>
      </c>
      <c r="AD593" s="400">
        <v>-250.76999999999862</v>
      </c>
      <c r="AE593" s="372">
        <v>2845.4488650000039</v>
      </c>
      <c r="AF593" s="372">
        <v>2968.7688650000036</v>
      </c>
      <c r="AG593" s="400">
        <v>2.2400000000000091</v>
      </c>
      <c r="AH593" s="374">
        <v>9.2113886157722917E-3</v>
      </c>
      <c r="AI593" s="375">
        <v>3.1231259218438422E-3</v>
      </c>
      <c r="AJ593" s="372">
        <v>260.27</v>
      </c>
      <c r="AK593" s="376">
        <v>8.6064471510354981E-3</v>
      </c>
      <c r="AL593" s="376">
        <v>6.0494146473679365E-4</v>
      </c>
      <c r="AM593" s="412">
        <v>251.07573604060906</v>
      </c>
    </row>
    <row r="594" spans="2:39" s="382" customFormat="1" ht="28.15" customHeight="1" x14ac:dyDescent="0.25">
      <c r="B594" s="369">
        <v>43600</v>
      </c>
      <c r="C594" s="370">
        <v>297799.64178000001</v>
      </c>
      <c r="D594" s="370">
        <v>39665.64</v>
      </c>
      <c r="E594" s="371">
        <v>0</v>
      </c>
      <c r="F594" s="371">
        <v>0</v>
      </c>
      <c r="G594" s="370">
        <v>12596.9</v>
      </c>
      <c r="H594" s="371"/>
      <c r="I594" s="371"/>
      <c r="J594" s="371"/>
      <c r="K594" s="371"/>
      <c r="L594" s="371">
        <v>1822.18</v>
      </c>
      <c r="M594" s="371">
        <v>650000</v>
      </c>
      <c r="N594" s="371">
        <v>31000</v>
      </c>
      <c r="O594" s="371">
        <v>1600</v>
      </c>
      <c r="P594" s="371">
        <f t="shared" si="9"/>
        <v>91683</v>
      </c>
      <c r="Q594" s="381">
        <v>-32631.61</v>
      </c>
      <c r="R594" s="372">
        <v>310396.54178000003</v>
      </c>
      <c r="S594" s="400">
        <v>276962</v>
      </c>
      <c r="T594" s="400">
        <v>35390.450000000004</v>
      </c>
      <c r="U594" s="400">
        <v>0</v>
      </c>
      <c r="V594" s="400">
        <v>9110.9</v>
      </c>
      <c r="W594" s="372">
        <v>286072.90000000002</v>
      </c>
      <c r="X594" s="373">
        <v>321463.35000000003</v>
      </c>
      <c r="Y594" s="372">
        <v>350062.18178000004</v>
      </c>
      <c r="Z594" s="373">
        <v>1091713.5717799999</v>
      </c>
      <c r="AA594" s="400">
        <v>-215.26633199997013</v>
      </c>
      <c r="AB594" s="400">
        <v>179.55999999999767</v>
      </c>
      <c r="AC594" s="400">
        <v>0</v>
      </c>
      <c r="AD594" s="400">
        <v>-115.90000000000123</v>
      </c>
      <c r="AE594" s="372">
        <v>-331.16633199997136</v>
      </c>
      <c r="AF594" s="372">
        <v>-151.60633199997369</v>
      </c>
      <c r="AG594" s="400">
        <v>1.5400000000000205</v>
      </c>
      <c r="AH594" s="374">
        <v>-1.0669137294535076E-3</v>
      </c>
      <c r="AI594" s="375">
        <v>4.5268398543423898E-3</v>
      </c>
      <c r="AJ594" s="372">
        <v>261.81</v>
      </c>
      <c r="AK594" s="376">
        <v>5.8821282609526774E-3</v>
      </c>
      <c r="AL594" s="376">
        <v>-6.9490419904061854E-3</v>
      </c>
      <c r="AM594" s="412">
        <v>251.16593908629432</v>
      </c>
    </row>
    <row r="595" spans="2:39" s="382" customFormat="1" ht="28.15" customHeight="1" x14ac:dyDescent="0.25">
      <c r="B595" s="369">
        <v>43601</v>
      </c>
      <c r="C595" s="370">
        <v>298999.06000100001</v>
      </c>
      <c r="D595" s="370">
        <v>40048.44</v>
      </c>
      <c r="E595" s="371">
        <v>0</v>
      </c>
      <c r="F595" s="371">
        <v>0</v>
      </c>
      <c r="G595" s="370">
        <v>12702.25</v>
      </c>
      <c r="H595" s="371"/>
      <c r="I595" s="371">
        <v>210</v>
      </c>
      <c r="J595" s="371"/>
      <c r="K595" s="371"/>
      <c r="L595" s="371"/>
      <c r="M595" s="371">
        <v>650000</v>
      </c>
      <c r="N595" s="371">
        <v>31000</v>
      </c>
      <c r="O595" s="371">
        <v>1600</v>
      </c>
      <c r="P595" s="371">
        <f t="shared" si="9"/>
        <v>91683</v>
      </c>
      <c r="Q595" s="381">
        <v>-32631.61</v>
      </c>
      <c r="R595" s="372">
        <v>311701.31000100001</v>
      </c>
      <c r="S595" s="400">
        <v>276962</v>
      </c>
      <c r="T595" s="400">
        <v>35600.450000000004</v>
      </c>
      <c r="U595" s="400">
        <v>0</v>
      </c>
      <c r="V595" s="400">
        <v>9110.9</v>
      </c>
      <c r="W595" s="372">
        <v>286072.90000000002</v>
      </c>
      <c r="X595" s="373">
        <v>321673.35000000003</v>
      </c>
      <c r="Y595" s="372">
        <v>351749.75000100001</v>
      </c>
      <c r="Z595" s="373">
        <v>1093401.1400009999</v>
      </c>
      <c r="AA595" s="400">
        <v>1199.4182209999999</v>
      </c>
      <c r="AB595" s="400">
        <v>172.80000000000291</v>
      </c>
      <c r="AC595" s="400">
        <v>0</v>
      </c>
      <c r="AD595" s="400">
        <v>105.35000000000036</v>
      </c>
      <c r="AE595" s="372">
        <v>1304.7682210000003</v>
      </c>
      <c r="AF595" s="372">
        <v>1477.5682210000032</v>
      </c>
      <c r="AG595" s="400">
        <v>2.3999999999999773</v>
      </c>
      <c r="AH595" s="374">
        <v>4.1859568090869244E-3</v>
      </c>
      <c r="AI595" s="375">
        <v>4.3147748077079382E-3</v>
      </c>
      <c r="AJ595" s="372">
        <v>264.20999999999998</v>
      </c>
      <c r="AK595" s="376">
        <v>9.083683433632252E-3</v>
      </c>
      <c r="AL595" s="376">
        <v>-4.8977266245453276E-3</v>
      </c>
      <c r="AM595" s="412">
        <v>251.2451269035532</v>
      </c>
    </row>
    <row r="596" spans="2:39" s="382" customFormat="1" ht="28.15" customHeight="1" x14ac:dyDescent="0.25">
      <c r="B596" s="369">
        <v>43602</v>
      </c>
      <c r="C596" s="370">
        <v>298720.55957600003</v>
      </c>
      <c r="D596" s="370">
        <v>39953.480000000003</v>
      </c>
      <c r="E596" s="371">
        <v>0</v>
      </c>
      <c r="F596" s="371">
        <v>0</v>
      </c>
      <c r="G596" s="371">
        <v>12762.78</v>
      </c>
      <c r="H596" s="371"/>
      <c r="I596" s="371"/>
      <c r="J596" s="371"/>
      <c r="K596" s="371"/>
      <c r="L596" s="371"/>
      <c r="M596" s="371">
        <v>650000</v>
      </c>
      <c r="N596" s="371">
        <v>31000</v>
      </c>
      <c r="O596" s="371">
        <v>1600</v>
      </c>
      <c r="P596" s="371">
        <f t="shared" si="9"/>
        <v>91683</v>
      </c>
      <c r="Q596" s="381">
        <v>-32631.61</v>
      </c>
      <c r="R596" s="372">
        <v>311483.33957600006</v>
      </c>
      <c r="S596" s="400">
        <v>276962</v>
      </c>
      <c r="T596" s="400">
        <v>35600.450000000004</v>
      </c>
      <c r="U596" s="400">
        <v>0</v>
      </c>
      <c r="V596" s="400">
        <v>9110.9</v>
      </c>
      <c r="W596" s="372">
        <v>286072.90000000002</v>
      </c>
      <c r="X596" s="373">
        <v>321673.35000000003</v>
      </c>
      <c r="Y596" s="372">
        <v>351436.81957600004</v>
      </c>
      <c r="Z596" s="373">
        <v>1093088.209576</v>
      </c>
      <c r="AA596" s="400">
        <v>-278.50042499997653</v>
      </c>
      <c r="AB596" s="400">
        <v>-94.959999999999127</v>
      </c>
      <c r="AC596" s="400">
        <v>0</v>
      </c>
      <c r="AD596" s="400">
        <v>60.530000000000655</v>
      </c>
      <c r="AE596" s="372">
        <v>-217.97042499997588</v>
      </c>
      <c r="AF596" s="372">
        <v>-312.930424999975</v>
      </c>
      <c r="AG596" s="400">
        <v>-1.5999999999999659</v>
      </c>
      <c r="AH596" s="374">
        <v>-6.9978197002986862E-4</v>
      </c>
      <c r="AI596" s="375">
        <v>-2.3767641767375239E-3</v>
      </c>
      <c r="AJ596" s="372">
        <v>262.61</v>
      </c>
      <c r="AK596" s="376">
        <v>-6.0926849701076341E-3</v>
      </c>
      <c r="AL596" s="376">
        <v>5.3929030000777652E-3</v>
      </c>
      <c r="AM596" s="412">
        <v>251.32340101522834</v>
      </c>
    </row>
    <row r="597" spans="2:39" s="382" customFormat="1" ht="28.15" customHeight="1" x14ac:dyDescent="0.25">
      <c r="B597" s="378">
        <v>43603</v>
      </c>
      <c r="C597" s="370">
        <v>298720.55957600003</v>
      </c>
      <c r="D597" s="370">
        <v>39953.480000000003</v>
      </c>
      <c r="E597" s="371">
        <v>0</v>
      </c>
      <c r="F597" s="371">
        <v>0</v>
      </c>
      <c r="G597" s="371">
        <v>12762.78</v>
      </c>
      <c r="H597" s="371"/>
      <c r="I597" s="371"/>
      <c r="J597" s="371"/>
      <c r="K597" s="371"/>
      <c r="L597" s="371"/>
      <c r="M597" s="371">
        <v>650000</v>
      </c>
      <c r="N597" s="371">
        <v>31000</v>
      </c>
      <c r="O597" s="371">
        <v>1600</v>
      </c>
      <c r="P597" s="371">
        <f t="shared" si="9"/>
        <v>91683</v>
      </c>
      <c r="Q597" s="381">
        <v>-32631.61</v>
      </c>
      <c r="R597" s="372">
        <v>311483.33957600006</v>
      </c>
      <c r="S597" s="400">
        <v>276962</v>
      </c>
      <c r="T597" s="400">
        <v>35600.450000000004</v>
      </c>
      <c r="U597" s="400">
        <v>0</v>
      </c>
      <c r="V597" s="400">
        <v>9110.9</v>
      </c>
      <c r="W597" s="372">
        <v>286072.90000000002</v>
      </c>
      <c r="X597" s="373">
        <v>321673.35000000003</v>
      </c>
      <c r="Y597" s="372">
        <v>351436.81957600004</v>
      </c>
      <c r="Z597" s="373">
        <v>1093088.209576</v>
      </c>
      <c r="AA597" s="400">
        <v>0</v>
      </c>
      <c r="AB597" s="400">
        <v>0</v>
      </c>
      <c r="AC597" s="400">
        <v>0</v>
      </c>
      <c r="AD597" s="400">
        <v>0</v>
      </c>
      <c r="AE597" s="372">
        <v>0</v>
      </c>
      <c r="AF597" s="372">
        <v>0</v>
      </c>
      <c r="AG597" s="400">
        <v>0</v>
      </c>
      <c r="AH597" s="374">
        <v>0</v>
      </c>
      <c r="AI597" s="375">
        <v>0</v>
      </c>
      <c r="AJ597" s="372">
        <v>262.61</v>
      </c>
      <c r="AK597" s="376">
        <v>0</v>
      </c>
      <c r="AL597" s="376">
        <v>0</v>
      </c>
      <c r="AM597" s="412">
        <v>251.38045685279178</v>
      </c>
    </row>
    <row r="598" spans="2:39" s="382" customFormat="1" ht="28.15" customHeight="1" x14ac:dyDescent="0.25">
      <c r="B598" s="378">
        <v>43604</v>
      </c>
      <c r="C598" s="370">
        <v>298720.55957600003</v>
      </c>
      <c r="D598" s="370">
        <v>39953.480000000003</v>
      </c>
      <c r="E598" s="371">
        <v>0</v>
      </c>
      <c r="F598" s="371">
        <v>0</v>
      </c>
      <c r="G598" s="371">
        <v>12762.78</v>
      </c>
      <c r="H598" s="371"/>
      <c r="I598" s="371"/>
      <c r="J598" s="371"/>
      <c r="K598" s="371"/>
      <c r="L598" s="371"/>
      <c r="M598" s="371">
        <v>650000</v>
      </c>
      <c r="N598" s="371">
        <v>31000</v>
      </c>
      <c r="O598" s="371">
        <v>1600</v>
      </c>
      <c r="P598" s="371">
        <f t="shared" si="9"/>
        <v>91683</v>
      </c>
      <c r="Q598" s="381">
        <v>-32631.61</v>
      </c>
      <c r="R598" s="372">
        <v>311483.33957600006</v>
      </c>
      <c r="S598" s="400">
        <v>276962</v>
      </c>
      <c r="T598" s="400">
        <v>35600.450000000004</v>
      </c>
      <c r="U598" s="400">
        <v>0</v>
      </c>
      <c r="V598" s="400">
        <v>9110.9</v>
      </c>
      <c r="W598" s="372">
        <v>286072.90000000002</v>
      </c>
      <c r="X598" s="373">
        <v>321673.35000000003</v>
      </c>
      <c r="Y598" s="372">
        <v>351436.81957600004</v>
      </c>
      <c r="Z598" s="373">
        <v>1093088.209576</v>
      </c>
      <c r="AA598" s="400">
        <v>0</v>
      </c>
      <c r="AB598" s="400">
        <v>0</v>
      </c>
      <c r="AC598" s="400">
        <v>0</v>
      </c>
      <c r="AD598" s="400">
        <v>0</v>
      </c>
      <c r="AE598" s="372">
        <v>0</v>
      </c>
      <c r="AF598" s="372">
        <v>0</v>
      </c>
      <c r="AG598" s="400">
        <v>0</v>
      </c>
      <c r="AH598" s="374">
        <v>0</v>
      </c>
      <c r="AI598" s="375">
        <v>0</v>
      </c>
      <c r="AJ598" s="372">
        <v>262.61</v>
      </c>
      <c r="AK598" s="376">
        <v>0</v>
      </c>
      <c r="AL598" s="376">
        <v>0</v>
      </c>
      <c r="AM598" s="412">
        <v>251.44543147208114</v>
      </c>
    </row>
    <row r="599" spans="2:39" s="382" customFormat="1" ht="28.15" customHeight="1" x14ac:dyDescent="0.25">
      <c r="B599" s="369">
        <v>43605</v>
      </c>
      <c r="C599" s="370">
        <v>298505.25712000002</v>
      </c>
      <c r="D599" s="370">
        <v>39953.480000000003</v>
      </c>
      <c r="E599" s="371">
        <v>0</v>
      </c>
      <c r="F599" s="371">
        <v>0</v>
      </c>
      <c r="G599" s="371">
        <v>12725.76</v>
      </c>
      <c r="H599" s="371"/>
      <c r="I599" s="371"/>
      <c r="J599" s="371"/>
      <c r="K599" s="371"/>
      <c r="L599" s="371"/>
      <c r="M599" s="371">
        <v>650000</v>
      </c>
      <c r="N599" s="371">
        <v>31000</v>
      </c>
      <c r="O599" s="371">
        <v>1600</v>
      </c>
      <c r="P599" s="371">
        <f t="shared" si="9"/>
        <v>91683</v>
      </c>
      <c r="Q599" s="381">
        <v>-32631.61</v>
      </c>
      <c r="R599" s="372">
        <v>311231.01712000003</v>
      </c>
      <c r="S599" s="400">
        <v>276962</v>
      </c>
      <c r="T599" s="400">
        <v>35600.450000000004</v>
      </c>
      <c r="U599" s="400">
        <v>0</v>
      </c>
      <c r="V599" s="400">
        <v>9110.9</v>
      </c>
      <c r="W599" s="372">
        <v>286072.90000000002</v>
      </c>
      <c r="X599" s="373">
        <v>321673.35000000003</v>
      </c>
      <c r="Y599" s="372">
        <v>351184.49712000001</v>
      </c>
      <c r="Z599" s="373">
        <v>1092835.8871199999</v>
      </c>
      <c r="AA599" s="400">
        <v>-215.3024560000049</v>
      </c>
      <c r="AB599" s="400">
        <v>0</v>
      </c>
      <c r="AC599" s="400">
        <v>0</v>
      </c>
      <c r="AD599" s="400">
        <v>-37.020000000000437</v>
      </c>
      <c r="AE599" s="372">
        <v>-252.32245600000533</v>
      </c>
      <c r="AF599" s="372">
        <v>-252.32245600000533</v>
      </c>
      <c r="AG599" s="400">
        <v>-1.7900000000000205</v>
      </c>
      <c r="AH599" s="374">
        <v>-8.1072400281594818E-4</v>
      </c>
      <c r="AI599" s="375">
        <v>0</v>
      </c>
      <c r="AJ599" s="372">
        <v>260.82</v>
      </c>
      <c r="AK599" s="376">
        <v>-6.862970631086652E-3</v>
      </c>
      <c r="AL599" s="376">
        <v>6.0522466282707035E-3</v>
      </c>
      <c r="AM599" s="412">
        <v>251.5104060913705</v>
      </c>
    </row>
    <row r="600" spans="2:39" s="382" customFormat="1" ht="28.15" customHeight="1" x14ac:dyDescent="0.25">
      <c r="B600" s="369">
        <v>43606</v>
      </c>
      <c r="C600" s="370">
        <v>298822.82606999995</v>
      </c>
      <c r="D600" s="370">
        <v>39882.36</v>
      </c>
      <c r="E600" s="371">
        <v>0</v>
      </c>
      <c r="F600" s="371">
        <v>0</v>
      </c>
      <c r="G600" s="371">
        <v>12725.76</v>
      </c>
      <c r="H600" s="371">
        <v>875</v>
      </c>
      <c r="I600" s="371"/>
      <c r="J600" s="371"/>
      <c r="K600" s="371"/>
      <c r="L600" s="371"/>
      <c r="M600" s="371">
        <v>650000</v>
      </c>
      <c r="N600" s="371">
        <v>31000</v>
      </c>
      <c r="O600" s="371">
        <v>1600</v>
      </c>
      <c r="P600" s="371">
        <f t="shared" si="9"/>
        <v>91683</v>
      </c>
      <c r="Q600" s="381">
        <v>-32631.61</v>
      </c>
      <c r="R600" s="372">
        <v>311548.58606999996</v>
      </c>
      <c r="S600" s="400">
        <v>277837</v>
      </c>
      <c r="T600" s="400">
        <v>35600.450000000004</v>
      </c>
      <c r="U600" s="400">
        <v>0</v>
      </c>
      <c r="V600" s="400">
        <v>9110.9</v>
      </c>
      <c r="W600" s="372">
        <v>286947.90000000002</v>
      </c>
      <c r="X600" s="373">
        <v>322548.35000000003</v>
      </c>
      <c r="Y600" s="372">
        <v>351430.94606999995</v>
      </c>
      <c r="Z600" s="373">
        <v>1093082.33607</v>
      </c>
      <c r="AA600" s="400">
        <v>-557.43105000007199</v>
      </c>
      <c r="AB600" s="400">
        <v>-71.120000000002619</v>
      </c>
      <c r="AC600" s="400">
        <v>0</v>
      </c>
      <c r="AD600" s="400">
        <v>0</v>
      </c>
      <c r="AE600" s="372">
        <v>-557.43105000007199</v>
      </c>
      <c r="AF600" s="372">
        <v>-628.55105000007461</v>
      </c>
      <c r="AG600" s="400">
        <v>2.2099999999999795</v>
      </c>
      <c r="AH600" s="374">
        <v>-1.7892267046746482E-3</v>
      </c>
      <c r="AI600" s="375">
        <v>-1.7832445221396783E-3</v>
      </c>
      <c r="AJ600" s="372">
        <v>263.02999999999997</v>
      </c>
      <c r="AK600" s="376">
        <v>8.402083412538416E-3</v>
      </c>
      <c r="AL600" s="376">
        <v>-1.0191310117213064E-2</v>
      </c>
      <c r="AM600" s="412">
        <v>251.56629441624361</v>
      </c>
    </row>
    <row r="601" spans="2:39" s="382" customFormat="1" ht="28.15" customHeight="1" x14ac:dyDescent="0.25">
      <c r="B601" s="369">
        <v>43607</v>
      </c>
      <c r="C601" s="370">
        <v>299381.20345999999</v>
      </c>
      <c r="D601" s="370">
        <v>39840.68</v>
      </c>
      <c r="E601" s="371">
        <v>0</v>
      </c>
      <c r="F601" s="371">
        <v>0</v>
      </c>
      <c r="G601" s="371">
        <v>12840.13</v>
      </c>
      <c r="H601" s="371"/>
      <c r="I601" s="371"/>
      <c r="J601" s="371"/>
      <c r="K601" s="371"/>
      <c r="L601" s="371"/>
      <c r="M601" s="371">
        <v>650000</v>
      </c>
      <c r="N601" s="371">
        <v>31000</v>
      </c>
      <c r="O601" s="371">
        <v>1600</v>
      </c>
      <c r="P601" s="371">
        <f t="shared" si="9"/>
        <v>91683</v>
      </c>
      <c r="Q601" s="381">
        <v>-32631.61</v>
      </c>
      <c r="R601" s="372">
        <v>312221.33345999999</v>
      </c>
      <c r="S601" s="400">
        <v>277837</v>
      </c>
      <c r="T601" s="400">
        <v>35600.450000000004</v>
      </c>
      <c r="U601" s="400">
        <v>0</v>
      </c>
      <c r="V601" s="400">
        <v>9110.9</v>
      </c>
      <c r="W601" s="372">
        <v>286947.90000000002</v>
      </c>
      <c r="X601" s="373">
        <v>322548.35000000003</v>
      </c>
      <c r="Y601" s="372">
        <v>352062.01345999999</v>
      </c>
      <c r="Z601" s="373">
        <v>1093713.4034599999</v>
      </c>
      <c r="AA601" s="400">
        <v>558.37739000003785</v>
      </c>
      <c r="AB601" s="400">
        <v>-41.680000000000291</v>
      </c>
      <c r="AC601" s="400">
        <v>0</v>
      </c>
      <c r="AD601" s="400">
        <v>114.36999999999898</v>
      </c>
      <c r="AE601" s="372">
        <v>672.74739000003683</v>
      </c>
      <c r="AF601" s="372">
        <v>631.06739000003654</v>
      </c>
      <c r="AG601" s="400">
        <v>-0.71999999999997044</v>
      </c>
      <c r="AH601" s="374">
        <v>2.1547130766009152E-3</v>
      </c>
      <c r="AI601" s="375">
        <v>-1.0461668826937766E-3</v>
      </c>
      <c r="AJ601" s="372">
        <v>262.31</v>
      </c>
      <c r="AK601" s="376">
        <v>-2.744843887003814E-3</v>
      </c>
      <c r="AL601" s="376">
        <v>4.8995569636047292E-3</v>
      </c>
      <c r="AM601" s="412">
        <v>251.62619289340094</v>
      </c>
    </row>
    <row r="602" spans="2:39" s="382" customFormat="1" ht="28.15" customHeight="1" x14ac:dyDescent="0.25">
      <c r="B602" s="369">
        <v>43608</v>
      </c>
      <c r="C602" s="370">
        <v>301970.60737799999</v>
      </c>
      <c r="D602" s="370">
        <v>39708.04</v>
      </c>
      <c r="E602" s="371">
        <v>0</v>
      </c>
      <c r="F602" s="371">
        <v>0</v>
      </c>
      <c r="G602" s="371">
        <v>12785.22</v>
      </c>
      <c r="H602" s="371"/>
      <c r="I602" s="371"/>
      <c r="J602" s="371"/>
      <c r="K602" s="371"/>
      <c r="L602" s="371"/>
      <c r="M602" s="371">
        <v>650000</v>
      </c>
      <c r="N602" s="371">
        <v>31000</v>
      </c>
      <c r="O602" s="371">
        <v>1600</v>
      </c>
      <c r="P602" s="371">
        <f t="shared" si="9"/>
        <v>91683</v>
      </c>
      <c r="Q602" s="381">
        <v>-32631.61</v>
      </c>
      <c r="R602" s="372">
        <v>314755.82737799996</v>
      </c>
      <c r="S602" s="400">
        <v>277837</v>
      </c>
      <c r="T602" s="400">
        <v>35600.450000000004</v>
      </c>
      <c r="U602" s="400">
        <v>0</v>
      </c>
      <c r="V602" s="400">
        <v>9110.9</v>
      </c>
      <c r="W602" s="372">
        <v>286947.90000000002</v>
      </c>
      <c r="X602" s="373">
        <v>322548.35000000003</v>
      </c>
      <c r="Y602" s="372">
        <v>354463.86737799994</v>
      </c>
      <c r="Z602" s="373">
        <v>1096115.2573779998</v>
      </c>
      <c r="AA602" s="400">
        <v>2589.4039179999963</v>
      </c>
      <c r="AB602" s="400">
        <v>-132.63999999999942</v>
      </c>
      <c r="AC602" s="400">
        <v>0</v>
      </c>
      <c r="AD602" s="400">
        <v>-54.909999999999854</v>
      </c>
      <c r="AE602" s="372">
        <v>2534.4939179999965</v>
      </c>
      <c r="AF602" s="372">
        <v>2401.8539179999971</v>
      </c>
      <c r="AG602" s="400">
        <v>-3.0699999999999932</v>
      </c>
      <c r="AH602" s="374">
        <v>8.0522541524107975E-3</v>
      </c>
      <c r="AI602" s="375">
        <v>-3.3403814441609159E-3</v>
      </c>
      <c r="AJ602" s="372">
        <v>259.24</v>
      </c>
      <c r="AK602" s="376">
        <v>-1.1842308285758343E-2</v>
      </c>
      <c r="AL602" s="376">
        <v>1.9894562438169141E-2</v>
      </c>
      <c r="AM602" s="412">
        <v>251.67436548223338</v>
      </c>
    </row>
    <row r="603" spans="2:39" s="382" customFormat="1" ht="28.15" customHeight="1" x14ac:dyDescent="0.25">
      <c r="B603" s="369">
        <v>43609</v>
      </c>
      <c r="C603" s="370">
        <v>301557.21645800001</v>
      </c>
      <c r="D603" s="370">
        <v>39783.64</v>
      </c>
      <c r="E603" s="371">
        <v>0</v>
      </c>
      <c r="F603" s="371">
        <v>0</v>
      </c>
      <c r="G603" s="371">
        <v>12680.22</v>
      </c>
      <c r="H603" s="371"/>
      <c r="I603" s="371"/>
      <c r="J603" s="371"/>
      <c r="K603" s="371"/>
      <c r="L603" s="371"/>
      <c r="M603" s="371">
        <v>650000</v>
      </c>
      <c r="N603" s="371">
        <v>31000</v>
      </c>
      <c r="O603" s="371">
        <v>1600</v>
      </c>
      <c r="P603" s="371">
        <f t="shared" si="9"/>
        <v>91683</v>
      </c>
      <c r="Q603" s="381">
        <v>-32631.61</v>
      </c>
      <c r="R603" s="372">
        <v>314237.43645799998</v>
      </c>
      <c r="S603" s="400">
        <v>277837</v>
      </c>
      <c r="T603" s="400">
        <v>35600.450000000004</v>
      </c>
      <c r="U603" s="400">
        <v>0</v>
      </c>
      <c r="V603" s="400">
        <v>9110.9</v>
      </c>
      <c r="W603" s="372">
        <v>286947.90000000002</v>
      </c>
      <c r="X603" s="373">
        <v>322548.35000000003</v>
      </c>
      <c r="Y603" s="372">
        <v>354021.076458</v>
      </c>
      <c r="Z603" s="373">
        <v>1095672.466458</v>
      </c>
      <c r="AA603" s="400">
        <v>-413.39091999997618</v>
      </c>
      <c r="AB603" s="400">
        <v>75.599999999998545</v>
      </c>
      <c r="AC603" s="400">
        <v>0</v>
      </c>
      <c r="AD603" s="400">
        <v>-105</v>
      </c>
      <c r="AE603" s="372">
        <v>-518.39091999997618</v>
      </c>
      <c r="AF603" s="372">
        <v>-442.79091999997763</v>
      </c>
      <c r="AG603" s="400">
        <v>0.44999999999998863</v>
      </c>
      <c r="AH603" s="374">
        <v>-1.649679063841468E-3</v>
      </c>
      <c r="AI603" s="375">
        <v>1.9002786069851462E-3</v>
      </c>
      <c r="AJ603" s="372">
        <v>259.69</v>
      </c>
      <c r="AK603" s="376">
        <v>1.7328353036312088E-3</v>
      </c>
      <c r="AL603" s="376">
        <v>-3.3825143674726769E-3</v>
      </c>
      <c r="AM603" s="412">
        <v>251.67984771573592</v>
      </c>
    </row>
    <row r="604" spans="2:39" s="382" customFormat="1" ht="28.15" customHeight="1" x14ac:dyDescent="0.25">
      <c r="B604" s="378">
        <v>43610</v>
      </c>
      <c r="C604" s="370">
        <v>301557.21645800001</v>
      </c>
      <c r="D604" s="370">
        <v>39783.64</v>
      </c>
      <c r="E604" s="371">
        <v>0</v>
      </c>
      <c r="F604" s="371">
        <v>0</v>
      </c>
      <c r="G604" s="371">
        <v>12680.22</v>
      </c>
      <c r="H604" s="371"/>
      <c r="I604" s="371"/>
      <c r="J604" s="371"/>
      <c r="K604" s="371"/>
      <c r="L604" s="371"/>
      <c r="M604" s="371">
        <v>650000</v>
      </c>
      <c r="N604" s="371">
        <v>31000</v>
      </c>
      <c r="O604" s="371">
        <v>1600</v>
      </c>
      <c r="P604" s="371">
        <f t="shared" si="9"/>
        <v>91683</v>
      </c>
      <c r="Q604" s="381">
        <v>-32631.61</v>
      </c>
      <c r="R604" s="372">
        <v>314237.43645799998</v>
      </c>
      <c r="S604" s="400">
        <v>277837</v>
      </c>
      <c r="T604" s="400">
        <v>35600.450000000004</v>
      </c>
      <c r="U604" s="400">
        <v>0</v>
      </c>
      <c r="V604" s="400">
        <v>9110.9</v>
      </c>
      <c r="W604" s="372">
        <v>286947.90000000002</v>
      </c>
      <c r="X604" s="373">
        <v>322548.35000000003</v>
      </c>
      <c r="Y604" s="372">
        <v>354021.076458</v>
      </c>
      <c r="Z604" s="373">
        <v>1095672.466458</v>
      </c>
      <c r="AA604" s="400">
        <v>0</v>
      </c>
      <c r="AB604" s="400">
        <v>0</v>
      </c>
      <c r="AC604" s="400">
        <v>0</v>
      </c>
      <c r="AD604" s="400">
        <v>0</v>
      </c>
      <c r="AE604" s="372">
        <v>0</v>
      </c>
      <c r="AF604" s="372">
        <v>0</v>
      </c>
      <c r="AG604" s="400">
        <v>0</v>
      </c>
      <c r="AH604" s="374">
        <v>0</v>
      </c>
      <c r="AI604" s="375">
        <v>0</v>
      </c>
      <c r="AJ604" s="372">
        <v>259.69</v>
      </c>
      <c r="AK604" s="376">
        <v>0</v>
      </c>
      <c r="AL604" s="376">
        <v>0</v>
      </c>
      <c r="AM604" s="412">
        <v>251.68984771573597</v>
      </c>
    </row>
    <row r="605" spans="2:39" s="382" customFormat="1" ht="28.15" customHeight="1" x14ac:dyDescent="0.25">
      <c r="B605" s="378">
        <v>43611</v>
      </c>
      <c r="C605" s="370">
        <v>301557.21645800001</v>
      </c>
      <c r="D605" s="370">
        <v>39783.64</v>
      </c>
      <c r="E605" s="371">
        <v>0</v>
      </c>
      <c r="F605" s="371">
        <v>0</v>
      </c>
      <c r="G605" s="371">
        <v>12680.22</v>
      </c>
      <c r="H605" s="371"/>
      <c r="I605" s="371"/>
      <c r="J605" s="371"/>
      <c r="K605" s="371"/>
      <c r="L605" s="371"/>
      <c r="M605" s="371">
        <v>650000</v>
      </c>
      <c r="N605" s="371">
        <v>31000</v>
      </c>
      <c r="O605" s="371">
        <v>1600</v>
      </c>
      <c r="P605" s="371">
        <f t="shared" si="9"/>
        <v>91683</v>
      </c>
      <c r="Q605" s="381">
        <v>-32631.61</v>
      </c>
      <c r="R605" s="372">
        <v>314237.43645799998</v>
      </c>
      <c r="S605" s="400">
        <v>277837</v>
      </c>
      <c r="T605" s="400">
        <v>35600.450000000004</v>
      </c>
      <c r="U605" s="400">
        <v>0</v>
      </c>
      <c r="V605" s="400">
        <v>9110.9</v>
      </c>
      <c r="W605" s="372">
        <v>286947.90000000002</v>
      </c>
      <c r="X605" s="373">
        <v>322548.35000000003</v>
      </c>
      <c r="Y605" s="372">
        <v>354021.076458</v>
      </c>
      <c r="Z605" s="373">
        <v>1095672.466458</v>
      </c>
      <c r="AA605" s="400">
        <v>0</v>
      </c>
      <c r="AB605" s="400">
        <v>0</v>
      </c>
      <c r="AC605" s="400">
        <v>0</v>
      </c>
      <c r="AD605" s="400">
        <v>0</v>
      </c>
      <c r="AE605" s="372">
        <v>0</v>
      </c>
      <c r="AF605" s="372">
        <v>0</v>
      </c>
      <c r="AG605" s="400">
        <v>0</v>
      </c>
      <c r="AH605" s="374">
        <v>0</v>
      </c>
      <c r="AI605" s="375">
        <v>0</v>
      </c>
      <c r="AJ605" s="372">
        <v>259.69</v>
      </c>
      <c r="AK605" s="376">
        <v>0</v>
      </c>
      <c r="AL605" s="376">
        <v>0</v>
      </c>
      <c r="AM605" s="412">
        <v>251.71192893401007</v>
      </c>
    </row>
    <row r="606" spans="2:39" s="382" customFormat="1" ht="28.15" customHeight="1" x14ac:dyDescent="0.25">
      <c r="B606" s="369">
        <v>43612</v>
      </c>
      <c r="C606" s="370">
        <v>301476.06338800001</v>
      </c>
      <c r="D606" s="370">
        <v>39845.4</v>
      </c>
      <c r="E606" s="371">
        <v>0</v>
      </c>
      <c r="F606" s="371">
        <v>0</v>
      </c>
      <c r="G606" s="371">
        <v>12669.75</v>
      </c>
      <c r="H606" s="371"/>
      <c r="I606" s="371"/>
      <c r="J606" s="371"/>
      <c r="K606" s="371"/>
      <c r="L606" s="371"/>
      <c r="M606" s="371">
        <v>650000</v>
      </c>
      <c r="N606" s="371">
        <v>31000</v>
      </c>
      <c r="O606" s="371">
        <v>1600</v>
      </c>
      <c r="P606" s="371">
        <f t="shared" si="9"/>
        <v>91683</v>
      </c>
      <c r="Q606" s="381">
        <v>-32631.61</v>
      </c>
      <c r="R606" s="372">
        <v>314145.81338800001</v>
      </c>
      <c r="S606" s="400">
        <v>277837</v>
      </c>
      <c r="T606" s="400">
        <v>35600.450000000004</v>
      </c>
      <c r="U606" s="400">
        <v>0</v>
      </c>
      <c r="V606" s="400">
        <v>9110.9</v>
      </c>
      <c r="W606" s="372">
        <v>286947.90000000002</v>
      </c>
      <c r="X606" s="373">
        <v>322548.35000000003</v>
      </c>
      <c r="Y606" s="372">
        <v>353991.21338800003</v>
      </c>
      <c r="Z606" s="373">
        <v>1095642.603388</v>
      </c>
      <c r="AA606" s="400">
        <v>-81.153070000000298</v>
      </c>
      <c r="AB606" s="400">
        <v>61.760000000002037</v>
      </c>
      <c r="AC606" s="400">
        <v>0</v>
      </c>
      <c r="AD606" s="400">
        <v>-10.469999999999345</v>
      </c>
      <c r="AE606" s="372">
        <v>-91.623069999999643</v>
      </c>
      <c r="AF606" s="372">
        <v>-29.863069999997606</v>
      </c>
      <c r="AG606" s="400">
        <v>0</v>
      </c>
      <c r="AH606" s="374">
        <v>-2.9165777831594535E-4</v>
      </c>
      <c r="AI606" s="375">
        <v>1.5499907141100864E-3</v>
      </c>
      <c r="AJ606" s="372">
        <v>259.69</v>
      </c>
      <c r="AK606" s="376">
        <v>0</v>
      </c>
      <c r="AL606" s="376">
        <v>-2.9165777831594535E-4</v>
      </c>
      <c r="AM606" s="412">
        <v>251.73401015228421</v>
      </c>
    </row>
    <row r="607" spans="2:39" s="382" customFormat="1" ht="28.15" customHeight="1" x14ac:dyDescent="0.25">
      <c r="B607" s="369">
        <v>43613</v>
      </c>
      <c r="C607" s="370">
        <v>302063.33487800002</v>
      </c>
      <c r="D607" s="370">
        <v>39676.76</v>
      </c>
      <c r="E607" s="371">
        <v>0</v>
      </c>
      <c r="F607" s="371">
        <v>0</v>
      </c>
      <c r="G607" s="371">
        <v>12669.75</v>
      </c>
      <c r="H607" s="371"/>
      <c r="I607" s="371"/>
      <c r="J607" s="371"/>
      <c r="K607" s="371"/>
      <c r="L607" s="371"/>
      <c r="M607" s="371">
        <v>650000</v>
      </c>
      <c r="N607" s="371">
        <v>31000</v>
      </c>
      <c r="O607" s="371">
        <v>1600</v>
      </c>
      <c r="P607" s="371">
        <f t="shared" si="9"/>
        <v>91683</v>
      </c>
      <c r="Q607" s="379">
        <v>-32306</v>
      </c>
      <c r="R607" s="372">
        <v>314733.08487800002</v>
      </c>
      <c r="S607" s="400">
        <v>277837</v>
      </c>
      <c r="T607" s="400">
        <v>35600.450000000004</v>
      </c>
      <c r="U607" s="400">
        <v>0</v>
      </c>
      <c r="V607" s="400">
        <v>9110.9</v>
      </c>
      <c r="W607" s="372">
        <v>286947.90000000002</v>
      </c>
      <c r="X607" s="373">
        <v>322548.35000000003</v>
      </c>
      <c r="Y607" s="372">
        <v>354409.84487800003</v>
      </c>
      <c r="Z607" s="373">
        <v>1096386.844878</v>
      </c>
      <c r="AA607" s="400">
        <v>587.27149000001373</v>
      </c>
      <c r="AB607" s="400">
        <v>-168.63999999999942</v>
      </c>
      <c r="AC607" s="400">
        <v>0</v>
      </c>
      <c r="AD607" s="400">
        <v>0</v>
      </c>
      <c r="AE607" s="372">
        <v>587.27149000001373</v>
      </c>
      <c r="AF607" s="372">
        <v>418.63149000001431</v>
      </c>
      <c r="AG607" s="400">
        <v>-2.3299999999999841</v>
      </c>
      <c r="AH607" s="374">
        <v>1.8659350358023459E-3</v>
      </c>
      <c r="AI607" s="375">
        <v>-4.2503470545477862E-3</v>
      </c>
      <c r="AJ607" s="372">
        <v>257.36</v>
      </c>
      <c r="AK607" s="376">
        <v>-9.0534659620764065E-3</v>
      </c>
      <c r="AL607" s="376">
        <v>1.0919400997878753E-2</v>
      </c>
      <c r="AM607" s="412">
        <v>251.75609137055835</v>
      </c>
    </row>
    <row r="608" spans="2:39" s="382" customFormat="1" ht="28.15" customHeight="1" x14ac:dyDescent="0.25">
      <c r="B608" s="369">
        <v>43614</v>
      </c>
      <c r="C608" s="370">
        <v>302735.86759600003</v>
      </c>
      <c r="D608" s="370">
        <v>39528.520000000004</v>
      </c>
      <c r="E608" s="371">
        <v>0</v>
      </c>
      <c r="F608" s="371">
        <v>0</v>
      </c>
      <c r="G608" s="371">
        <v>12530.05</v>
      </c>
      <c r="H608" s="371"/>
      <c r="I608" s="371"/>
      <c r="J608" s="371"/>
      <c r="K608" s="371"/>
      <c r="L608" s="371"/>
      <c r="M608" s="371">
        <v>650000</v>
      </c>
      <c r="N608" s="371">
        <v>31000</v>
      </c>
      <c r="O608" s="371">
        <v>1600</v>
      </c>
      <c r="P608" s="371">
        <v>91683</v>
      </c>
      <c r="Q608" s="379">
        <v>-32306</v>
      </c>
      <c r="R608" s="372">
        <v>315265.91759600001</v>
      </c>
      <c r="S608" s="400">
        <v>277837</v>
      </c>
      <c r="T608" s="400">
        <v>35600.450000000004</v>
      </c>
      <c r="U608" s="400">
        <v>0</v>
      </c>
      <c r="V608" s="400">
        <v>9110.9</v>
      </c>
      <c r="W608" s="372">
        <v>286947.90000000002</v>
      </c>
      <c r="X608" s="373">
        <v>322548.35000000003</v>
      </c>
      <c r="Y608" s="372">
        <v>354794.43759600003</v>
      </c>
      <c r="Z608" s="373">
        <v>1096771.437596</v>
      </c>
      <c r="AA608" s="400">
        <v>672.53271800000221</v>
      </c>
      <c r="AB608" s="400">
        <v>-148.23999999999796</v>
      </c>
      <c r="AC608" s="400">
        <v>0</v>
      </c>
      <c r="AD608" s="400">
        <v>-139.70000000000073</v>
      </c>
      <c r="AE608" s="372">
        <v>532.83271800000148</v>
      </c>
      <c r="AF608" s="372">
        <v>384.59271800000352</v>
      </c>
      <c r="AG608" s="400">
        <v>-1.7700000000000102</v>
      </c>
      <c r="AH608" s="374">
        <v>1.6901056798749941E-3</v>
      </c>
      <c r="AI608" s="375">
        <v>-3.7502036504275379E-3</v>
      </c>
      <c r="AJ608" s="372">
        <v>255.59</v>
      </c>
      <c r="AK608" s="376">
        <v>-6.9251535662585009E-3</v>
      </c>
      <c r="AL608" s="376">
        <v>8.6152592461334956E-3</v>
      </c>
      <c r="AM608" s="412">
        <v>251.7913705583756</v>
      </c>
    </row>
    <row r="609" spans="2:39" s="382" customFormat="1" ht="28.15" customHeight="1" x14ac:dyDescent="0.25">
      <c r="B609" s="369">
        <v>43615</v>
      </c>
      <c r="C609" s="370">
        <v>302978.99959500006</v>
      </c>
      <c r="D609" s="370">
        <v>39597.72</v>
      </c>
      <c r="E609" s="371">
        <v>0</v>
      </c>
      <c r="F609" s="371">
        <v>0</v>
      </c>
      <c r="G609" s="371">
        <v>12474.74</v>
      </c>
      <c r="H609" s="371"/>
      <c r="I609" s="371"/>
      <c r="J609" s="371"/>
      <c r="K609" s="371"/>
      <c r="L609" s="371"/>
      <c r="M609" s="371">
        <v>650000</v>
      </c>
      <c r="N609" s="371">
        <v>31000</v>
      </c>
      <c r="O609" s="371">
        <v>1600</v>
      </c>
      <c r="P609" s="371">
        <v>91683</v>
      </c>
      <c r="Q609" s="379">
        <v>-32306</v>
      </c>
      <c r="R609" s="372">
        <v>315453.73959500005</v>
      </c>
      <c r="S609" s="400">
        <v>277837</v>
      </c>
      <c r="T609" s="400">
        <v>35600.450000000004</v>
      </c>
      <c r="U609" s="400">
        <v>0</v>
      </c>
      <c r="V609" s="400">
        <v>9110.9</v>
      </c>
      <c r="W609" s="372">
        <v>286947.90000000002</v>
      </c>
      <c r="X609" s="373">
        <v>322548.35000000003</v>
      </c>
      <c r="Y609" s="372">
        <v>355051.45959500002</v>
      </c>
      <c r="Z609" s="373">
        <v>1097028.4595949999</v>
      </c>
      <c r="AA609" s="400">
        <v>243.13199900003383</v>
      </c>
      <c r="AB609" s="400">
        <v>69.19999999999709</v>
      </c>
      <c r="AC609" s="400">
        <v>0</v>
      </c>
      <c r="AD609" s="400">
        <v>-55.309999999999491</v>
      </c>
      <c r="AE609" s="372">
        <v>187.82199900003434</v>
      </c>
      <c r="AF609" s="372">
        <v>257.02199900003143</v>
      </c>
      <c r="AG609" s="400">
        <v>0.71000000000000796</v>
      </c>
      <c r="AH609" s="374">
        <v>5.9540267058229323E-4</v>
      </c>
      <c r="AI609" s="375">
        <v>1.7475753654502605E-3</v>
      </c>
      <c r="AJ609" s="372">
        <v>256.3</v>
      </c>
      <c r="AK609" s="376">
        <v>2.7701911822083803E-3</v>
      </c>
      <c r="AL609" s="376">
        <v>-2.174788511626087E-3</v>
      </c>
      <c r="AM609" s="412">
        <v>251.81979695431471</v>
      </c>
    </row>
    <row r="610" spans="2:39" s="382" customFormat="1" ht="28.15" customHeight="1" x14ac:dyDescent="0.25">
      <c r="B610" s="369">
        <v>43616</v>
      </c>
      <c r="C610" s="370">
        <v>303329.94406499999</v>
      </c>
      <c r="D610" s="370">
        <v>39350.200000000004</v>
      </c>
      <c r="E610" s="371">
        <v>0</v>
      </c>
      <c r="F610" s="371">
        <v>0</v>
      </c>
      <c r="G610" s="371">
        <v>12429.11</v>
      </c>
      <c r="H610" s="371"/>
      <c r="I610" s="371"/>
      <c r="J610" s="371"/>
      <c r="K610" s="371"/>
      <c r="L610" s="371"/>
      <c r="M610" s="371">
        <v>650000</v>
      </c>
      <c r="N610" s="371">
        <v>31000</v>
      </c>
      <c r="O610" s="371">
        <v>1600</v>
      </c>
      <c r="P610" s="371">
        <v>91683</v>
      </c>
      <c r="Q610" s="379">
        <v>-32306</v>
      </c>
      <c r="R610" s="372">
        <v>315759.05406499997</v>
      </c>
      <c r="S610" s="400">
        <v>277837</v>
      </c>
      <c r="T610" s="400">
        <v>35600.450000000004</v>
      </c>
      <c r="U610" s="400">
        <v>0</v>
      </c>
      <c r="V610" s="400">
        <v>9110.9</v>
      </c>
      <c r="W610" s="372">
        <v>286947.90000000002</v>
      </c>
      <c r="X610" s="373">
        <v>322548.35000000003</v>
      </c>
      <c r="Y610" s="372">
        <v>355109.25406499999</v>
      </c>
      <c r="Z610" s="373">
        <v>1097086.254065</v>
      </c>
      <c r="AA610" s="400">
        <v>350.94446999992942</v>
      </c>
      <c r="AB610" s="400">
        <v>-247.5199999999968</v>
      </c>
      <c r="AC610" s="400">
        <v>0</v>
      </c>
      <c r="AD610" s="400">
        <v>-45.6299999999992</v>
      </c>
      <c r="AE610" s="372">
        <v>305.31446999993022</v>
      </c>
      <c r="AF610" s="372">
        <v>57.794469999933426</v>
      </c>
      <c r="AG610" s="400">
        <v>-3.4300000000000068</v>
      </c>
      <c r="AH610" s="374">
        <v>9.6692229745874616E-4</v>
      </c>
      <c r="AI610" s="375">
        <v>-6.290184039725256E-3</v>
      </c>
      <c r="AJ610" s="372">
        <v>252.87</v>
      </c>
      <c r="AK610" s="376">
        <v>-1.3564282042156076E-2</v>
      </c>
      <c r="AL610" s="376">
        <v>1.4531204339614821E-2</v>
      </c>
      <c r="AM610" s="412">
        <v>251.86050761421322</v>
      </c>
    </row>
    <row r="611" spans="2:39" s="382" customFormat="1" ht="28.15" customHeight="1" x14ac:dyDescent="0.25">
      <c r="B611" s="378">
        <v>43617</v>
      </c>
      <c r="C611" s="370">
        <v>303329.94406499999</v>
      </c>
      <c r="D611" s="370">
        <v>39350.200000000004</v>
      </c>
      <c r="E611" s="371">
        <v>0</v>
      </c>
      <c r="F611" s="371">
        <v>0</v>
      </c>
      <c r="G611" s="371">
        <v>12429.11</v>
      </c>
      <c r="H611" s="371"/>
      <c r="I611" s="371"/>
      <c r="J611" s="371"/>
      <c r="K611" s="371"/>
      <c r="L611" s="371"/>
      <c r="M611" s="371">
        <v>650000</v>
      </c>
      <c r="N611" s="371">
        <v>31000</v>
      </c>
      <c r="O611" s="371">
        <v>1600</v>
      </c>
      <c r="P611" s="371">
        <v>91683</v>
      </c>
      <c r="Q611" s="379">
        <v>-32306</v>
      </c>
      <c r="R611" s="372">
        <v>315759.05406499997</v>
      </c>
      <c r="S611" s="400">
        <v>277837</v>
      </c>
      <c r="T611" s="400">
        <v>35600.450000000004</v>
      </c>
      <c r="U611" s="400">
        <v>0</v>
      </c>
      <c r="V611" s="400">
        <v>9110.9</v>
      </c>
      <c r="W611" s="372">
        <v>286947.90000000002</v>
      </c>
      <c r="X611" s="373">
        <v>322548.35000000003</v>
      </c>
      <c r="Y611" s="372">
        <v>355109.25406499999</v>
      </c>
      <c r="Z611" s="373">
        <v>1097086.254065</v>
      </c>
      <c r="AA611" s="400">
        <v>0</v>
      </c>
      <c r="AB611" s="400">
        <v>0</v>
      </c>
      <c r="AC611" s="400">
        <v>0</v>
      </c>
      <c r="AD611" s="400">
        <v>0</v>
      </c>
      <c r="AE611" s="372">
        <v>0</v>
      </c>
      <c r="AF611" s="372">
        <v>0</v>
      </c>
      <c r="AG611" s="400">
        <v>0</v>
      </c>
      <c r="AH611" s="374">
        <v>0</v>
      </c>
      <c r="AI611" s="375">
        <v>0</v>
      </c>
      <c r="AJ611" s="372">
        <v>252.87</v>
      </c>
      <c r="AK611" s="376">
        <v>0</v>
      </c>
      <c r="AL611" s="376">
        <v>0</v>
      </c>
      <c r="AM611" s="412">
        <v>251.87076142131983</v>
      </c>
    </row>
    <row r="612" spans="2:39" s="382" customFormat="1" ht="28.15" customHeight="1" x14ac:dyDescent="0.25">
      <c r="B612" s="378">
        <v>43618</v>
      </c>
      <c r="C612" s="370">
        <v>303329.94406499999</v>
      </c>
      <c r="D612" s="370">
        <v>39350.200000000004</v>
      </c>
      <c r="E612" s="371">
        <v>0</v>
      </c>
      <c r="F612" s="371">
        <v>0</v>
      </c>
      <c r="G612" s="371">
        <v>12429.11</v>
      </c>
      <c r="H612" s="371"/>
      <c r="I612" s="371"/>
      <c r="J612" s="371"/>
      <c r="K612" s="371"/>
      <c r="L612" s="371"/>
      <c r="M612" s="371">
        <v>650000</v>
      </c>
      <c r="N612" s="371">
        <v>31000</v>
      </c>
      <c r="O612" s="371">
        <v>1600</v>
      </c>
      <c r="P612" s="371">
        <v>91683</v>
      </c>
      <c r="Q612" s="379">
        <v>-32306</v>
      </c>
      <c r="R612" s="372">
        <v>315759.05406499997</v>
      </c>
      <c r="S612" s="400">
        <v>277837</v>
      </c>
      <c r="T612" s="400">
        <v>35600.450000000004</v>
      </c>
      <c r="U612" s="400">
        <v>0</v>
      </c>
      <c r="V612" s="400">
        <v>9110.9</v>
      </c>
      <c r="W612" s="372">
        <v>286947.90000000002</v>
      </c>
      <c r="X612" s="373">
        <v>322548.35000000003</v>
      </c>
      <c r="Y612" s="372">
        <v>355109.25406499999</v>
      </c>
      <c r="Z612" s="373">
        <v>1097086.254065</v>
      </c>
      <c r="AA612" s="400">
        <v>0</v>
      </c>
      <c r="AB612" s="400">
        <v>0</v>
      </c>
      <c r="AC612" s="400">
        <v>0</v>
      </c>
      <c r="AD612" s="400">
        <v>0</v>
      </c>
      <c r="AE612" s="372">
        <v>0</v>
      </c>
      <c r="AF612" s="372">
        <v>0</v>
      </c>
      <c r="AG612" s="400">
        <v>0</v>
      </c>
      <c r="AH612" s="374">
        <v>0</v>
      </c>
      <c r="AI612" s="375">
        <v>0</v>
      </c>
      <c r="AJ612" s="372">
        <v>252.87</v>
      </c>
      <c r="AK612" s="376">
        <v>0</v>
      </c>
      <c r="AL612" s="376">
        <v>0</v>
      </c>
      <c r="AM612" s="412">
        <v>251.87776649746201</v>
      </c>
    </row>
    <row r="613" spans="2:39" s="382" customFormat="1" ht="28.15" customHeight="1" x14ac:dyDescent="0.25">
      <c r="B613" s="369">
        <v>43619</v>
      </c>
      <c r="C613" s="370">
        <v>302071.51965000003</v>
      </c>
      <c r="D613" s="370">
        <v>39397.240000000005</v>
      </c>
      <c r="E613" s="371">
        <v>0</v>
      </c>
      <c r="F613" s="371">
        <v>0</v>
      </c>
      <c r="G613" s="371">
        <v>12221.96</v>
      </c>
      <c r="H613" s="371">
        <v>875</v>
      </c>
      <c r="I613" s="371"/>
      <c r="J613" s="371"/>
      <c r="K613" s="371"/>
      <c r="L613" s="371"/>
      <c r="M613" s="371">
        <v>650000</v>
      </c>
      <c r="N613" s="371">
        <v>31000</v>
      </c>
      <c r="O613" s="371">
        <v>1600</v>
      </c>
      <c r="P613" s="371">
        <v>91683</v>
      </c>
      <c r="Q613" s="379">
        <v>-32306</v>
      </c>
      <c r="R613" s="372">
        <v>314293.47965000005</v>
      </c>
      <c r="S613" s="400">
        <v>278712</v>
      </c>
      <c r="T613" s="400">
        <v>35600.450000000004</v>
      </c>
      <c r="U613" s="400">
        <v>0</v>
      </c>
      <c r="V613" s="400">
        <v>9110.9</v>
      </c>
      <c r="W613" s="372">
        <v>287822.90000000002</v>
      </c>
      <c r="X613" s="373">
        <v>323423.35000000003</v>
      </c>
      <c r="Y613" s="372">
        <v>353690.71965000004</v>
      </c>
      <c r="Z613" s="373">
        <v>1095667.7196500001</v>
      </c>
      <c r="AA613" s="400">
        <v>-2133.4244149999577</v>
      </c>
      <c r="AB613" s="400">
        <v>47.040000000000873</v>
      </c>
      <c r="AC613" s="400">
        <v>0</v>
      </c>
      <c r="AD613" s="400">
        <v>-207.15000000000146</v>
      </c>
      <c r="AE613" s="372">
        <v>-2340.5744149999591</v>
      </c>
      <c r="AF613" s="372">
        <v>-2293.5344149999582</v>
      </c>
      <c r="AG613" s="400">
        <v>-0.75</v>
      </c>
      <c r="AH613" s="374">
        <v>-7.4470982268115878E-3</v>
      </c>
      <c r="AI613" s="375">
        <v>1.1939922695092568E-3</v>
      </c>
      <c r="AJ613" s="372">
        <v>252.12</v>
      </c>
      <c r="AK613" s="376">
        <v>-2.9747739171822941E-3</v>
      </c>
      <c r="AL613" s="376">
        <v>-4.4723243096292942E-3</v>
      </c>
      <c r="AM613" s="412">
        <v>251.88477157360416</v>
      </c>
    </row>
    <row r="614" spans="2:39" s="382" customFormat="1" ht="28.15" customHeight="1" x14ac:dyDescent="0.25">
      <c r="B614" s="369">
        <v>43620</v>
      </c>
      <c r="C614" s="370">
        <v>304851.11875999998</v>
      </c>
      <c r="D614" s="370">
        <v>39801.64</v>
      </c>
      <c r="E614" s="371">
        <v>0</v>
      </c>
      <c r="F614" s="371">
        <v>0</v>
      </c>
      <c r="G614" s="371">
        <v>12335.47</v>
      </c>
      <c r="H614" s="371"/>
      <c r="I614" s="371"/>
      <c r="J614" s="371"/>
      <c r="K614" s="371"/>
      <c r="L614" s="371"/>
      <c r="M614" s="371">
        <v>650000</v>
      </c>
      <c r="N614" s="371">
        <v>31000</v>
      </c>
      <c r="O614" s="371">
        <v>1600</v>
      </c>
      <c r="P614" s="371">
        <v>91683</v>
      </c>
      <c r="Q614" s="379">
        <v>-32306</v>
      </c>
      <c r="R614" s="372">
        <v>317186.58875999996</v>
      </c>
      <c r="S614" s="400">
        <v>278712</v>
      </c>
      <c r="T614" s="400">
        <v>35600.450000000004</v>
      </c>
      <c r="U614" s="400">
        <v>0</v>
      </c>
      <c r="V614" s="400">
        <v>9110.9</v>
      </c>
      <c r="W614" s="372">
        <v>287822.90000000002</v>
      </c>
      <c r="X614" s="373">
        <v>323423.35000000003</v>
      </c>
      <c r="Y614" s="372">
        <v>356988.22875999997</v>
      </c>
      <c r="Z614" s="373">
        <v>1098965.2287599999</v>
      </c>
      <c r="AA614" s="400">
        <v>2779.5991099999519</v>
      </c>
      <c r="AB614" s="400">
        <v>404.39999999999418</v>
      </c>
      <c r="AC614" s="400">
        <v>0</v>
      </c>
      <c r="AD614" s="400">
        <v>113.51000000000022</v>
      </c>
      <c r="AE614" s="372">
        <v>2893.1091099999521</v>
      </c>
      <c r="AF614" s="372">
        <v>3297.5091099999463</v>
      </c>
      <c r="AG614" s="400">
        <v>5.5500000000000114</v>
      </c>
      <c r="AH614" s="374">
        <v>9.1211583734047176E-3</v>
      </c>
      <c r="AI614" s="375">
        <v>1.0160385350955242E-2</v>
      </c>
      <c r="AJ614" s="372">
        <v>257.67</v>
      </c>
      <c r="AK614" s="376">
        <v>2.1539178018395666E-2</v>
      </c>
      <c r="AL614" s="376">
        <v>-1.2418019644990948E-2</v>
      </c>
      <c r="AM614" s="412">
        <v>251.88796954314731</v>
      </c>
    </row>
    <row r="615" spans="2:39" s="382" customFormat="1" ht="28.15" customHeight="1" x14ac:dyDescent="0.25">
      <c r="B615" s="369">
        <v>43621</v>
      </c>
      <c r="C615" s="370">
        <v>305355.59606600006</v>
      </c>
      <c r="D615" s="370">
        <v>39976.520000000004</v>
      </c>
      <c r="E615" s="371">
        <v>0</v>
      </c>
      <c r="F615" s="371">
        <v>0</v>
      </c>
      <c r="G615" s="371">
        <v>12547.19</v>
      </c>
      <c r="H615" s="371"/>
      <c r="I615" s="371"/>
      <c r="J615" s="371"/>
      <c r="K615" s="371"/>
      <c r="L615" s="371"/>
      <c r="M615" s="371">
        <v>650000</v>
      </c>
      <c r="N615" s="371">
        <v>31000</v>
      </c>
      <c r="O615" s="371">
        <v>1600</v>
      </c>
      <c r="P615" s="371">
        <v>91683</v>
      </c>
      <c r="Q615" s="379">
        <v>-32306</v>
      </c>
      <c r="R615" s="372">
        <v>317902.78606600006</v>
      </c>
      <c r="S615" s="400">
        <v>278712</v>
      </c>
      <c r="T615" s="400">
        <v>35600.450000000004</v>
      </c>
      <c r="U615" s="400">
        <v>0</v>
      </c>
      <c r="V615" s="400">
        <v>9110.9</v>
      </c>
      <c r="W615" s="372">
        <v>287822.90000000002</v>
      </c>
      <c r="X615" s="373">
        <v>323423.35000000003</v>
      </c>
      <c r="Y615" s="372">
        <v>357879.30606600008</v>
      </c>
      <c r="Z615" s="373">
        <v>1099856.3060660001</v>
      </c>
      <c r="AA615" s="400">
        <v>504.47730600007344</v>
      </c>
      <c r="AB615" s="400">
        <v>174.88000000000466</v>
      </c>
      <c r="AC615" s="400">
        <v>0</v>
      </c>
      <c r="AD615" s="400">
        <v>211.72000000000116</v>
      </c>
      <c r="AE615" s="372">
        <v>716.1973060000746</v>
      </c>
      <c r="AF615" s="372">
        <v>891.07730600007926</v>
      </c>
      <c r="AG615" s="400">
        <v>2.1800000000000068</v>
      </c>
      <c r="AH615" s="374">
        <v>2.2528815014895287E-3</v>
      </c>
      <c r="AI615" s="375">
        <v>4.3745678713405928E-3</v>
      </c>
      <c r="AJ615" s="372">
        <v>259.85000000000002</v>
      </c>
      <c r="AK615" s="376">
        <v>8.389455455070258E-3</v>
      </c>
      <c r="AL615" s="376">
        <v>-6.1365739535807293E-3</v>
      </c>
      <c r="AM615" s="412">
        <v>251.94050761421332</v>
      </c>
    </row>
    <row r="616" spans="2:39" s="382" customFormat="1" ht="28.15" customHeight="1" x14ac:dyDescent="0.25">
      <c r="B616" s="369">
        <v>43622</v>
      </c>
      <c r="C616" s="370">
        <v>305540.023674</v>
      </c>
      <c r="D616" s="370">
        <v>40089.64</v>
      </c>
      <c r="E616" s="371">
        <v>0</v>
      </c>
      <c r="F616" s="371">
        <v>0</v>
      </c>
      <c r="G616" s="371">
        <v>12608.73</v>
      </c>
      <c r="H616" s="371"/>
      <c r="I616" s="371"/>
      <c r="J616" s="371"/>
      <c r="K616" s="371"/>
      <c r="L616" s="371"/>
      <c r="M616" s="371">
        <v>650000</v>
      </c>
      <c r="N616" s="371">
        <v>18000</v>
      </c>
      <c r="O616" s="371">
        <v>1600</v>
      </c>
      <c r="P616" s="371">
        <v>91683</v>
      </c>
      <c r="Q616" s="379">
        <v>-32306</v>
      </c>
      <c r="R616" s="372">
        <v>318148.75367399998</v>
      </c>
      <c r="S616" s="406">
        <v>278712</v>
      </c>
      <c r="T616" s="400">
        <v>35600.450000000004</v>
      </c>
      <c r="U616" s="400">
        <v>0</v>
      </c>
      <c r="V616" s="400">
        <v>9110.9</v>
      </c>
      <c r="W616" s="372">
        <v>287822.90000000002</v>
      </c>
      <c r="X616" s="373">
        <v>323423.35000000003</v>
      </c>
      <c r="Y616" s="372">
        <v>358238.39367399999</v>
      </c>
      <c r="Z616" s="373">
        <v>1087215.3936739999</v>
      </c>
      <c r="AA616" s="400">
        <v>184.42760799993994</v>
      </c>
      <c r="AB616" s="400">
        <v>113.11999999999534</v>
      </c>
      <c r="AC616" s="400">
        <v>0</v>
      </c>
      <c r="AD616" s="400">
        <v>61.539999999999054</v>
      </c>
      <c r="AE616" s="372">
        <v>245.96760799993899</v>
      </c>
      <c r="AF616" s="372">
        <v>359.08760799993433</v>
      </c>
      <c r="AG616" s="400">
        <v>1.6899999999999977</v>
      </c>
      <c r="AH616" s="374">
        <v>7.7312139418901063E-4</v>
      </c>
      <c r="AI616" s="375">
        <v>2.821676622688439E-3</v>
      </c>
      <c r="AJ616" s="372">
        <v>261.54000000000002</v>
      </c>
      <c r="AK616" s="376">
        <v>6.4617266957253099E-3</v>
      </c>
      <c r="AL616" s="376">
        <v>-5.6886053015362996E-3</v>
      </c>
      <c r="AM616" s="412">
        <v>252.0272081218275</v>
      </c>
    </row>
    <row r="617" spans="2:39" s="382" customFormat="1" ht="28.15" customHeight="1" x14ac:dyDescent="0.25">
      <c r="B617" s="369">
        <v>43623</v>
      </c>
      <c r="C617" s="370">
        <v>305336.56722900004</v>
      </c>
      <c r="D617" s="370">
        <v>40329.560000000005</v>
      </c>
      <c r="E617" s="371">
        <v>0</v>
      </c>
      <c r="F617" s="371">
        <v>0</v>
      </c>
      <c r="G617" s="371">
        <v>12671.33</v>
      </c>
      <c r="H617" s="371"/>
      <c r="I617" s="371"/>
      <c r="J617" s="371"/>
      <c r="K617" s="371"/>
      <c r="L617" s="371"/>
      <c r="M617" s="371">
        <v>650000</v>
      </c>
      <c r="N617" s="371">
        <v>18000</v>
      </c>
      <c r="O617" s="371">
        <v>1600</v>
      </c>
      <c r="P617" s="371">
        <v>91683</v>
      </c>
      <c r="Q617" s="379">
        <v>-32306</v>
      </c>
      <c r="R617" s="372">
        <v>318007.89722900005</v>
      </c>
      <c r="S617" s="406">
        <v>278712</v>
      </c>
      <c r="T617" s="400">
        <v>35600.450000000004</v>
      </c>
      <c r="U617" s="400">
        <v>0</v>
      </c>
      <c r="V617" s="400">
        <v>9110.9</v>
      </c>
      <c r="W617" s="372">
        <v>287822.90000000002</v>
      </c>
      <c r="X617" s="373">
        <v>323423.35000000003</v>
      </c>
      <c r="Y617" s="372">
        <v>358337.45722900005</v>
      </c>
      <c r="Z617" s="373">
        <v>1087314.4572290001</v>
      </c>
      <c r="AA617" s="400">
        <v>-203.45644499995979</v>
      </c>
      <c r="AB617" s="400">
        <v>239.92000000000553</v>
      </c>
      <c r="AC617" s="400">
        <v>0</v>
      </c>
      <c r="AD617" s="400">
        <v>62.600000000000364</v>
      </c>
      <c r="AE617" s="372">
        <v>-140.85644499995942</v>
      </c>
      <c r="AF617" s="372">
        <v>99.063555000046108</v>
      </c>
      <c r="AG617" s="400">
        <v>2.6099999999999568</v>
      </c>
      <c r="AH617" s="374">
        <v>-4.4293379575579395E-4</v>
      </c>
      <c r="AI617" s="375">
        <v>5.94898630185912E-3</v>
      </c>
      <c r="AJ617" s="372">
        <v>264.14999999999998</v>
      </c>
      <c r="AK617" s="376">
        <v>9.8807495741054588E-3</v>
      </c>
      <c r="AL617" s="376">
        <v>-1.0323683369861253E-2</v>
      </c>
      <c r="AM617" s="412">
        <v>252.11837563451783</v>
      </c>
    </row>
    <row r="618" spans="2:39" s="382" customFormat="1" ht="28.15" customHeight="1" x14ac:dyDescent="0.25">
      <c r="B618" s="378">
        <v>43624</v>
      </c>
      <c r="C618" s="370">
        <v>305336.56722900004</v>
      </c>
      <c r="D618" s="370">
        <v>40329.560000000005</v>
      </c>
      <c r="E618" s="371">
        <v>0</v>
      </c>
      <c r="F618" s="371">
        <v>0</v>
      </c>
      <c r="G618" s="371">
        <v>12671.33</v>
      </c>
      <c r="H618" s="371"/>
      <c r="I618" s="371"/>
      <c r="J618" s="371"/>
      <c r="K618" s="371"/>
      <c r="L618" s="371"/>
      <c r="M618" s="371">
        <v>650000</v>
      </c>
      <c r="N618" s="371">
        <v>18000</v>
      </c>
      <c r="O618" s="371">
        <v>1600</v>
      </c>
      <c r="P618" s="371">
        <v>91683</v>
      </c>
      <c r="Q618" s="379">
        <v>-32306</v>
      </c>
      <c r="R618" s="372">
        <v>318007.89722900005</v>
      </c>
      <c r="S618" s="406">
        <v>278712</v>
      </c>
      <c r="T618" s="400">
        <v>35600.450000000004</v>
      </c>
      <c r="U618" s="400">
        <v>0</v>
      </c>
      <c r="V618" s="400">
        <v>9110.9</v>
      </c>
      <c r="W618" s="372">
        <v>287822.90000000002</v>
      </c>
      <c r="X618" s="373">
        <v>323423.35000000003</v>
      </c>
      <c r="Y618" s="372">
        <v>358337.45722900005</v>
      </c>
      <c r="Z618" s="373">
        <v>1087314.4572290001</v>
      </c>
      <c r="AA618" s="400">
        <v>0</v>
      </c>
      <c r="AB618" s="400">
        <v>0</v>
      </c>
      <c r="AC618" s="400">
        <v>0</v>
      </c>
      <c r="AD618" s="400">
        <v>0</v>
      </c>
      <c r="AE618" s="372">
        <v>0</v>
      </c>
      <c r="AF618" s="372">
        <v>0</v>
      </c>
      <c r="AG618" s="400">
        <v>0</v>
      </c>
      <c r="AH618" s="374">
        <v>0</v>
      </c>
      <c r="AI618" s="375">
        <v>0</v>
      </c>
      <c r="AJ618" s="372">
        <v>264.14999999999998</v>
      </c>
      <c r="AK618" s="376">
        <v>0</v>
      </c>
      <c r="AL618" s="376">
        <v>0</v>
      </c>
      <c r="AM618" s="412">
        <v>252.22279187817267</v>
      </c>
    </row>
    <row r="619" spans="2:39" s="382" customFormat="1" ht="28.15" customHeight="1" x14ac:dyDescent="0.25">
      <c r="B619" s="378">
        <v>43625</v>
      </c>
      <c r="C619" s="370">
        <v>305336.56722900004</v>
      </c>
      <c r="D619" s="370">
        <v>40329.560000000005</v>
      </c>
      <c r="E619" s="371">
        <v>0</v>
      </c>
      <c r="F619" s="371">
        <v>0</v>
      </c>
      <c r="G619" s="371">
        <v>12671.33</v>
      </c>
      <c r="H619" s="371"/>
      <c r="I619" s="371"/>
      <c r="J619" s="371"/>
      <c r="K619" s="371"/>
      <c r="L619" s="371"/>
      <c r="M619" s="371">
        <v>650000</v>
      </c>
      <c r="N619" s="371">
        <v>18000</v>
      </c>
      <c r="O619" s="371">
        <v>1600</v>
      </c>
      <c r="P619" s="371">
        <v>91683</v>
      </c>
      <c r="Q619" s="379">
        <v>-32306</v>
      </c>
      <c r="R619" s="372">
        <v>318007.89722900005</v>
      </c>
      <c r="S619" s="406">
        <v>278712</v>
      </c>
      <c r="T619" s="400">
        <v>35600.450000000004</v>
      </c>
      <c r="U619" s="400">
        <v>0</v>
      </c>
      <c r="V619" s="400">
        <v>9110.9</v>
      </c>
      <c r="W619" s="372">
        <v>287822.90000000002</v>
      </c>
      <c r="X619" s="373">
        <v>323423.35000000003</v>
      </c>
      <c r="Y619" s="372">
        <v>358337.45722900005</v>
      </c>
      <c r="Z619" s="373">
        <v>1087314.4572290001</v>
      </c>
      <c r="AA619" s="400">
        <v>0</v>
      </c>
      <c r="AB619" s="400">
        <v>0</v>
      </c>
      <c r="AC619" s="400">
        <v>0</v>
      </c>
      <c r="AD619" s="400">
        <v>0</v>
      </c>
      <c r="AE619" s="372">
        <v>0</v>
      </c>
      <c r="AF619" s="372">
        <v>0</v>
      </c>
      <c r="AG619" s="400">
        <v>0</v>
      </c>
      <c r="AH619" s="374">
        <v>0</v>
      </c>
      <c r="AI619" s="375">
        <v>0</v>
      </c>
      <c r="AJ619" s="372">
        <v>264.14999999999998</v>
      </c>
      <c r="AK619" s="376">
        <v>0</v>
      </c>
      <c r="AL619" s="376">
        <v>0</v>
      </c>
      <c r="AM619" s="412">
        <v>252.33517766497474</v>
      </c>
    </row>
    <row r="620" spans="2:39" s="382" customFormat="1" ht="28.15" customHeight="1" x14ac:dyDescent="0.25">
      <c r="B620" s="369">
        <v>43626</v>
      </c>
      <c r="C620" s="370">
        <v>306405.88290099998</v>
      </c>
      <c r="D620" s="370">
        <v>40353.240000000005</v>
      </c>
      <c r="E620" s="371">
        <v>0</v>
      </c>
      <c r="F620" s="371">
        <v>0</v>
      </c>
      <c r="G620" s="371">
        <v>12670.42</v>
      </c>
      <c r="H620" s="371"/>
      <c r="I620" s="371"/>
      <c r="J620" s="371"/>
      <c r="K620" s="371"/>
      <c r="L620" s="371"/>
      <c r="M620" s="371">
        <v>650000</v>
      </c>
      <c r="N620" s="371">
        <v>18000</v>
      </c>
      <c r="O620" s="371">
        <v>1600</v>
      </c>
      <c r="P620" s="371">
        <v>91683</v>
      </c>
      <c r="Q620" s="379">
        <v>-32306</v>
      </c>
      <c r="R620" s="372">
        <v>319076.30290099996</v>
      </c>
      <c r="S620" s="406">
        <v>278712</v>
      </c>
      <c r="T620" s="400">
        <v>35600.450000000004</v>
      </c>
      <c r="U620" s="400">
        <v>0</v>
      </c>
      <c r="V620" s="400">
        <v>9110.9</v>
      </c>
      <c r="W620" s="372">
        <v>287822.90000000002</v>
      </c>
      <c r="X620" s="373">
        <v>323423.35000000003</v>
      </c>
      <c r="Y620" s="372">
        <v>359429.54290099995</v>
      </c>
      <c r="Z620" s="373">
        <v>1088406.542901</v>
      </c>
      <c r="AA620" s="400">
        <v>1069.3156719999388</v>
      </c>
      <c r="AB620" s="400">
        <v>23.680000000000291</v>
      </c>
      <c r="AC620" s="400">
        <v>0</v>
      </c>
      <c r="AD620" s="400">
        <v>-0.90999999999985448</v>
      </c>
      <c r="AE620" s="372">
        <v>1068.4056719999389</v>
      </c>
      <c r="AF620" s="372">
        <v>1092.0856719999392</v>
      </c>
      <c r="AG620" s="400">
        <v>1.2400000000000091</v>
      </c>
      <c r="AH620" s="374">
        <v>3.3484331562266909E-3</v>
      </c>
      <c r="AI620" s="375">
        <v>5.8681781190309098E-4</v>
      </c>
      <c r="AJ620" s="372">
        <v>265.39</v>
      </c>
      <c r="AK620" s="376">
        <v>4.6723689664268028E-3</v>
      </c>
      <c r="AL620" s="376">
        <v>-1.3239358102001119E-3</v>
      </c>
      <c r="AM620" s="412">
        <v>252.44756345177672</v>
      </c>
    </row>
    <row r="621" spans="2:39" s="382" customFormat="1" ht="28.15" customHeight="1" x14ac:dyDescent="0.25">
      <c r="B621" s="369">
        <v>43627</v>
      </c>
      <c r="C621" s="370">
        <v>308094.79834400007</v>
      </c>
      <c r="D621" s="370">
        <v>40368.080000000002</v>
      </c>
      <c r="E621" s="371">
        <v>0</v>
      </c>
      <c r="F621" s="371">
        <v>0</v>
      </c>
      <c r="G621" s="371">
        <v>12703.99</v>
      </c>
      <c r="H621" s="371"/>
      <c r="I621" s="371"/>
      <c r="J621" s="371"/>
      <c r="K621" s="371"/>
      <c r="L621" s="371"/>
      <c r="M621" s="371">
        <v>650000</v>
      </c>
      <c r="N621" s="371">
        <v>18000</v>
      </c>
      <c r="O621" s="371">
        <v>1600</v>
      </c>
      <c r="P621" s="371">
        <v>91683</v>
      </c>
      <c r="Q621" s="379">
        <v>-32306</v>
      </c>
      <c r="R621" s="372">
        <v>320798.78834400006</v>
      </c>
      <c r="S621" s="406">
        <v>278712</v>
      </c>
      <c r="T621" s="400">
        <v>35600.450000000004</v>
      </c>
      <c r="U621" s="400">
        <v>0</v>
      </c>
      <c r="V621" s="400">
        <v>9110.9</v>
      </c>
      <c r="W621" s="372">
        <v>287822.90000000002</v>
      </c>
      <c r="X621" s="373">
        <v>323423.35000000003</v>
      </c>
      <c r="Y621" s="372">
        <v>361166.86834400008</v>
      </c>
      <c r="Z621" s="373">
        <v>1090143.8683440001</v>
      </c>
      <c r="AA621" s="400">
        <v>1688.9154430000926</v>
      </c>
      <c r="AB621" s="400">
        <v>14.839999999996508</v>
      </c>
      <c r="AC621" s="400">
        <v>0</v>
      </c>
      <c r="AD621" s="400">
        <v>33.569999999999709</v>
      </c>
      <c r="AE621" s="372">
        <v>1722.4854430000923</v>
      </c>
      <c r="AF621" s="372">
        <v>1737.3254430000889</v>
      </c>
      <c r="AG621" s="400">
        <v>-5.0000000000011369E-2</v>
      </c>
      <c r="AH621" s="374">
        <v>5.3693639302434988E-3</v>
      </c>
      <c r="AI621" s="375">
        <v>3.6761718664837432E-4</v>
      </c>
      <c r="AJ621" s="372">
        <v>265.33999999999997</v>
      </c>
      <c r="AK621" s="376">
        <v>-1.884374764453583E-4</v>
      </c>
      <c r="AL621" s="376">
        <v>5.5578014066888573E-3</v>
      </c>
      <c r="AM621" s="412">
        <v>252.56624365482239</v>
      </c>
    </row>
    <row r="622" spans="2:39" s="382" customFormat="1" ht="28.15" customHeight="1" x14ac:dyDescent="0.25">
      <c r="B622" s="369">
        <v>43628</v>
      </c>
      <c r="C622" s="370">
        <v>308384.08623300004</v>
      </c>
      <c r="D622" s="370">
        <v>40374.379999999997</v>
      </c>
      <c r="E622" s="371">
        <v>0</v>
      </c>
      <c r="F622" s="371">
        <v>0</v>
      </c>
      <c r="G622" s="371">
        <v>12736.86</v>
      </c>
      <c r="H622" s="371"/>
      <c r="I622" s="371"/>
      <c r="J622" s="371"/>
      <c r="K622" s="371"/>
      <c r="L622" s="371"/>
      <c r="M622" s="371">
        <v>650000</v>
      </c>
      <c r="N622" s="371">
        <v>18000</v>
      </c>
      <c r="O622" s="371">
        <v>1600</v>
      </c>
      <c r="P622" s="371">
        <v>91683</v>
      </c>
      <c r="Q622" s="379">
        <v>-32306</v>
      </c>
      <c r="R622" s="372">
        <v>321120.94623300002</v>
      </c>
      <c r="S622" s="406">
        <v>278712</v>
      </c>
      <c r="T622" s="400">
        <v>35600.450000000004</v>
      </c>
      <c r="U622" s="400">
        <v>0</v>
      </c>
      <c r="V622" s="400">
        <v>9110.9</v>
      </c>
      <c r="W622" s="372">
        <v>287822.90000000002</v>
      </c>
      <c r="X622" s="373">
        <v>323423.35000000003</v>
      </c>
      <c r="Y622" s="372">
        <v>361495.32623300003</v>
      </c>
      <c r="Z622" s="373">
        <v>1090472.326233</v>
      </c>
      <c r="AA622" s="400">
        <v>289.28788899997016</v>
      </c>
      <c r="AB622" s="400">
        <v>6.2999999999956344</v>
      </c>
      <c r="AC622" s="400">
        <v>0</v>
      </c>
      <c r="AD622" s="400">
        <v>32.8700000000008</v>
      </c>
      <c r="AE622" s="372">
        <v>322.15788899997096</v>
      </c>
      <c r="AF622" s="372">
        <v>328.4578889999666</v>
      </c>
      <c r="AG622" s="400">
        <v>-0.5</v>
      </c>
      <c r="AH622" s="374">
        <v>1.003229134627109E-3</v>
      </c>
      <c r="AI622" s="375">
        <v>1.5603954785177221E-4</v>
      </c>
      <c r="AJ622" s="372">
        <v>264.83999999999997</v>
      </c>
      <c r="AK622" s="376">
        <v>-1.8879323365050599E-3</v>
      </c>
      <c r="AL622" s="376">
        <v>2.8911614711321686E-3</v>
      </c>
      <c r="AM622" s="412">
        <v>252.66543147208122</v>
      </c>
    </row>
    <row r="623" spans="2:39" s="382" customFormat="1" ht="28.15" customHeight="1" x14ac:dyDescent="0.25">
      <c r="B623" s="369">
        <v>43629</v>
      </c>
      <c r="C623" s="370">
        <v>309616.70775200002</v>
      </c>
      <c r="D623" s="370">
        <v>40509.730000000003</v>
      </c>
      <c r="E623" s="371">
        <v>0</v>
      </c>
      <c r="F623" s="371">
        <v>0</v>
      </c>
      <c r="G623" s="371">
        <v>14450.04</v>
      </c>
      <c r="H623" s="371"/>
      <c r="I623" s="371"/>
      <c r="J623" s="371"/>
      <c r="K623" s="371"/>
      <c r="L623" s="371">
        <v>1822.18</v>
      </c>
      <c r="M623" s="371">
        <v>650000</v>
      </c>
      <c r="N623" s="371">
        <v>18000</v>
      </c>
      <c r="O623" s="371">
        <v>1600</v>
      </c>
      <c r="P623" s="371">
        <v>91683</v>
      </c>
      <c r="Q623" s="379">
        <v>-32306</v>
      </c>
      <c r="R623" s="372">
        <v>324066.747752</v>
      </c>
      <c r="S623" s="406">
        <v>278712</v>
      </c>
      <c r="T623" s="400">
        <v>35600.450000000004</v>
      </c>
      <c r="U623" s="400">
        <v>0</v>
      </c>
      <c r="V623" s="400">
        <v>10933.08</v>
      </c>
      <c r="W623" s="372">
        <v>289645.08</v>
      </c>
      <c r="X623" s="373">
        <v>325245.53000000003</v>
      </c>
      <c r="Y623" s="372">
        <v>364576.47775199998</v>
      </c>
      <c r="Z623" s="373">
        <v>1093553.4777520001</v>
      </c>
      <c r="AA623" s="400">
        <v>1232.6215189999784</v>
      </c>
      <c r="AB623" s="400">
        <v>135.35000000000582</v>
      </c>
      <c r="AC623" s="400">
        <v>0</v>
      </c>
      <c r="AD623" s="400">
        <v>-108.99999999999977</v>
      </c>
      <c r="AE623" s="372">
        <v>1123.6215189999787</v>
      </c>
      <c r="AF623" s="372">
        <v>1258.9715189999845</v>
      </c>
      <c r="AG623" s="400">
        <v>1.1800000000000068</v>
      </c>
      <c r="AH623" s="374">
        <v>3.4672533568913325E-3</v>
      </c>
      <c r="AI623" s="375">
        <v>3.3411726022366927E-3</v>
      </c>
      <c r="AJ623" s="372">
        <v>266.02</v>
      </c>
      <c r="AK623" s="376">
        <v>4.4357567100218286E-3</v>
      </c>
      <c r="AL623" s="376">
        <v>-9.685033531304961E-4</v>
      </c>
      <c r="AM623" s="412">
        <v>252.75817258883248</v>
      </c>
    </row>
    <row r="624" spans="2:39" s="382" customFormat="1" ht="28.15" customHeight="1" x14ac:dyDescent="0.25">
      <c r="B624" s="369">
        <v>43630</v>
      </c>
      <c r="C624" s="370">
        <v>310917.77922999999</v>
      </c>
      <c r="D624" s="370">
        <v>40499.03</v>
      </c>
      <c r="E624" s="371">
        <v>0</v>
      </c>
      <c r="F624" s="371">
        <v>0</v>
      </c>
      <c r="G624" s="371">
        <v>14601.16</v>
      </c>
      <c r="H624" s="371"/>
      <c r="I624" s="371"/>
      <c r="J624" s="371"/>
      <c r="K624" s="371"/>
      <c r="L624" s="371"/>
      <c r="M624" s="371">
        <v>650000</v>
      </c>
      <c r="N624" s="371">
        <v>20850</v>
      </c>
      <c r="O624" s="371">
        <v>1600</v>
      </c>
      <c r="P624" s="371">
        <v>91683</v>
      </c>
      <c r="Q624" s="379">
        <v>-32306</v>
      </c>
      <c r="R624" s="372">
        <v>325518.93922999996</v>
      </c>
      <c r="S624" s="400">
        <v>278712</v>
      </c>
      <c r="T624" s="400">
        <v>35600.450000000004</v>
      </c>
      <c r="U624" s="400">
        <v>0</v>
      </c>
      <c r="V624" s="400">
        <v>10933.08</v>
      </c>
      <c r="W624" s="372">
        <v>289645.08</v>
      </c>
      <c r="X624" s="373">
        <v>325245.53000000003</v>
      </c>
      <c r="Y624" s="372">
        <v>366017.96922999999</v>
      </c>
      <c r="Z624" s="373">
        <v>1097844.9692299999</v>
      </c>
      <c r="AA624" s="400">
        <v>1301.0714779999689</v>
      </c>
      <c r="AB624" s="400">
        <v>-10.700000000004366</v>
      </c>
      <c r="AC624" s="400">
        <v>0</v>
      </c>
      <c r="AD624" s="400">
        <v>151.11999999999898</v>
      </c>
      <c r="AE624" s="372">
        <v>1452.1914779999679</v>
      </c>
      <c r="AF624" s="372">
        <v>1441.4914779999635</v>
      </c>
      <c r="AG624" s="400">
        <v>-0.39999999999997726</v>
      </c>
      <c r="AH624" s="374">
        <v>4.4611581784920404E-3</v>
      </c>
      <c r="AI624" s="375">
        <v>-2.6420385870981025E-4</v>
      </c>
      <c r="AJ624" s="372">
        <v>265.62</v>
      </c>
      <c r="AK624" s="376">
        <v>-1.5059106994954343E-3</v>
      </c>
      <c r="AL624" s="376">
        <v>5.9670688779874751E-3</v>
      </c>
      <c r="AM624" s="412">
        <v>252.8276649746193</v>
      </c>
    </row>
    <row r="625" spans="2:39" s="382" customFormat="1" ht="28.15" customHeight="1" x14ac:dyDescent="0.25">
      <c r="B625" s="378">
        <v>43631</v>
      </c>
      <c r="C625" s="370">
        <v>310917.77922999999</v>
      </c>
      <c r="D625" s="370">
        <v>40499.03</v>
      </c>
      <c r="E625" s="371">
        <v>0</v>
      </c>
      <c r="F625" s="371">
        <v>0</v>
      </c>
      <c r="G625" s="371">
        <v>14601.16</v>
      </c>
      <c r="H625" s="371"/>
      <c r="I625" s="371"/>
      <c r="J625" s="371"/>
      <c r="K625" s="371"/>
      <c r="L625" s="371"/>
      <c r="M625" s="371">
        <v>650000</v>
      </c>
      <c r="N625" s="371">
        <v>20850</v>
      </c>
      <c r="O625" s="371">
        <v>1600</v>
      </c>
      <c r="P625" s="371">
        <v>91683</v>
      </c>
      <c r="Q625" s="379">
        <v>-32306</v>
      </c>
      <c r="R625" s="372">
        <v>325518.93922999996</v>
      </c>
      <c r="S625" s="400">
        <v>278712</v>
      </c>
      <c r="T625" s="400">
        <v>35600.450000000004</v>
      </c>
      <c r="U625" s="400">
        <v>0</v>
      </c>
      <c r="V625" s="400">
        <v>10933.08</v>
      </c>
      <c r="W625" s="372">
        <v>289645.08</v>
      </c>
      <c r="X625" s="373">
        <v>325245.53000000003</v>
      </c>
      <c r="Y625" s="372">
        <v>366017.96922999999</v>
      </c>
      <c r="Z625" s="373">
        <v>1097844.9692299999</v>
      </c>
      <c r="AA625" s="400">
        <v>0</v>
      </c>
      <c r="AB625" s="400">
        <v>0</v>
      </c>
      <c r="AC625" s="400">
        <v>0</v>
      </c>
      <c r="AD625" s="400">
        <v>0</v>
      </c>
      <c r="AE625" s="372">
        <v>0</v>
      </c>
      <c r="AF625" s="372">
        <v>0</v>
      </c>
      <c r="AG625" s="400">
        <v>0</v>
      </c>
      <c r="AH625" s="374">
        <v>0</v>
      </c>
      <c r="AI625" s="375">
        <v>0</v>
      </c>
      <c r="AJ625" s="372">
        <v>265.62</v>
      </c>
      <c r="AK625" s="376">
        <v>0</v>
      </c>
      <c r="AL625" s="376">
        <v>0</v>
      </c>
      <c r="AM625" s="412">
        <v>252.89776649746193</v>
      </c>
    </row>
    <row r="626" spans="2:39" s="382" customFormat="1" ht="28.15" customHeight="1" x14ac:dyDescent="0.25">
      <c r="B626" s="378">
        <v>43632</v>
      </c>
      <c r="C626" s="370">
        <v>310917.77922999999</v>
      </c>
      <c r="D626" s="370">
        <v>40499.03</v>
      </c>
      <c r="E626" s="371">
        <v>0</v>
      </c>
      <c r="F626" s="371">
        <v>0</v>
      </c>
      <c r="G626" s="371">
        <v>14601.16</v>
      </c>
      <c r="H626" s="371"/>
      <c r="I626" s="371"/>
      <c r="J626" s="371"/>
      <c r="K626" s="371"/>
      <c r="L626" s="371"/>
      <c r="M626" s="371">
        <v>650000</v>
      </c>
      <c r="N626" s="371">
        <v>20850</v>
      </c>
      <c r="O626" s="371">
        <v>1600</v>
      </c>
      <c r="P626" s="371">
        <v>91683</v>
      </c>
      <c r="Q626" s="379">
        <v>-32306</v>
      </c>
      <c r="R626" s="372">
        <v>325518.93922999996</v>
      </c>
      <c r="S626" s="400">
        <v>278712</v>
      </c>
      <c r="T626" s="400">
        <v>35600.450000000004</v>
      </c>
      <c r="U626" s="400">
        <v>0</v>
      </c>
      <c r="V626" s="400">
        <v>10933.08</v>
      </c>
      <c r="W626" s="372">
        <v>289645.08</v>
      </c>
      <c r="X626" s="373">
        <v>325245.53000000003</v>
      </c>
      <c r="Y626" s="372">
        <v>366017.96922999999</v>
      </c>
      <c r="Z626" s="373">
        <v>1097844.9692299999</v>
      </c>
      <c r="AA626" s="400">
        <v>0</v>
      </c>
      <c r="AB626" s="400">
        <v>0</v>
      </c>
      <c r="AC626" s="400">
        <v>0</v>
      </c>
      <c r="AD626" s="400">
        <v>0</v>
      </c>
      <c r="AE626" s="372">
        <v>0</v>
      </c>
      <c r="AF626" s="372">
        <v>0</v>
      </c>
      <c r="AG626" s="400">
        <v>0</v>
      </c>
      <c r="AH626" s="374">
        <v>0</v>
      </c>
      <c r="AI626" s="375">
        <v>0</v>
      </c>
      <c r="AJ626" s="372">
        <v>265.62</v>
      </c>
      <c r="AK626" s="376">
        <v>0</v>
      </c>
      <c r="AL626" s="376">
        <v>0</v>
      </c>
      <c r="AM626" s="412">
        <v>252.95939086294416</v>
      </c>
    </row>
    <row r="627" spans="2:39" s="382" customFormat="1" ht="28.15" customHeight="1" x14ac:dyDescent="0.25">
      <c r="B627" s="369">
        <v>43633</v>
      </c>
      <c r="C627" s="370">
        <v>311389.76238600002</v>
      </c>
      <c r="D627" s="370">
        <v>40507.53</v>
      </c>
      <c r="E627" s="371">
        <v>0</v>
      </c>
      <c r="F627" s="371">
        <v>0</v>
      </c>
      <c r="G627" s="371">
        <v>14623.4</v>
      </c>
      <c r="H627" s="371">
        <v>875</v>
      </c>
      <c r="I627" s="371"/>
      <c r="J627" s="371"/>
      <c r="K627" s="371"/>
      <c r="L627" s="371"/>
      <c r="M627" s="371">
        <v>650000</v>
      </c>
      <c r="N627" s="371">
        <v>20850</v>
      </c>
      <c r="O627" s="371">
        <v>1600</v>
      </c>
      <c r="P627" s="371">
        <v>91683</v>
      </c>
      <c r="Q627" s="379">
        <v>-32306</v>
      </c>
      <c r="R627" s="372">
        <v>326013.16238600004</v>
      </c>
      <c r="S627" s="400">
        <v>279587</v>
      </c>
      <c r="T627" s="400">
        <v>35600.450000000004</v>
      </c>
      <c r="U627" s="400">
        <v>0</v>
      </c>
      <c r="V627" s="400">
        <v>10933.08</v>
      </c>
      <c r="W627" s="372">
        <v>290520.08</v>
      </c>
      <c r="X627" s="373">
        <v>326120.53000000003</v>
      </c>
      <c r="Y627" s="372">
        <v>366520.69238600007</v>
      </c>
      <c r="Z627" s="373">
        <v>1098347.692386</v>
      </c>
      <c r="AA627" s="400">
        <v>-403.01684399996884</v>
      </c>
      <c r="AB627" s="400">
        <v>8.5</v>
      </c>
      <c r="AC627" s="400">
        <v>0</v>
      </c>
      <c r="AD627" s="400">
        <v>22.239999999999782</v>
      </c>
      <c r="AE627" s="372">
        <v>-380.77684399996906</v>
      </c>
      <c r="AF627" s="372">
        <v>-372.27684399996906</v>
      </c>
      <c r="AG627" s="400">
        <v>0.24000000000000909</v>
      </c>
      <c r="AH627" s="374">
        <v>-1.16797997115567E-3</v>
      </c>
      <c r="AI627" s="375">
        <v>2.0983752897300824E-4</v>
      </c>
      <c r="AJ627" s="372">
        <v>265.86</v>
      </c>
      <c r="AK627" s="376">
        <v>9.0273076055069992E-4</v>
      </c>
      <c r="AL627" s="376">
        <v>-2.0707107317063699E-3</v>
      </c>
      <c r="AM627" s="412">
        <v>253.02101522842639</v>
      </c>
    </row>
    <row r="628" spans="2:39" s="382" customFormat="1" ht="28.15" customHeight="1" x14ac:dyDescent="0.25">
      <c r="B628" s="369">
        <v>43634</v>
      </c>
      <c r="C628" s="370">
        <v>313602.88168399996</v>
      </c>
      <c r="D628" s="370">
        <v>40959.58</v>
      </c>
      <c r="E628" s="371">
        <v>0</v>
      </c>
      <c r="F628" s="371">
        <v>0</v>
      </c>
      <c r="G628" s="371">
        <v>14596.76</v>
      </c>
      <c r="H628" s="371"/>
      <c r="I628" s="371">
        <v>210</v>
      </c>
      <c r="J628" s="371"/>
      <c r="K628" s="371"/>
      <c r="L628" s="371"/>
      <c r="M628" s="371">
        <v>650000</v>
      </c>
      <c r="N628" s="371">
        <v>20850</v>
      </c>
      <c r="O628" s="371">
        <v>1600</v>
      </c>
      <c r="P628" s="371">
        <v>91683</v>
      </c>
      <c r="Q628" s="379">
        <v>-32306</v>
      </c>
      <c r="R628" s="372">
        <v>328199.64168399997</v>
      </c>
      <c r="S628" s="400">
        <v>279587</v>
      </c>
      <c r="T628" s="400">
        <v>35810.450000000004</v>
      </c>
      <c r="U628" s="400">
        <v>0</v>
      </c>
      <c r="V628" s="400">
        <v>10933.08</v>
      </c>
      <c r="W628" s="372">
        <v>290520.08</v>
      </c>
      <c r="X628" s="373">
        <v>326330.53000000003</v>
      </c>
      <c r="Y628" s="372">
        <v>369159.22168399999</v>
      </c>
      <c r="Z628" s="373">
        <v>1100986.221684</v>
      </c>
      <c r="AA628" s="400">
        <v>2213.1192979999469</v>
      </c>
      <c r="AB628" s="400">
        <v>242.05000000000291</v>
      </c>
      <c r="AC628" s="400">
        <v>0</v>
      </c>
      <c r="AD628" s="400">
        <v>-26.639999999999418</v>
      </c>
      <c r="AE628" s="372">
        <v>2186.4792979999474</v>
      </c>
      <c r="AF628" s="372">
        <v>2428.5292979999504</v>
      </c>
      <c r="AG628" s="400">
        <v>2.6499999999999773</v>
      </c>
      <c r="AH628" s="374">
        <v>6.6620404787192068E-3</v>
      </c>
      <c r="AI628" s="375">
        <v>5.9094844234243342E-3</v>
      </c>
      <c r="AJ628" s="372">
        <v>268.51</v>
      </c>
      <c r="AK628" s="376">
        <v>9.869278611597249E-3</v>
      </c>
      <c r="AL628" s="376">
        <v>-3.2072381328780422E-3</v>
      </c>
      <c r="AM628" s="412">
        <v>253.08385786802029</v>
      </c>
    </row>
    <row r="629" spans="2:39" s="382" customFormat="1" ht="28.15" customHeight="1" x14ac:dyDescent="0.25">
      <c r="B629" s="369">
        <v>43635</v>
      </c>
      <c r="C629" s="370">
        <v>312327.00059799996</v>
      </c>
      <c r="D629" s="370">
        <v>40876.379999999997</v>
      </c>
      <c r="E629" s="371">
        <v>0</v>
      </c>
      <c r="F629" s="371">
        <v>0</v>
      </c>
      <c r="G629" s="371">
        <v>14739.36</v>
      </c>
      <c r="H629" s="371"/>
      <c r="I629" s="371"/>
      <c r="J629" s="371"/>
      <c r="K629" s="371"/>
      <c r="L629" s="371"/>
      <c r="M629" s="371">
        <v>650000</v>
      </c>
      <c r="N629" s="371">
        <v>20850</v>
      </c>
      <c r="O629" s="371">
        <v>1600</v>
      </c>
      <c r="P629" s="371">
        <v>91683</v>
      </c>
      <c r="Q629" s="379">
        <v>-32306</v>
      </c>
      <c r="R629" s="372">
        <v>327066.36059799994</v>
      </c>
      <c r="S629" s="400">
        <v>279587</v>
      </c>
      <c r="T629" s="400">
        <v>35810.450000000004</v>
      </c>
      <c r="U629" s="400">
        <v>0</v>
      </c>
      <c r="V629" s="400">
        <v>10933.08</v>
      </c>
      <c r="W629" s="372">
        <v>290520.08</v>
      </c>
      <c r="X629" s="373">
        <v>326330.53000000003</v>
      </c>
      <c r="Y629" s="372">
        <v>367942.74059799995</v>
      </c>
      <c r="Z629" s="373">
        <v>1099769.7405979999</v>
      </c>
      <c r="AA629" s="400">
        <v>-1275.8810860000085</v>
      </c>
      <c r="AB629" s="400">
        <v>-83.200000000004366</v>
      </c>
      <c r="AC629" s="400">
        <v>0</v>
      </c>
      <c r="AD629" s="400">
        <v>142.60000000000036</v>
      </c>
      <c r="AE629" s="372">
        <v>-1133.2810860000081</v>
      </c>
      <c r="AF629" s="372">
        <v>-1216.4810860000125</v>
      </c>
      <c r="AG629" s="400">
        <v>0.71000000000003638</v>
      </c>
      <c r="AH629" s="374">
        <v>-3.4649882180727647E-3</v>
      </c>
      <c r="AI629" s="375">
        <v>-2.0354052878460462E-3</v>
      </c>
      <c r="AJ629" s="372">
        <v>269.22000000000003</v>
      </c>
      <c r="AK629" s="376">
        <v>2.6372483470768751E-3</v>
      </c>
      <c r="AL629" s="376">
        <v>-6.1022365651496394E-3</v>
      </c>
      <c r="AM629" s="412">
        <v>253.14426395939083</v>
      </c>
    </row>
    <row r="630" spans="2:39" s="382" customFormat="1" ht="28.15" customHeight="1" x14ac:dyDescent="0.25">
      <c r="B630" s="369">
        <v>43636</v>
      </c>
      <c r="C630" s="370">
        <v>308946.58674999996</v>
      </c>
      <c r="D630" s="370">
        <v>41075.83</v>
      </c>
      <c r="E630" s="371">
        <v>0</v>
      </c>
      <c r="F630" s="371">
        <v>0</v>
      </c>
      <c r="G630" s="371">
        <v>14727.73</v>
      </c>
      <c r="H630" s="371"/>
      <c r="I630" s="371"/>
      <c r="J630" s="371"/>
      <c r="K630" s="371"/>
      <c r="L630" s="371"/>
      <c r="M630" s="371">
        <v>650000</v>
      </c>
      <c r="N630" s="371">
        <v>20850</v>
      </c>
      <c r="O630" s="371">
        <v>1600</v>
      </c>
      <c r="P630" s="371">
        <v>91683</v>
      </c>
      <c r="Q630" s="379">
        <v>-32306</v>
      </c>
      <c r="R630" s="372">
        <v>323674.31674999994</v>
      </c>
      <c r="S630" s="400">
        <v>279587</v>
      </c>
      <c r="T630" s="400">
        <v>35810.450000000004</v>
      </c>
      <c r="U630" s="400">
        <v>0</v>
      </c>
      <c r="V630" s="400">
        <v>10933.08</v>
      </c>
      <c r="W630" s="372">
        <v>290520.08</v>
      </c>
      <c r="X630" s="373">
        <v>326330.53000000003</v>
      </c>
      <c r="Y630" s="372">
        <v>364750.14674999996</v>
      </c>
      <c r="Z630" s="373">
        <v>1096577.1467499998</v>
      </c>
      <c r="AA630" s="400">
        <v>-3380.4138479999965</v>
      </c>
      <c r="AB630" s="400">
        <v>199.45000000000437</v>
      </c>
      <c r="AC630" s="400">
        <v>0</v>
      </c>
      <c r="AD630" s="400">
        <v>-11.630000000001019</v>
      </c>
      <c r="AE630" s="372">
        <v>-3392.0438479999975</v>
      </c>
      <c r="AF630" s="372">
        <v>-3192.5938479999932</v>
      </c>
      <c r="AG630" s="400">
        <v>2.5099999999999909</v>
      </c>
      <c r="AH630" s="374">
        <v>-1.0479805386041641E-2</v>
      </c>
      <c r="AI630" s="375">
        <v>4.8556535558746923E-3</v>
      </c>
      <c r="AJ630" s="372">
        <v>271.73</v>
      </c>
      <c r="AK630" s="376">
        <v>9.2371103669082934E-3</v>
      </c>
      <c r="AL630" s="376">
        <v>-1.9716915752949933E-2</v>
      </c>
      <c r="AM630" s="412">
        <v>253.24868020304564</v>
      </c>
    </row>
    <row r="631" spans="2:39" s="382" customFormat="1" ht="28.15" customHeight="1" x14ac:dyDescent="0.25">
      <c r="B631" s="369">
        <v>43637</v>
      </c>
      <c r="C631" s="370">
        <v>309337.97415999998</v>
      </c>
      <c r="D631" s="370">
        <v>40982.080000000002</v>
      </c>
      <c r="E631" s="371">
        <v>0</v>
      </c>
      <c r="F631" s="371">
        <v>0</v>
      </c>
      <c r="G631" s="371">
        <v>14748.84</v>
      </c>
      <c r="H631" s="371"/>
      <c r="I631" s="371"/>
      <c r="J631" s="371"/>
      <c r="K631" s="371"/>
      <c r="L631" s="371"/>
      <c r="M631" s="371">
        <v>650000</v>
      </c>
      <c r="N631" s="371">
        <v>20850</v>
      </c>
      <c r="O631" s="371">
        <v>1600</v>
      </c>
      <c r="P631" s="371">
        <v>91683</v>
      </c>
      <c r="Q631" s="379">
        <v>-32306</v>
      </c>
      <c r="R631" s="372">
        <v>324086.81416000001</v>
      </c>
      <c r="S631" s="400">
        <v>279587</v>
      </c>
      <c r="T631" s="400">
        <v>35810.450000000004</v>
      </c>
      <c r="U631" s="400">
        <v>0</v>
      </c>
      <c r="V631" s="400">
        <v>10933.08</v>
      </c>
      <c r="W631" s="372">
        <v>290520.08</v>
      </c>
      <c r="X631" s="373">
        <v>326330.53000000003</v>
      </c>
      <c r="Y631" s="372">
        <v>365068.89416000003</v>
      </c>
      <c r="Z631" s="373">
        <v>1096895.8941600001</v>
      </c>
      <c r="AA631" s="400">
        <v>391.38741000002483</v>
      </c>
      <c r="AB631" s="400">
        <v>-93.75</v>
      </c>
      <c r="AC631" s="400">
        <v>0</v>
      </c>
      <c r="AD631" s="400">
        <v>21.110000000000582</v>
      </c>
      <c r="AE631" s="372">
        <v>412.49741000002541</v>
      </c>
      <c r="AF631" s="372">
        <v>318.74741000002541</v>
      </c>
      <c r="AG631" s="400">
        <v>-0.31999999999999318</v>
      </c>
      <c r="AH631" s="374">
        <v>1.2727991142409687E-3</v>
      </c>
      <c r="AI631" s="375">
        <v>-2.2875852079738265E-3</v>
      </c>
      <c r="AJ631" s="372">
        <v>271.41000000000003</v>
      </c>
      <c r="AK631" s="376">
        <v>-1.1790280387605216E-3</v>
      </c>
      <c r="AL631" s="376">
        <v>2.4518271530014901E-3</v>
      </c>
      <c r="AM631" s="412">
        <v>253.36583756345178</v>
      </c>
    </row>
    <row r="632" spans="2:39" s="382" customFormat="1" ht="28.15" customHeight="1" x14ac:dyDescent="0.25">
      <c r="B632" s="378">
        <v>43638</v>
      </c>
      <c r="C632" s="370">
        <v>309337.97415999998</v>
      </c>
      <c r="D632" s="370">
        <v>40982.080000000002</v>
      </c>
      <c r="E632" s="371">
        <v>0</v>
      </c>
      <c r="F632" s="371">
        <v>0</v>
      </c>
      <c r="G632" s="371">
        <v>14748.84</v>
      </c>
      <c r="H632" s="371"/>
      <c r="I632" s="371"/>
      <c r="J632" s="371"/>
      <c r="K632" s="371"/>
      <c r="L632" s="371"/>
      <c r="M632" s="371">
        <v>650000</v>
      </c>
      <c r="N632" s="371">
        <v>20850</v>
      </c>
      <c r="O632" s="371">
        <v>1600</v>
      </c>
      <c r="P632" s="371">
        <v>91683</v>
      </c>
      <c r="Q632" s="379">
        <v>-32306</v>
      </c>
      <c r="R632" s="372">
        <v>324086.81416000001</v>
      </c>
      <c r="S632" s="400">
        <v>279587</v>
      </c>
      <c r="T632" s="400">
        <v>35810.450000000004</v>
      </c>
      <c r="U632" s="400">
        <v>0</v>
      </c>
      <c r="V632" s="400">
        <v>10933.08</v>
      </c>
      <c r="W632" s="372">
        <v>290520.08</v>
      </c>
      <c r="X632" s="373">
        <v>326330.53000000003</v>
      </c>
      <c r="Y632" s="372">
        <v>365068.89416000003</v>
      </c>
      <c r="Z632" s="373">
        <v>1096895.8941600001</v>
      </c>
      <c r="AA632" s="400">
        <v>0</v>
      </c>
      <c r="AB632" s="400">
        <v>0</v>
      </c>
      <c r="AC632" s="400">
        <v>0</v>
      </c>
      <c r="AD632" s="400">
        <v>0</v>
      </c>
      <c r="AE632" s="372">
        <v>0</v>
      </c>
      <c r="AF632" s="372">
        <v>0</v>
      </c>
      <c r="AG632" s="400">
        <v>0</v>
      </c>
      <c r="AH632" s="374">
        <v>0</v>
      </c>
      <c r="AI632" s="375">
        <v>0</v>
      </c>
      <c r="AJ632" s="372">
        <v>271.41000000000003</v>
      </c>
      <c r="AK632" s="376">
        <v>0</v>
      </c>
      <c r="AL632" s="376">
        <v>0</v>
      </c>
      <c r="AM632" s="412">
        <v>253.48456852791881</v>
      </c>
    </row>
    <row r="633" spans="2:39" s="382" customFormat="1" ht="28.15" customHeight="1" x14ac:dyDescent="0.25">
      <c r="B633" s="378">
        <v>43639</v>
      </c>
      <c r="C633" s="370">
        <v>309337.97415999998</v>
      </c>
      <c r="D633" s="370">
        <v>40982.080000000002</v>
      </c>
      <c r="E633" s="371">
        <v>0</v>
      </c>
      <c r="F633" s="371">
        <v>0</v>
      </c>
      <c r="G633" s="371">
        <v>14748.84</v>
      </c>
      <c r="H633" s="371"/>
      <c r="I633" s="371"/>
      <c r="J633" s="371"/>
      <c r="K633" s="371"/>
      <c r="L633" s="371"/>
      <c r="M633" s="371">
        <v>650000</v>
      </c>
      <c r="N633" s="371">
        <v>20850</v>
      </c>
      <c r="O633" s="371">
        <v>1600</v>
      </c>
      <c r="P633" s="371">
        <v>91683</v>
      </c>
      <c r="Q633" s="379">
        <v>-32306</v>
      </c>
      <c r="R633" s="372">
        <v>324086.81416000001</v>
      </c>
      <c r="S633" s="400">
        <v>279587</v>
      </c>
      <c r="T633" s="400">
        <v>35810.450000000004</v>
      </c>
      <c r="U633" s="400">
        <v>0</v>
      </c>
      <c r="V633" s="400">
        <v>10933.08</v>
      </c>
      <c r="W633" s="372">
        <v>290520.08</v>
      </c>
      <c r="X633" s="373">
        <v>326330.53000000003</v>
      </c>
      <c r="Y633" s="372">
        <v>365068.89416000003</v>
      </c>
      <c r="Z633" s="373">
        <v>1096895.8941600001</v>
      </c>
      <c r="AA633" s="400">
        <v>0</v>
      </c>
      <c r="AB633" s="400">
        <v>0</v>
      </c>
      <c r="AC633" s="400">
        <v>0</v>
      </c>
      <c r="AD633" s="400">
        <v>0</v>
      </c>
      <c r="AE633" s="372">
        <v>0</v>
      </c>
      <c r="AF633" s="372">
        <v>0</v>
      </c>
      <c r="AG633" s="400">
        <v>0</v>
      </c>
      <c r="AH633" s="374">
        <v>0</v>
      </c>
      <c r="AI633" s="375">
        <v>0</v>
      </c>
      <c r="AJ633" s="372">
        <v>271.41000000000003</v>
      </c>
      <c r="AK633" s="376">
        <v>0</v>
      </c>
      <c r="AL633" s="376">
        <v>0</v>
      </c>
      <c r="AM633" s="412">
        <v>253.63253807106608</v>
      </c>
    </row>
    <row r="634" spans="2:39" s="382" customFormat="1" ht="28.15" customHeight="1" x14ac:dyDescent="0.25">
      <c r="B634" s="369">
        <v>43640</v>
      </c>
      <c r="C634" s="370">
        <v>308973.87541799998</v>
      </c>
      <c r="D634" s="370">
        <v>40991.58</v>
      </c>
      <c r="E634" s="371">
        <v>0</v>
      </c>
      <c r="F634" s="371">
        <v>0</v>
      </c>
      <c r="G634" s="371">
        <v>14731.1</v>
      </c>
      <c r="H634" s="371"/>
      <c r="I634" s="371"/>
      <c r="J634" s="371"/>
      <c r="K634" s="371"/>
      <c r="L634" s="371"/>
      <c r="M634" s="371">
        <v>650000</v>
      </c>
      <c r="N634" s="371">
        <v>20850</v>
      </c>
      <c r="O634" s="371">
        <v>1600</v>
      </c>
      <c r="P634" s="371">
        <v>91683</v>
      </c>
      <c r="Q634" s="379">
        <v>-32306</v>
      </c>
      <c r="R634" s="372">
        <v>323704.97541799996</v>
      </c>
      <c r="S634" s="400">
        <v>279587</v>
      </c>
      <c r="T634" s="400">
        <v>35810.450000000004</v>
      </c>
      <c r="U634" s="400">
        <v>0</v>
      </c>
      <c r="V634" s="400">
        <v>10933.08</v>
      </c>
      <c r="W634" s="372">
        <v>290520.08</v>
      </c>
      <c r="X634" s="373">
        <v>326330.53000000003</v>
      </c>
      <c r="Y634" s="372">
        <v>364696.55541799997</v>
      </c>
      <c r="Z634" s="373">
        <v>1096523.5554180001</v>
      </c>
      <c r="AA634" s="400">
        <v>-364.09874200000195</v>
      </c>
      <c r="AB634" s="400">
        <v>9.5</v>
      </c>
      <c r="AC634" s="400">
        <v>0</v>
      </c>
      <c r="AD634" s="400">
        <v>-17.739999999999782</v>
      </c>
      <c r="AE634" s="372">
        <v>-381.83874200000173</v>
      </c>
      <c r="AF634" s="372">
        <v>-372.33874200000173</v>
      </c>
      <c r="AG634" s="400">
        <v>-0.35000000000002274</v>
      </c>
      <c r="AH634" s="374">
        <v>-1.1795887335588021E-3</v>
      </c>
      <c r="AI634" s="375">
        <v>2.317549116184348E-4</v>
      </c>
      <c r="AJ634" s="372">
        <v>271.06</v>
      </c>
      <c r="AK634" s="376">
        <v>-1.2912270346049685E-3</v>
      </c>
      <c r="AL634" s="376">
        <v>1.1163830104616635E-4</v>
      </c>
      <c r="AM634" s="412">
        <v>253.78050761421332</v>
      </c>
    </row>
    <row r="635" spans="2:39" s="382" customFormat="1" ht="28.15" customHeight="1" x14ac:dyDescent="0.25">
      <c r="B635" s="369">
        <v>43641</v>
      </c>
      <c r="C635" s="370">
        <v>308879.57485999994</v>
      </c>
      <c r="D635" s="370">
        <v>40814.480000000003</v>
      </c>
      <c r="E635" s="371">
        <v>0</v>
      </c>
      <c r="F635" s="371">
        <v>0</v>
      </c>
      <c r="G635" s="371">
        <v>14688.41</v>
      </c>
      <c r="H635" s="371"/>
      <c r="I635" s="371"/>
      <c r="J635" s="371"/>
      <c r="K635" s="371"/>
      <c r="L635" s="371"/>
      <c r="M635" s="371">
        <v>650000</v>
      </c>
      <c r="N635" s="371">
        <v>20850</v>
      </c>
      <c r="O635" s="371">
        <v>1600</v>
      </c>
      <c r="P635" s="371">
        <v>91683</v>
      </c>
      <c r="Q635" s="379">
        <v>-32306</v>
      </c>
      <c r="R635" s="372">
        <v>323567.98485999991</v>
      </c>
      <c r="S635" s="400">
        <v>279587</v>
      </c>
      <c r="T635" s="400">
        <v>35810.450000000004</v>
      </c>
      <c r="U635" s="400">
        <v>0</v>
      </c>
      <c r="V635" s="400">
        <v>10933.08</v>
      </c>
      <c r="W635" s="372">
        <v>290520.08</v>
      </c>
      <c r="X635" s="373">
        <v>326330.53000000003</v>
      </c>
      <c r="Y635" s="372">
        <v>364382.46485999989</v>
      </c>
      <c r="Z635" s="373">
        <v>1096209.4648599999</v>
      </c>
      <c r="AA635" s="400">
        <v>-94.300558000046294</v>
      </c>
      <c r="AB635" s="400">
        <v>-177.09999999999854</v>
      </c>
      <c r="AC635" s="400">
        <v>0</v>
      </c>
      <c r="AD635" s="400">
        <v>-42.690000000000509</v>
      </c>
      <c r="AE635" s="372">
        <v>-136.9905580000468</v>
      </c>
      <c r="AF635" s="372">
        <v>-314.09055800004535</v>
      </c>
      <c r="AG635" s="400">
        <v>-2.6800000000000068</v>
      </c>
      <c r="AH635" s="374">
        <v>-4.2337488382640612E-4</v>
      </c>
      <c r="AI635" s="375">
        <v>-4.339146302978711E-3</v>
      </c>
      <c r="AJ635" s="372">
        <v>268.38</v>
      </c>
      <c r="AK635" s="376">
        <v>-9.9858409717564905E-3</v>
      </c>
      <c r="AL635" s="376">
        <v>9.5624660879300837E-3</v>
      </c>
      <c r="AM635" s="412">
        <v>253.92670050761436</v>
      </c>
    </row>
    <row r="636" spans="2:39" s="382" customFormat="1" ht="28.15" customHeight="1" x14ac:dyDescent="0.25">
      <c r="B636" s="369">
        <v>43642</v>
      </c>
      <c r="C636" s="370">
        <v>307554.82844999997</v>
      </c>
      <c r="D636" s="370">
        <v>40721.83</v>
      </c>
      <c r="E636" s="371">
        <v>0</v>
      </c>
      <c r="F636" s="371">
        <v>0</v>
      </c>
      <c r="G636" s="371">
        <v>14558.57</v>
      </c>
      <c r="H636" s="371"/>
      <c r="I636" s="371"/>
      <c r="J636" s="371"/>
      <c r="K636" s="371"/>
      <c r="L636" s="371"/>
      <c r="M636" s="371">
        <v>650000</v>
      </c>
      <c r="N636" s="371">
        <v>20850</v>
      </c>
      <c r="O636" s="371">
        <v>1600</v>
      </c>
      <c r="P636" s="371">
        <v>91683</v>
      </c>
      <c r="Q636" s="379">
        <v>-32306</v>
      </c>
      <c r="R636" s="372">
        <v>322113.39844999998</v>
      </c>
      <c r="S636" s="400">
        <v>279587</v>
      </c>
      <c r="T636" s="400">
        <v>35810.450000000004</v>
      </c>
      <c r="U636" s="400">
        <v>0</v>
      </c>
      <c r="V636" s="400">
        <v>10933.08</v>
      </c>
      <c r="W636" s="372">
        <v>290520.08</v>
      </c>
      <c r="X636" s="373">
        <v>326330.53000000003</v>
      </c>
      <c r="Y636" s="372">
        <v>362835.22845</v>
      </c>
      <c r="Z636" s="373">
        <v>1094662.2284500001</v>
      </c>
      <c r="AA636" s="400">
        <v>-1324.7464099999634</v>
      </c>
      <c r="AB636" s="400">
        <v>-92.650000000001455</v>
      </c>
      <c r="AC636" s="400">
        <v>0</v>
      </c>
      <c r="AD636" s="400">
        <v>-129.84000000000015</v>
      </c>
      <c r="AE636" s="372">
        <v>-1454.5864099999635</v>
      </c>
      <c r="AF636" s="372">
        <v>-1547.236409999965</v>
      </c>
      <c r="AG636" s="400">
        <v>-0.25999999999999091</v>
      </c>
      <c r="AH636" s="374">
        <v>-4.5157587886731493E-3</v>
      </c>
      <c r="AI636" s="375">
        <v>-2.2751924459190917E-3</v>
      </c>
      <c r="AJ636" s="372">
        <v>268.12</v>
      </c>
      <c r="AK636" s="376">
        <v>-9.6971505296132663E-4</v>
      </c>
      <c r="AL636" s="376">
        <v>-3.5460437357118227E-3</v>
      </c>
      <c r="AM636" s="412">
        <v>254.0578172588834</v>
      </c>
    </row>
    <row r="637" spans="2:39" s="382" customFormat="1" ht="28.15" customHeight="1" x14ac:dyDescent="0.25">
      <c r="B637" s="369">
        <v>43643</v>
      </c>
      <c r="C637" s="370">
        <v>307539.75595999998</v>
      </c>
      <c r="D637" s="370">
        <v>40822.03</v>
      </c>
      <c r="E637" s="371">
        <v>0</v>
      </c>
      <c r="F637" s="371">
        <v>0</v>
      </c>
      <c r="G637" s="371">
        <v>14512.54</v>
      </c>
      <c r="H637" s="371"/>
      <c r="I637" s="371"/>
      <c r="J637" s="371"/>
      <c r="K637" s="371"/>
      <c r="L637" s="371"/>
      <c r="M637" s="371">
        <v>650000</v>
      </c>
      <c r="N637" s="371">
        <v>20850</v>
      </c>
      <c r="O637" s="371">
        <v>1600</v>
      </c>
      <c r="P637" s="371">
        <v>91683</v>
      </c>
      <c r="Q637" s="379">
        <v>-32306</v>
      </c>
      <c r="R637" s="372">
        <v>322052.29595999996</v>
      </c>
      <c r="S637" s="400">
        <v>279587</v>
      </c>
      <c r="T637" s="400">
        <v>35810.450000000004</v>
      </c>
      <c r="U637" s="400">
        <v>0</v>
      </c>
      <c r="V637" s="400">
        <v>10933.08</v>
      </c>
      <c r="W637" s="372">
        <v>290520.08</v>
      </c>
      <c r="X637" s="373">
        <v>326330.53000000003</v>
      </c>
      <c r="Y637" s="372">
        <v>362874.32595999999</v>
      </c>
      <c r="Z637" s="373">
        <v>1094701.32596</v>
      </c>
      <c r="AA637" s="400">
        <v>-15.072489999991376</v>
      </c>
      <c r="AB637" s="400">
        <v>100.19999999999709</v>
      </c>
      <c r="AC637" s="400">
        <v>0</v>
      </c>
      <c r="AD637" s="400">
        <v>-46.029999999998836</v>
      </c>
      <c r="AE637" s="372">
        <v>-61.102489999990212</v>
      </c>
      <c r="AF637" s="372">
        <v>39.097510000006878</v>
      </c>
      <c r="AG637" s="400">
        <v>-0.44999999999998863</v>
      </c>
      <c r="AH637" s="374">
        <v>-1.8972847194847933E-4</v>
      </c>
      <c r="AI637" s="375">
        <v>2.4545570124757904E-3</v>
      </c>
      <c r="AJ637" s="372">
        <v>267.67</v>
      </c>
      <c r="AK637" s="376">
        <v>-1.6811745806402981E-3</v>
      </c>
      <c r="AL637" s="376">
        <v>1.4914461086918188E-3</v>
      </c>
      <c r="AM637" s="412">
        <v>254.18725888324892</v>
      </c>
    </row>
    <row r="638" spans="2:39" s="382" customFormat="1" ht="28.15" customHeight="1" x14ac:dyDescent="0.25">
      <c r="B638" s="369">
        <v>43644</v>
      </c>
      <c r="C638" s="370">
        <v>306883.96414199995</v>
      </c>
      <c r="D638" s="370">
        <v>40923.379999999997</v>
      </c>
      <c r="E638" s="371">
        <v>0</v>
      </c>
      <c r="F638" s="371">
        <v>0</v>
      </c>
      <c r="G638" s="371">
        <v>14500.3</v>
      </c>
      <c r="H638" s="371"/>
      <c r="I638" s="371"/>
      <c r="J638" s="371"/>
      <c r="K638" s="371"/>
      <c r="L638" s="371"/>
      <c r="M638" s="371">
        <v>650000</v>
      </c>
      <c r="N638" s="371">
        <v>20850</v>
      </c>
      <c r="O638" s="371">
        <v>1600</v>
      </c>
      <c r="P638" s="371">
        <v>91683</v>
      </c>
      <c r="Q638" s="379">
        <v>-32306</v>
      </c>
      <c r="R638" s="372">
        <v>321384.26414199994</v>
      </c>
      <c r="S638" s="400">
        <v>279587</v>
      </c>
      <c r="T638" s="400">
        <v>35810.450000000004</v>
      </c>
      <c r="U638" s="400">
        <v>0</v>
      </c>
      <c r="V638" s="400">
        <v>10933.08</v>
      </c>
      <c r="W638" s="372">
        <v>290520.08</v>
      </c>
      <c r="X638" s="373">
        <v>326330.53000000003</v>
      </c>
      <c r="Y638" s="372">
        <v>362307.64414199995</v>
      </c>
      <c r="Z638" s="373">
        <v>1094134.644142</v>
      </c>
      <c r="AA638" s="400">
        <v>-655.79181800002698</v>
      </c>
      <c r="AB638" s="400">
        <v>101.34999999999854</v>
      </c>
      <c r="AC638" s="400">
        <v>0</v>
      </c>
      <c r="AD638" s="400">
        <v>-12.240000000001601</v>
      </c>
      <c r="AE638" s="372">
        <v>-668.03181800002858</v>
      </c>
      <c r="AF638" s="372">
        <v>-566.68181800003003</v>
      </c>
      <c r="AG638" s="400">
        <v>1.4799999999999613</v>
      </c>
      <c r="AH638" s="374">
        <v>-2.0786077370137401E-3</v>
      </c>
      <c r="AI638" s="375">
        <v>2.4765794027765682E-3</v>
      </c>
      <c r="AJ638" s="372">
        <v>269.14999999999998</v>
      </c>
      <c r="AK638" s="376">
        <v>5.4987924948911816E-3</v>
      </c>
      <c r="AL638" s="376">
        <v>-7.5774002319049221E-3</v>
      </c>
      <c r="AM638" s="412">
        <v>254.30761421319812</v>
      </c>
    </row>
    <row r="639" spans="2:39" s="382" customFormat="1" ht="28.15" customHeight="1" x14ac:dyDescent="0.25">
      <c r="B639" s="378">
        <v>43645</v>
      </c>
      <c r="C639" s="370">
        <v>306883.96414199995</v>
      </c>
      <c r="D639" s="370">
        <v>40923.379999999997</v>
      </c>
      <c r="E639" s="371">
        <v>0</v>
      </c>
      <c r="F639" s="371">
        <v>0</v>
      </c>
      <c r="G639" s="371">
        <v>14500.3</v>
      </c>
      <c r="H639" s="371"/>
      <c r="I639" s="371"/>
      <c r="J639" s="371"/>
      <c r="K639" s="371"/>
      <c r="L639" s="371"/>
      <c r="M639" s="371">
        <v>650000</v>
      </c>
      <c r="N639" s="371">
        <v>20850</v>
      </c>
      <c r="O639" s="371">
        <v>1600</v>
      </c>
      <c r="P639" s="371">
        <v>91683</v>
      </c>
      <c r="Q639" s="379">
        <v>-32306</v>
      </c>
      <c r="R639" s="372">
        <v>321384.26414199994</v>
      </c>
      <c r="S639" s="400">
        <v>279587</v>
      </c>
      <c r="T639" s="400">
        <v>35810.450000000004</v>
      </c>
      <c r="U639" s="400">
        <v>0</v>
      </c>
      <c r="V639" s="400">
        <v>10933.08</v>
      </c>
      <c r="W639" s="372">
        <v>290520.08</v>
      </c>
      <c r="X639" s="373">
        <v>326330.53000000003</v>
      </c>
      <c r="Y639" s="372">
        <v>362307.64414199995</v>
      </c>
      <c r="Z639" s="373">
        <v>1094134.644142</v>
      </c>
      <c r="AA639" s="400">
        <v>0</v>
      </c>
      <c r="AB639" s="400">
        <v>0</v>
      </c>
      <c r="AC639" s="400">
        <v>0</v>
      </c>
      <c r="AD639" s="400">
        <v>0</v>
      </c>
      <c r="AE639" s="372">
        <v>0</v>
      </c>
      <c r="AF639" s="372">
        <v>0</v>
      </c>
      <c r="AG639" s="400">
        <v>0</v>
      </c>
      <c r="AH639" s="374">
        <v>0</v>
      </c>
      <c r="AI639" s="375">
        <v>0</v>
      </c>
      <c r="AJ639" s="372">
        <v>269.14999999999998</v>
      </c>
      <c r="AK639" s="376">
        <v>0</v>
      </c>
      <c r="AL639" s="376">
        <v>0</v>
      </c>
      <c r="AM639" s="412">
        <v>254.43588832487325</v>
      </c>
    </row>
    <row r="640" spans="2:39" s="382" customFormat="1" ht="28.15" customHeight="1" x14ac:dyDescent="0.25">
      <c r="B640" s="378">
        <v>43646</v>
      </c>
      <c r="C640" s="370">
        <v>306883.96414199995</v>
      </c>
      <c r="D640" s="370">
        <v>40923.379999999997</v>
      </c>
      <c r="E640" s="371">
        <v>0</v>
      </c>
      <c r="F640" s="371">
        <v>0</v>
      </c>
      <c r="G640" s="371">
        <v>14500.3</v>
      </c>
      <c r="H640" s="371"/>
      <c r="I640" s="371"/>
      <c r="J640" s="371"/>
      <c r="K640" s="371"/>
      <c r="L640" s="371"/>
      <c r="M640" s="371">
        <v>650000</v>
      </c>
      <c r="N640" s="371">
        <v>20850</v>
      </c>
      <c r="O640" s="371">
        <v>1600</v>
      </c>
      <c r="P640" s="371">
        <v>91683</v>
      </c>
      <c r="Q640" s="379">
        <v>-32306</v>
      </c>
      <c r="R640" s="372">
        <v>321384.26414199994</v>
      </c>
      <c r="S640" s="400">
        <v>279587</v>
      </c>
      <c r="T640" s="400">
        <v>35810.450000000004</v>
      </c>
      <c r="U640" s="400">
        <v>0</v>
      </c>
      <c r="V640" s="400">
        <v>10933.08</v>
      </c>
      <c r="W640" s="372">
        <v>290520.08</v>
      </c>
      <c r="X640" s="373">
        <v>326330.53000000003</v>
      </c>
      <c r="Y640" s="372">
        <v>362307.64414199995</v>
      </c>
      <c r="Z640" s="373">
        <v>1094134.644142</v>
      </c>
      <c r="AA640" s="400">
        <v>0</v>
      </c>
      <c r="AB640" s="400">
        <v>0</v>
      </c>
      <c r="AC640" s="400">
        <v>0</v>
      </c>
      <c r="AD640" s="400">
        <v>0</v>
      </c>
      <c r="AE640" s="372">
        <v>0</v>
      </c>
      <c r="AF640" s="372">
        <v>0</v>
      </c>
      <c r="AG640" s="400">
        <v>0</v>
      </c>
      <c r="AH640" s="374">
        <v>0</v>
      </c>
      <c r="AI640" s="375">
        <v>0</v>
      </c>
      <c r="AJ640" s="372">
        <v>269.14999999999998</v>
      </c>
      <c r="AK640" s="376">
        <v>0</v>
      </c>
      <c r="AL640" s="376">
        <v>0</v>
      </c>
      <c r="AM640" s="412">
        <v>254.5870050761423</v>
      </c>
    </row>
    <row r="641" spans="2:39" s="382" customFormat="1" ht="28.15" customHeight="1" x14ac:dyDescent="0.25">
      <c r="B641" s="369">
        <v>43647</v>
      </c>
      <c r="C641" s="370">
        <v>306046.21702600003</v>
      </c>
      <c r="D641" s="370">
        <v>41262.050000000003</v>
      </c>
      <c r="E641" s="371">
        <v>0</v>
      </c>
      <c r="F641" s="371">
        <v>0</v>
      </c>
      <c r="G641" s="371">
        <v>14552.47</v>
      </c>
      <c r="H641" s="371"/>
      <c r="I641" s="371"/>
      <c r="J641" s="371"/>
      <c r="K641" s="371"/>
      <c r="L641" s="371"/>
      <c r="M641" s="371">
        <v>650000</v>
      </c>
      <c r="N641" s="371">
        <v>20850</v>
      </c>
      <c r="O641" s="371">
        <v>1600</v>
      </c>
      <c r="P641" s="371">
        <v>91683</v>
      </c>
      <c r="Q641" s="379">
        <v>-31878.17</v>
      </c>
      <c r="R641" s="372">
        <v>320598.687026</v>
      </c>
      <c r="S641" s="400">
        <v>279587</v>
      </c>
      <c r="T641" s="400">
        <v>35810.450000000004</v>
      </c>
      <c r="U641" s="406">
        <v>0</v>
      </c>
      <c r="V641" s="400">
        <v>10933.08</v>
      </c>
      <c r="W641" s="372">
        <v>290520.08</v>
      </c>
      <c r="X641" s="373">
        <v>326330.53000000003</v>
      </c>
      <c r="Y641" s="372">
        <v>361860.73702599999</v>
      </c>
      <c r="Z641" s="373">
        <v>1094115.567026</v>
      </c>
      <c r="AA641" s="400">
        <v>-837.74711599992588</v>
      </c>
      <c r="AB641" s="400">
        <v>338.67000000000553</v>
      </c>
      <c r="AC641" s="400">
        <v>0</v>
      </c>
      <c r="AD641" s="400">
        <v>52.170000000000073</v>
      </c>
      <c r="AE641" s="372">
        <v>-785.57711599992581</v>
      </c>
      <c r="AF641" s="372">
        <v>-446.90711599992028</v>
      </c>
      <c r="AG641" s="400">
        <v>2.2900000000000205</v>
      </c>
      <c r="AH641" s="374">
        <v>-2.4503441460950737E-3</v>
      </c>
      <c r="AI641" s="375">
        <v>8.2077841503271284E-3</v>
      </c>
      <c r="AJ641" s="372">
        <v>271.44</v>
      </c>
      <c r="AK641" s="376">
        <v>8.436486884762822E-3</v>
      </c>
      <c r="AL641" s="376">
        <v>-1.0886831030857896E-2</v>
      </c>
      <c r="AM641" s="412">
        <v>254.47766169154249</v>
      </c>
    </row>
    <row r="642" spans="2:39" s="382" customFormat="1" ht="28.15" customHeight="1" x14ac:dyDescent="0.25">
      <c r="B642" s="369">
        <v>43648</v>
      </c>
      <c r="C642" s="370">
        <v>306193.63362400001</v>
      </c>
      <c r="D642" s="370">
        <v>41355.46</v>
      </c>
      <c r="E642" s="371">
        <v>0</v>
      </c>
      <c r="F642" s="371">
        <v>0</v>
      </c>
      <c r="G642" s="371">
        <v>14552.47</v>
      </c>
      <c r="H642" s="371">
        <v>875</v>
      </c>
      <c r="I642" s="371"/>
      <c r="J642" s="371"/>
      <c r="K642" s="371"/>
      <c r="L642" s="371"/>
      <c r="M642" s="371">
        <v>650000</v>
      </c>
      <c r="N642" s="371">
        <v>20850</v>
      </c>
      <c r="O642" s="371">
        <v>1600</v>
      </c>
      <c r="P642" s="371">
        <v>91683</v>
      </c>
      <c r="Q642" s="379">
        <v>-31878.17</v>
      </c>
      <c r="R642" s="372">
        <v>320746.10362399998</v>
      </c>
      <c r="S642" s="400">
        <v>280462</v>
      </c>
      <c r="T642" s="400">
        <v>35810.450000000004</v>
      </c>
      <c r="U642" s="406">
        <v>0</v>
      </c>
      <c r="V642" s="400">
        <v>10933.08</v>
      </c>
      <c r="W642" s="372">
        <v>291395.08</v>
      </c>
      <c r="X642" s="373">
        <v>327205.53000000003</v>
      </c>
      <c r="Y642" s="372">
        <v>362101.563624</v>
      </c>
      <c r="Z642" s="373">
        <v>1094356.393624</v>
      </c>
      <c r="AA642" s="400">
        <v>-727.5834020000184</v>
      </c>
      <c r="AB642" s="400">
        <v>93.409999999996217</v>
      </c>
      <c r="AC642" s="400">
        <v>0</v>
      </c>
      <c r="AD642" s="400">
        <v>0</v>
      </c>
      <c r="AE642" s="372">
        <v>-727.5834020000184</v>
      </c>
      <c r="AF642" s="372">
        <v>-634.17340200002218</v>
      </c>
      <c r="AG642" s="400">
        <v>0.79000000000002046</v>
      </c>
      <c r="AH642" s="374">
        <v>-2.2684091678100019E-3</v>
      </c>
      <c r="AI642" s="375">
        <v>2.2587102162567219E-3</v>
      </c>
      <c r="AJ642" s="372">
        <v>272.23</v>
      </c>
      <c r="AK642" s="376">
        <v>2.9019579032436558E-3</v>
      </c>
      <c r="AL642" s="376">
        <v>-5.1703670710536581E-3</v>
      </c>
      <c r="AM642" s="412">
        <v>254.6143781094529</v>
      </c>
    </row>
    <row r="643" spans="2:39" s="382" customFormat="1" ht="28.15" customHeight="1" x14ac:dyDescent="0.25">
      <c r="B643" s="369">
        <v>43649</v>
      </c>
      <c r="C643" s="370">
        <v>305220.24966799997</v>
      </c>
      <c r="D643" s="370">
        <v>41561.159999999996</v>
      </c>
      <c r="E643" s="371">
        <v>0</v>
      </c>
      <c r="F643" s="371">
        <v>0</v>
      </c>
      <c r="G643" s="371">
        <v>14708.71</v>
      </c>
      <c r="H643" s="371"/>
      <c r="I643" s="371"/>
      <c r="J643" s="371"/>
      <c r="K643" s="371"/>
      <c r="L643" s="371"/>
      <c r="M643" s="371">
        <v>650000</v>
      </c>
      <c r="N643" s="371">
        <v>20850</v>
      </c>
      <c r="O643" s="371">
        <v>1600</v>
      </c>
      <c r="P643" s="371">
        <v>91683</v>
      </c>
      <c r="Q643" s="379">
        <v>-31878.17</v>
      </c>
      <c r="R643" s="372">
        <v>319928.959668</v>
      </c>
      <c r="S643" s="400">
        <v>280462</v>
      </c>
      <c r="T643" s="400">
        <v>35810.450000000004</v>
      </c>
      <c r="U643" s="406">
        <v>0</v>
      </c>
      <c r="V643" s="400">
        <v>10933.08</v>
      </c>
      <c r="W643" s="372">
        <v>291395.08</v>
      </c>
      <c r="X643" s="373">
        <v>327205.53000000003</v>
      </c>
      <c r="Y643" s="372">
        <v>361490.11966799997</v>
      </c>
      <c r="Z643" s="373">
        <v>1093744.949668</v>
      </c>
      <c r="AA643" s="400">
        <v>-973.38395600003423</v>
      </c>
      <c r="AB643" s="400">
        <v>205.69999999999709</v>
      </c>
      <c r="AC643" s="400">
        <v>0</v>
      </c>
      <c r="AD643" s="400">
        <v>156.23999999999978</v>
      </c>
      <c r="AE643" s="372">
        <v>-817.14395600003445</v>
      </c>
      <c r="AF643" s="372">
        <v>-611.44395600003736</v>
      </c>
      <c r="AG643" s="400">
        <v>2.089999999999975</v>
      </c>
      <c r="AH643" s="374">
        <v>-2.554141884648422E-3</v>
      </c>
      <c r="AI643" s="375">
        <v>4.9493325017876573E-3</v>
      </c>
      <c r="AJ643" s="372">
        <v>274.32</v>
      </c>
      <c r="AK643" s="376">
        <v>7.6188393117526069E-3</v>
      </c>
      <c r="AL643" s="376">
        <v>-1.0172981196401028E-2</v>
      </c>
      <c r="AM643" s="412">
        <v>254.75542288557233</v>
      </c>
    </row>
    <row r="644" spans="2:39" s="382" customFormat="1" ht="28.15" customHeight="1" x14ac:dyDescent="0.25">
      <c r="B644" s="369">
        <v>43650</v>
      </c>
      <c r="C644" s="370">
        <v>304878.81964400003</v>
      </c>
      <c r="D644" s="370">
        <v>41602.199999999997</v>
      </c>
      <c r="E644" s="371">
        <v>0</v>
      </c>
      <c r="F644" s="371">
        <v>0</v>
      </c>
      <c r="G644" s="371">
        <v>14912.23</v>
      </c>
      <c r="H644" s="371"/>
      <c r="I644" s="371"/>
      <c r="J644" s="371"/>
      <c r="K644" s="371"/>
      <c r="L644" s="371"/>
      <c r="M644" s="371">
        <v>650000</v>
      </c>
      <c r="N644" s="371">
        <v>20850</v>
      </c>
      <c r="O644" s="371">
        <v>1600</v>
      </c>
      <c r="P644" s="371">
        <v>91683</v>
      </c>
      <c r="Q644" s="379">
        <v>-31878.17</v>
      </c>
      <c r="R644" s="372">
        <v>319791.04964400001</v>
      </c>
      <c r="S644" s="400">
        <v>280462</v>
      </c>
      <c r="T644" s="400">
        <v>35810.450000000004</v>
      </c>
      <c r="U644" s="406">
        <v>0</v>
      </c>
      <c r="V644" s="400">
        <v>10933.08</v>
      </c>
      <c r="W644" s="372">
        <v>291395.08</v>
      </c>
      <c r="X644" s="373">
        <v>327205.53000000003</v>
      </c>
      <c r="Y644" s="372">
        <v>361393.24964400003</v>
      </c>
      <c r="Z644" s="373">
        <v>1093648.0796440002</v>
      </c>
      <c r="AA644" s="400">
        <v>-341.43002399994293</v>
      </c>
      <c r="AB644" s="400">
        <v>41.040000000000873</v>
      </c>
      <c r="AC644" s="400">
        <v>0</v>
      </c>
      <c r="AD644" s="400">
        <v>203.52000000000044</v>
      </c>
      <c r="AE644" s="372">
        <v>-137.9100239999425</v>
      </c>
      <c r="AF644" s="372">
        <v>-96.870023999941623</v>
      </c>
      <c r="AG644" s="400">
        <v>0</v>
      </c>
      <c r="AH644" s="374">
        <v>-4.3125041852630849E-4</v>
      </c>
      <c r="AI644" s="375">
        <v>9.8648629159036965E-4</v>
      </c>
      <c r="AJ644" s="372">
        <v>274.32</v>
      </c>
      <c r="AK644" s="376">
        <v>0</v>
      </c>
      <c r="AL644" s="376">
        <v>-4.3125041852630849E-4</v>
      </c>
      <c r="AM644" s="412">
        <v>254.92925373134349</v>
      </c>
    </row>
    <row r="645" spans="2:39" s="382" customFormat="1" ht="28.15" customHeight="1" x14ac:dyDescent="0.25">
      <c r="B645" s="369">
        <v>43651</v>
      </c>
      <c r="C645" s="370">
        <v>302251.82388400001</v>
      </c>
      <c r="D645" s="370">
        <v>41379.96</v>
      </c>
      <c r="E645" s="371">
        <v>0</v>
      </c>
      <c r="F645" s="371">
        <v>0</v>
      </c>
      <c r="G645" s="371">
        <v>14912.19</v>
      </c>
      <c r="H645" s="371"/>
      <c r="I645" s="371"/>
      <c r="J645" s="371"/>
      <c r="K645" s="371"/>
      <c r="L645" s="371"/>
      <c r="M645" s="371">
        <v>650000</v>
      </c>
      <c r="N645" s="371">
        <v>20850</v>
      </c>
      <c r="O645" s="371">
        <v>1600</v>
      </c>
      <c r="P645" s="371">
        <v>91683</v>
      </c>
      <c r="Q645" s="379">
        <v>-31878.17</v>
      </c>
      <c r="R645" s="372">
        <v>317164.01388400001</v>
      </c>
      <c r="S645" s="400">
        <v>280462</v>
      </c>
      <c r="T645" s="400">
        <v>35810.450000000004</v>
      </c>
      <c r="U645" s="406">
        <v>0</v>
      </c>
      <c r="V645" s="400">
        <v>10933.08</v>
      </c>
      <c r="W645" s="372">
        <v>291395.08</v>
      </c>
      <c r="X645" s="373">
        <v>327205.53000000003</v>
      </c>
      <c r="Y645" s="372">
        <v>358543.97388400004</v>
      </c>
      <c r="Z645" s="373">
        <v>1090798.8038840001</v>
      </c>
      <c r="AA645" s="400">
        <v>-2626.9957600000198</v>
      </c>
      <c r="AB645" s="400">
        <v>-222.23999999999796</v>
      </c>
      <c r="AC645" s="400">
        <v>0</v>
      </c>
      <c r="AD645" s="400">
        <v>-3.9999999999054126E-2</v>
      </c>
      <c r="AE645" s="372">
        <v>-2627.0357600000189</v>
      </c>
      <c r="AF645" s="372">
        <v>-2849.2757600000168</v>
      </c>
      <c r="AG645" s="400">
        <v>-0.34999999999996589</v>
      </c>
      <c r="AH645" s="374">
        <v>-8.2828935345761971E-3</v>
      </c>
      <c r="AI645" s="375">
        <v>-5.370715679763779E-3</v>
      </c>
      <c r="AJ645" s="372">
        <v>273.97000000000003</v>
      </c>
      <c r="AK645" s="376">
        <v>-1.2775121363651709E-3</v>
      </c>
      <c r="AL645" s="376">
        <v>-7.0053813982110264E-3</v>
      </c>
      <c r="AM645" s="412">
        <v>255.1030845771146</v>
      </c>
    </row>
    <row r="646" spans="2:39" s="382" customFormat="1" ht="28.15" customHeight="1" x14ac:dyDescent="0.25">
      <c r="B646" s="378">
        <v>43652</v>
      </c>
      <c r="C646" s="370">
        <v>302251.82388400001</v>
      </c>
      <c r="D646" s="370">
        <v>41379.96</v>
      </c>
      <c r="E646" s="371">
        <v>0</v>
      </c>
      <c r="F646" s="371">
        <v>0</v>
      </c>
      <c r="G646" s="371">
        <v>14912.19</v>
      </c>
      <c r="H646" s="371"/>
      <c r="I646" s="371"/>
      <c r="J646" s="371"/>
      <c r="K646" s="371"/>
      <c r="L646" s="371"/>
      <c r="M646" s="371">
        <v>650000</v>
      </c>
      <c r="N646" s="371">
        <v>20850</v>
      </c>
      <c r="O646" s="371">
        <v>1600</v>
      </c>
      <c r="P646" s="371">
        <v>91683</v>
      </c>
      <c r="Q646" s="379">
        <v>-31878.17</v>
      </c>
      <c r="R646" s="372">
        <v>317164.01388400001</v>
      </c>
      <c r="S646" s="400">
        <v>280462</v>
      </c>
      <c r="T646" s="400">
        <v>35810.450000000004</v>
      </c>
      <c r="U646" s="406">
        <v>0</v>
      </c>
      <c r="V646" s="400">
        <v>10933.08</v>
      </c>
      <c r="W646" s="372">
        <v>291395.08</v>
      </c>
      <c r="X646" s="373">
        <v>327205.53000000003</v>
      </c>
      <c r="Y646" s="372">
        <v>358543.97388400004</v>
      </c>
      <c r="Z646" s="373">
        <v>1090798.8038840001</v>
      </c>
      <c r="AA646" s="400">
        <v>0</v>
      </c>
      <c r="AB646" s="400">
        <v>0</v>
      </c>
      <c r="AC646" s="400">
        <v>0</v>
      </c>
      <c r="AD646" s="400">
        <v>0</v>
      </c>
      <c r="AE646" s="372">
        <v>0</v>
      </c>
      <c r="AF646" s="372">
        <v>0</v>
      </c>
      <c r="AG646" s="400">
        <v>0</v>
      </c>
      <c r="AH646" s="374">
        <v>0</v>
      </c>
      <c r="AI646" s="375">
        <v>0</v>
      </c>
      <c r="AJ646" s="372">
        <v>273.97000000000003</v>
      </c>
      <c r="AK646" s="376">
        <v>0</v>
      </c>
      <c r="AL646" s="376">
        <v>0</v>
      </c>
      <c r="AM646" s="412">
        <v>255.27517412935342</v>
      </c>
    </row>
    <row r="647" spans="2:39" s="382" customFormat="1" ht="28.15" customHeight="1" x14ac:dyDescent="0.25">
      <c r="B647" s="378">
        <v>43653</v>
      </c>
      <c r="C647" s="370">
        <v>302251.82388400001</v>
      </c>
      <c r="D647" s="370">
        <v>41379.96</v>
      </c>
      <c r="E647" s="371">
        <v>0</v>
      </c>
      <c r="F647" s="371">
        <v>0</v>
      </c>
      <c r="G647" s="371">
        <v>14912.19</v>
      </c>
      <c r="H647" s="371"/>
      <c r="I647" s="371"/>
      <c r="J647" s="371"/>
      <c r="K647" s="371"/>
      <c r="L647" s="371"/>
      <c r="M647" s="371">
        <v>650000</v>
      </c>
      <c r="N647" s="371">
        <v>20850</v>
      </c>
      <c r="O647" s="371">
        <v>1600</v>
      </c>
      <c r="P647" s="371">
        <v>91683</v>
      </c>
      <c r="Q647" s="379">
        <v>-31878.17</v>
      </c>
      <c r="R647" s="372">
        <v>317164.01388400001</v>
      </c>
      <c r="S647" s="400">
        <v>280462</v>
      </c>
      <c r="T647" s="400">
        <v>35810.450000000004</v>
      </c>
      <c r="U647" s="406">
        <v>0</v>
      </c>
      <c r="V647" s="400">
        <v>10933.08</v>
      </c>
      <c r="W647" s="372">
        <v>291395.08</v>
      </c>
      <c r="X647" s="373">
        <v>327205.53000000003</v>
      </c>
      <c r="Y647" s="372">
        <v>358543.97388400004</v>
      </c>
      <c r="Z647" s="373">
        <v>1090798.8038840001</v>
      </c>
      <c r="AA647" s="400">
        <v>0</v>
      </c>
      <c r="AB647" s="400">
        <v>0</v>
      </c>
      <c r="AC647" s="400">
        <v>0</v>
      </c>
      <c r="AD647" s="400">
        <v>0</v>
      </c>
      <c r="AE647" s="372">
        <v>0</v>
      </c>
      <c r="AF647" s="372">
        <v>0</v>
      </c>
      <c r="AG647" s="400">
        <v>0</v>
      </c>
      <c r="AH647" s="374">
        <v>0</v>
      </c>
      <c r="AI647" s="375">
        <v>0</v>
      </c>
      <c r="AJ647" s="372">
        <v>273.97000000000003</v>
      </c>
      <c r="AK647" s="376">
        <v>0</v>
      </c>
      <c r="AL647" s="376">
        <v>0</v>
      </c>
      <c r="AM647" s="412">
        <v>255.47786069651761</v>
      </c>
    </row>
    <row r="648" spans="2:39" s="382" customFormat="1" ht="28.15" customHeight="1" x14ac:dyDescent="0.25">
      <c r="B648" s="369">
        <v>43654</v>
      </c>
      <c r="C648" s="370">
        <v>300277.19380500005</v>
      </c>
      <c r="D648" s="370">
        <v>41254.57</v>
      </c>
      <c r="E648" s="371">
        <v>0</v>
      </c>
      <c r="F648" s="371">
        <v>0</v>
      </c>
      <c r="G648" s="371">
        <v>14842.27</v>
      </c>
      <c r="H648" s="371"/>
      <c r="I648" s="371"/>
      <c r="J648" s="371"/>
      <c r="K648" s="371"/>
      <c r="L648" s="371"/>
      <c r="M648" s="371">
        <v>650000</v>
      </c>
      <c r="N648" s="371">
        <v>20850</v>
      </c>
      <c r="O648" s="371">
        <v>1600</v>
      </c>
      <c r="P648" s="371">
        <v>91683</v>
      </c>
      <c r="Q648" s="379">
        <v>-31878.17</v>
      </c>
      <c r="R648" s="372">
        <v>315119.46380500006</v>
      </c>
      <c r="S648" s="400">
        <v>280462</v>
      </c>
      <c r="T648" s="400">
        <v>35810.450000000004</v>
      </c>
      <c r="U648" s="406">
        <v>0</v>
      </c>
      <c r="V648" s="400">
        <v>10933.08</v>
      </c>
      <c r="W648" s="372">
        <v>291395.08</v>
      </c>
      <c r="X648" s="373">
        <v>327205.53000000003</v>
      </c>
      <c r="Y648" s="372">
        <v>356374.03380500007</v>
      </c>
      <c r="Z648" s="373">
        <v>1088628.8638050002</v>
      </c>
      <c r="AA648" s="400">
        <v>-1974.6300789999659</v>
      </c>
      <c r="AB648" s="400">
        <v>-125.38999999999942</v>
      </c>
      <c r="AC648" s="400">
        <v>0</v>
      </c>
      <c r="AD648" s="400">
        <v>-69.920000000000073</v>
      </c>
      <c r="AE648" s="372">
        <v>-2044.550078999966</v>
      </c>
      <c r="AF648" s="372">
        <v>-2169.9400789999654</v>
      </c>
      <c r="AG648" s="400">
        <v>-1.3700000000000045</v>
      </c>
      <c r="AH648" s="374">
        <v>-6.4881745301050642E-3</v>
      </c>
      <c r="AI648" s="375">
        <v>-3.039420844769426E-3</v>
      </c>
      <c r="AJ648" s="372">
        <v>272.60000000000002</v>
      </c>
      <c r="AK648" s="376">
        <v>-5.0256786500367003E-3</v>
      </c>
      <c r="AL648" s="376">
        <v>-1.462495880068364E-3</v>
      </c>
      <c r="AM648" s="412">
        <v>255.68099502487581</v>
      </c>
    </row>
    <row r="649" spans="2:39" s="382" customFormat="1" ht="28.15" customHeight="1" x14ac:dyDescent="0.25">
      <c r="B649" s="369">
        <v>43655</v>
      </c>
      <c r="C649" s="370">
        <v>303489.70068200002</v>
      </c>
      <c r="D649" s="370">
        <v>41296.239999999998</v>
      </c>
      <c r="E649" s="371">
        <v>0</v>
      </c>
      <c r="F649" s="371">
        <v>0</v>
      </c>
      <c r="G649" s="371">
        <v>14842.27</v>
      </c>
      <c r="H649" s="371"/>
      <c r="I649" s="371"/>
      <c r="J649" s="371"/>
      <c r="K649" s="371"/>
      <c r="L649" s="371"/>
      <c r="M649" s="371">
        <v>650000</v>
      </c>
      <c r="N649" s="371">
        <v>20850</v>
      </c>
      <c r="O649" s="371">
        <v>1600</v>
      </c>
      <c r="P649" s="371">
        <v>91683</v>
      </c>
      <c r="Q649" s="379">
        <v>-31878.17</v>
      </c>
      <c r="R649" s="372">
        <v>318331.97068200004</v>
      </c>
      <c r="S649" s="400">
        <v>280462</v>
      </c>
      <c r="T649" s="400">
        <v>35810.450000000004</v>
      </c>
      <c r="U649" s="406">
        <v>0</v>
      </c>
      <c r="V649" s="400">
        <v>10933.08</v>
      </c>
      <c r="W649" s="372">
        <v>291395.08</v>
      </c>
      <c r="X649" s="373">
        <v>327205.53000000003</v>
      </c>
      <c r="Y649" s="372">
        <v>359628.21068200003</v>
      </c>
      <c r="Z649" s="373">
        <v>1091883.0406820001</v>
      </c>
      <c r="AA649" s="400">
        <v>3212.506876999978</v>
      </c>
      <c r="AB649" s="400">
        <v>41.669999999998254</v>
      </c>
      <c r="AC649" s="400">
        <v>0</v>
      </c>
      <c r="AD649" s="400">
        <v>0</v>
      </c>
      <c r="AE649" s="372">
        <v>3212.506876999978</v>
      </c>
      <c r="AF649" s="372">
        <v>3254.1768769999762</v>
      </c>
      <c r="AG649" s="400">
        <v>0.33999999999997499</v>
      </c>
      <c r="AH649" s="374">
        <v>1.0091687838068688E-2</v>
      </c>
      <c r="AI649" s="375">
        <v>1.0090507029210953E-3</v>
      </c>
      <c r="AJ649" s="372">
        <v>272.94</v>
      </c>
      <c r="AK649" s="376">
        <v>1.2456950245474279E-3</v>
      </c>
      <c r="AL649" s="376">
        <v>8.8459928135212595E-3</v>
      </c>
      <c r="AM649" s="412">
        <v>255.8958208955226</v>
      </c>
    </row>
    <row r="650" spans="2:39" s="382" customFormat="1" ht="28.15" customHeight="1" x14ac:dyDescent="0.25">
      <c r="B650" s="369">
        <v>43656</v>
      </c>
      <c r="C650" s="370">
        <v>302718.64145599998</v>
      </c>
      <c r="D650" s="370">
        <v>41433.72</v>
      </c>
      <c r="E650" s="371">
        <v>0</v>
      </c>
      <c r="F650" s="371">
        <v>0</v>
      </c>
      <c r="G650" s="371">
        <v>14859.3</v>
      </c>
      <c r="H650" s="371"/>
      <c r="I650" s="371"/>
      <c r="J650" s="371"/>
      <c r="K650" s="371"/>
      <c r="L650" s="371"/>
      <c r="M650" s="371">
        <v>650000</v>
      </c>
      <c r="N650" s="371">
        <v>20850</v>
      </c>
      <c r="O650" s="371">
        <v>1600</v>
      </c>
      <c r="P650" s="371">
        <v>91683</v>
      </c>
      <c r="Q650" s="379">
        <v>-31878.17</v>
      </c>
      <c r="R650" s="372">
        <v>317577.94145599997</v>
      </c>
      <c r="S650" s="400">
        <v>280462</v>
      </c>
      <c r="T650" s="400">
        <v>35810.450000000004</v>
      </c>
      <c r="U650" s="406">
        <v>0</v>
      </c>
      <c r="V650" s="400">
        <v>10933.08</v>
      </c>
      <c r="W650" s="372">
        <v>291395.08</v>
      </c>
      <c r="X650" s="373">
        <v>327205.53000000003</v>
      </c>
      <c r="Y650" s="372">
        <v>359011.661456</v>
      </c>
      <c r="Z650" s="373">
        <v>1091266.4914560001</v>
      </c>
      <c r="AA650" s="400">
        <v>-771.05922600004124</v>
      </c>
      <c r="AB650" s="400">
        <v>137.4800000000032</v>
      </c>
      <c r="AC650" s="400">
        <v>0</v>
      </c>
      <c r="AD650" s="400">
        <v>17.029999999998836</v>
      </c>
      <c r="AE650" s="372">
        <v>-754.0292260000424</v>
      </c>
      <c r="AF650" s="372">
        <v>-616.5492260000392</v>
      </c>
      <c r="AG650" s="400">
        <v>1.2699999999999818</v>
      </c>
      <c r="AH650" s="374">
        <v>-2.3743123421703779E-3</v>
      </c>
      <c r="AI650" s="375">
        <v>3.3180704025610832E-3</v>
      </c>
      <c r="AJ650" s="372">
        <v>274.20999999999998</v>
      </c>
      <c r="AK650" s="376">
        <v>4.6314868166732869E-3</v>
      </c>
      <c r="AL650" s="376">
        <v>-7.0057991588436648E-3</v>
      </c>
      <c r="AM650" s="412">
        <v>256.13109452736342</v>
      </c>
    </row>
    <row r="651" spans="2:39" s="382" customFormat="1" ht="28.15" customHeight="1" x14ac:dyDescent="0.25">
      <c r="B651" s="369">
        <v>43657</v>
      </c>
      <c r="C651" s="370">
        <v>299804.65560499998</v>
      </c>
      <c r="D651" s="370">
        <v>41430.6</v>
      </c>
      <c r="E651" s="371">
        <v>0</v>
      </c>
      <c r="F651" s="371">
        <v>0</v>
      </c>
      <c r="G651" s="371">
        <v>14859.3</v>
      </c>
      <c r="H651" s="371"/>
      <c r="I651" s="371"/>
      <c r="J651" s="371"/>
      <c r="K651" s="371"/>
      <c r="L651" s="371"/>
      <c r="M651" s="371">
        <v>650000</v>
      </c>
      <c r="N651" s="371">
        <v>20850</v>
      </c>
      <c r="O651" s="371">
        <v>1600</v>
      </c>
      <c r="P651" s="371">
        <v>91683</v>
      </c>
      <c r="Q651" s="379">
        <v>-31878.17</v>
      </c>
      <c r="R651" s="372">
        <v>314663.95560499997</v>
      </c>
      <c r="S651" s="400">
        <v>280462</v>
      </c>
      <c r="T651" s="400">
        <v>35810.450000000004</v>
      </c>
      <c r="U651" s="406">
        <v>0</v>
      </c>
      <c r="V651" s="400">
        <v>10933.08</v>
      </c>
      <c r="W651" s="372">
        <v>291395.08</v>
      </c>
      <c r="X651" s="373">
        <v>327205.53000000003</v>
      </c>
      <c r="Y651" s="372">
        <v>356094.55560499994</v>
      </c>
      <c r="Z651" s="373">
        <v>1088349.385605</v>
      </c>
      <c r="AA651" s="400">
        <v>-2913.9858510000049</v>
      </c>
      <c r="AB651" s="400">
        <v>-3.1200000000026193</v>
      </c>
      <c r="AC651" s="400">
        <v>0</v>
      </c>
      <c r="AD651" s="400">
        <v>0</v>
      </c>
      <c r="AE651" s="372">
        <v>-2913.9858510000049</v>
      </c>
      <c r="AF651" s="372">
        <v>-2917.1058510000075</v>
      </c>
      <c r="AG651" s="400">
        <v>0.55000000000001137</v>
      </c>
      <c r="AH651" s="374">
        <v>-9.2606280417384477E-3</v>
      </c>
      <c r="AI651" s="375">
        <v>-7.5306657398218206E-5</v>
      </c>
      <c r="AJ651" s="372">
        <v>274.76</v>
      </c>
      <c r="AK651" s="376">
        <v>2.0017469791818727E-3</v>
      </c>
      <c r="AL651" s="376">
        <v>-1.1262375020920321E-2</v>
      </c>
      <c r="AM651" s="412">
        <v>256.39502487562208</v>
      </c>
    </row>
    <row r="652" spans="2:39" s="382" customFormat="1" ht="28.15" customHeight="1" x14ac:dyDescent="0.25">
      <c r="B652" s="369">
        <v>43658</v>
      </c>
      <c r="C652" s="370">
        <v>300802.60473799997</v>
      </c>
      <c r="D652" s="370">
        <v>41534.659999999996</v>
      </c>
      <c r="E652" s="371">
        <v>0</v>
      </c>
      <c r="F652" s="371">
        <v>0</v>
      </c>
      <c r="G652" s="371">
        <v>14916.24</v>
      </c>
      <c r="H652" s="371"/>
      <c r="I652" s="371"/>
      <c r="J652" s="371"/>
      <c r="K652" s="371"/>
      <c r="L652" s="371"/>
      <c r="M652" s="371">
        <v>650000</v>
      </c>
      <c r="N652" s="371">
        <v>20850</v>
      </c>
      <c r="O652" s="371">
        <v>1600</v>
      </c>
      <c r="P652" s="371">
        <v>91683</v>
      </c>
      <c r="Q652" s="379">
        <v>-23878.17</v>
      </c>
      <c r="R652" s="372">
        <v>315718.84473799996</v>
      </c>
      <c r="S652" s="400">
        <v>280462</v>
      </c>
      <c r="T652" s="400">
        <v>35810.450000000004</v>
      </c>
      <c r="U652" s="406">
        <v>0</v>
      </c>
      <c r="V652" s="400">
        <v>10933.08</v>
      </c>
      <c r="W652" s="372">
        <v>291395.08</v>
      </c>
      <c r="X652" s="373">
        <v>327205.53000000003</v>
      </c>
      <c r="Y652" s="372">
        <v>357253.50473799993</v>
      </c>
      <c r="Z652" s="373">
        <v>1097508.3347380001</v>
      </c>
      <c r="AA652" s="400">
        <v>997.94913299998734</v>
      </c>
      <c r="AB652" s="400">
        <v>104.05999999999767</v>
      </c>
      <c r="AC652" s="400">
        <v>0</v>
      </c>
      <c r="AD652" s="400">
        <v>56.940000000000509</v>
      </c>
      <c r="AE652" s="372">
        <v>1054.8891329999879</v>
      </c>
      <c r="AF652" s="372">
        <v>1158.9491329999855</v>
      </c>
      <c r="AG652" s="400">
        <v>1.3500000000000227</v>
      </c>
      <c r="AH652" s="374">
        <v>3.3412295483197722E-3</v>
      </c>
      <c r="AI652" s="375">
        <v>2.5053774365794176E-3</v>
      </c>
      <c r="AJ652" s="372">
        <v>276.11</v>
      </c>
      <c r="AK652" s="376">
        <v>4.8893556915722818E-3</v>
      </c>
      <c r="AL652" s="376">
        <v>-1.5481261432525096E-3</v>
      </c>
      <c r="AM652" s="412">
        <v>256.66169154228879</v>
      </c>
    </row>
    <row r="653" spans="2:39" s="382" customFormat="1" ht="28.15" customHeight="1" x14ac:dyDescent="0.25">
      <c r="B653" s="378">
        <v>43659</v>
      </c>
      <c r="C653" s="370">
        <v>300802.60473799997</v>
      </c>
      <c r="D653" s="370">
        <v>41534.659999999996</v>
      </c>
      <c r="E653" s="371">
        <v>0</v>
      </c>
      <c r="F653" s="371">
        <v>0</v>
      </c>
      <c r="G653" s="371">
        <v>14916.24</v>
      </c>
      <c r="H653" s="371"/>
      <c r="I653" s="371"/>
      <c r="J653" s="371"/>
      <c r="K653" s="371"/>
      <c r="L653" s="371"/>
      <c r="M653" s="371">
        <v>650000</v>
      </c>
      <c r="N653" s="371">
        <v>20850</v>
      </c>
      <c r="O653" s="371">
        <v>1600</v>
      </c>
      <c r="P653" s="371">
        <v>91683</v>
      </c>
      <c r="Q653" s="379">
        <v>-23878.17</v>
      </c>
      <c r="R653" s="372">
        <v>315718.84473799996</v>
      </c>
      <c r="S653" s="400">
        <v>280462</v>
      </c>
      <c r="T653" s="400">
        <v>35810.450000000004</v>
      </c>
      <c r="U653" s="406">
        <v>0</v>
      </c>
      <c r="V653" s="400">
        <v>10933.08</v>
      </c>
      <c r="W653" s="372">
        <v>291395.08</v>
      </c>
      <c r="X653" s="373">
        <v>327205.53000000003</v>
      </c>
      <c r="Y653" s="372">
        <v>357253.50473799993</v>
      </c>
      <c r="Z653" s="373">
        <v>1097508.3347380001</v>
      </c>
      <c r="AA653" s="400">
        <v>0</v>
      </c>
      <c r="AB653" s="400">
        <v>0</v>
      </c>
      <c r="AC653" s="400">
        <v>0</v>
      </c>
      <c r="AD653" s="400">
        <v>0</v>
      </c>
      <c r="AE653" s="372">
        <v>0</v>
      </c>
      <c r="AF653" s="372">
        <v>0</v>
      </c>
      <c r="AG653" s="400">
        <v>0</v>
      </c>
      <c r="AH653" s="374">
        <v>0</v>
      </c>
      <c r="AI653" s="375">
        <v>0</v>
      </c>
      <c r="AJ653" s="372">
        <v>276.11</v>
      </c>
      <c r="AK653" s="376">
        <v>0</v>
      </c>
      <c r="AL653" s="376">
        <v>0</v>
      </c>
      <c r="AM653" s="412">
        <v>256.93507462686586</v>
      </c>
    </row>
    <row r="654" spans="2:39" s="382" customFormat="1" ht="28.15" customHeight="1" x14ac:dyDescent="0.25">
      <c r="B654" s="378">
        <v>43660</v>
      </c>
      <c r="C654" s="370">
        <v>300802.60473799997</v>
      </c>
      <c r="D654" s="370">
        <v>41534.659999999996</v>
      </c>
      <c r="E654" s="371">
        <v>0</v>
      </c>
      <c r="F654" s="371">
        <v>0</v>
      </c>
      <c r="G654" s="371">
        <v>14916.24</v>
      </c>
      <c r="H654" s="371"/>
      <c r="I654" s="371"/>
      <c r="J654" s="371"/>
      <c r="K654" s="371"/>
      <c r="L654" s="371"/>
      <c r="M654" s="371">
        <v>650000</v>
      </c>
      <c r="N654" s="371">
        <v>20850</v>
      </c>
      <c r="O654" s="371">
        <v>1600</v>
      </c>
      <c r="P654" s="371">
        <v>91683</v>
      </c>
      <c r="Q654" s="379">
        <v>-23878.17</v>
      </c>
      <c r="R654" s="372">
        <v>315718.84473799996</v>
      </c>
      <c r="S654" s="400">
        <v>280462</v>
      </c>
      <c r="T654" s="400">
        <v>35810.450000000004</v>
      </c>
      <c r="U654" s="406">
        <v>0</v>
      </c>
      <c r="V654" s="400">
        <v>10933.08</v>
      </c>
      <c r="W654" s="372">
        <v>291395.08</v>
      </c>
      <c r="X654" s="373">
        <v>327205.53000000003</v>
      </c>
      <c r="Y654" s="372">
        <v>357253.50473799993</v>
      </c>
      <c r="Z654" s="373">
        <v>1097508.3347380001</v>
      </c>
      <c r="AA654" s="400">
        <v>0</v>
      </c>
      <c r="AB654" s="400">
        <v>0</v>
      </c>
      <c r="AC654" s="400">
        <v>0</v>
      </c>
      <c r="AD654" s="400">
        <v>0</v>
      </c>
      <c r="AE654" s="372">
        <v>0</v>
      </c>
      <c r="AF654" s="372">
        <v>0</v>
      </c>
      <c r="AG654" s="400">
        <v>0</v>
      </c>
      <c r="AH654" s="374">
        <v>0</v>
      </c>
      <c r="AI654" s="375">
        <v>0</v>
      </c>
      <c r="AJ654" s="372">
        <v>276.11</v>
      </c>
      <c r="AK654" s="376">
        <v>0</v>
      </c>
      <c r="AL654" s="376">
        <v>0</v>
      </c>
      <c r="AM654" s="412">
        <v>257.23875621890562</v>
      </c>
    </row>
    <row r="655" spans="2:39" s="382" customFormat="1" ht="28.15" customHeight="1" x14ac:dyDescent="0.25">
      <c r="B655" s="369">
        <v>43661</v>
      </c>
      <c r="C655" s="370">
        <v>300814.41429300001</v>
      </c>
      <c r="D655" s="370">
        <v>41760.6</v>
      </c>
      <c r="E655" s="371">
        <v>0</v>
      </c>
      <c r="F655" s="371">
        <v>0</v>
      </c>
      <c r="G655" s="371">
        <v>14841.27</v>
      </c>
      <c r="H655" s="371">
        <v>875</v>
      </c>
      <c r="I655" s="371">
        <v>210</v>
      </c>
      <c r="J655" s="371"/>
      <c r="K655" s="371"/>
      <c r="L655" s="371"/>
      <c r="M655" s="371">
        <v>650000</v>
      </c>
      <c r="N655" s="371">
        <v>20850</v>
      </c>
      <c r="O655" s="371">
        <v>1600</v>
      </c>
      <c r="P655" s="371">
        <v>91683</v>
      </c>
      <c r="Q655" s="379">
        <v>-23878.17</v>
      </c>
      <c r="R655" s="372">
        <v>315655.68429300003</v>
      </c>
      <c r="S655" s="400">
        <v>281337</v>
      </c>
      <c r="T655" s="400">
        <v>36020.450000000004</v>
      </c>
      <c r="U655" s="406">
        <v>0</v>
      </c>
      <c r="V655" s="400">
        <v>10933.08</v>
      </c>
      <c r="W655" s="372">
        <v>292270.08000000002</v>
      </c>
      <c r="X655" s="373">
        <v>328290.53000000003</v>
      </c>
      <c r="Y655" s="372">
        <v>357416.284293</v>
      </c>
      <c r="Z655" s="373">
        <v>1097671.1142930002</v>
      </c>
      <c r="AA655" s="400">
        <v>-863.19044499995653</v>
      </c>
      <c r="AB655" s="400">
        <v>15.940000000002328</v>
      </c>
      <c r="AC655" s="400">
        <v>0</v>
      </c>
      <c r="AD655" s="400">
        <v>-74.969999999999345</v>
      </c>
      <c r="AE655" s="372">
        <v>-938.16044499995587</v>
      </c>
      <c r="AF655" s="372">
        <v>-922.22044499995354</v>
      </c>
      <c r="AG655" s="400">
        <v>6.9999999999993179E-2</v>
      </c>
      <c r="AH655" s="374">
        <v>-2.9721005883395729E-3</v>
      </c>
      <c r="AI655" s="375">
        <v>3.816994966547973E-4</v>
      </c>
      <c r="AJ655" s="372">
        <v>276.18</v>
      </c>
      <c r="AK655" s="376">
        <v>2.5345788978200151E-4</v>
      </c>
      <c r="AL655" s="376">
        <v>-3.2255584781215743E-3</v>
      </c>
      <c r="AM655" s="412">
        <v>257.54243781094544</v>
      </c>
    </row>
    <row r="656" spans="2:39" s="382" customFormat="1" ht="28.15" customHeight="1" x14ac:dyDescent="0.25">
      <c r="B656" s="369">
        <v>43662</v>
      </c>
      <c r="C656" s="370">
        <v>299778.840624</v>
      </c>
      <c r="D656" s="370">
        <v>41688.74</v>
      </c>
      <c r="E656" s="371">
        <v>0</v>
      </c>
      <c r="F656" s="371">
        <v>0</v>
      </c>
      <c r="G656" s="371">
        <v>14841.27</v>
      </c>
      <c r="H656" s="371"/>
      <c r="I656" s="371"/>
      <c r="J656" s="371"/>
      <c r="K656" s="371"/>
      <c r="L656" s="371"/>
      <c r="M656" s="371">
        <v>650000</v>
      </c>
      <c r="N656" s="371">
        <v>20850</v>
      </c>
      <c r="O656" s="371">
        <v>1600</v>
      </c>
      <c r="P656" s="371">
        <v>91683</v>
      </c>
      <c r="Q656" s="379">
        <v>-23878.17</v>
      </c>
      <c r="R656" s="372">
        <v>314620.11062400002</v>
      </c>
      <c r="S656" s="400">
        <v>281337</v>
      </c>
      <c r="T656" s="400">
        <v>36020.450000000004</v>
      </c>
      <c r="U656" s="406">
        <v>0</v>
      </c>
      <c r="V656" s="400">
        <v>10933.08</v>
      </c>
      <c r="W656" s="372">
        <v>292270.08000000002</v>
      </c>
      <c r="X656" s="373">
        <v>328290.53000000003</v>
      </c>
      <c r="Y656" s="372">
        <v>356308.85062400001</v>
      </c>
      <c r="Z656" s="373">
        <v>1096563.680624</v>
      </c>
      <c r="AA656" s="400">
        <v>-1035.5736690000049</v>
      </c>
      <c r="AB656" s="400">
        <v>-71.860000000000582</v>
      </c>
      <c r="AC656" s="400">
        <v>0</v>
      </c>
      <c r="AD656" s="400">
        <v>0</v>
      </c>
      <c r="AE656" s="372">
        <v>-1035.5736690000049</v>
      </c>
      <c r="AF656" s="372">
        <v>-1107.4336690000055</v>
      </c>
      <c r="AG656" s="400">
        <v>-0.90000000000003411</v>
      </c>
      <c r="AH656" s="374">
        <v>-3.2915050056593828E-3</v>
      </c>
      <c r="AI656" s="375">
        <v>-1.7237268384700662E-3</v>
      </c>
      <c r="AJ656" s="372">
        <v>275.27999999999997</v>
      </c>
      <c r="AK656" s="376">
        <v>-3.2693984306888775E-3</v>
      </c>
      <c r="AL656" s="376">
        <v>-2.210657497050527E-5</v>
      </c>
      <c r="AM656" s="412">
        <v>257.79233830845789</v>
      </c>
    </row>
    <row r="657" spans="2:39" s="382" customFormat="1" ht="28.15" customHeight="1" x14ac:dyDescent="0.25">
      <c r="B657" s="369">
        <v>43663</v>
      </c>
      <c r="C657" s="370">
        <v>303401.34065799997</v>
      </c>
      <c r="D657" s="370">
        <v>41638.78</v>
      </c>
      <c r="E657" s="371">
        <v>0</v>
      </c>
      <c r="F657" s="371">
        <v>0</v>
      </c>
      <c r="G657" s="371">
        <v>14857.05</v>
      </c>
      <c r="H657" s="371"/>
      <c r="I657" s="371"/>
      <c r="J657" s="371"/>
      <c r="K657" s="371"/>
      <c r="L657" s="371"/>
      <c r="M657" s="371">
        <v>650000</v>
      </c>
      <c r="N657" s="371">
        <v>20850</v>
      </c>
      <c r="O657" s="371">
        <v>1600</v>
      </c>
      <c r="P657" s="371">
        <v>91683</v>
      </c>
      <c r="Q657" s="379">
        <v>-23878.17</v>
      </c>
      <c r="R657" s="372">
        <v>318258.39065799996</v>
      </c>
      <c r="S657" s="400">
        <v>281337</v>
      </c>
      <c r="T657" s="400">
        <v>36020.450000000004</v>
      </c>
      <c r="U657" s="406">
        <v>0</v>
      </c>
      <c r="V657" s="400">
        <v>10933.08</v>
      </c>
      <c r="W657" s="372">
        <v>292270.08000000002</v>
      </c>
      <c r="X657" s="373">
        <v>328290.53000000003</v>
      </c>
      <c r="Y657" s="372">
        <v>359897.17065799999</v>
      </c>
      <c r="Z657" s="373">
        <v>1100152.0006580001</v>
      </c>
      <c r="AA657" s="400">
        <v>3622.5000339999679</v>
      </c>
      <c r="AB657" s="400">
        <v>-49.959999999999127</v>
      </c>
      <c r="AC657" s="400">
        <v>0</v>
      </c>
      <c r="AD657" s="400">
        <v>15.779999999998836</v>
      </c>
      <c r="AE657" s="372">
        <v>3638.2800339999667</v>
      </c>
      <c r="AF657" s="372">
        <v>3588.3200339999676</v>
      </c>
      <c r="AG657" s="400">
        <v>-1.8599999999999568</v>
      </c>
      <c r="AH657" s="374">
        <v>1.1431843246859303E-2</v>
      </c>
      <c r="AI657" s="375">
        <v>-1.199843030943729E-3</v>
      </c>
      <c r="AJ657" s="372">
        <v>273.42</v>
      </c>
      <c r="AK657" s="376">
        <v>-6.802721088435216E-3</v>
      </c>
      <c r="AL657" s="376">
        <v>1.823456433529452E-2</v>
      </c>
      <c r="AM657" s="412">
        <v>258.02731343283597</v>
      </c>
    </row>
    <row r="658" spans="2:39" s="382" customFormat="1" ht="28.15" customHeight="1" x14ac:dyDescent="0.25">
      <c r="B658" s="369">
        <v>43664</v>
      </c>
      <c r="C658" s="370">
        <v>308472.085914</v>
      </c>
      <c r="D658" s="370">
        <v>41743.699999999997</v>
      </c>
      <c r="E658" s="371">
        <v>0</v>
      </c>
      <c r="F658" s="371">
        <v>0</v>
      </c>
      <c r="G658" s="371">
        <v>16291.34</v>
      </c>
      <c r="H658" s="371"/>
      <c r="I658" s="371"/>
      <c r="J658" s="371"/>
      <c r="K658" s="371"/>
      <c r="L658" s="371">
        <v>1822.18</v>
      </c>
      <c r="M658" s="371">
        <v>650000</v>
      </c>
      <c r="N658" s="371">
        <v>20850</v>
      </c>
      <c r="O658" s="371">
        <v>1600</v>
      </c>
      <c r="P658" s="371">
        <v>91683</v>
      </c>
      <c r="Q658" s="379">
        <v>-23878.17</v>
      </c>
      <c r="R658" s="372">
        <v>324763.42591400002</v>
      </c>
      <c r="S658" s="400">
        <v>281337</v>
      </c>
      <c r="T658" s="400">
        <v>36020.450000000004</v>
      </c>
      <c r="U658" s="406">
        <v>0</v>
      </c>
      <c r="V658" s="400">
        <v>12755.26</v>
      </c>
      <c r="W658" s="372">
        <v>294092.26</v>
      </c>
      <c r="X658" s="373">
        <v>330112.71000000002</v>
      </c>
      <c r="Y658" s="372">
        <v>366507.12591400003</v>
      </c>
      <c r="Z658" s="373">
        <v>1106761.955914</v>
      </c>
      <c r="AA658" s="400">
        <v>5070.7452560000238</v>
      </c>
      <c r="AB658" s="400">
        <v>104.91999999999825</v>
      </c>
      <c r="AC658" s="400">
        <v>0</v>
      </c>
      <c r="AD658" s="400">
        <v>-387.88999999999919</v>
      </c>
      <c r="AE658" s="372">
        <v>4682.8552560000244</v>
      </c>
      <c r="AF658" s="372">
        <v>4787.7752560000226</v>
      </c>
      <c r="AG658" s="400">
        <v>1</v>
      </c>
      <c r="AH658" s="374">
        <v>1.4419281490274962E-2</v>
      </c>
      <c r="AI658" s="375">
        <v>2.5134331647649407E-3</v>
      </c>
      <c r="AJ658" s="372">
        <v>274.42</v>
      </c>
      <c r="AK658" s="376">
        <v>3.6440492675460972E-3</v>
      </c>
      <c r="AL658" s="376">
        <v>1.0775232222728866E-2</v>
      </c>
      <c r="AM658" s="412">
        <v>258.25447761194039</v>
      </c>
    </row>
    <row r="659" spans="2:39" s="382" customFormat="1" ht="28.15" customHeight="1" x14ac:dyDescent="0.25">
      <c r="B659" s="369">
        <v>43665</v>
      </c>
      <c r="C659" s="370">
        <v>303247.79340099997</v>
      </c>
      <c r="D659" s="370">
        <v>41614.9</v>
      </c>
      <c r="E659" s="371">
        <v>0</v>
      </c>
      <c r="F659" s="371">
        <v>0</v>
      </c>
      <c r="G659" s="371">
        <v>16312.58</v>
      </c>
      <c r="H659" s="371"/>
      <c r="I659" s="371"/>
      <c r="J659" s="371"/>
      <c r="K659" s="371"/>
      <c r="L659" s="371"/>
      <c r="M659" s="371">
        <v>650000</v>
      </c>
      <c r="N659" s="371">
        <v>20850</v>
      </c>
      <c r="O659" s="371">
        <v>1600</v>
      </c>
      <c r="P659" s="371">
        <v>91683</v>
      </c>
      <c r="Q659" s="379">
        <v>-23878.17</v>
      </c>
      <c r="R659" s="372">
        <v>319560.37340099999</v>
      </c>
      <c r="S659" s="400">
        <v>281337</v>
      </c>
      <c r="T659" s="400">
        <v>36020.450000000004</v>
      </c>
      <c r="U659" s="406">
        <v>0</v>
      </c>
      <c r="V659" s="400">
        <v>12755.26</v>
      </c>
      <c r="W659" s="372">
        <v>294092.26</v>
      </c>
      <c r="X659" s="373">
        <v>330112.71000000002</v>
      </c>
      <c r="Y659" s="372">
        <v>361175.27340100001</v>
      </c>
      <c r="Z659" s="373">
        <v>1101430.1034010001</v>
      </c>
      <c r="AA659" s="400">
        <v>-5224.2925130000222</v>
      </c>
      <c r="AB659" s="400">
        <v>-128.79999999999563</v>
      </c>
      <c r="AC659" s="400">
        <v>0</v>
      </c>
      <c r="AD659" s="400">
        <v>21.239999999999782</v>
      </c>
      <c r="AE659" s="372">
        <v>-5203.0525130000224</v>
      </c>
      <c r="AF659" s="372">
        <v>-5331.852513000018</v>
      </c>
      <c r="AG659" s="400">
        <v>-1.4700000000000273</v>
      </c>
      <c r="AH659" s="374">
        <v>-1.6281907727248076E-2</v>
      </c>
      <c r="AI659" s="375">
        <v>-3.0950452842610611E-3</v>
      </c>
      <c r="AJ659" s="372">
        <v>272.95</v>
      </c>
      <c r="AK659" s="376">
        <v>-5.3856017585639394E-3</v>
      </c>
      <c r="AL659" s="376">
        <v>-1.0896305968684137E-2</v>
      </c>
      <c r="AM659" s="412">
        <v>258.48661691542299</v>
      </c>
    </row>
    <row r="660" spans="2:39" s="382" customFormat="1" ht="28.15" customHeight="1" x14ac:dyDescent="0.25">
      <c r="B660" s="378">
        <v>43666</v>
      </c>
      <c r="C660" s="370">
        <v>303247.79340099997</v>
      </c>
      <c r="D660" s="370">
        <v>41614.9</v>
      </c>
      <c r="E660" s="371">
        <v>0</v>
      </c>
      <c r="F660" s="371">
        <v>0</v>
      </c>
      <c r="G660" s="371">
        <v>16312.58</v>
      </c>
      <c r="H660" s="371"/>
      <c r="I660" s="371"/>
      <c r="J660" s="371"/>
      <c r="K660" s="371"/>
      <c r="L660" s="371"/>
      <c r="M660" s="371">
        <v>650000</v>
      </c>
      <c r="N660" s="371">
        <v>20850</v>
      </c>
      <c r="O660" s="371">
        <v>1600</v>
      </c>
      <c r="P660" s="371">
        <v>91683</v>
      </c>
      <c r="Q660" s="379">
        <v>-23878.17</v>
      </c>
      <c r="R660" s="372">
        <v>319560.37340099999</v>
      </c>
      <c r="S660" s="400">
        <v>281337</v>
      </c>
      <c r="T660" s="400">
        <v>36020.450000000004</v>
      </c>
      <c r="U660" s="406">
        <v>0</v>
      </c>
      <c r="V660" s="400">
        <v>12755.26</v>
      </c>
      <c r="W660" s="372">
        <v>294092.26</v>
      </c>
      <c r="X660" s="373">
        <v>330112.71000000002</v>
      </c>
      <c r="Y660" s="372">
        <v>361175.27340100001</v>
      </c>
      <c r="Z660" s="373">
        <v>1101430.1034010001</v>
      </c>
      <c r="AA660" s="400">
        <v>0</v>
      </c>
      <c r="AB660" s="400">
        <v>0</v>
      </c>
      <c r="AC660" s="400">
        <v>0</v>
      </c>
      <c r="AD660" s="400">
        <v>0</v>
      </c>
      <c r="AE660" s="372">
        <v>0</v>
      </c>
      <c r="AF660" s="372">
        <v>0</v>
      </c>
      <c r="AG660" s="400">
        <v>0</v>
      </c>
      <c r="AH660" s="374">
        <v>0</v>
      </c>
      <c r="AI660" s="375">
        <v>0</v>
      </c>
      <c r="AJ660" s="372">
        <v>272.95</v>
      </c>
      <c r="AK660" s="376">
        <v>0</v>
      </c>
      <c r="AL660" s="376">
        <v>0</v>
      </c>
      <c r="AM660" s="412">
        <v>258.71144278606971</v>
      </c>
    </row>
    <row r="661" spans="2:39" s="382" customFormat="1" ht="28.15" customHeight="1" x14ac:dyDescent="0.25">
      <c r="B661" s="378">
        <v>43667</v>
      </c>
      <c r="C661" s="370">
        <v>303247.79340099997</v>
      </c>
      <c r="D661" s="370">
        <v>41614.9</v>
      </c>
      <c r="E661" s="371">
        <v>0</v>
      </c>
      <c r="F661" s="371">
        <v>0</v>
      </c>
      <c r="G661" s="371">
        <v>16312.58</v>
      </c>
      <c r="H661" s="371"/>
      <c r="I661" s="371"/>
      <c r="J661" s="371"/>
      <c r="K661" s="371"/>
      <c r="L661" s="371"/>
      <c r="M661" s="371">
        <v>650000</v>
      </c>
      <c r="N661" s="371">
        <v>20850</v>
      </c>
      <c r="O661" s="371">
        <v>1600</v>
      </c>
      <c r="P661" s="371">
        <v>91683</v>
      </c>
      <c r="Q661" s="379">
        <v>-23878.17</v>
      </c>
      <c r="R661" s="372">
        <v>319560.37340099999</v>
      </c>
      <c r="S661" s="400">
        <v>281337</v>
      </c>
      <c r="T661" s="400">
        <v>36020.450000000004</v>
      </c>
      <c r="U661" s="406">
        <v>0</v>
      </c>
      <c r="V661" s="400">
        <v>12755.26</v>
      </c>
      <c r="W661" s="372">
        <v>294092.26</v>
      </c>
      <c r="X661" s="373">
        <v>330112.71000000002</v>
      </c>
      <c r="Y661" s="372">
        <v>361175.27340100001</v>
      </c>
      <c r="Z661" s="373">
        <v>1101430.1034010001</v>
      </c>
      <c r="AA661" s="400">
        <v>0</v>
      </c>
      <c r="AB661" s="400">
        <v>0</v>
      </c>
      <c r="AC661" s="400">
        <v>0</v>
      </c>
      <c r="AD661" s="400">
        <v>0</v>
      </c>
      <c r="AE661" s="372">
        <v>0</v>
      </c>
      <c r="AF661" s="372">
        <v>0</v>
      </c>
      <c r="AG661" s="400">
        <v>0</v>
      </c>
      <c r="AH661" s="374">
        <v>0</v>
      </c>
      <c r="AI661" s="375">
        <v>0</v>
      </c>
      <c r="AJ661" s="372">
        <v>272.95</v>
      </c>
      <c r="AK661" s="376">
        <v>0</v>
      </c>
      <c r="AL661" s="376">
        <v>0</v>
      </c>
      <c r="AM661" s="412">
        <v>258.92606965174133</v>
      </c>
    </row>
    <row r="662" spans="2:39" s="382" customFormat="1" ht="28.15" customHeight="1" x14ac:dyDescent="0.25">
      <c r="B662" s="369">
        <v>43668</v>
      </c>
      <c r="C662" s="370">
        <v>303968.06249400001</v>
      </c>
      <c r="D662" s="370">
        <v>41701.68</v>
      </c>
      <c r="E662" s="371">
        <v>0</v>
      </c>
      <c r="F662" s="371">
        <v>0</v>
      </c>
      <c r="G662" s="371">
        <v>16312.58</v>
      </c>
      <c r="H662" s="371"/>
      <c r="I662" s="371"/>
      <c r="J662" s="371"/>
      <c r="K662" s="371"/>
      <c r="L662" s="371"/>
      <c r="M662" s="371">
        <v>650000</v>
      </c>
      <c r="N662" s="371">
        <v>20850</v>
      </c>
      <c r="O662" s="371">
        <v>1600</v>
      </c>
      <c r="P662" s="371">
        <v>91683</v>
      </c>
      <c r="Q662" s="379">
        <v>-23878.17</v>
      </c>
      <c r="R662" s="372">
        <v>320280.64249400003</v>
      </c>
      <c r="S662" s="400">
        <v>281337</v>
      </c>
      <c r="T662" s="400">
        <v>36020.450000000004</v>
      </c>
      <c r="U662" s="406">
        <v>0</v>
      </c>
      <c r="V662" s="400">
        <v>12755.26</v>
      </c>
      <c r="W662" s="372">
        <v>294092.26</v>
      </c>
      <c r="X662" s="373">
        <v>330112.71000000002</v>
      </c>
      <c r="Y662" s="372">
        <v>361982.32249400002</v>
      </c>
      <c r="Z662" s="373">
        <v>1102237.152494</v>
      </c>
      <c r="AA662" s="400">
        <v>720.26909300003899</v>
      </c>
      <c r="AB662" s="400">
        <v>86.779999999998836</v>
      </c>
      <c r="AC662" s="400">
        <v>0</v>
      </c>
      <c r="AD662" s="400">
        <v>0</v>
      </c>
      <c r="AE662" s="372">
        <v>720.26909300003899</v>
      </c>
      <c r="AF662" s="372">
        <v>807.04909300003783</v>
      </c>
      <c r="AG662" s="400">
        <v>0.66000000000002501</v>
      </c>
      <c r="AH662" s="374">
        <v>2.2488686403004583E-3</v>
      </c>
      <c r="AI662" s="375">
        <v>2.0809713181818776E-3</v>
      </c>
      <c r="AJ662" s="372">
        <v>273.61</v>
      </c>
      <c r="AK662" s="376">
        <v>2.412192536822576E-3</v>
      </c>
      <c r="AL662" s="376">
        <v>-1.6332389652211777E-4</v>
      </c>
      <c r="AM662" s="412">
        <v>259.14069651741301</v>
      </c>
    </row>
    <row r="663" spans="2:39" s="382" customFormat="1" ht="28.15" customHeight="1" x14ac:dyDescent="0.25">
      <c r="B663" s="369">
        <v>43669</v>
      </c>
      <c r="C663" s="370">
        <v>303173.17428400001</v>
      </c>
      <c r="D663" s="370">
        <v>41835.9</v>
      </c>
      <c r="E663" s="371">
        <v>0</v>
      </c>
      <c r="F663" s="371">
        <v>0</v>
      </c>
      <c r="G663" s="371">
        <v>16610.32</v>
      </c>
      <c r="H663" s="371"/>
      <c r="I663" s="371"/>
      <c r="J663" s="371"/>
      <c r="K663" s="371"/>
      <c r="L663" s="371"/>
      <c r="M663" s="371">
        <v>650000</v>
      </c>
      <c r="N663" s="371">
        <v>20850</v>
      </c>
      <c r="O663" s="371">
        <v>1600</v>
      </c>
      <c r="P663" s="371">
        <v>91683</v>
      </c>
      <c r="Q663" s="379">
        <v>-23878.17</v>
      </c>
      <c r="R663" s="372">
        <v>319783.49428400001</v>
      </c>
      <c r="S663" s="400">
        <v>281337</v>
      </c>
      <c r="T663" s="400">
        <v>36020.450000000004</v>
      </c>
      <c r="U663" s="406">
        <v>0</v>
      </c>
      <c r="V663" s="400">
        <v>12755.26</v>
      </c>
      <c r="W663" s="372">
        <v>294092.26</v>
      </c>
      <c r="X663" s="373">
        <v>330112.71000000002</v>
      </c>
      <c r="Y663" s="372">
        <v>361619.39428400004</v>
      </c>
      <c r="Z663" s="373">
        <v>1101874.2242840002</v>
      </c>
      <c r="AA663" s="400">
        <v>-794.88821000000462</v>
      </c>
      <c r="AB663" s="400">
        <v>134.22000000000116</v>
      </c>
      <c r="AC663" s="400">
        <v>0</v>
      </c>
      <c r="AD663" s="400">
        <v>297.73999999999978</v>
      </c>
      <c r="AE663" s="372">
        <v>-497.14821000000484</v>
      </c>
      <c r="AF663" s="372">
        <v>-362.92821000000367</v>
      </c>
      <c r="AG663" s="400">
        <v>1.8799999999999955</v>
      </c>
      <c r="AH663" s="374">
        <v>-1.5546399951414849E-3</v>
      </c>
      <c r="AI663" s="375">
        <v>3.2082493743412037E-3</v>
      </c>
      <c r="AJ663" s="372">
        <v>275.49</v>
      </c>
      <c r="AK663" s="376">
        <v>6.8242041453410122E-3</v>
      </c>
      <c r="AL663" s="376">
        <v>-8.378844140482497E-3</v>
      </c>
      <c r="AM663" s="412">
        <v>259.35771144278613</v>
      </c>
    </row>
    <row r="664" spans="2:39" s="382" customFormat="1" ht="28.15" customHeight="1" x14ac:dyDescent="0.25">
      <c r="B664" s="369">
        <v>43670</v>
      </c>
      <c r="C664" s="370">
        <v>304573.61820999999</v>
      </c>
      <c r="D664" s="370">
        <v>41991.159999999996</v>
      </c>
      <c r="E664" s="371">
        <v>0</v>
      </c>
      <c r="F664" s="371">
        <v>0</v>
      </c>
      <c r="G664" s="371">
        <v>16610.32</v>
      </c>
      <c r="H664" s="371"/>
      <c r="I664" s="371"/>
      <c r="J664" s="371"/>
      <c r="K664" s="371"/>
      <c r="L664" s="371"/>
      <c r="M664" s="371">
        <v>650000</v>
      </c>
      <c r="N664" s="371">
        <v>20850</v>
      </c>
      <c r="O664" s="371">
        <v>1600</v>
      </c>
      <c r="P664" s="371">
        <v>91683</v>
      </c>
      <c r="Q664" s="379">
        <v>-23878.17</v>
      </c>
      <c r="R664" s="372">
        <v>321183.93820999999</v>
      </c>
      <c r="S664" s="400">
        <v>281337</v>
      </c>
      <c r="T664" s="400">
        <v>36020.450000000004</v>
      </c>
      <c r="U664" s="406">
        <v>0</v>
      </c>
      <c r="V664" s="400">
        <v>12755.26</v>
      </c>
      <c r="W664" s="372">
        <v>294092.26</v>
      </c>
      <c r="X664" s="373">
        <v>330112.71000000002</v>
      </c>
      <c r="Y664" s="372">
        <v>363175.09820999997</v>
      </c>
      <c r="Z664" s="373">
        <v>1103429.92821</v>
      </c>
      <c r="AA664" s="400">
        <v>1400.4439259999781</v>
      </c>
      <c r="AB664" s="400">
        <v>155.25999999999476</v>
      </c>
      <c r="AC664" s="400">
        <v>0</v>
      </c>
      <c r="AD664" s="400">
        <v>0</v>
      </c>
      <c r="AE664" s="372">
        <v>1400.4439259999781</v>
      </c>
      <c r="AF664" s="372">
        <v>1555.7039259999729</v>
      </c>
      <c r="AG664" s="400">
        <v>1.2699999999999818</v>
      </c>
      <c r="AH664" s="374">
        <v>4.3602551665716379E-3</v>
      </c>
      <c r="AI664" s="375">
        <v>3.6974448907816496E-3</v>
      </c>
      <c r="AJ664" s="372">
        <v>276.76</v>
      </c>
      <c r="AK664" s="376">
        <v>4.5888134123427586E-3</v>
      </c>
      <c r="AL664" s="376">
        <v>-2.285582457711207E-4</v>
      </c>
      <c r="AM664" s="412">
        <v>259.61139303482594</v>
      </c>
    </row>
    <row r="665" spans="2:39" s="382" customFormat="1" ht="28.15" customHeight="1" x14ac:dyDescent="0.25">
      <c r="B665" s="369">
        <v>43671</v>
      </c>
      <c r="C665" s="370">
        <v>302662.88866</v>
      </c>
      <c r="D665" s="370">
        <v>41851.839999999997</v>
      </c>
      <c r="E665" s="371">
        <v>0</v>
      </c>
      <c r="F665" s="371">
        <v>0</v>
      </c>
      <c r="G665" s="371">
        <v>16558.22</v>
      </c>
      <c r="H665" s="371"/>
      <c r="I665" s="371"/>
      <c r="J665" s="371"/>
      <c r="K665" s="371"/>
      <c r="L665" s="371"/>
      <c r="M665" s="371">
        <v>650000</v>
      </c>
      <c r="N665" s="371">
        <v>20850</v>
      </c>
      <c r="O665" s="371">
        <v>1600</v>
      </c>
      <c r="P665" s="371">
        <v>91683</v>
      </c>
      <c r="Q665" s="379">
        <v>-23878.17</v>
      </c>
      <c r="R665" s="372">
        <v>319221.10866000003</v>
      </c>
      <c r="S665" s="400">
        <v>281337</v>
      </c>
      <c r="T665" s="400">
        <v>36020.450000000004</v>
      </c>
      <c r="U665" s="406">
        <v>0</v>
      </c>
      <c r="V665" s="400">
        <v>12755.26</v>
      </c>
      <c r="W665" s="372">
        <v>294092.26</v>
      </c>
      <c r="X665" s="373">
        <v>330112.71000000002</v>
      </c>
      <c r="Y665" s="372">
        <v>361072.94865999999</v>
      </c>
      <c r="Z665" s="373">
        <v>1101327.7786600001</v>
      </c>
      <c r="AA665" s="400">
        <v>-1910.7295499999891</v>
      </c>
      <c r="AB665" s="400">
        <v>-139.31999999999971</v>
      </c>
      <c r="AC665" s="400">
        <v>0</v>
      </c>
      <c r="AD665" s="400">
        <v>-52.099999999998545</v>
      </c>
      <c r="AE665" s="372">
        <v>-1962.8295499999876</v>
      </c>
      <c r="AF665" s="372">
        <v>-2102.1495499999874</v>
      </c>
      <c r="AG665" s="400">
        <v>-1.3499999999999659</v>
      </c>
      <c r="AH665" s="374">
        <v>-6.1488087621755063E-3</v>
      </c>
      <c r="AI665" s="375">
        <v>-3.3288858984455573E-3</v>
      </c>
      <c r="AJ665" s="372">
        <v>275.41000000000003</v>
      </c>
      <c r="AK665" s="376">
        <v>-4.9017827965577351E-3</v>
      </c>
      <c r="AL665" s="376">
        <v>-1.2470259656177712E-3</v>
      </c>
      <c r="AM665" s="412">
        <v>259.83452736318418</v>
      </c>
    </row>
    <row r="666" spans="2:39" s="382" customFormat="1" ht="28.15" customHeight="1" x14ac:dyDescent="0.25">
      <c r="B666" s="369">
        <v>43672</v>
      </c>
      <c r="C666" s="370">
        <v>303978.351004</v>
      </c>
      <c r="D666" s="370">
        <v>41998.939999999995</v>
      </c>
      <c r="E666" s="371">
        <v>0</v>
      </c>
      <c r="F666" s="371">
        <v>0</v>
      </c>
      <c r="G666" s="371">
        <v>16682.88</v>
      </c>
      <c r="H666" s="371"/>
      <c r="I666" s="371"/>
      <c r="J666" s="371"/>
      <c r="K666" s="371"/>
      <c r="L666" s="371"/>
      <c r="M666" s="371">
        <v>650000</v>
      </c>
      <c r="N666" s="371">
        <v>20850</v>
      </c>
      <c r="O666" s="371">
        <v>1600</v>
      </c>
      <c r="P666" s="371">
        <v>91683</v>
      </c>
      <c r="Q666" s="379">
        <v>-23878.17</v>
      </c>
      <c r="R666" s="372">
        <v>320661.231004</v>
      </c>
      <c r="S666" s="400">
        <v>281337</v>
      </c>
      <c r="T666" s="400">
        <v>36020.450000000004</v>
      </c>
      <c r="U666" s="406">
        <v>0</v>
      </c>
      <c r="V666" s="400">
        <v>12755.26</v>
      </c>
      <c r="W666" s="372">
        <v>294092.26</v>
      </c>
      <c r="X666" s="373">
        <v>330112.71000000002</v>
      </c>
      <c r="Y666" s="372">
        <v>362660.171004</v>
      </c>
      <c r="Z666" s="373">
        <v>1102915.0010040002</v>
      </c>
      <c r="AA666" s="400">
        <v>1315.4623439999996</v>
      </c>
      <c r="AB666" s="400">
        <v>147.09999999999854</v>
      </c>
      <c r="AC666" s="400">
        <v>0</v>
      </c>
      <c r="AD666" s="400">
        <v>124.65999999999985</v>
      </c>
      <c r="AE666" s="372">
        <v>1440.1223439999994</v>
      </c>
      <c r="AF666" s="372">
        <v>1587.222343999998</v>
      </c>
      <c r="AG666" s="400">
        <v>1.9699999999999704</v>
      </c>
      <c r="AH666" s="374">
        <v>4.4911021500507959E-3</v>
      </c>
      <c r="AI666" s="375">
        <v>3.5024693480358924E-3</v>
      </c>
      <c r="AJ666" s="372">
        <v>277.38</v>
      </c>
      <c r="AK666" s="376">
        <v>7.1021703078807787E-3</v>
      </c>
      <c r="AL666" s="376">
        <v>-2.6110681578299828E-3</v>
      </c>
      <c r="AM666" s="412">
        <v>260.05094527363195</v>
      </c>
    </row>
    <row r="667" spans="2:39" s="382" customFormat="1" ht="28.15" customHeight="1" x14ac:dyDescent="0.25">
      <c r="B667" s="378">
        <v>43673</v>
      </c>
      <c r="C667" s="370">
        <v>303978.351004</v>
      </c>
      <c r="D667" s="370">
        <v>41998.939999999995</v>
      </c>
      <c r="E667" s="371">
        <v>0</v>
      </c>
      <c r="F667" s="371">
        <v>0</v>
      </c>
      <c r="G667" s="371">
        <v>16682.88</v>
      </c>
      <c r="H667" s="371"/>
      <c r="I667" s="371"/>
      <c r="J667" s="371"/>
      <c r="K667" s="371"/>
      <c r="L667" s="371"/>
      <c r="M667" s="371">
        <v>650000</v>
      </c>
      <c r="N667" s="371">
        <v>20850</v>
      </c>
      <c r="O667" s="371">
        <v>1600</v>
      </c>
      <c r="P667" s="371">
        <v>91683</v>
      </c>
      <c r="Q667" s="379">
        <v>-23878.17</v>
      </c>
      <c r="R667" s="372">
        <v>320661.231004</v>
      </c>
      <c r="S667" s="400">
        <v>281337</v>
      </c>
      <c r="T667" s="400">
        <v>36020.450000000004</v>
      </c>
      <c r="U667" s="406">
        <v>0</v>
      </c>
      <c r="V667" s="400">
        <v>12755.26</v>
      </c>
      <c r="W667" s="372">
        <v>294092.26</v>
      </c>
      <c r="X667" s="373">
        <v>330112.71000000002</v>
      </c>
      <c r="Y667" s="372">
        <v>362660.171004</v>
      </c>
      <c r="Z667" s="373">
        <v>1102915.0010040002</v>
      </c>
      <c r="AA667" s="400">
        <v>0</v>
      </c>
      <c r="AB667" s="400">
        <v>0</v>
      </c>
      <c r="AC667" s="400">
        <v>0</v>
      </c>
      <c r="AD667" s="400">
        <v>0</v>
      </c>
      <c r="AE667" s="372">
        <v>0</v>
      </c>
      <c r="AF667" s="372">
        <v>0</v>
      </c>
      <c r="AG667" s="400">
        <v>0</v>
      </c>
      <c r="AH667" s="374">
        <v>0</v>
      </c>
      <c r="AI667" s="375">
        <v>0</v>
      </c>
      <c r="AJ667" s="372">
        <v>277.38</v>
      </c>
      <c r="AK667" s="376">
        <v>0</v>
      </c>
      <c r="AL667" s="376">
        <v>0</v>
      </c>
      <c r="AM667" s="412">
        <v>260.2771641791046</v>
      </c>
    </row>
    <row r="668" spans="2:39" s="382" customFormat="1" ht="28.15" customHeight="1" x14ac:dyDescent="0.25">
      <c r="B668" s="378">
        <v>43674</v>
      </c>
      <c r="C668" s="370">
        <v>303978.351004</v>
      </c>
      <c r="D668" s="370">
        <v>41998.939999999995</v>
      </c>
      <c r="E668" s="371">
        <v>0</v>
      </c>
      <c r="F668" s="371">
        <v>0</v>
      </c>
      <c r="G668" s="371">
        <v>16682.88</v>
      </c>
      <c r="H668" s="371"/>
      <c r="I668" s="371"/>
      <c r="J668" s="371"/>
      <c r="K668" s="371"/>
      <c r="L668" s="371"/>
      <c r="M668" s="371">
        <v>650000</v>
      </c>
      <c r="N668" s="371">
        <v>20850</v>
      </c>
      <c r="O668" s="371">
        <v>1600</v>
      </c>
      <c r="P668" s="371">
        <v>91683</v>
      </c>
      <c r="Q668" s="379">
        <v>-23450.339999999997</v>
      </c>
      <c r="R668" s="372">
        <v>320661.231004</v>
      </c>
      <c r="S668" s="400">
        <v>281337</v>
      </c>
      <c r="T668" s="400">
        <v>36020.450000000004</v>
      </c>
      <c r="U668" s="406">
        <v>0</v>
      </c>
      <c r="V668" s="400">
        <v>12755.26</v>
      </c>
      <c r="W668" s="372">
        <v>294092.26</v>
      </c>
      <c r="X668" s="373">
        <v>330112.71000000002</v>
      </c>
      <c r="Y668" s="372">
        <v>362660.171004</v>
      </c>
      <c r="Z668" s="373">
        <v>1103342.831004</v>
      </c>
      <c r="AA668" s="400">
        <v>0</v>
      </c>
      <c r="AB668" s="400">
        <v>0</v>
      </c>
      <c r="AC668" s="400">
        <v>0</v>
      </c>
      <c r="AD668" s="400">
        <v>0</v>
      </c>
      <c r="AE668" s="372">
        <v>0</v>
      </c>
      <c r="AF668" s="372">
        <v>0</v>
      </c>
      <c r="AG668" s="400">
        <v>0</v>
      </c>
      <c r="AH668" s="374">
        <v>0</v>
      </c>
      <c r="AI668" s="375">
        <v>0</v>
      </c>
      <c r="AJ668" s="372">
        <v>277.38</v>
      </c>
      <c r="AK668" s="376">
        <v>0</v>
      </c>
      <c r="AL668" s="376">
        <v>0</v>
      </c>
      <c r="AM668" s="412">
        <v>260.49472636815932</v>
      </c>
    </row>
    <row r="669" spans="2:39" s="382" customFormat="1" ht="28.15" customHeight="1" x14ac:dyDescent="0.25">
      <c r="B669" s="369">
        <v>43675</v>
      </c>
      <c r="C669" s="370">
        <v>305437.56609400001</v>
      </c>
      <c r="D669" s="370">
        <v>41958.26</v>
      </c>
      <c r="E669" s="371">
        <v>0</v>
      </c>
      <c r="F669" s="371">
        <v>0</v>
      </c>
      <c r="G669" s="371">
        <v>16682.88</v>
      </c>
      <c r="H669" s="371">
        <v>875</v>
      </c>
      <c r="I669" s="371"/>
      <c r="J669" s="371"/>
      <c r="K669" s="371"/>
      <c r="L669" s="371"/>
      <c r="M669" s="371">
        <v>650000</v>
      </c>
      <c r="N669" s="371">
        <v>20850</v>
      </c>
      <c r="O669" s="371">
        <v>1600</v>
      </c>
      <c r="P669" s="371">
        <v>91683</v>
      </c>
      <c r="Q669" s="379">
        <v>-23450.339999999997</v>
      </c>
      <c r="R669" s="372">
        <v>322120.44609400001</v>
      </c>
      <c r="S669" s="400">
        <v>282212</v>
      </c>
      <c r="T669" s="400">
        <v>36020.450000000004</v>
      </c>
      <c r="U669" s="406">
        <v>0</v>
      </c>
      <c r="V669" s="400">
        <v>12755.26</v>
      </c>
      <c r="W669" s="372">
        <v>294967.26</v>
      </c>
      <c r="X669" s="373">
        <v>330987.71000000002</v>
      </c>
      <c r="Y669" s="372">
        <v>364078.70609400002</v>
      </c>
      <c r="Z669" s="373">
        <v>1104761.3660939999</v>
      </c>
      <c r="AA669" s="400">
        <v>584.21509000001242</v>
      </c>
      <c r="AB669" s="400">
        <v>-40.679999999993015</v>
      </c>
      <c r="AC669" s="400">
        <v>0</v>
      </c>
      <c r="AD669" s="400">
        <v>0</v>
      </c>
      <c r="AE669" s="372">
        <v>584.21509000001242</v>
      </c>
      <c r="AF669" s="372">
        <v>543.53509000001941</v>
      </c>
      <c r="AG669" s="400">
        <v>-0.5</v>
      </c>
      <c r="AH669" s="374">
        <v>1.8136541690667127E-3</v>
      </c>
      <c r="AI669" s="375">
        <v>-9.6953496164981607E-4</v>
      </c>
      <c r="AJ669" s="372">
        <v>276.88</v>
      </c>
      <c r="AK669" s="376">
        <v>-1.80583646344987E-3</v>
      </c>
      <c r="AL669" s="376">
        <v>3.6194906325165829E-3</v>
      </c>
      <c r="AM669" s="412">
        <v>260.70099502487574</v>
      </c>
    </row>
    <row r="670" spans="2:39" s="382" customFormat="1" ht="28.15" customHeight="1" x14ac:dyDescent="0.25">
      <c r="B670" s="369">
        <v>43676</v>
      </c>
      <c r="C670" s="370">
        <v>306480.67345599999</v>
      </c>
      <c r="D670" s="370">
        <v>41892.839999999997</v>
      </c>
      <c r="E670" s="371">
        <v>0</v>
      </c>
      <c r="F670" s="371">
        <v>0</v>
      </c>
      <c r="G670" s="371">
        <v>16594.689999999999</v>
      </c>
      <c r="H670" s="371"/>
      <c r="I670" s="371"/>
      <c r="J670" s="371"/>
      <c r="K670" s="371"/>
      <c r="L670" s="371"/>
      <c r="M670" s="371">
        <v>650000</v>
      </c>
      <c r="N670" s="371">
        <v>20850</v>
      </c>
      <c r="O670" s="371">
        <v>1600</v>
      </c>
      <c r="P670" s="371">
        <v>91683</v>
      </c>
      <c r="Q670" s="379">
        <v>-23450.339999999997</v>
      </c>
      <c r="R670" s="372">
        <v>323075.36345599999</v>
      </c>
      <c r="S670" s="400">
        <v>282212</v>
      </c>
      <c r="T670" s="400">
        <v>36020.450000000004</v>
      </c>
      <c r="U670" s="406">
        <v>0</v>
      </c>
      <c r="V670" s="400">
        <v>12755.26</v>
      </c>
      <c r="W670" s="372">
        <v>294967.26</v>
      </c>
      <c r="X670" s="373">
        <v>330987.71000000002</v>
      </c>
      <c r="Y670" s="372">
        <v>364968.20345600002</v>
      </c>
      <c r="Z670" s="373">
        <v>1105650.8634559999</v>
      </c>
      <c r="AA670" s="400">
        <v>1043.1073619999806</v>
      </c>
      <c r="AB670" s="400">
        <v>-65.42000000000553</v>
      </c>
      <c r="AC670" s="400">
        <v>0</v>
      </c>
      <c r="AD670" s="400">
        <v>-88.190000000002328</v>
      </c>
      <c r="AE670" s="372">
        <v>954.91736199997831</v>
      </c>
      <c r="AF670" s="372">
        <v>889.49736199997278</v>
      </c>
      <c r="AG670" s="400">
        <v>-0.67000000000001592</v>
      </c>
      <c r="AH670" s="374">
        <v>2.9557108650595998E-3</v>
      </c>
      <c r="AI670" s="375">
        <v>-1.5616033670671535E-3</v>
      </c>
      <c r="AJ670" s="372">
        <v>276.20999999999998</v>
      </c>
      <c r="AK670" s="376">
        <v>-2.4256905977336663E-3</v>
      </c>
      <c r="AL670" s="376">
        <v>5.3814014627932664E-3</v>
      </c>
      <c r="AM670" s="412">
        <v>260.89935323383094</v>
      </c>
    </row>
    <row r="671" spans="2:39" s="382" customFormat="1" ht="28.15" customHeight="1" x14ac:dyDescent="0.25">
      <c r="B671" s="369">
        <v>43677</v>
      </c>
      <c r="C671" s="370">
        <v>302652.85871599999</v>
      </c>
      <c r="D671" s="370">
        <v>41631.159999999996</v>
      </c>
      <c r="E671" s="371">
        <v>0</v>
      </c>
      <c r="F671" s="371">
        <v>0</v>
      </c>
      <c r="G671" s="371">
        <v>16618.560000000001</v>
      </c>
      <c r="H671" s="371"/>
      <c r="I671" s="371"/>
      <c r="J671" s="371"/>
      <c r="K671" s="371"/>
      <c r="L671" s="371"/>
      <c r="M671" s="371">
        <v>650000</v>
      </c>
      <c r="N671" s="371">
        <v>20850</v>
      </c>
      <c r="O671" s="371">
        <v>1600</v>
      </c>
      <c r="P671" s="371">
        <v>91683</v>
      </c>
      <c r="Q671" s="379">
        <v>-23450.339999999997</v>
      </c>
      <c r="R671" s="372">
        <v>319271.41871599999</v>
      </c>
      <c r="S671" s="400">
        <v>282212</v>
      </c>
      <c r="T671" s="400">
        <v>36020.450000000004</v>
      </c>
      <c r="U671" s="406">
        <v>0</v>
      </c>
      <c r="V671" s="400">
        <v>12755.26</v>
      </c>
      <c r="W671" s="372">
        <v>294967.26</v>
      </c>
      <c r="X671" s="373">
        <v>330987.71000000002</v>
      </c>
      <c r="Y671" s="372">
        <v>360902.57871599996</v>
      </c>
      <c r="Z671" s="373">
        <v>1101585.238716</v>
      </c>
      <c r="AA671" s="400">
        <v>-3827.8147400000016</v>
      </c>
      <c r="AB671" s="400">
        <v>-261.68000000000029</v>
      </c>
      <c r="AC671" s="400">
        <v>0</v>
      </c>
      <c r="AD671" s="400">
        <v>23.870000000002619</v>
      </c>
      <c r="AE671" s="372">
        <v>-3803.944739999999</v>
      </c>
      <c r="AF671" s="372">
        <v>-4065.6247399999993</v>
      </c>
      <c r="AG671" s="400">
        <v>-3.1299999999999955</v>
      </c>
      <c r="AH671" s="374">
        <v>-1.1914454338876179E-2</v>
      </c>
      <c r="AI671" s="375">
        <v>-6.285676402002738E-3</v>
      </c>
      <c r="AJ671" s="372">
        <v>273.08</v>
      </c>
      <c r="AK671" s="376">
        <v>-1.1461842683462705E-2</v>
      </c>
      <c r="AL671" s="376">
        <v>-4.5261165541347383E-4</v>
      </c>
      <c r="AM671" s="412">
        <v>261.08945273631855</v>
      </c>
    </row>
    <row r="672" spans="2:39" s="382" customFormat="1" ht="28.15" customHeight="1" x14ac:dyDescent="0.25">
      <c r="B672" s="369">
        <v>43678</v>
      </c>
      <c r="C672" s="370">
        <v>311446.22456900001</v>
      </c>
      <c r="D672" s="370">
        <v>41620.68</v>
      </c>
      <c r="E672" s="371">
        <v>0</v>
      </c>
      <c r="F672" s="371">
        <v>0</v>
      </c>
      <c r="G672" s="371">
        <v>16394.87</v>
      </c>
      <c r="H672" s="371"/>
      <c r="I672" s="371"/>
      <c r="J672" s="371"/>
      <c r="K672" s="371"/>
      <c r="L672" s="371"/>
      <c r="M672" s="371">
        <v>650000</v>
      </c>
      <c r="N672" s="371">
        <v>20850</v>
      </c>
      <c r="O672" s="371">
        <v>1600</v>
      </c>
      <c r="P672" s="371">
        <v>91683</v>
      </c>
      <c r="Q672" s="379">
        <v>-23450.339999999997</v>
      </c>
      <c r="R672" s="372">
        <v>327841.09456900001</v>
      </c>
      <c r="S672" s="400">
        <v>282212</v>
      </c>
      <c r="T672" s="400">
        <v>36020.450000000004</v>
      </c>
      <c r="U672" s="406">
        <v>0</v>
      </c>
      <c r="V672" s="400">
        <v>12755.26</v>
      </c>
      <c r="W672" s="372">
        <v>294967.26</v>
      </c>
      <c r="X672" s="373">
        <v>330987.71000000002</v>
      </c>
      <c r="Y672" s="372">
        <v>369461.774569</v>
      </c>
      <c r="Z672" s="373">
        <v>1110144.434569</v>
      </c>
      <c r="AA672" s="400">
        <v>8793.3658530000248</v>
      </c>
      <c r="AB672" s="400">
        <v>-10.479999999995925</v>
      </c>
      <c r="AC672" s="400">
        <v>0</v>
      </c>
      <c r="AD672" s="400">
        <v>-223.69000000000233</v>
      </c>
      <c r="AE672" s="372">
        <v>8569.6758530000225</v>
      </c>
      <c r="AF672" s="372">
        <v>8559.1958530000265</v>
      </c>
      <c r="AG672" s="400">
        <v>-2.2899999999999636</v>
      </c>
      <c r="AH672" s="374">
        <v>2.6139724381613123E-2</v>
      </c>
      <c r="AI672" s="375">
        <v>-2.5179790431093207E-4</v>
      </c>
      <c r="AJ672" s="372">
        <v>270.79000000000002</v>
      </c>
      <c r="AK672" s="376">
        <v>-8.4567376934154264E-3</v>
      </c>
      <c r="AL672" s="376">
        <v>3.4596462075028547E-2</v>
      </c>
      <c r="AM672" s="412">
        <v>261.26452736318424</v>
      </c>
    </row>
    <row r="673" spans="2:39" s="382" customFormat="1" ht="28.15" customHeight="1" x14ac:dyDescent="0.25">
      <c r="B673" s="369">
        <v>43679</v>
      </c>
      <c r="C673" s="370">
        <v>310478.352625</v>
      </c>
      <c r="D673" s="370">
        <v>41482.06</v>
      </c>
      <c r="E673" s="371">
        <v>0</v>
      </c>
      <c r="F673" s="371">
        <v>0</v>
      </c>
      <c r="G673" s="371">
        <v>16360.02</v>
      </c>
      <c r="H673" s="371"/>
      <c r="I673" s="371"/>
      <c r="J673" s="371"/>
      <c r="K673" s="371"/>
      <c r="L673" s="371"/>
      <c r="M673" s="371">
        <v>650000</v>
      </c>
      <c r="N673" s="371">
        <v>20850</v>
      </c>
      <c r="O673" s="371">
        <v>1600</v>
      </c>
      <c r="P673" s="371">
        <v>91683</v>
      </c>
      <c r="Q673" s="379">
        <v>-23450.339999999997</v>
      </c>
      <c r="R673" s="372">
        <v>326838.37262500002</v>
      </c>
      <c r="S673" s="400">
        <v>282212</v>
      </c>
      <c r="T673" s="400">
        <v>36020.450000000004</v>
      </c>
      <c r="U673" s="406">
        <v>0</v>
      </c>
      <c r="V673" s="400">
        <v>12755.26</v>
      </c>
      <c r="W673" s="372">
        <v>294967.26</v>
      </c>
      <c r="X673" s="373">
        <v>330987.71000000002</v>
      </c>
      <c r="Y673" s="372">
        <v>368320.43262500002</v>
      </c>
      <c r="Z673" s="373">
        <v>1109003.0926249998</v>
      </c>
      <c r="AA673" s="400">
        <v>-967.87194400001317</v>
      </c>
      <c r="AB673" s="400">
        <v>-138.62000000000262</v>
      </c>
      <c r="AC673" s="400">
        <v>0</v>
      </c>
      <c r="AD673" s="400">
        <v>-34.849999999998545</v>
      </c>
      <c r="AE673" s="372">
        <v>-1002.7219440000117</v>
      </c>
      <c r="AF673" s="372">
        <v>-1141.3419440000143</v>
      </c>
      <c r="AG673" s="400">
        <v>-1.9800000000000182</v>
      </c>
      <c r="AH673" s="374">
        <v>-3.0679443663443116E-3</v>
      </c>
      <c r="AI673" s="375">
        <v>-3.3416855382785386E-3</v>
      </c>
      <c r="AJ673" s="372">
        <v>268.81</v>
      </c>
      <c r="AK673" s="376">
        <v>-7.365797403370478E-3</v>
      </c>
      <c r="AL673" s="376">
        <v>4.2978530370261659E-3</v>
      </c>
      <c r="AM673" s="412">
        <v>261.42820895522402</v>
      </c>
    </row>
    <row r="674" spans="2:39" s="382" customFormat="1" ht="28.15" customHeight="1" x14ac:dyDescent="0.25">
      <c r="B674" s="378">
        <v>43680</v>
      </c>
      <c r="C674" s="370">
        <v>310478.352625</v>
      </c>
      <c r="D674" s="370">
        <v>41482.06</v>
      </c>
      <c r="E674" s="371">
        <v>0</v>
      </c>
      <c r="F674" s="371">
        <v>0</v>
      </c>
      <c r="G674" s="371">
        <v>16360.02</v>
      </c>
      <c r="H674" s="371"/>
      <c r="I674" s="371"/>
      <c r="J674" s="371"/>
      <c r="K674" s="371"/>
      <c r="L674" s="371"/>
      <c r="M674" s="371">
        <v>650000</v>
      </c>
      <c r="N674" s="371">
        <v>20850</v>
      </c>
      <c r="O674" s="371">
        <v>1600</v>
      </c>
      <c r="P674" s="371">
        <v>91683</v>
      </c>
      <c r="Q674" s="379">
        <v>-23450.339999999997</v>
      </c>
      <c r="R674" s="372">
        <v>326838.37262500002</v>
      </c>
      <c r="S674" s="400">
        <v>282212</v>
      </c>
      <c r="T674" s="400">
        <v>36020.450000000004</v>
      </c>
      <c r="U674" s="406">
        <v>0</v>
      </c>
      <c r="V674" s="400">
        <v>12755.26</v>
      </c>
      <c r="W674" s="372">
        <v>294967.26</v>
      </c>
      <c r="X674" s="373">
        <v>330987.71000000002</v>
      </c>
      <c r="Y674" s="372">
        <v>368320.43262500002</v>
      </c>
      <c r="Z674" s="373">
        <v>1109003.0926249998</v>
      </c>
      <c r="AA674" s="400">
        <v>0</v>
      </c>
      <c r="AB674" s="400">
        <v>0</v>
      </c>
      <c r="AC674" s="400">
        <v>0</v>
      </c>
      <c r="AD674" s="400">
        <v>0</v>
      </c>
      <c r="AE674" s="372">
        <v>0</v>
      </c>
      <c r="AF674" s="372">
        <v>0</v>
      </c>
      <c r="AG674" s="400">
        <v>0</v>
      </c>
      <c r="AH674" s="374">
        <v>0</v>
      </c>
      <c r="AI674" s="375">
        <v>0</v>
      </c>
      <c r="AJ674" s="372">
        <v>268.81</v>
      </c>
      <c r="AK674" s="376">
        <v>0</v>
      </c>
      <c r="AL674" s="376">
        <v>0</v>
      </c>
      <c r="AM674" s="412">
        <v>261.58203980099518</v>
      </c>
    </row>
    <row r="675" spans="2:39" s="382" customFormat="1" ht="28.15" customHeight="1" x14ac:dyDescent="0.25">
      <c r="B675" s="378">
        <v>43681</v>
      </c>
      <c r="C675" s="370">
        <v>310478.352625</v>
      </c>
      <c r="D675" s="370">
        <v>41482.06</v>
      </c>
      <c r="E675" s="371">
        <v>0</v>
      </c>
      <c r="F675" s="371">
        <v>0</v>
      </c>
      <c r="G675" s="371">
        <v>16360.02</v>
      </c>
      <c r="H675" s="371"/>
      <c r="I675" s="371"/>
      <c r="J675" s="371"/>
      <c r="K675" s="371"/>
      <c r="L675" s="371"/>
      <c r="M675" s="371">
        <v>650000</v>
      </c>
      <c r="N675" s="371">
        <v>20850</v>
      </c>
      <c r="O675" s="371">
        <v>1600</v>
      </c>
      <c r="P675" s="371">
        <v>91683</v>
      </c>
      <c r="Q675" s="379">
        <v>-23450.339999999997</v>
      </c>
      <c r="R675" s="372">
        <v>326838.37262500002</v>
      </c>
      <c r="S675" s="400">
        <v>282212</v>
      </c>
      <c r="T675" s="400">
        <v>36020.450000000004</v>
      </c>
      <c r="U675" s="406">
        <v>0</v>
      </c>
      <c r="V675" s="400">
        <v>12755.26</v>
      </c>
      <c r="W675" s="372">
        <v>294967.26</v>
      </c>
      <c r="X675" s="373">
        <v>330987.71000000002</v>
      </c>
      <c r="Y675" s="372">
        <v>368320.43262500002</v>
      </c>
      <c r="Z675" s="373">
        <v>1109003.0926249998</v>
      </c>
      <c r="AA675" s="400">
        <v>0</v>
      </c>
      <c r="AB675" s="400">
        <v>0</v>
      </c>
      <c r="AC675" s="400">
        <v>0</v>
      </c>
      <c r="AD675" s="400">
        <v>0</v>
      </c>
      <c r="AE675" s="372">
        <v>0</v>
      </c>
      <c r="AF675" s="372">
        <v>0</v>
      </c>
      <c r="AG675" s="400">
        <v>0</v>
      </c>
      <c r="AH675" s="374">
        <v>0</v>
      </c>
      <c r="AI675" s="375">
        <v>0</v>
      </c>
      <c r="AJ675" s="372">
        <v>268.81</v>
      </c>
      <c r="AK675" s="376">
        <v>0</v>
      </c>
      <c r="AL675" s="376">
        <v>0</v>
      </c>
      <c r="AM675" s="412">
        <v>261.74238805970163</v>
      </c>
    </row>
    <row r="676" spans="2:39" s="382" customFormat="1" ht="28.15" customHeight="1" x14ac:dyDescent="0.25">
      <c r="B676" s="369">
        <v>43682</v>
      </c>
      <c r="C676" s="370">
        <v>313004.90952500002</v>
      </c>
      <c r="D676" s="370">
        <v>41482.06</v>
      </c>
      <c r="E676" s="371">
        <v>0</v>
      </c>
      <c r="F676" s="371">
        <v>0</v>
      </c>
      <c r="G676" s="371">
        <v>16254.28</v>
      </c>
      <c r="H676" s="371"/>
      <c r="I676" s="371"/>
      <c r="J676" s="371"/>
      <c r="K676" s="371"/>
      <c r="L676" s="371"/>
      <c r="M676" s="371">
        <v>650000</v>
      </c>
      <c r="N676" s="371">
        <v>20850</v>
      </c>
      <c r="O676" s="371">
        <v>1600</v>
      </c>
      <c r="P676" s="371">
        <v>91683</v>
      </c>
      <c r="Q676" s="379">
        <v>-23450.339999999997</v>
      </c>
      <c r="R676" s="372">
        <v>329259.18952500005</v>
      </c>
      <c r="S676" s="400">
        <v>282212</v>
      </c>
      <c r="T676" s="400">
        <v>36020.450000000004</v>
      </c>
      <c r="U676" s="406">
        <v>0</v>
      </c>
      <c r="V676" s="400">
        <v>12755.26</v>
      </c>
      <c r="W676" s="372">
        <v>294967.26</v>
      </c>
      <c r="X676" s="373">
        <v>330987.71000000002</v>
      </c>
      <c r="Y676" s="372">
        <v>370741.24952500005</v>
      </c>
      <c r="Z676" s="373">
        <v>1111423.909525</v>
      </c>
      <c r="AA676" s="400">
        <v>2526.5569000000251</v>
      </c>
      <c r="AB676" s="400">
        <v>0</v>
      </c>
      <c r="AC676" s="400">
        <v>0</v>
      </c>
      <c r="AD676" s="400">
        <v>-105.73999999999978</v>
      </c>
      <c r="AE676" s="372">
        <v>2420.8169000000253</v>
      </c>
      <c r="AF676" s="372">
        <v>2420.8169000000253</v>
      </c>
      <c r="AG676" s="400">
        <v>-7.9300000000000068</v>
      </c>
      <c r="AH676" s="374">
        <v>7.3523138518696287E-3</v>
      </c>
      <c r="AI676" s="375">
        <v>0</v>
      </c>
      <c r="AJ676" s="372">
        <v>260.88</v>
      </c>
      <c r="AK676" s="376">
        <v>-3.0397117448635415E-2</v>
      </c>
      <c r="AL676" s="376">
        <v>3.7749431300505044E-2</v>
      </c>
      <c r="AM676" s="412">
        <v>261.88895522388077</v>
      </c>
    </row>
    <row r="677" spans="2:39" s="382" customFormat="1" ht="28.15" customHeight="1" x14ac:dyDescent="0.25">
      <c r="B677" s="369">
        <v>43683</v>
      </c>
      <c r="C677" s="370">
        <v>314548.10356299998</v>
      </c>
      <c r="D677" s="370">
        <v>41278.080000000002</v>
      </c>
      <c r="E677" s="371">
        <v>0</v>
      </c>
      <c r="F677" s="371">
        <v>0</v>
      </c>
      <c r="G677" s="371">
        <v>16254.28</v>
      </c>
      <c r="H677" s="371"/>
      <c r="I677" s="371"/>
      <c r="J677" s="371"/>
      <c r="K677" s="371"/>
      <c r="L677" s="371"/>
      <c r="M677" s="371">
        <v>650000</v>
      </c>
      <c r="N677" s="371">
        <v>20850</v>
      </c>
      <c r="O677" s="371">
        <v>1600</v>
      </c>
      <c r="P677" s="371">
        <v>91683</v>
      </c>
      <c r="Q677" s="379">
        <v>-23450.339999999997</v>
      </c>
      <c r="R677" s="372">
        <v>330802.38356300001</v>
      </c>
      <c r="S677" s="400">
        <v>282212</v>
      </c>
      <c r="T677" s="400">
        <v>36020.450000000004</v>
      </c>
      <c r="U677" s="406">
        <v>0</v>
      </c>
      <c r="V677" s="400">
        <v>12755.26</v>
      </c>
      <c r="W677" s="372">
        <v>294967.26</v>
      </c>
      <c r="X677" s="373">
        <v>330987.71000000002</v>
      </c>
      <c r="Y677" s="372">
        <v>372080.46356300003</v>
      </c>
      <c r="Z677" s="373">
        <v>1112763.123563</v>
      </c>
      <c r="AA677" s="400">
        <v>1543.1940379999578</v>
      </c>
      <c r="AB677" s="400">
        <v>-203.97999999999593</v>
      </c>
      <c r="AC677" s="400">
        <v>0</v>
      </c>
      <c r="AD677" s="400">
        <v>0</v>
      </c>
      <c r="AE677" s="372">
        <v>1543.1940379999578</v>
      </c>
      <c r="AF677" s="372">
        <v>1339.2140379999619</v>
      </c>
      <c r="AG677" s="400">
        <v>3.3600000000000136</v>
      </c>
      <c r="AH677" s="374">
        <v>4.6650027771219568E-3</v>
      </c>
      <c r="AI677" s="375">
        <v>-4.9416058111228988E-3</v>
      </c>
      <c r="AJ677" s="372">
        <v>264.24</v>
      </c>
      <c r="AK677" s="376">
        <v>1.2715712988192603E-2</v>
      </c>
      <c r="AL677" s="376">
        <v>-8.0507102110706462E-3</v>
      </c>
      <c r="AM677" s="412">
        <v>261.99343283582101</v>
      </c>
    </row>
    <row r="678" spans="2:39" s="382" customFormat="1" ht="28.15" customHeight="1" x14ac:dyDescent="0.25">
      <c r="B678" s="369">
        <v>43684</v>
      </c>
      <c r="C678" s="370">
        <v>320470.92711799999</v>
      </c>
      <c r="D678" s="370">
        <v>41341.14</v>
      </c>
      <c r="E678" s="371">
        <v>0</v>
      </c>
      <c r="F678" s="371">
        <v>0</v>
      </c>
      <c r="G678" s="371">
        <v>15927.96</v>
      </c>
      <c r="H678" s="371"/>
      <c r="I678" s="371"/>
      <c r="J678" s="371"/>
      <c r="K678" s="371"/>
      <c r="L678" s="371"/>
      <c r="M678" s="371">
        <v>650000</v>
      </c>
      <c r="N678" s="371">
        <v>20850</v>
      </c>
      <c r="O678" s="371">
        <v>1600</v>
      </c>
      <c r="P678" s="371">
        <v>91683</v>
      </c>
      <c r="Q678" s="379">
        <v>-23450.339999999997</v>
      </c>
      <c r="R678" s="372">
        <v>336398.88711800001</v>
      </c>
      <c r="S678" s="400">
        <v>282212</v>
      </c>
      <c r="T678" s="400">
        <v>36020.450000000004</v>
      </c>
      <c r="U678" s="406">
        <v>0</v>
      </c>
      <c r="V678" s="400">
        <v>12755.26</v>
      </c>
      <c r="W678" s="372">
        <v>294967.26</v>
      </c>
      <c r="X678" s="373">
        <v>330987.71000000002</v>
      </c>
      <c r="Y678" s="372">
        <v>377740.02711800003</v>
      </c>
      <c r="Z678" s="373">
        <v>1118422.6871179999</v>
      </c>
      <c r="AA678" s="400">
        <v>5922.8235550000099</v>
      </c>
      <c r="AB678" s="400">
        <v>63.059999999997672</v>
      </c>
      <c r="AC678" s="400">
        <v>0</v>
      </c>
      <c r="AD678" s="400">
        <v>-326.32000000000153</v>
      </c>
      <c r="AE678" s="372">
        <v>5596.5035550000084</v>
      </c>
      <c r="AF678" s="372">
        <v>5659.5635550000061</v>
      </c>
      <c r="AG678" s="400">
        <v>0.18000000000000682</v>
      </c>
      <c r="AH678" s="374">
        <v>1.6636510313534122E-2</v>
      </c>
      <c r="AI678" s="375">
        <v>1.5253570656251297E-3</v>
      </c>
      <c r="AJ678" s="372">
        <v>264.42</v>
      </c>
      <c r="AK678" s="376">
        <v>6.8073519400955605E-4</v>
      </c>
      <c r="AL678" s="376">
        <v>1.5955775119524566E-2</v>
      </c>
      <c r="AM678" s="412">
        <v>262.10572139303491</v>
      </c>
    </row>
    <row r="679" spans="2:39" s="382" customFormat="1" ht="28.15" customHeight="1" x14ac:dyDescent="0.25">
      <c r="B679" s="369">
        <v>43685</v>
      </c>
      <c r="C679" s="370">
        <v>320506.87207799999</v>
      </c>
      <c r="D679" s="370">
        <v>41498.689999999995</v>
      </c>
      <c r="E679" s="371">
        <v>0</v>
      </c>
      <c r="F679" s="371">
        <v>0</v>
      </c>
      <c r="G679" s="371">
        <v>15969.88</v>
      </c>
      <c r="H679" s="371"/>
      <c r="I679" s="371"/>
      <c r="J679" s="371"/>
      <c r="K679" s="371"/>
      <c r="L679" s="371"/>
      <c r="M679" s="371">
        <v>650000</v>
      </c>
      <c r="N679" s="371">
        <v>20850</v>
      </c>
      <c r="O679" s="371">
        <v>1600</v>
      </c>
      <c r="P679" s="371">
        <v>91683</v>
      </c>
      <c r="Q679" s="379">
        <v>-23450.339999999997</v>
      </c>
      <c r="R679" s="372">
        <v>336476.75207799999</v>
      </c>
      <c r="S679" s="400">
        <v>282212</v>
      </c>
      <c r="T679" s="400">
        <v>36020.450000000004</v>
      </c>
      <c r="U679" s="406">
        <v>0</v>
      </c>
      <c r="V679" s="400">
        <v>12755.26</v>
      </c>
      <c r="W679" s="372">
        <v>294967.26</v>
      </c>
      <c r="X679" s="373">
        <v>330987.71000000002</v>
      </c>
      <c r="Y679" s="372">
        <v>377975.44207799999</v>
      </c>
      <c r="Z679" s="373">
        <v>1118658.1020779999</v>
      </c>
      <c r="AA679" s="400">
        <v>35.944959999993443</v>
      </c>
      <c r="AB679" s="400">
        <v>157.54999999999563</v>
      </c>
      <c r="AC679" s="400">
        <v>0</v>
      </c>
      <c r="AD679" s="400">
        <v>41.920000000000073</v>
      </c>
      <c r="AE679" s="372">
        <v>77.864959999993516</v>
      </c>
      <c r="AF679" s="372">
        <v>235.41495999998915</v>
      </c>
      <c r="AG679" s="400">
        <v>5.1599999999999682</v>
      </c>
      <c r="AH679" s="374">
        <v>2.314125998872675E-4</v>
      </c>
      <c r="AI679" s="375">
        <v>3.7965053836638133E-3</v>
      </c>
      <c r="AJ679" s="372">
        <v>269.58</v>
      </c>
      <c r="AK679" s="376">
        <v>1.9140885822390267E-2</v>
      </c>
      <c r="AL679" s="376">
        <v>-1.8909473222502998E-2</v>
      </c>
      <c r="AM679" s="412">
        <v>262.20273631840803</v>
      </c>
    </row>
    <row r="680" spans="2:39" s="382" customFormat="1" ht="28.15" customHeight="1" x14ac:dyDescent="0.25">
      <c r="B680" s="369">
        <v>43686</v>
      </c>
      <c r="C680" s="370">
        <v>320084.63591700001</v>
      </c>
      <c r="D680" s="370">
        <v>41385.329999999994</v>
      </c>
      <c r="E680" s="371">
        <v>0</v>
      </c>
      <c r="F680" s="371">
        <v>0</v>
      </c>
      <c r="G680" s="371">
        <v>16287.77</v>
      </c>
      <c r="H680" s="371"/>
      <c r="I680" s="371"/>
      <c r="J680" s="371"/>
      <c r="K680" s="371"/>
      <c r="L680" s="371"/>
      <c r="M680" s="371">
        <v>650000</v>
      </c>
      <c r="N680" s="371">
        <v>20850</v>
      </c>
      <c r="O680" s="371">
        <v>1600</v>
      </c>
      <c r="P680" s="371">
        <v>91683</v>
      </c>
      <c r="Q680" s="379">
        <v>-23450.339999999997</v>
      </c>
      <c r="R680" s="372">
        <v>336372.40591700003</v>
      </c>
      <c r="S680" s="400">
        <v>282212</v>
      </c>
      <c r="T680" s="400">
        <v>36020.450000000004</v>
      </c>
      <c r="U680" s="406">
        <v>0</v>
      </c>
      <c r="V680" s="400">
        <v>12755.26</v>
      </c>
      <c r="W680" s="372">
        <v>294967.26</v>
      </c>
      <c r="X680" s="373">
        <v>330987.71000000002</v>
      </c>
      <c r="Y680" s="372">
        <v>377757.73591700004</v>
      </c>
      <c r="Z680" s="373">
        <v>1118440.395917</v>
      </c>
      <c r="AA680" s="400">
        <v>-422.23616099997889</v>
      </c>
      <c r="AB680" s="400">
        <v>-113.36000000000058</v>
      </c>
      <c r="AC680" s="400">
        <v>0</v>
      </c>
      <c r="AD680" s="400">
        <v>317.89000000000124</v>
      </c>
      <c r="AE680" s="372">
        <v>-104.34616099997766</v>
      </c>
      <c r="AF680" s="372">
        <v>-217.70616099997824</v>
      </c>
      <c r="AG680" s="400">
        <v>-1.8799999999999955</v>
      </c>
      <c r="AH680" s="374">
        <v>-3.1021022879541762E-4</v>
      </c>
      <c r="AI680" s="375">
        <v>-2.7391348576899254E-3</v>
      </c>
      <c r="AJ680" s="372">
        <v>267.7</v>
      </c>
      <c r="AK680" s="376">
        <v>-7.0227867015315486E-3</v>
      </c>
      <c r="AL680" s="376">
        <v>6.7125764727361311E-3</v>
      </c>
      <c r="AM680" s="412">
        <v>262.32542288557221</v>
      </c>
    </row>
    <row r="681" spans="2:39" s="382" customFormat="1" ht="28.15" customHeight="1" x14ac:dyDescent="0.25">
      <c r="B681" s="378">
        <v>43687</v>
      </c>
      <c r="C681" s="370">
        <v>320084.63591700001</v>
      </c>
      <c r="D681" s="370">
        <v>41385.329999999994</v>
      </c>
      <c r="E681" s="371">
        <v>0</v>
      </c>
      <c r="F681" s="371">
        <v>0</v>
      </c>
      <c r="G681" s="371">
        <v>16287.77</v>
      </c>
      <c r="H681" s="371"/>
      <c r="I681" s="371"/>
      <c r="J681" s="371"/>
      <c r="K681" s="371"/>
      <c r="L681" s="371"/>
      <c r="M681" s="371">
        <v>650000</v>
      </c>
      <c r="N681" s="371">
        <v>20850</v>
      </c>
      <c r="O681" s="371">
        <v>1600</v>
      </c>
      <c r="P681" s="371">
        <v>91683</v>
      </c>
      <c r="Q681" s="379">
        <v>-23450.339999999997</v>
      </c>
      <c r="R681" s="372">
        <v>336372.40591700003</v>
      </c>
      <c r="S681" s="400">
        <v>282212</v>
      </c>
      <c r="T681" s="400">
        <v>36020.450000000004</v>
      </c>
      <c r="U681" s="406">
        <v>0</v>
      </c>
      <c r="V681" s="400">
        <v>12755.26</v>
      </c>
      <c r="W681" s="372">
        <v>294967.26</v>
      </c>
      <c r="X681" s="373">
        <v>330987.71000000002</v>
      </c>
      <c r="Y681" s="372">
        <v>377757.73591700004</v>
      </c>
      <c r="Z681" s="373">
        <v>1118440.395917</v>
      </c>
      <c r="AA681" s="400">
        <v>0</v>
      </c>
      <c r="AB681" s="400">
        <v>0</v>
      </c>
      <c r="AC681" s="400">
        <v>0</v>
      </c>
      <c r="AD681" s="400">
        <v>0</v>
      </c>
      <c r="AE681" s="372">
        <v>0</v>
      </c>
      <c r="AF681" s="372">
        <v>0</v>
      </c>
      <c r="AG681" s="400">
        <v>0</v>
      </c>
      <c r="AH681" s="374">
        <v>0</v>
      </c>
      <c r="AI681" s="375">
        <v>0</v>
      </c>
      <c r="AJ681" s="372">
        <v>267.7</v>
      </c>
      <c r="AK681" s="376">
        <v>0</v>
      </c>
      <c r="AL681" s="376">
        <v>0</v>
      </c>
      <c r="AM681" s="412">
        <v>262.4387562189055</v>
      </c>
    </row>
    <row r="682" spans="2:39" s="382" customFormat="1" ht="28.15" customHeight="1" x14ac:dyDescent="0.25">
      <c r="B682" s="378">
        <v>43688</v>
      </c>
      <c r="C682" s="370">
        <v>320084.63591700001</v>
      </c>
      <c r="D682" s="370">
        <v>41385.329999999994</v>
      </c>
      <c r="E682" s="371">
        <v>0</v>
      </c>
      <c r="F682" s="371">
        <v>0</v>
      </c>
      <c r="G682" s="371">
        <v>16287.77</v>
      </c>
      <c r="H682" s="371"/>
      <c r="I682" s="371"/>
      <c r="J682" s="371"/>
      <c r="K682" s="371"/>
      <c r="L682" s="371"/>
      <c r="M682" s="371">
        <v>650000</v>
      </c>
      <c r="N682" s="371">
        <v>20850</v>
      </c>
      <c r="O682" s="371">
        <v>1600</v>
      </c>
      <c r="P682" s="371">
        <v>91683</v>
      </c>
      <c r="Q682" s="379">
        <v>-23450.339999999997</v>
      </c>
      <c r="R682" s="372">
        <v>336372.40591700003</v>
      </c>
      <c r="S682" s="400">
        <v>282212</v>
      </c>
      <c r="T682" s="400">
        <v>36020.450000000004</v>
      </c>
      <c r="U682" s="406">
        <v>0</v>
      </c>
      <c r="V682" s="400">
        <v>12755.26</v>
      </c>
      <c r="W682" s="372">
        <v>294967.26</v>
      </c>
      <c r="X682" s="373">
        <v>330987.71000000002</v>
      </c>
      <c r="Y682" s="372">
        <v>377757.73591700004</v>
      </c>
      <c r="Z682" s="373">
        <v>1118440.395917</v>
      </c>
      <c r="AA682" s="400">
        <v>0</v>
      </c>
      <c r="AB682" s="400">
        <v>0</v>
      </c>
      <c r="AC682" s="400">
        <v>0</v>
      </c>
      <c r="AD682" s="400">
        <v>0</v>
      </c>
      <c r="AE682" s="372">
        <v>0</v>
      </c>
      <c r="AF682" s="372">
        <v>0</v>
      </c>
      <c r="AG682" s="400">
        <v>0</v>
      </c>
      <c r="AH682" s="374">
        <v>0</v>
      </c>
      <c r="AI682" s="375">
        <v>0</v>
      </c>
      <c r="AJ682" s="372">
        <v>267.7</v>
      </c>
      <c r="AK682" s="376">
        <v>0</v>
      </c>
      <c r="AL682" s="376">
        <v>0</v>
      </c>
      <c r="AM682" s="412">
        <v>262.55208955223878</v>
      </c>
    </row>
    <row r="683" spans="2:39" s="382" customFormat="1" ht="28.15" customHeight="1" x14ac:dyDescent="0.25">
      <c r="B683" s="369">
        <v>43689</v>
      </c>
      <c r="C683" s="370">
        <v>323473.39504399995</v>
      </c>
      <c r="D683" s="370">
        <v>41779.07</v>
      </c>
      <c r="E683" s="371">
        <v>0</v>
      </c>
      <c r="F683" s="371">
        <v>0</v>
      </c>
      <c r="G683" s="371">
        <v>16165.55</v>
      </c>
      <c r="H683" s="371">
        <v>875</v>
      </c>
      <c r="I683" s="371"/>
      <c r="J683" s="371"/>
      <c r="K683" s="371"/>
      <c r="L683" s="371"/>
      <c r="M683" s="371">
        <v>650000</v>
      </c>
      <c r="N683" s="371">
        <v>20850</v>
      </c>
      <c r="O683" s="371">
        <v>1600</v>
      </c>
      <c r="P683" s="371">
        <v>91683</v>
      </c>
      <c r="Q683" s="379">
        <v>-23450.339999999997</v>
      </c>
      <c r="R683" s="372">
        <v>339638.94504399993</v>
      </c>
      <c r="S683" s="400">
        <v>283087</v>
      </c>
      <c r="T683" s="400">
        <v>36020.450000000004</v>
      </c>
      <c r="U683" s="406">
        <v>0</v>
      </c>
      <c r="V683" s="400">
        <v>12755.26</v>
      </c>
      <c r="W683" s="372">
        <v>295842.26</v>
      </c>
      <c r="X683" s="373">
        <v>331862.71000000002</v>
      </c>
      <c r="Y683" s="372">
        <v>381418.01504399994</v>
      </c>
      <c r="Z683" s="373">
        <v>1122100.6750439999</v>
      </c>
      <c r="AA683" s="400">
        <v>2513.7591269999393</v>
      </c>
      <c r="AB683" s="400">
        <v>393.74000000000524</v>
      </c>
      <c r="AC683" s="400">
        <v>0</v>
      </c>
      <c r="AD683" s="400">
        <v>-122.22000000000116</v>
      </c>
      <c r="AE683" s="372">
        <v>2391.5391269999382</v>
      </c>
      <c r="AF683" s="372">
        <v>2785.2791269999434</v>
      </c>
      <c r="AG683" s="400">
        <v>-3.1200000000000045</v>
      </c>
      <c r="AH683" s="374">
        <v>7.0414160740315465E-3</v>
      </c>
      <c r="AI683" s="375">
        <v>9.4243361568365509E-3</v>
      </c>
      <c r="AJ683" s="372">
        <v>264.58</v>
      </c>
      <c r="AK683" s="376">
        <v>-1.1792274548340784E-2</v>
      </c>
      <c r="AL683" s="376">
        <v>1.8833690622372331E-2</v>
      </c>
      <c r="AM683" s="412">
        <v>262.68164179104474</v>
      </c>
    </row>
    <row r="684" spans="2:39" s="382" customFormat="1" ht="28.15" customHeight="1" x14ac:dyDescent="0.25">
      <c r="B684" s="369">
        <v>43690</v>
      </c>
      <c r="C684" s="370">
        <v>322487.633156</v>
      </c>
      <c r="D684" s="370">
        <v>41609.78</v>
      </c>
      <c r="E684" s="371">
        <v>0</v>
      </c>
      <c r="F684" s="371">
        <v>0</v>
      </c>
      <c r="G684" s="371">
        <v>15968.26</v>
      </c>
      <c r="H684" s="371"/>
      <c r="I684" s="371"/>
      <c r="J684" s="371"/>
      <c r="K684" s="371"/>
      <c r="L684" s="371"/>
      <c r="M684" s="371">
        <v>650000</v>
      </c>
      <c r="N684" s="371">
        <v>20850</v>
      </c>
      <c r="O684" s="371">
        <v>1600</v>
      </c>
      <c r="P684" s="371">
        <v>91683</v>
      </c>
      <c r="Q684" s="379">
        <v>-23450.339999999997</v>
      </c>
      <c r="R684" s="372">
        <v>338455.89315600001</v>
      </c>
      <c r="S684" s="400">
        <v>283087</v>
      </c>
      <c r="T684" s="400">
        <v>36020.450000000004</v>
      </c>
      <c r="U684" s="406">
        <v>0</v>
      </c>
      <c r="V684" s="400">
        <v>12755.26</v>
      </c>
      <c r="W684" s="372">
        <v>295842.26</v>
      </c>
      <c r="X684" s="373">
        <v>331862.71000000002</v>
      </c>
      <c r="Y684" s="372">
        <v>380065.67315599998</v>
      </c>
      <c r="Z684" s="373">
        <v>1120748.3331559999</v>
      </c>
      <c r="AA684" s="400">
        <v>-985.76188799994998</v>
      </c>
      <c r="AB684" s="400">
        <v>-169.29000000000087</v>
      </c>
      <c r="AC684" s="400">
        <v>0</v>
      </c>
      <c r="AD684" s="400">
        <v>-197.28999999999905</v>
      </c>
      <c r="AE684" s="372">
        <v>-1183.051887999949</v>
      </c>
      <c r="AF684" s="372">
        <v>-1352.3418879999499</v>
      </c>
      <c r="AG684" s="400">
        <v>4.0800000000000409</v>
      </c>
      <c r="AH684" s="374">
        <v>-3.4954388796966836E-3</v>
      </c>
      <c r="AI684" s="375">
        <v>-4.0685146616973433E-3</v>
      </c>
      <c r="AJ684" s="372">
        <v>268.66000000000003</v>
      </c>
      <c r="AK684" s="376">
        <v>1.51864810541206E-2</v>
      </c>
      <c r="AL684" s="376">
        <v>-1.8681919933817286E-2</v>
      </c>
      <c r="AM684" s="412">
        <v>262.79388059701489</v>
      </c>
    </row>
    <row r="685" spans="2:39" s="382" customFormat="1" ht="28.15" customHeight="1" x14ac:dyDescent="0.25">
      <c r="B685" s="369">
        <v>43691</v>
      </c>
      <c r="C685" s="370">
        <v>324017.67377299996</v>
      </c>
      <c r="D685" s="370">
        <v>41893.33</v>
      </c>
      <c r="E685" s="371">
        <v>0</v>
      </c>
      <c r="F685" s="371">
        <v>0</v>
      </c>
      <c r="G685" s="371">
        <v>16236.56</v>
      </c>
      <c r="H685" s="371"/>
      <c r="I685" s="371"/>
      <c r="J685" s="371"/>
      <c r="K685" s="371"/>
      <c r="L685" s="371"/>
      <c r="M685" s="371">
        <v>650000</v>
      </c>
      <c r="N685" s="371">
        <v>20850</v>
      </c>
      <c r="O685" s="371">
        <v>1600</v>
      </c>
      <c r="P685" s="371">
        <v>91683</v>
      </c>
      <c r="Q685" s="379">
        <v>-23450.339999999997</v>
      </c>
      <c r="R685" s="372">
        <v>340254.23377299996</v>
      </c>
      <c r="S685" s="400">
        <v>283087</v>
      </c>
      <c r="T685" s="400">
        <v>36020.450000000004</v>
      </c>
      <c r="U685" s="406">
        <v>0</v>
      </c>
      <c r="V685" s="400">
        <v>12755.26</v>
      </c>
      <c r="W685" s="372">
        <v>295842.26</v>
      </c>
      <c r="X685" s="373">
        <v>331862.71000000002</v>
      </c>
      <c r="Y685" s="372">
        <v>382147.56377299997</v>
      </c>
      <c r="Z685" s="373">
        <v>1122830.2237729998</v>
      </c>
      <c r="AA685" s="400">
        <v>1530.0406169999624</v>
      </c>
      <c r="AB685" s="400">
        <v>283.55000000000291</v>
      </c>
      <c r="AC685" s="400">
        <v>0</v>
      </c>
      <c r="AD685" s="400">
        <v>268.29999999999927</v>
      </c>
      <c r="AE685" s="372">
        <v>1798.3406169999616</v>
      </c>
      <c r="AF685" s="372">
        <v>2081.8906169999645</v>
      </c>
      <c r="AG685" s="400">
        <v>-8.0900000000000318</v>
      </c>
      <c r="AH685" s="374">
        <v>5.2852850559964573E-3</v>
      </c>
      <c r="AI685" s="375">
        <v>6.7683805512715961E-3</v>
      </c>
      <c r="AJ685" s="372">
        <v>260.57</v>
      </c>
      <c r="AK685" s="376">
        <v>-3.1047319338373687E-2</v>
      </c>
      <c r="AL685" s="376">
        <v>3.6332604394370145E-2</v>
      </c>
      <c r="AM685" s="412">
        <v>262.925223880597</v>
      </c>
    </row>
    <row r="686" spans="2:39" s="382" customFormat="1" ht="28.15" customHeight="1" x14ac:dyDescent="0.25">
      <c r="B686" s="369">
        <v>43692</v>
      </c>
      <c r="C686" s="370">
        <v>325210.37612500001</v>
      </c>
      <c r="D686" s="370">
        <v>42044.1</v>
      </c>
      <c r="E686" s="371">
        <v>0</v>
      </c>
      <c r="F686" s="371">
        <v>0</v>
      </c>
      <c r="G686" s="371">
        <v>15845.46</v>
      </c>
      <c r="H686" s="371"/>
      <c r="I686" s="371">
        <v>210</v>
      </c>
      <c r="J686" s="371"/>
      <c r="K686" s="371"/>
      <c r="L686" s="371"/>
      <c r="M686" s="371">
        <v>650000</v>
      </c>
      <c r="N686" s="371">
        <v>20850</v>
      </c>
      <c r="O686" s="371">
        <v>1600</v>
      </c>
      <c r="P686" s="371">
        <v>91683</v>
      </c>
      <c r="Q686" s="379">
        <v>-23450.339999999997</v>
      </c>
      <c r="R686" s="372">
        <v>341055.83612500003</v>
      </c>
      <c r="S686" s="400">
        <v>283087</v>
      </c>
      <c r="T686" s="400">
        <v>36230.450000000004</v>
      </c>
      <c r="U686" s="406">
        <v>0</v>
      </c>
      <c r="V686" s="400">
        <v>12755.26</v>
      </c>
      <c r="W686" s="372">
        <v>295842.26</v>
      </c>
      <c r="X686" s="373">
        <v>332072.71000000002</v>
      </c>
      <c r="Y686" s="372">
        <v>383099.93612500001</v>
      </c>
      <c r="Z686" s="373">
        <v>1123782.5961249999</v>
      </c>
      <c r="AA686" s="400">
        <v>1192.7023520000512</v>
      </c>
      <c r="AB686" s="400">
        <v>-59.230000000003201</v>
      </c>
      <c r="AC686" s="400">
        <v>0</v>
      </c>
      <c r="AD686" s="400">
        <v>-391.10000000000036</v>
      </c>
      <c r="AE686" s="372">
        <v>801.60235200005081</v>
      </c>
      <c r="AF686" s="372">
        <v>742.37235200004761</v>
      </c>
      <c r="AG686" s="400">
        <v>0.81999999999999318</v>
      </c>
      <c r="AH686" s="374">
        <v>2.3503551826225201E-3</v>
      </c>
      <c r="AI686" s="375">
        <v>-1.408758898394857E-3</v>
      </c>
      <c r="AJ686" s="372">
        <v>261.39</v>
      </c>
      <c r="AK686" s="376">
        <v>3.1370748689697127E-3</v>
      </c>
      <c r="AL686" s="376">
        <v>-7.8671968634719258E-4</v>
      </c>
      <c r="AM686" s="412">
        <v>263.00606965174126</v>
      </c>
    </row>
    <row r="687" spans="2:39" s="382" customFormat="1" ht="28.15" customHeight="1" x14ac:dyDescent="0.25">
      <c r="B687" s="369">
        <v>43693</v>
      </c>
      <c r="C687" s="370">
        <v>322256.359046</v>
      </c>
      <c r="D687" s="370">
        <v>42089.33</v>
      </c>
      <c r="E687" s="371">
        <v>0</v>
      </c>
      <c r="F687" s="371">
        <v>0</v>
      </c>
      <c r="G687" s="371">
        <v>15938.79</v>
      </c>
      <c r="H687" s="371"/>
      <c r="I687" s="371"/>
      <c r="J687" s="371"/>
      <c r="K687" s="371"/>
      <c r="L687" s="371"/>
      <c r="M687" s="371">
        <v>650000</v>
      </c>
      <c r="N687" s="371">
        <v>21739</v>
      </c>
      <c r="O687" s="371">
        <v>1600</v>
      </c>
      <c r="P687" s="371">
        <v>91683</v>
      </c>
      <c r="Q687" s="379">
        <v>-23450.339999999997</v>
      </c>
      <c r="R687" s="372">
        <v>338195.14904599998</v>
      </c>
      <c r="S687" s="400">
        <v>283087</v>
      </c>
      <c r="T687" s="400">
        <v>36230.450000000004</v>
      </c>
      <c r="U687" s="406">
        <v>0</v>
      </c>
      <c r="V687" s="400">
        <v>12755.26</v>
      </c>
      <c r="W687" s="372">
        <v>295842.26</v>
      </c>
      <c r="X687" s="373">
        <v>332072.71000000002</v>
      </c>
      <c r="Y687" s="372">
        <v>380284.47904599999</v>
      </c>
      <c r="Z687" s="373">
        <v>1121856.1390459999</v>
      </c>
      <c r="AA687" s="400">
        <v>-2954.017079000012</v>
      </c>
      <c r="AB687" s="400">
        <v>45.230000000003201</v>
      </c>
      <c r="AC687" s="400">
        <v>0</v>
      </c>
      <c r="AD687" s="400">
        <v>93.330000000001746</v>
      </c>
      <c r="AE687" s="372">
        <v>-2860.6870790000103</v>
      </c>
      <c r="AF687" s="372">
        <v>-2815.4570790000071</v>
      </c>
      <c r="AG687" s="400">
        <v>3.8300000000000409</v>
      </c>
      <c r="AH687" s="374">
        <v>-8.4586874976462501E-3</v>
      </c>
      <c r="AI687" s="375">
        <v>1.0746191493189177E-3</v>
      </c>
      <c r="AJ687" s="372">
        <v>265.22000000000003</v>
      </c>
      <c r="AK687" s="376">
        <v>1.444084156549295E-2</v>
      </c>
      <c r="AL687" s="376">
        <v>-2.2899529063139201E-2</v>
      </c>
      <c r="AM687" s="412">
        <v>263.09099502487561</v>
      </c>
    </row>
    <row r="688" spans="2:39" s="382" customFormat="1" ht="28.15" customHeight="1" x14ac:dyDescent="0.25">
      <c r="B688" s="378">
        <v>43694</v>
      </c>
      <c r="C688" s="370">
        <v>322256.359046</v>
      </c>
      <c r="D688" s="370">
        <v>42089.33</v>
      </c>
      <c r="E688" s="371">
        <v>0</v>
      </c>
      <c r="F688" s="371">
        <v>0</v>
      </c>
      <c r="G688" s="371">
        <v>15938.79</v>
      </c>
      <c r="H688" s="371"/>
      <c r="I688" s="371"/>
      <c r="J688" s="371"/>
      <c r="K688" s="371"/>
      <c r="L688" s="371"/>
      <c r="M688" s="371">
        <v>650000</v>
      </c>
      <c r="N688" s="371">
        <v>21739</v>
      </c>
      <c r="O688" s="371">
        <v>1600</v>
      </c>
      <c r="P688" s="371">
        <v>91683</v>
      </c>
      <c r="Q688" s="379">
        <v>-23450.339999999997</v>
      </c>
      <c r="R688" s="372">
        <v>338195.14904599998</v>
      </c>
      <c r="S688" s="400">
        <v>283087</v>
      </c>
      <c r="T688" s="400">
        <v>36230.450000000004</v>
      </c>
      <c r="U688" s="406">
        <v>0</v>
      </c>
      <c r="V688" s="400">
        <v>12755.26</v>
      </c>
      <c r="W688" s="372">
        <v>295842.26</v>
      </c>
      <c r="X688" s="373">
        <v>332072.71000000002</v>
      </c>
      <c r="Y688" s="372">
        <v>380284.47904599999</v>
      </c>
      <c r="Z688" s="373">
        <v>1121856.1390459999</v>
      </c>
      <c r="AA688" s="400">
        <v>0</v>
      </c>
      <c r="AB688" s="400">
        <v>0</v>
      </c>
      <c r="AC688" s="400">
        <v>0</v>
      </c>
      <c r="AD688" s="400">
        <v>0</v>
      </c>
      <c r="AE688" s="372">
        <v>0</v>
      </c>
      <c r="AF688" s="372">
        <v>0</v>
      </c>
      <c r="AG688" s="400">
        <v>0</v>
      </c>
      <c r="AH688" s="374">
        <v>0</v>
      </c>
      <c r="AI688" s="375">
        <v>0</v>
      </c>
      <c r="AJ688" s="372">
        <v>265.22000000000003</v>
      </c>
      <c r="AK688" s="376">
        <v>0</v>
      </c>
      <c r="AL688" s="376">
        <v>0</v>
      </c>
      <c r="AM688" s="412">
        <v>263.19497512437806</v>
      </c>
    </row>
    <row r="689" spans="2:51" s="382" customFormat="1" ht="28.15" customHeight="1" x14ac:dyDescent="0.25">
      <c r="B689" s="378">
        <v>43695</v>
      </c>
      <c r="C689" s="370">
        <v>322256.359046</v>
      </c>
      <c r="D689" s="370">
        <v>42089.33</v>
      </c>
      <c r="E689" s="371">
        <v>0</v>
      </c>
      <c r="F689" s="371">
        <v>0</v>
      </c>
      <c r="G689" s="371">
        <v>15938.79</v>
      </c>
      <c r="H689" s="371"/>
      <c r="I689" s="371"/>
      <c r="J689" s="371"/>
      <c r="K689" s="371"/>
      <c r="L689" s="371"/>
      <c r="M689" s="371">
        <v>650000</v>
      </c>
      <c r="N689" s="371">
        <v>21739</v>
      </c>
      <c r="O689" s="371">
        <v>1600</v>
      </c>
      <c r="P689" s="371">
        <v>91683</v>
      </c>
      <c r="Q689" s="379">
        <v>-23450.339999999997</v>
      </c>
      <c r="R689" s="372">
        <v>338195.14904599998</v>
      </c>
      <c r="S689" s="400">
        <v>283087</v>
      </c>
      <c r="T689" s="400">
        <v>36230.450000000004</v>
      </c>
      <c r="U689" s="406">
        <v>0</v>
      </c>
      <c r="V689" s="400">
        <v>12755.26</v>
      </c>
      <c r="W689" s="372">
        <v>295842.26</v>
      </c>
      <c r="X689" s="373">
        <v>332072.71000000002</v>
      </c>
      <c r="Y689" s="372">
        <v>380284.47904599999</v>
      </c>
      <c r="Z689" s="373">
        <v>1121856.1390459999</v>
      </c>
      <c r="AA689" s="400">
        <v>0</v>
      </c>
      <c r="AB689" s="400">
        <v>0</v>
      </c>
      <c r="AC689" s="400">
        <v>0</v>
      </c>
      <c r="AD689" s="400">
        <v>0</v>
      </c>
      <c r="AE689" s="372">
        <v>0</v>
      </c>
      <c r="AF689" s="372">
        <v>0</v>
      </c>
      <c r="AG689" s="400">
        <v>0</v>
      </c>
      <c r="AH689" s="374">
        <v>0</v>
      </c>
      <c r="AI689" s="375">
        <v>0</v>
      </c>
      <c r="AJ689" s="372">
        <v>265.22000000000003</v>
      </c>
      <c r="AK689" s="376">
        <v>0</v>
      </c>
      <c r="AL689" s="376">
        <v>0</v>
      </c>
      <c r="AM689" s="412">
        <v>263.30835820895516</v>
      </c>
    </row>
    <row r="690" spans="2:51" s="382" customFormat="1" ht="28.15" customHeight="1" x14ac:dyDescent="0.25">
      <c r="B690" s="369">
        <v>43696</v>
      </c>
      <c r="C690" s="370">
        <v>323584.22404800006</v>
      </c>
      <c r="D690" s="370">
        <v>41562.769999999997</v>
      </c>
      <c r="E690" s="371">
        <v>0</v>
      </c>
      <c r="F690" s="371">
        <v>0</v>
      </c>
      <c r="G690" s="371">
        <v>17783.310000000001</v>
      </c>
      <c r="H690" s="371"/>
      <c r="I690" s="371"/>
      <c r="J690" s="371"/>
      <c r="K690" s="371"/>
      <c r="L690" s="371">
        <v>1822.18</v>
      </c>
      <c r="M690" s="371">
        <v>650000</v>
      </c>
      <c r="N690" s="371">
        <v>21739</v>
      </c>
      <c r="O690" s="371">
        <v>1600</v>
      </c>
      <c r="P690" s="371">
        <v>91683</v>
      </c>
      <c r="Q690" s="379">
        <v>-23450.339999999997</v>
      </c>
      <c r="R690" s="372">
        <v>341367.53404800006</v>
      </c>
      <c r="S690" s="400">
        <v>283087</v>
      </c>
      <c r="T690" s="400">
        <v>36230.450000000004</v>
      </c>
      <c r="U690" s="406">
        <v>0</v>
      </c>
      <c r="V690" s="400">
        <v>14577.44</v>
      </c>
      <c r="W690" s="372">
        <v>297664.44</v>
      </c>
      <c r="X690" s="373">
        <v>333894.89</v>
      </c>
      <c r="Y690" s="372">
        <v>382930.30404800008</v>
      </c>
      <c r="Z690" s="373">
        <v>1124501.9640480001</v>
      </c>
      <c r="AA690" s="400">
        <v>1327.8650020000641</v>
      </c>
      <c r="AB690" s="400">
        <v>-526.56000000000495</v>
      </c>
      <c r="AC690" s="400">
        <v>0</v>
      </c>
      <c r="AD690" s="400">
        <v>22.340000000000373</v>
      </c>
      <c r="AE690" s="372">
        <v>1350.2050020000645</v>
      </c>
      <c r="AF690" s="372">
        <v>823.64500200005955</v>
      </c>
      <c r="AG690" s="400">
        <v>3.2599999999999909</v>
      </c>
      <c r="AH690" s="374">
        <v>3.9552824077588198E-3</v>
      </c>
      <c r="AI690" s="375">
        <v>-1.2669030480884816E-2</v>
      </c>
      <c r="AJ690" s="372">
        <v>268.48</v>
      </c>
      <c r="AK690" s="376">
        <v>1.2142431466030954E-2</v>
      </c>
      <c r="AL690" s="376">
        <v>-8.1871490582721348E-3</v>
      </c>
      <c r="AM690" s="412">
        <v>263.42323383084573</v>
      </c>
    </row>
    <row r="691" spans="2:51" s="382" customFormat="1" ht="28.15" customHeight="1" x14ac:dyDescent="0.25">
      <c r="B691" s="369">
        <v>43697</v>
      </c>
      <c r="C691" s="370">
        <v>324957.92449700006</v>
      </c>
      <c r="D691" s="370">
        <v>41957.689999999995</v>
      </c>
      <c r="E691" s="371">
        <v>0</v>
      </c>
      <c r="F691" s="371">
        <v>0</v>
      </c>
      <c r="G691" s="371">
        <v>17947.73</v>
      </c>
      <c r="H691" s="371"/>
      <c r="I691" s="371"/>
      <c r="J691" s="371"/>
      <c r="K691" s="371"/>
      <c r="L691" s="371"/>
      <c r="M691" s="371">
        <v>650000</v>
      </c>
      <c r="N691" s="371">
        <v>21739</v>
      </c>
      <c r="O691" s="371">
        <v>1600</v>
      </c>
      <c r="P691" s="371">
        <v>91683</v>
      </c>
      <c r="Q691" s="379">
        <v>-23450.339999999997</v>
      </c>
      <c r="R691" s="372">
        <v>342905.65449700004</v>
      </c>
      <c r="S691" s="400">
        <v>283087</v>
      </c>
      <c r="T691" s="400">
        <v>36230.450000000004</v>
      </c>
      <c r="U691" s="406">
        <v>0</v>
      </c>
      <c r="V691" s="400">
        <v>14577.44</v>
      </c>
      <c r="W691" s="372">
        <v>297664.44</v>
      </c>
      <c r="X691" s="373">
        <v>333894.89</v>
      </c>
      <c r="Y691" s="372">
        <v>384863.34449700004</v>
      </c>
      <c r="Z691" s="373">
        <v>1126435.004497</v>
      </c>
      <c r="AA691" s="400">
        <v>1373.7004489999963</v>
      </c>
      <c r="AB691" s="400">
        <v>394.91999999999825</v>
      </c>
      <c r="AC691" s="400">
        <v>0</v>
      </c>
      <c r="AD691" s="400">
        <v>164.41999999999825</v>
      </c>
      <c r="AE691" s="372">
        <v>1538.1204489999946</v>
      </c>
      <c r="AF691" s="372">
        <v>1933.0404489999928</v>
      </c>
      <c r="AG691" s="400">
        <v>-2.0800000000000409</v>
      </c>
      <c r="AH691" s="374">
        <v>4.4855499722109456E-3</v>
      </c>
      <c r="AI691" s="375">
        <v>9.4123389538365507E-3</v>
      </c>
      <c r="AJ691" s="372">
        <v>266.39999999999998</v>
      </c>
      <c r="AK691" s="376">
        <v>-7.807807807807962E-3</v>
      </c>
      <c r="AL691" s="376">
        <v>1.2293357780018908E-2</v>
      </c>
      <c r="AM691" s="412">
        <v>263.53527363184077</v>
      </c>
    </row>
    <row r="692" spans="2:51" s="382" customFormat="1" ht="28.15" customHeight="1" x14ac:dyDescent="0.25">
      <c r="B692" s="369">
        <v>43698</v>
      </c>
      <c r="C692" s="370">
        <v>323265.526136</v>
      </c>
      <c r="D692" s="370">
        <v>41727.32</v>
      </c>
      <c r="E692" s="371">
        <v>0</v>
      </c>
      <c r="F692" s="371">
        <v>0</v>
      </c>
      <c r="G692" s="371">
        <v>17785.990000000002</v>
      </c>
      <c r="H692" s="371"/>
      <c r="I692" s="371"/>
      <c r="J692" s="371"/>
      <c r="K692" s="371"/>
      <c r="L692" s="371"/>
      <c r="M692" s="371">
        <v>650000</v>
      </c>
      <c r="N692" s="371">
        <v>21739</v>
      </c>
      <c r="O692" s="371">
        <v>1600</v>
      </c>
      <c r="P692" s="371">
        <v>91683</v>
      </c>
      <c r="Q692" s="379">
        <v>-23450.339999999997</v>
      </c>
      <c r="R692" s="372">
        <v>341051.51613599999</v>
      </c>
      <c r="S692" s="400">
        <v>283087</v>
      </c>
      <c r="T692" s="400">
        <v>36230.450000000004</v>
      </c>
      <c r="U692" s="406">
        <v>0</v>
      </c>
      <c r="V692" s="400">
        <v>14577.44</v>
      </c>
      <c r="W692" s="372">
        <v>297664.44</v>
      </c>
      <c r="X692" s="373">
        <v>333894.89</v>
      </c>
      <c r="Y692" s="372">
        <v>382778.836136</v>
      </c>
      <c r="Z692" s="373">
        <v>1124350.4961359999</v>
      </c>
      <c r="AA692" s="400">
        <v>-1692.3983610000578</v>
      </c>
      <c r="AB692" s="400">
        <v>-230.36999999999534</v>
      </c>
      <c r="AC692" s="400">
        <v>0</v>
      </c>
      <c r="AD692" s="400">
        <v>-161.73999999999796</v>
      </c>
      <c r="AE692" s="372">
        <v>-1854.1383610000557</v>
      </c>
      <c r="AF692" s="372">
        <v>-2084.5083610000511</v>
      </c>
      <c r="AG692" s="400">
        <v>2.160000000000025</v>
      </c>
      <c r="AH692" s="374">
        <v>-5.4365345798981493E-3</v>
      </c>
      <c r="AI692" s="375">
        <v>-5.520843418652225E-3</v>
      </c>
      <c r="AJ692" s="372">
        <v>268.56</v>
      </c>
      <c r="AK692" s="376">
        <v>8.0428954423593432E-3</v>
      </c>
      <c r="AL692" s="376">
        <v>-1.3479430022257492E-2</v>
      </c>
      <c r="AM692" s="412">
        <v>263.62676616915422</v>
      </c>
    </row>
    <row r="693" spans="2:51" s="382" customFormat="1" ht="28.15" customHeight="1" x14ac:dyDescent="0.25">
      <c r="B693" s="369">
        <v>43699</v>
      </c>
      <c r="C693" s="370">
        <v>322940.58675799996</v>
      </c>
      <c r="D693" s="370">
        <v>41760.229999999996</v>
      </c>
      <c r="E693" s="371">
        <v>0</v>
      </c>
      <c r="F693" s="371">
        <v>0</v>
      </c>
      <c r="G693" s="371">
        <v>17785.990000000002</v>
      </c>
      <c r="H693" s="371"/>
      <c r="I693" s="371"/>
      <c r="J693" s="371"/>
      <c r="K693" s="371"/>
      <c r="L693" s="371"/>
      <c r="M693" s="371">
        <v>650000</v>
      </c>
      <c r="N693" s="371">
        <v>21739</v>
      </c>
      <c r="O693" s="371">
        <v>1600</v>
      </c>
      <c r="P693" s="371">
        <v>91683</v>
      </c>
      <c r="Q693" s="379">
        <v>-23450.339999999997</v>
      </c>
      <c r="R693" s="372">
        <v>340726.57675799995</v>
      </c>
      <c r="S693" s="400">
        <v>283087</v>
      </c>
      <c r="T693" s="400">
        <v>36230.450000000004</v>
      </c>
      <c r="U693" s="406">
        <v>0</v>
      </c>
      <c r="V693" s="400">
        <v>14577.44</v>
      </c>
      <c r="W693" s="372">
        <v>297664.44</v>
      </c>
      <c r="X693" s="373">
        <v>333894.89</v>
      </c>
      <c r="Y693" s="372">
        <v>382486.80675799993</v>
      </c>
      <c r="Z693" s="373">
        <v>1124058.466758</v>
      </c>
      <c r="AA693" s="400">
        <v>-324.93937800003914</v>
      </c>
      <c r="AB693" s="400">
        <v>32.909999999996217</v>
      </c>
      <c r="AC693" s="400">
        <v>0</v>
      </c>
      <c r="AD693" s="400">
        <v>0</v>
      </c>
      <c r="AE693" s="372">
        <v>-324.93937800003914</v>
      </c>
      <c r="AF693" s="372">
        <v>-292.02937800004293</v>
      </c>
      <c r="AG693" s="400">
        <v>-0.10000000000002274</v>
      </c>
      <c r="AH693" s="374">
        <v>-9.5366607762688966E-4</v>
      </c>
      <c r="AI693" s="375">
        <v>7.8807037221768699E-4</v>
      </c>
      <c r="AJ693" s="372">
        <v>268.45999999999998</v>
      </c>
      <c r="AK693" s="376">
        <v>-3.7249497131797192E-4</v>
      </c>
      <c r="AL693" s="376">
        <v>-5.8117110630891773E-4</v>
      </c>
      <c r="AM693" s="412">
        <v>263.72796019900494</v>
      </c>
    </row>
    <row r="694" spans="2:51" s="382" customFormat="1" ht="28.15" customHeight="1" x14ac:dyDescent="0.25">
      <c r="B694" s="369">
        <v>43700</v>
      </c>
      <c r="C694" s="370">
        <v>327838.14658999996</v>
      </c>
      <c r="D694" s="370">
        <v>42517.159999999996</v>
      </c>
      <c r="E694" s="371">
        <v>0</v>
      </c>
      <c r="F694" s="371">
        <v>0</v>
      </c>
      <c r="G694" s="371">
        <v>17785.990000000002</v>
      </c>
      <c r="H694" s="371"/>
      <c r="I694" s="371"/>
      <c r="J694" s="371"/>
      <c r="K694" s="371"/>
      <c r="L694" s="371"/>
      <c r="M694" s="371">
        <v>650000</v>
      </c>
      <c r="N694" s="371">
        <v>21739</v>
      </c>
      <c r="O694" s="371">
        <v>1600</v>
      </c>
      <c r="P694" s="371">
        <v>91683</v>
      </c>
      <c r="Q694" s="379">
        <v>-23450.339999999997</v>
      </c>
      <c r="R694" s="372">
        <v>345624.13658999995</v>
      </c>
      <c r="S694" s="400">
        <v>283087</v>
      </c>
      <c r="T694" s="400">
        <v>36230.450000000004</v>
      </c>
      <c r="U694" s="406">
        <v>0</v>
      </c>
      <c r="V694" s="400">
        <v>14577.44</v>
      </c>
      <c r="W694" s="372">
        <v>297664.44</v>
      </c>
      <c r="X694" s="373">
        <v>333894.89</v>
      </c>
      <c r="Y694" s="372">
        <v>388141.29658999993</v>
      </c>
      <c r="Z694" s="373">
        <v>1129712.9565899998</v>
      </c>
      <c r="AA694" s="400">
        <v>4897.559831999999</v>
      </c>
      <c r="AB694" s="400">
        <v>756.93000000000029</v>
      </c>
      <c r="AC694" s="400">
        <v>0</v>
      </c>
      <c r="AD694" s="400">
        <v>0</v>
      </c>
      <c r="AE694" s="372">
        <v>4897.559831999999</v>
      </c>
      <c r="AF694" s="372">
        <v>5654.4898319999993</v>
      </c>
      <c r="AG694" s="400">
        <v>-6.8899999999999864</v>
      </c>
      <c r="AH694" s="374">
        <v>1.4170190428019145E-2</v>
      </c>
      <c r="AI694" s="375">
        <v>1.7802929452484604E-2</v>
      </c>
      <c r="AJ694" s="372">
        <v>261.57</v>
      </c>
      <c r="AK694" s="376">
        <v>-2.6340941239438722E-2</v>
      </c>
      <c r="AL694" s="376">
        <v>4.0511131667457866E-2</v>
      </c>
      <c r="AM694" s="412">
        <v>263.82865671641787</v>
      </c>
    </row>
    <row r="695" spans="2:51" s="425" customFormat="1" ht="28.15" customHeight="1" x14ac:dyDescent="0.25">
      <c r="B695" s="378">
        <v>43701</v>
      </c>
      <c r="C695" s="370">
        <v>327838.14658999996</v>
      </c>
      <c r="D695" s="370">
        <v>42517.159999999996</v>
      </c>
      <c r="E695" s="371">
        <v>0</v>
      </c>
      <c r="F695" s="371">
        <v>0</v>
      </c>
      <c r="G695" s="371">
        <v>17785.990000000002</v>
      </c>
      <c r="H695" s="371"/>
      <c r="I695" s="371"/>
      <c r="J695" s="371"/>
      <c r="K695" s="371"/>
      <c r="L695" s="371"/>
      <c r="M695" s="371">
        <v>650000</v>
      </c>
      <c r="N695" s="371">
        <v>21739</v>
      </c>
      <c r="O695" s="371">
        <v>1600</v>
      </c>
      <c r="P695" s="371">
        <v>91683</v>
      </c>
      <c r="Q695" s="379">
        <v>-23450.339999999997</v>
      </c>
      <c r="R695" s="372">
        <v>345624.13658999995</v>
      </c>
      <c r="S695" s="400">
        <v>283087</v>
      </c>
      <c r="T695" s="400">
        <v>36230.450000000004</v>
      </c>
      <c r="U695" s="406">
        <v>0</v>
      </c>
      <c r="V695" s="400">
        <v>14577.44</v>
      </c>
      <c r="W695" s="372">
        <v>297664.44</v>
      </c>
      <c r="X695" s="373">
        <v>333894.89</v>
      </c>
      <c r="Y695" s="372">
        <v>388141.29658999993</v>
      </c>
      <c r="Z695" s="373">
        <v>1129712.9565899998</v>
      </c>
      <c r="AA695" s="400">
        <v>0</v>
      </c>
      <c r="AB695" s="400">
        <v>0</v>
      </c>
      <c r="AC695" s="400">
        <v>0</v>
      </c>
      <c r="AD695" s="400">
        <v>0</v>
      </c>
      <c r="AE695" s="372">
        <v>0</v>
      </c>
      <c r="AF695" s="372">
        <v>0</v>
      </c>
      <c r="AG695" s="400">
        <v>0</v>
      </c>
      <c r="AH695" s="374">
        <v>0</v>
      </c>
      <c r="AI695" s="375">
        <v>0</v>
      </c>
      <c r="AJ695" s="372">
        <v>261.57</v>
      </c>
      <c r="AK695" s="376">
        <v>0</v>
      </c>
      <c r="AL695" s="376">
        <v>0</v>
      </c>
      <c r="AM695" s="412">
        <v>263.89507462686566</v>
      </c>
    </row>
    <row r="696" spans="2:51" s="382" customFormat="1" ht="28.15" customHeight="1" x14ac:dyDescent="0.25">
      <c r="B696" s="378">
        <v>43702</v>
      </c>
      <c r="C696" s="370">
        <v>327838.14658999996</v>
      </c>
      <c r="D696" s="370">
        <v>42517.159999999996</v>
      </c>
      <c r="E696" s="371">
        <v>0</v>
      </c>
      <c r="F696" s="371">
        <v>0</v>
      </c>
      <c r="G696" s="371">
        <v>17785.990000000002</v>
      </c>
      <c r="H696" s="371"/>
      <c r="I696" s="371"/>
      <c r="J696" s="371"/>
      <c r="K696" s="371"/>
      <c r="L696" s="371"/>
      <c r="M696" s="371">
        <v>650000</v>
      </c>
      <c r="N696" s="371">
        <v>21739</v>
      </c>
      <c r="O696" s="371">
        <v>1600</v>
      </c>
      <c r="P696" s="371">
        <v>91683</v>
      </c>
      <c r="Q696" s="379">
        <v>-23450.339999999997</v>
      </c>
      <c r="R696" s="372">
        <v>345624.13658999995</v>
      </c>
      <c r="S696" s="400">
        <v>283087</v>
      </c>
      <c r="T696" s="400">
        <v>36230.450000000004</v>
      </c>
      <c r="U696" s="406">
        <v>0</v>
      </c>
      <c r="V696" s="400">
        <v>14577.44</v>
      </c>
      <c r="W696" s="372">
        <v>297664.44</v>
      </c>
      <c r="X696" s="373">
        <v>333894.89</v>
      </c>
      <c r="Y696" s="372">
        <v>388141.29658999993</v>
      </c>
      <c r="Z696" s="373">
        <v>1129712.9565899998</v>
      </c>
      <c r="AA696" s="400">
        <v>0</v>
      </c>
      <c r="AB696" s="400">
        <v>0</v>
      </c>
      <c r="AC696" s="400">
        <v>0</v>
      </c>
      <c r="AD696" s="400">
        <v>0</v>
      </c>
      <c r="AE696" s="372">
        <v>0</v>
      </c>
      <c r="AF696" s="372">
        <v>0</v>
      </c>
      <c r="AG696" s="400">
        <v>0</v>
      </c>
      <c r="AH696" s="374">
        <v>0</v>
      </c>
      <c r="AI696" s="375">
        <v>0</v>
      </c>
      <c r="AJ696" s="372">
        <v>261.57</v>
      </c>
      <c r="AK696" s="376">
        <v>0</v>
      </c>
      <c r="AL696" s="376">
        <v>0</v>
      </c>
      <c r="AM696" s="412">
        <v>263.95268656716411</v>
      </c>
      <c r="AN696" s="425"/>
      <c r="AO696" s="425"/>
      <c r="AP696" s="425"/>
      <c r="AQ696" s="425"/>
      <c r="AR696" s="426"/>
      <c r="AS696" s="426"/>
      <c r="AT696" s="426"/>
      <c r="AU696" s="426"/>
      <c r="AV696" s="426"/>
      <c r="AW696" s="425"/>
      <c r="AX696" s="425"/>
      <c r="AY696" s="425"/>
    </row>
    <row r="697" spans="2:51" s="382" customFormat="1" ht="28.15" customHeight="1" x14ac:dyDescent="0.25">
      <c r="B697" s="369">
        <v>43703</v>
      </c>
      <c r="C697" s="370">
        <v>328571.98980100005</v>
      </c>
      <c r="D697" s="370">
        <v>42484.25</v>
      </c>
      <c r="E697" s="371">
        <v>0</v>
      </c>
      <c r="F697" s="371">
        <v>0</v>
      </c>
      <c r="G697" s="371">
        <v>17785.990000000002</v>
      </c>
      <c r="H697" s="371">
        <v>875</v>
      </c>
      <c r="I697" s="371"/>
      <c r="J697" s="371"/>
      <c r="K697" s="371"/>
      <c r="L697" s="371">
        <v>3248.61</v>
      </c>
      <c r="M697" s="371">
        <v>650000</v>
      </c>
      <c r="N697" s="371">
        <v>21739</v>
      </c>
      <c r="O697" s="371">
        <v>1600</v>
      </c>
      <c r="P697" s="371">
        <v>91683</v>
      </c>
      <c r="Q697" s="379">
        <v>-23450.339999999997</v>
      </c>
      <c r="R697" s="372">
        <v>346357.97980100004</v>
      </c>
      <c r="S697" s="400">
        <v>283962</v>
      </c>
      <c r="T697" s="400">
        <v>36230.450000000004</v>
      </c>
      <c r="U697" s="406">
        <v>0</v>
      </c>
      <c r="V697" s="400">
        <v>17826.05</v>
      </c>
      <c r="W697" s="372">
        <v>301788.05</v>
      </c>
      <c r="X697" s="373">
        <v>338018.5</v>
      </c>
      <c r="Y697" s="372">
        <v>388842.22980100004</v>
      </c>
      <c r="Z697" s="373">
        <v>1130413.889801</v>
      </c>
      <c r="AA697" s="400">
        <v>-141.15678899991326</v>
      </c>
      <c r="AB697" s="400">
        <v>-32.909999999996217</v>
      </c>
      <c r="AC697" s="400">
        <v>0</v>
      </c>
      <c r="AD697" s="400">
        <v>-3248.61</v>
      </c>
      <c r="AE697" s="372">
        <v>-3389.7667889999134</v>
      </c>
      <c r="AF697" s="372">
        <v>-3422.6767889999096</v>
      </c>
      <c r="AG697" s="400">
        <v>2.9000000000000341</v>
      </c>
      <c r="AH697" s="374">
        <v>-9.7868880946456148E-3</v>
      </c>
      <c r="AI697" s="375">
        <v>-7.746400136520291E-4</v>
      </c>
      <c r="AJ697" s="372">
        <v>264.47000000000003</v>
      </c>
      <c r="AK697" s="376">
        <v>1.0965326880175572E-2</v>
      </c>
      <c r="AL697" s="376">
        <v>-2.0752214974821187E-2</v>
      </c>
      <c r="AM697" s="412">
        <v>264.00477611940295</v>
      </c>
      <c r="AR697" s="427"/>
      <c r="AS697" s="427"/>
      <c r="AT697" s="427"/>
      <c r="AU697" s="427"/>
      <c r="AV697" s="427"/>
    </row>
    <row r="698" spans="2:51" s="425" customFormat="1" ht="28.15" customHeight="1" x14ac:dyDescent="0.25">
      <c r="B698" s="369">
        <v>43704</v>
      </c>
      <c r="C698" s="370">
        <v>355041.78117099998</v>
      </c>
      <c r="D698" s="370">
        <v>43354.509999999995</v>
      </c>
      <c r="E698" s="371">
        <v>0</v>
      </c>
      <c r="F698" s="371">
        <v>0</v>
      </c>
      <c r="G698" s="371">
        <v>0</v>
      </c>
      <c r="H698" s="371">
        <v>17826.05</v>
      </c>
      <c r="I698" s="371"/>
      <c r="J698" s="371"/>
      <c r="K698" s="371"/>
      <c r="L698" s="371">
        <v>-17826.05</v>
      </c>
      <c r="M698" s="371">
        <v>650000</v>
      </c>
      <c r="N698" s="371">
        <v>21739</v>
      </c>
      <c r="O698" s="371">
        <v>1600</v>
      </c>
      <c r="P698" s="371">
        <v>91683</v>
      </c>
      <c r="Q698" s="379">
        <v>-23450.339999999997</v>
      </c>
      <c r="R698" s="372">
        <v>355041.78117099998</v>
      </c>
      <c r="S698" s="400">
        <v>301788.05</v>
      </c>
      <c r="T698" s="400">
        <v>36230.450000000004</v>
      </c>
      <c r="U698" s="406">
        <v>0</v>
      </c>
      <c r="V698" s="400">
        <v>0</v>
      </c>
      <c r="W698" s="372">
        <v>301788.05</v>
      </c>
      <c r="X698" s="373">
        <v>338018.5</v>
      </c>
      <c r="Y698" s="372">
        <v>398396.29117099999</v>
      </c>
      <c r="Z698" s="373">
        <v>1139967.9511709998</v>
      </c>
      <c r="AA698" s="400">
        <v>8643.7413699999342</v>
      </c>
      <c r="AB698" s="400">
        <v>870.25999999999476</v>
      </c>
      <c r="AC698" s="400">
        <v>0</v>
      </c>
      <c r="AD698" s="400">
        <v>40.059999999997672</v>
      </c>
      <c r="AE698" s="372">
        <v>8683.8013699999319</v>
      </c>
      <c r="AF698" s="372">
        <v>9554.0613699999267</v>
      </c>
      <c r="AG698" s="400">
        <v>-1.0400000000000205</v>
      </c>
      <c r="AH698" s="374">
        <v>2.4458533700904127E-2</v>
      </c>
      <c r="AI698" s="375">
        <v>2.0073113500763701E-2</v>
      </c>
      <c r="AJ698" s="372">
        <v>263.43</v>
      </c>
      <c r="AK698" s="376">
        <v>-3.9479178529401374E-3</v>
      </c>
      <c r="AL698" s="376">
        <v>2.8406451553844265E-2</v>
      </c>
      <c r="AM698" s="412">
        <v>264.07283582089553</v>
      </c>
      <c r="AR698" s="426"/>
      <c r="AS698" s="426"/>
      <c r="AT698" s="426"/>
      <c r="AU698" s="426"/>
      <c r="AV698" s="426"/>
    </row>
    <row r="699" spans="2:51" s="425" customFormat="1" ht="28.15" customHeight="1" x14ac:dyDescent="0.25">
      <c r="B699" s="369">
        <v>43705</v>
      </c>
      <c r="C699" s="370">
        <v>353267.43114900001</v>
      </c>
      <c r="D699" s="370">
        <v>43313.409999999996</v>
      </c>
      <c r="E699" s="371">
        <v>1000</v>
      </c>
      <c r="F699" s="371">
        <v>0</v>
      </c>
      <c r="G699" s="371">
        <v>0</v>
      </c>
      <c r="H699" s="371"/>
      <c r="I699" s="371"/>
      <c r="J699" s="371">
        <v>1000</v>
      </c>
      <c r="K699" s="371"/>
      <c r="L699" s="371"/>
      <c r="M699" s="371">
        <v>650000</v>
      </c>
      <c r="N699" s="371">
        <v>21739</v>
      </c>
      <c r="O699" s="371">
        <v>1600</v>
      </c>
      <c r="P699" s="371">
        <v>91683</v>
      </c>
      <c r="Q699" s="379">
        <v>-23122.51</v>
      </c>
      <c r="R699" s="372">
        <v>354267.43114900001</v>
      </c>
      <c r="S699" s="400">
        <v>301788.05</v>
      </c>
      <c r="T699" s="400">
        <v>36230.450000000004</v>
      </c>
      <c r="U699" s="406">
        <v>1000</v>
      </c>
      <c r="V699" s="400">
        <v>0</v>
      </c>
      <c r="W699" s="372">
        <v>302788.05</v>
      </c>
      <c r="X699" s="373">
        <v>339018.5</v>
      </c>
      <c r="Y699" s="372">
        <v>397580.84114899999</v>
      </c>
      <c r="Z699" s="373">
        <v>1139480.331149</v>
      </c>
      <c r="AA699" s="400">
        <v>-1774.3500219999696</v>
      </c>
      <c r="AB699" s="400">
        <v>-41.099999999998545</v>
      </c>
      <c r="AC699" s="400">
        <v>0</v>
      </c>
      <c r="AD699" s="400">
        <v>0</v>
      </c>
      <c r="AE699" s="372">
        <v>-1774.3500219999696</v>
      </c>
      <c r="AF699" s="372">
        <v>-1815.4500219999682</v>
      </c>
      <c r="AG699" s="400">
        <v>1.8299999999999841</v>
      </c>
      <c r="AH699" s="374">
        <v>-5.0085044968576362E-3</v>
      </c>
      <c r="AI699" s="375">
        <v>-9.4889781247882693E-4</v>
      </c>
      <c r="AJ699" s="372">
        <v>265.26</v>
      </c>
      <c r="AK699" s="376">
        <v>6.8988916534720056E-3</v>
      </c>
      <c r="AL699" s="376">
        <v>-1.1907396150329642E-2</v>
      </c>
      <c r="AM699" s="412">
        <v>264.14796019900501</v>
      </c>
      <c r="AR699" s="426"/>
      <c r="AS699" s="426"/>
      <c r="AT699" s="426"/>
      <c r="AU699" s="426"/>
      <c r="AV699" s="426"/>
    </row>
    <row r="700" spans="2:51" s="425" customFormat="1" ht="28.15" customHeight="1" x14ac:dyDescent="0.25">
      <c r="B700" s="369">
        <v>43706</v>
      </c>
      <c r="C700" s="370">
        <v>344425.08910399996</v>
      </c>
      <c r="D700" s="370">
        <v>42176.31</v>
      </c>
      <c r="E700" s="371">
        <v>1000</v>
      </c>
      <c r="F700" s="371">
        <v>0</v>
      </c>
      <c r="G700" s="371">
        <v>0</v>
      </c>
      <c r="H700" s="371"/>
      <c r="I700" s="371"/>
      <c r="J700" s="371"/>
      <c r="K700" s="371"/>
      <c r="L700" s="371"/>
      <c r="M700" s="371">
        <v>650000</v>
      </c>
      <c r="N700" s="371">
        <v>21739</v>
      </c>
      <c r="O700" s="371">
        <v>1600</v>
      </c>
      <c r="P700" s="371">
        <v>91683</v>
      </c>
      <c r="Q700" s="379">
        <v>-23122.51</v>
      </c>
      <c r="R700" s="372">
        <v>345425.08910399996</v>
      </c>
      <c r="S700" s="400">
        <v>301788.05</v>
      </c>
      <c r="T700" s="400">
        <v>36230.450000000004</v>
      </c>
      <c r="U700" s="406">
        <v>1000</v>
      </c>
      <c r="V700" s="400">
        <v>0</v>
      </c>
      <c r="W700" s="372">
        <v>302788.05</v>
      </c>
      <c r="X700" s="373">
        <v>339018.5</v>
      </c>
      <c r="Y700" s="372">
        <v>387601.39910399995</v>
      </c>
      <c r="Z700" s="373">
        <v>1129500.8891040001</v>
      </c>
      <c r="AA700" s="400">
        <v>-8842.3420450000558</v>
      </c>
      <c r="AB700" s="400">
        <v>-1137.0999999999985</v>
      </c>
      <c r="AC700" s="400">
        <v>0</v>
      </c>
      <c r="AD700" s="400">
        <v>0</v>
      </c>
      <c r="AE700" s="372">
        <v>-8842.3420450000558</v>
      </c>
      <c r="AF700" s="372">
        <v>-9979.4420450000543</v>
      </c>
      <c r="AG700" s="400">
        <v>3.4499999999999886</v>
      </c>
      <c r="AH700" s="374">
        <v>-2.5598436025409316E-2</v>
      </c>
      <c r="AI700" s="375">
        <v>-2.6960632639507785E-2</v>
      </c>
      <c r="AJ700" s="372">
        <v>268.70999999999998</v>
      </c>
      <c r="AK700" s="376">
        <v>1.283912024115213E-2</v>
      </c>
      <c r="AL700" s="376">
        <v>-3.8437556266561444E-2</v>
      </c>
      <c r="AM700" s="412">
        <v>264.23059701492542</v>
      </c>
      <c r="AR700" s="426"/>
      <c r="AS700" s="426"/>
      <c r="AT700" s="426"/>
      <c r="AU700" s="426"/>
      <c r="AV700" s="426"/>
    </row>
    <row r="701" spans="2:51" s="425" customFormat="1" ht="28.15" customHeight="1" x14ac:dyDescent="0.25">
      <c r="B701" s="369">
        <v>43707</v>
      </c>
      <c r="C701" s="370">
        <v>345019.96814000001</v>
      </c>
      <c r="D701" s="370">
        <v>42395.509999999995</v>
      </c>
      <c r="E701" s="371">
        <v>1000</v>
      </c>
      <c r="F701" s="371">
        <v>0</v>
      </c>
      <c r="G701" s="371">
        <v>0</v>
      </c>
      <c r="H701" s="371"/>
      <c r="I701" s="371"/>
      <c r="J701" s="371"/>
      <c r="K701" s="371"/>
      <c r="L701" s="371"/>
      <c r="M701" s="371">
        <v>650000</v>
      </c>
      <c r="N701" s="371">
        <v>21739</v>
      </c>
      <c r="O701" s="371">
        <v>1600</v>
      </c>
      <c r="P701" s="371">
        <v>91683</v>
      </c>
      <c r="Q701" s="379">
        <v>-23122.51</v>
      </c>
      <c r="R701" s="372">
        <v>346019.96814000001</v>
      </c>
      <c r="S701" s="400">
        <v>301788.05</v>
      </c>
      <c r="T701" s="400">
        <v>36230.450000000004</v>
      </c>
      <c r="U701" s="406">
        <v>1000</v>
      </c>
      <c r="V701" s="400">
        <v>0</v>
      </c>
      <c r="W701" s="372">
        <v>302788.05</v>
      </c>
      <c r="X701" s="373">
        <v>339018.5</v>
      </c>
      <c r="Y701" s="372">
        <v>388415.47814000002</v>
      </c>
      <c r="Z701" s="373">
        <v>1130314.96814</v>
      </c>
      <c r="AA701" s="400">
        <v>594.87903600005666</v>
      </c>
      <c r="AB701" s="400">
        <v>219.19999999999709</v>
      </c>
      <c r="AC701" s="400">
        <v>0</v>
      </c>
      <c r="AD701" s="400">
        <v>0</v>
      </c>
      <c r="AE701" s="372">
        <v>594.87903600005666</v>
      </c>
      <c r="AF701" s="372">
        <v>814.07903600005375</v>
      </c>
      <c r="AG701" s="400">
        <v>-0.14999999999997726</v>
      </c>
      <c r="AH701" s="374">
        <v>1.7192043545861725E-3</v>
      </c>
      <c r="AI701" s="375">
        <v>5.1703588422452543E-3</v>
      </c>
      <c r="AJ701" s="372">
        <v>268.56</v>
      </c>
      <c r="AK701" s="376">
        <v>-5.5853440571930761E-4</v>
      </c>
      <c r="AL701" s="376">
        <v>2.2777387603054801E-3</v>
      </c>
      <c r="AM701" s="412">
        <v>264.33039800995027</v>
      </c>
      <c r="AR701" s="426"/>
      <c r="AS701" s="426"/>
      <c r="AT701" s="426"/>
      <c r="AU701" s="426"/>
      <c r="AV701" s="426"/>
    </row>
    <row r="702" spans="2:51" s="425" customFormat="1" ht="28.15" customHeight="1" x14ac:dyDescent="0.25">
      <c r="B702" s="378">
        <v>43708</v>
      </c>
      <c r="C702" s="370">
        <v>345019.96814000001</v>
      </c>
      <c r="D702" s="370">
        <v>42395.509999999995</v>
      </c>
      <c r="E702" s="371">
        <v>1000</v>
      </c>
      <c r="F702" s="371">
        <v>0</v>
      </c>
      <c r="G702" s="371">
        <v>0</v>
      </c>
      <c r="H702" s="371"/>
      <c r="I702" s="371"/>
      <c r="J702" s="371"/>
      <c r="K702" s="371"/>
      <c r="L702" s="371"/>
      <c r="M702" s="371">
        <v>650000</v>
      </c>
      <c r="N702" s="371">
        <v>21739</v>
      </c>
      <c r="O702" s="371">
        <v>1600</v>
      </c>
      <c r="P702" s="371">
        <v>91683</v>
      </c>
      <c r="Q702" s="379">
        <v>-23122.51</v>
      </c>
      <c r="R702" s="372">
        <v>346019.96814000001</v>
      </c>
      <c r="S702" s="400">
        <v>301788.05</v>
      </c>
      <c r="T702" s="400">
        <v>36230.450000000004</v>
      </c>
      <c r="U702" s="406">
        <v>1000</v>
      </c>
      <c r="V702" s="400">
        <v>0</v>
      </c>
      <c r="W702" s="372">
        <v>302788.05</v>
      </c>
      <c r="X702" s="373">
        <v>339018.5</v>
      </c>
      <c r="Y702" s="372">
        <v>388415.47814000002</v>
      </c>
      <c r="Z702" s="373">
        <v>1130314.96814</v>
      </c>
      <c r="AA702" s="400">
        <v>0</v>
      </c>
      <c r="AB702" s="400">
        <v>0</v>
      </c>
      <c r="AC702" s="400">
        <v>0</v>
      </c>
      <c r="AD702" s="400">
        <v>0</v>
      </c>
      <c r="AE702" s="372">
        <v>0</v>
      </c>
      <c r="AF702" s="372">
        <v>0</v>
      </c>
      <c r="AG702" s="400">
        <v>0</v>
      </c>
      <c r="AH702" s="374">
        <v>0</v>
      </c>
      <c r="AI702" s="375">
        <v>0</v>
      </c>
      <c r="AJ702" s="372">
        <v>268.56</v>
      </c>
      <c r="AK702" s="376">
        <v>0</v>
      </c>
      <c r="AL702" s="376">
        <v>0</v>
      </c>
      <c r="AM702" s="412">
        <v>264.42945273631835</v>
      </c>
      <c r="AR702" s="426"/>
      <c r="AS702" s="426"/>
      <c r="AT702" s="426"/>
      <c r="AU702" s="426"/>
      <c r="AV702" s="426"/>
    </row>
    <row r="703" spans="2:51" s="425" customFormat="1" ht="28.15" customHeight="1" x14ac:dyDescent="0.25">
      <c r="B703" s="378">
        <v>43709</v>
      </c>
      <c r="C703" s="370">
        <v>345019.96814000001</v>
      </c>
      <c r="D703" s="370">
        <v>42395.509999999995</v>
      </c>
      <c r="E703" s="371">
        <v>1000</v>
      </c>
      <c r="F703" s="371">
        <v>0</v>
      </c>
      <c r="G703" s="371">
        <v>0</v>
      </c>
      <c r="H703" s="371"/>
      <c r="I703" s="371"/>
      <c r="J703" s="371"/>
      <c r="K703" s="371"/>
      <c r="L703" s="371"/>
      <c r="M703" s="371">
        <v>650000</v>
      </c>
      <c r="N703" s="371">
        <v>21739</v>
      </c>
      <c r="O703" s="371">
        <v>1600</v>
      </c>
      <c r="P703" s="371">
        <v>91683</v>
      </c>
      <c r="Q703" s="379">
        <v>-23122.51</v>
      </c>
      <c r="R703" s="372">
        <v>346019.96814000001</v>
      </c>
      <c r="S703" s="400">
        <v>301788.05</v>
      </c>
      <c r="T703" s="400">
        <v>36230.450000000004</v>
      </c>
      <c r="U703" s="406">
        <v>1000</v>
      </c>
      <c r="V703" s="400">
        <v>0</v>
      </c>
      <c r="W703" s="372">
        <v>302788.05</v>
      </c>
      <c r="X703" s="373">
        <v>339018.5</v>
      </c>
      <c r="Y703" s="372">
        <v>388415.47814000002</v>
      </c>
      <c r="Z703" s="373">
        <v>1130314.96814</v>
      </c>
      <c r="AA703" s="400">
        <v>0</v>
      </c>
      <c r="AB703" s="400">
        <v>0</v>
      </c>
      <c r="AC703" s="400">
        <v>0</v>
      </c>
      <c r="AD703" s="400">
        <v>0</v>
      </c>
      <c r="AE703" s="372">
        <v>0</v>
      </c>
      <c r="AF703" s="372">
        <v>0</v>
      </c>
      <c r="AG703" s="400">
        <v>0</v>
      </c>
      <c r="AH703" s="374">
        <v>0</v>
      </c>
      <c r="AI703" s="375">
        <v>0</v>
      </c>
      <c r="AJ703" s="372">
        <v>268.56</v>
      </c>
      <c r="AK703" s="376">
        <v>0</v>
      </c>
      <c r="AL703" s="376">
        <v>0</v>
      </c>
      <c r="AM703" s="412">
        <v>264.52786069651739</v>
      </c>
      <c r="AR703" s="426"/>
      <c r="AS703" s="426"/>
      <c r="AT703" s="426"/>
      <c r="AU703" s="426"/>
      <c r="AV703" s="426"/>
    </row>
    <row r="704" spans="2:51" s="425" customFormat="1" ht="28.15" customHeight="1" x14ac:dyDescent="0.25">
      <c r="B704" s="378">
        <v>43710</v>
      </c>
      <c r="C704" s="370">
        <v>345019.96814000001</v>
      </c>
      <c r="D704" s="370">
        <v>42395.509999999995</v>
      </c>
      <c r="E704" s="371">
        <v>1000</v>
      </c>
      <c r="F704" s="371">
        <v>0</v>
      </c>
      <c r="G704" s="371">
        <v>0</v>
      </c>
      <c r="H704" s="371"/>
      <c r="I704" s="371"/>
      <c r="J704" s="371"/>
      <c r="K704" s="371"/>
      <c r="L704" s="371"/>
      <c r="M704" s="371">
        <v>650000</v>
      </c>
      <c r="N704" s="371">
        <v>21739</v>
      </c>
      <c r="O704" s="371">
        <v>1600</v>
      </c>
      <c r="P704" s="371">
        <v>91683</v>
      </c>
      <c r="Q704" s="379">
        <v>-23122.51</v>
      </c>
      <c r="R704" s="372">
        <v>346019.96814000001</v>
      </c>
      <c r="S704" s="400">
        <v>301788.05</v>
      </c>
      <c r="T704" s="400">
        <v>36230.450000000004</v>
      </c>
      <c r="U704" s="406">
        <v>1000</v>
      </c>
      <c r="V704" s="400">
        <v>0</v>
      </c>
      <c r="W704" s="372">
        <v>302788.05</v>
      </c>
      <c r="X704" s="373">
        <v>339018.5</v>
      </c>
      <c r="Y704" s="372">
        <v>388415.47814000002</v>
      </c>
      <c r="Z704" s="373">
        <v>1130314.96814</v>
      </c>
      <c r="AA704" s="400">
        <v>0</v>
      </c>
      <c r="AB704" s="400">
        <v>0</v>
      </c>
      <c r="AC704" s="400">
        <v>0</v>
      </c>
      <c r="AD704" s="400">
        <v>0</v>
      </c>
      <c r="AE704" s="372">
        <v>0</v>
      </c>
      <c r="AF704" s="372">
        <v>0</v>
      </c>
      <c r="AG704" s="400">
        <v>0</v>
      </c>
      <c r="AH704" s="374">
        <v>0</v>
      </c>
      <c r="AI704" s="375">
        <v>0</v>
      </c>
      <c r="AJ704" s="372">
        <v>268.56</v>
      </c>
      <c r="AK704" s="376">
        <v>0</v>
      </c>
      <c r="AL704" s="376">
        <v>0</v>
      </c>
      <c r="AM704" s="412">
        <v>264.61024875621882</v>
      </c>
      <c r="AR704" s="426"/>
      <c r="AS704" s="426"/>
      <c r="AT704" s="426"/>
      <c r="AU704" s="426"/>
      <c r="AV704" s="426"/>
    </row>
    <row r="705" spans="2:48" s="425" customFormat="1" ht="28.15" customHeight="1" x14ac:dyDescent="0.25">
      <c r="B705" s="369">
        <v>43711</v>
      </c>
      <c r="C705" s="370">
        <v>361165.21493599995</v>
      </c>
      <c r="D705" s="370">
        <v>42998.31</v>
      </c>
      <c r="E705" s="371">
        <v>1000</v>
      </c>
      <c r="F705" s="371">
        <v>0</v>
      </c>
      <c r="G705" s="371">
        <v>0</v>
      </c>
      <c r="H705" s="371"/>
      <c r="I705" s="371"/>
      <c r="J705" s="371"/>
      <c r="K705" s="371"/>
      <c r="L705" s="371"/>
      <c r="M705" s="371">
        <v>650000</v>
      </c>
      <c r="N705" s="371">
        <v>21739</v>
      </c>
      <c r="O705" s="371">
        <v>1600</v>
      </c>
      <c r="P705" s="371">
        <v>91683</v>
      </c>
      <c r="Q705" s="379">
        <v>-23122.51</v>
      </c>
      <c r="R705" s="372">
        <v>362165.21493599995</v>
      </c>
      <c r="S705" s="400">
        <v>301788.05</v>
      </c>
      <c r="T705" s="400">
        <v>36230.450000000004</v>
      </c>
      <c r="U705" s="406">
        <v>1000</v>
      </c>
      <c r="V705" s="400">
        <v>0</v>
      </c>
      <c r="W705" s="372">
        <v>302788.05</v>
      </c>
      <c r="X705" s="373">
        <v>339018.5</v>
      </c>
      <c r="Y705" s="372">
        <v>405163.52493599994</v>
      </c>
      <c r="Z705" s="373">
        <v>1147063.0149359999</v>
      </c>
      <c r="AA705" s="400">
        <v>16145.246795999934</v>
      </c>
      <c r="AB705" s="400">
        <v>602.80000000000291</v>
      </c>
      <c r="AC705" s="400">
        <v>0</v>
      </c>
      <c r="AD705" s="400">
        <v>0</v>
      </c>
      <c r="AE705" s="372">
        <v>16145.246795999934</v>
      </c>
      <c r="AF705" s="372">
        <v>16748.046795999937</v>
      </c>
      <c r="AG705" s="400">
        <v>-1.4499999999999886</v>
      </c>
      <c r="AH705" s="374">
        <v>4.4579783287174726E-2</v>
      </c>
      <c r="AI705" s="375">
        <v>1.4019155636582065E-2</v>
      </c>
      <c r="AJ705" s="372">
        <v>267.11</v>
      </c>
      <c r="AK705" s="376">
        <v>-5.4284751600463801E-3</v>
      </c>
      <c r="AL705" s="376">
        <v>5.0008258447221107E-2</v>
      </c>
      <c r="AM705" s="412">
        <v>264.68885572139294</v>
      </c>
      <c r="AR705" s="426"/>
      <c r="AS705" s="426"/>
      <c r="AT705" s="426"/>
      <c r="AU705" s="426"/>
      <c r="AV705" s="426"/>
    </row>
    <row r="706" spans="2:48" s="425" customFormat="1" ht="28.15" customHeight="1" x14ac:dyDescent="0.25">
      <c r="B706" s="369">
        <v>43712</v>
      </c>
      <c r="C706" s="370">
        <v>368006.03492599999</v>
      </c>
      <c r="D706" s="370">
        <v>43069.24</v>
      </c>
      <c r="E706" s="371">
        <v>1000</v>
      </c>
      <c r="F706" s="371">
        <v>0</v>
      </c>
      <c r="G706" s="371">
        <v>0</v>
      </c>
      <c r="H706" s="371"/>
      <c r="I706" s="371"/>
      <c r="J706" s="371"/>
      <c r="K706" s="371"/>
      <c r="L706" s="371"/>
      <c r="M706" s="371">
        <v>650000</v>
      </c>
      <c r="N706" s="371">
        <v>21739</v>
      </c>
      <c r="O706" s="371">
        <v>1600</v>
      </c>
      <c r="P706" s="371">
        <v>91683</v>
      </c>
      <c r="Q706" s="379">
        <v>-23122.51</v>
      </c>
      <c r="R706" s="372">
        <v>369006.03492599999</v>
      </c>
      <c r="S706" s="400">
        <v>301788.05</v>
      </c>
      <c r="T706" s="400">
        <v>36230.450000000004</v>
      </c>
      <c r="U706" s="406">
        <v>1000</v>
      </c>
      <c r="V706" s="400">
        <v>0</v>
      </c>
      <c r="W706" s="372">
        <v>302788.05</v>
      </c>
      <c r="X706" s="373">
        <v>339018.5</v>
      </c>
      <c r="Y706" s="372">
        <v>412075.27492599998</v>
      </c>
      <c r="Z706" s="373">
        <v>1153974.764926</v>
      </c>
      <c r="AA706" s="400">
        <v>6840.8199900000473</v>
      </c>
      <c r="AB706" s="400">
        <v>70.930000000000291</v>
      </c>
      <c r="AC706" s="400">
        <v>0</v>
      </c>
      <c r="AD706" s="400">
        <v>0</v>
      </c>
      <c r="AE706" s="372">
        <v>6840.8199900000473</v>
      </c>
      <c r="AF706" s="372">
        <v>6911.7499900000475</v>
      </c>
      <c r="AG706" s="400">
        <v>2.8600000000000136</v>
      </c>
      <c r="AH706" s="374">
        <v>1.8538504367203362E-2</v>
      </c>
      <c r="AI706" s="375">
        <v>1.6468830190641927E-3</v>
      </c>
      <c r="AJ706" s="372">
        <v>269.97000000000003</v>
      </c>
      <c r="AK706" s="376">
        <v>1.0593769678112432E-2</v>
      </c>
      <c r="AL706" s="376">
        <v>7.9447346890909303E-3</v>
      </c>
      <c r="AM706" s="412">
        <v>264.76303482587053</v>
      </c>
      <c r="AR706" s="426"/>
      <c r="AS706" s="426"/>
      <c r="AT706" s="426"/>
      <c r="AU706" s="426"/>
      <c r="AV706" s="426"/>
    </row>
    <row r="707" spans="2:48" s="382" customFormat="1" ht="28.15" customHeight="1" x14ac:dyDescent="0.25">
      <c r="B707" s="369">
        <v>43713</v>
      </c>
      <c r="C707" s="370">
        <v>358107.57098800002</v>
      </c>
      <c r="D707" s="370">
        <v>41827.410000000003</v>
      </c>
      <c r="E707" s="371">
        <v>1000</v>
      </c>
      <c r="F707" s="371">
        <v>0</v>
      </c>
      <c r="G707" s="371">
        <v>0</v>
      </c>
      <c r="H707" s="371"/>
      <c r="I707" s="371"/>
      <c r="J707" s="371"/>
      <c r="K707" s="371"/>
      <c r="L707" s="371"/>
      <c r="M707" s="371">
        <v>650000</v>
      </c>
      <c r="N707" s="371">
        <v>21739</v>
      </c>
      <c r="O707" s="371">
        <v>1600</v>
      </c>
      <c r="P707" s="371">
        <v>91683</v>
      </c>
      <c r="Q707" s="379">
        <v>-23122.51</v>
      </c>
      <c r="R707" s="372">
        <v>359107.57098800002</v>
      </c>
      <c r="S707" s="400">
        <v>301788.05</v>
      </c>
      <c r="T707" s="400">
        <v>36230.450000000004</v>
      </c>
      <c r="U707" s="406">
        <v>1000</v>
      </c>
      <c r="V707" s="400">
        <v>0</v>
      </c>
      <c r="W707" s="372">
        <v>302788.05</v>
      </c>
      <c r="X707" s="373">
        <v>339018.5</v>
      </c>
      <c r="Y707" s="372">
        <v>400934.98098800005</v>
      </c>
      <c r="Z707" s="373">
        <v>1142834.470988</v>
      </c>
      <c r="AA707" s="400">
        <v>-9898.4639379999717</v>
      </c>
      <c r="AB707" s="400">
        <v>-1241.8299999999945</v>
      </c>
      <c r="AC707" s="400">
        <v>0</v>
      </c>
      <c r="AD707" s="400">
        <v>0</v>
      </c>
      <c r="AE707" s="372">
        <v>-9898.4639379999717</v>
      </c>
      <c r="AF707" s="372">
        <v>-11140.293937999966</v>
      </c>
      <c r="AG707" s="400">
        <v>3.5699999999999932</v>
      </c>
      <c r="AH707" s="374">
        <v>-2.7564063633542107E-2</v>
      </c>
      <c r="AI707" s="375">
        <v>-2.9689383110261772E-2</v>
      </c>
      <c r="AJ707" s="372">
        <v>273.54000000000002</v>
      </c>
      <c r="AK707" s="376">
        <v>1.3051107699056784E-2</v>
      </c>
      <c r="AL707" s="376">
        <v>-4.0615171332598891E-2</v>
      </c>
      <c r="AM707" s="412">
        <v>264.83761194029836</v>
      </c>
      <c r="AR707" s="427"/>
      <c r="AS707" s="427"/>
      <c r="AT707" s="427"/>
      <c r="AU707" s="427"/>
      <c r="AV707" s="427"/>
    </row>
    <row r="708" spans="2:48" s="382" customFormat="1" ht="28.15" customHeight="1" x14ac:dyDescent="0.25">
      <c r="B708" s="369">
        <v>43714</v>
      </c>
      <c r="C708" s="370">
        <v>355338.08871000004</v>
      </c>
      <c r="D708" s="370">
        <v>41827.410000000003</v>
      </c>
      <c r="E708" s="371">
        <v>1000</v>
      </c>
      <c r="F708" s="371">
        <v>0</v>
      </c>
      <c r="G708" s="371">
        <v>0</v>
      </c>
      <c r="H708" s="371"/>
      <c r="I708" s="371"/>
      <c r="J708" s="371"/>
      <c r="K708" s="371"/>
      <c r="L708" s="371"/>
      <c r="M708" s="371">
        <v>650000</v>
      </c>
      <c r="N708" s="371">
        <v>21739</v>
      </c>
      <c r="O708" s="371">
        <v>1600</v>
      </c>
      <c r="P708" s="371">
        <v>91683</v>
      </c>
      <c r="Q708" s="379">
        <v>-23122.51</v>
      </c>
      <c r="R708" s="372">
        <v>356338.08871000004</v>
      </c>
      <c r="S708" s="400">
        <v>301788.05</v>
      </c>
      <c r="T708" s="400">
        <v>36230.450000000004</v>
      </c>
      <c r="U708" s="406">
        <v>1000</v>
      </c>
      <c r="V708" s="400">
        <v>0</v>
      </c>
      <c r="W708" s="372">
        <v>302788.05</v>
      </c>
      <c r="X708" s="373">
        <v>339018.5</v>
      </c>
      <c r="Y708" s="372">
        <v>398165.49871000007</v>
      </c>
      <c r="Z708" s="373">
        <v>1140064.9887099999</v>
      </c>
      <c r="AA708" s="400">
        <v>-2769.4822779999813</v>
      </c>
      <c r="AB708" s="400">
        <v>0</v>
      </c>
      <c r="AC708" s="400">
        <v>0</v>
      </c>
      <c r="AD708" s="400">
        <v>0</v>
      </c>
      <c r="AE708" s="372">
        <v>-2769.4822779999813</v>
      </c>
      <c r="AF708" s="372">
        <v>-2769.4822779999813</v>
      </c>
      <c r="AG708" s="400">
        <v>0.19999999999998863</v>
      </c>
      <c r="AH708" s="374">
        <v>-7.7720635703748178E-3</v>
      </c>
      <c r="AI708" s="375">
        <v>0</v>
      </c>
      <c r="AJ708" s="372">
        <v>273.74</v>
      </c>
      <c r="AK708" s="376">
        <v>7.3062029663179884E-4</v>
      </c>
      <c r="AL708" s="376">
        <v>-8.5026838670066163E-3</v>
      </c>
      <c r="AM708" s="412">
        <v>264.92995024875609</v>
      </c>
      <c r="AR708" s="427"/>
      <c r="AS708" s="427"/>
      <c r="AT708" s="427"/>
      <c r="AU708" s="427"/>
      <c r="AV708" s="427"/>
    </row>
    <row r="709" spans="2:48" s="382" customFormat="1" ht="28.15" customHeight="1" x14ac:dyDescent="0.25">
      <c r="B709" s="378">
        <v>43715</v>
      </c>
      <c r="C709" s="370">
        <v>355338.08871000004</v>
      </c>
      <c r="D709" s="370">
        <v>41827.410000000003</v>
      </c>
      <c r="E709" s="371">
        <v>1000</v>
      </c>
      <c r="F709" s="371">
        <v>0</v>
      </c>
      <c r="G709" s="371">
        <v>0</v>
      </c>
      <c r="H709" s="371"/>
      <c r="I709" s="371"/>
      <c r="J709" s="371"/>
      <c r="K709" s="371"/>
      <c r="L709" s="371"/>
      <c r="M709" s="371">
        <v>650000</v>
      </c>
      <c r="N709" s="371">
        <v>21739</v>
      </c>
      <c r="O709" s="371">
        <v>1600</v>
      </c>
      <c r="P709" s="371">
        <v>91683</v>
      </c>
      <c r="Q709" s="379">
        <v>-23122.51</v>
      </c>
      <c r="R709" s="372">
        <v>356338.08871000004</v>
      </c>
      <c r="S709" s="400">
        <v>301788.05</v>
      </c>
      <c r="T709" s="400">
        <v>36230.450000000004</v>
      </c>
      <c r="U709" s="406">
        <v>1000</v>
      </c>
      <c r="V709" s="400">
        <v>0</v>
      </c>
      <c r="W709" s="372">
        <v>302788.05</v>
      </c>
      <c r="X709" s="373">
        <v>339018.5</v>
      </c>
      <c r="Y709" s="372">
        <v>398165.49871000007</v>
      </c>
      <c r="Z709" s="373">
        <v>1140064.9887099999</v>
      </c>
      <c r="AA709" s="400">
        <v>0</v>
      </c>
      <c r="AB709" s="400">
        <v>0</v>
      </c>
      <c r="AC709" s="400">
        <v>0</v>
      </c>
      <c r="AD709" s="400">
        <v>0</v>
      </c>
      <c r="AE709" s="372">
        <v>0</v>
      </c>
      <c r="AF709" s="372">
        <v>0</v>
      </c>
      <c r="AG709" s="400">
        <v>0</v>
      </c>
      <c r="AH709" s="374">
        <v>0</v>
      </c>
      <c r="AI709" s="375">
        <v>0</v>
      </c>
      <c r="AJ709" s="372">
        <v>273.74</v>
      </c>
      <c r="AK709" s="376">
        <v>0</v>
      </c>
      <c r="AL709" s="376">
        <v>0</v>
      </c>
      <c r="AM709" s="412">
        <v>265.02328358208939</v>
      </c>
      <c r="AR709" s="427"/>
      <c r="AS709" s="427"/>
      <c r="AT709" s="427"/>
      <c r="AU709" s="427"/>
      <c r="AV709" s="427"/>
    </row>
    <row r="710" spans="2:48" s="382" customFormat="1" ht="28.15" customHeight="1" x14ac:dyDescent="0.25">
      <c r="B710" s="378">
        <v>43716</v>
      </c>
      <c r="C710" s="370">
        <v>355338.08871000004</v>
      </c>
      <c r="D710" s="370">
        <v>41827.410000000003</v>
      </c>
      <c r="E710" s="371">
        <v>1000</v>
      </c>
      <c r="F710" s="371">
        <v>0</v>
      </c>
      <c r="G710" s="371">
        <v>0</v>
      </c>
      <c r="H710" s="371"/>
      <c r="I710" s="371"/>
      <c r="J710" s="371"/>
      <c r="K710" s="371"/>
      <c r="L710" s="371"/>
      <c r="M710" s="371">
        <v>650000</v>
      </c>
      <c r="N710" s="371">
        <v>21739</v>
      </c>
      <c r="O710" s="371">
        <v>1600</v>
      </c>
      <c r="P710" s="371">
        <v>91683</v>
      </c>
      <c r="Q710" s="379">
        <v>-23122.51</v>
      </c>
      <c r="R710" s="372">
        <v>356338.08871000004</v>
      </c>
      <c r="S710" s="400">
        <v>301788.05</v>
      </c>
      <c r="T710" s="400">
        <v>36230.450000000004</v>
      </c>
      <c r="U710" s="406">
        <v>1000</v>
      </c>
      <c r="V710" s="400">
        <v>0</v>
      </c>
      <c r="W710" s="372">
        <v>302788.05</v>
      </c>
      <c r="X710" s="373">
        <v>339018.5</v>
      </c>
      <c r="Y710" s="372">
        <v>398165.49871000007</v>
      </c>
      <c r="Z710" s="373">
        <v>1140064.9887099999</v>
      </c>
      <c r="AA710" s="400">
        <v>0</v>
      </c>
      <c r="AB710" s="400">
        <v>0</v>
      </c>
      <c r="AC710" s="400">
        <v>0</v>
      </c>
      <c r="AD710" s="400">
        <v>0</v>
      </c>
      <c r="AE710" s="372">
        <v>0</v>
      </c>
      <c r="AF710" s="372">
        <v>0</v>
      </c>
      <c r="AG710" s="400">
        <v>0</v>
      </c>
      <c r="AH710" s="374">
        <v>0</v>
      </c>
      <c r="AI710" s="375">
        <v>0</v>
      </c>
      <c r="AJ710" s="372">
        <v>273.74</v>
      </c>
      <c r="AK710" s="376">
        <v>0</v>
      </c>
      <c r="AL710" s="376">
        <v>0</v>
      </c>
      <c r="AM710" s="412">
        <v>265.1166169154227</v>
      </c>
      <c r="AR710" s="427"/>
      <c r="AS710" s="427"/>
      <c r="AT710" s="427"/>
      <c r="AU710" s="427"/>
      <c r="AV710" s="427"/>
    </row>
    <row r="711" spans="2:48" s="382" customFormat="1" ht="28.15" customHeight="1" x14ac:dyDescent="0.25">
      <c r="B711" s="369">
        <v>43717</v>
      </c>
      <c r="C711" s="370">
        <v>353994.56726000004</v>
      </c>
      <c r="D711" s="370">
        <v>41827.410000000003</v>
      </c>
      <c r="E711" s="371">
        <v>1875</v>
      </c>
      <c r="F711" s="371">
        <v>0</v>
      </c>
      <c r="G711" s="371">
        <v>0</v>
      </c>
      <c r="H711" s="371"/>
      <c r="I711" s="371"/>
      <c r="J711" s="371">
        <v>875</v>
      </c>
      <c r="K711" s="371"/>
      <c r="L711" s="371"/>
      <c r="M711" s="371">
        <v>650000</v>
      </c>
      <c r="N711" s="371">
        <v>21739</v>
      </c>
      <c r="O711" s="371">
        <v>1600</v>
      </c>
      <c r="P711" s="371">
        <v>91683</v>
      </c>
      <c r="Q711" s="379">
        <v>-23122.51</v>
      </c>
      <c r="R711" s="372">
        <v>355869.56726000004</v>
      </c>
      <c r="S711" s="400">
        <v>301788.05</v>
      </c>
      <c r="T711" s="400">
        <v>36230.450000000004</v>
      </c>
      <c r="U711" s="406">
        <v>1875</v>
      </c>
      <c r="V711" s="400">
        <v>0</v>
      </c>
      <c r="W711" s="372">
        <v>303663.05</v>
      </c>
      <c r="X711" s="373">
        <v>339893.5</v>
      </c>
      <c r="Y711" s="372">
        <v>397696.97726000007</v>
      </c>
      <c r="Z711" s="373">
        <v>1139596.4672600001</v>
      </c>
      <c r="AA711" s="400">
        <v>-1343.5214500000002</v>
      </c>
      <c r="AB711" s="400">
        <v>0</v>
      </c>
      <c r="AC711" s="400">
        <v>0</v>
      </c>
      <c r="AD711" s="400">
        <v>0</v>
      </c>
      <c r="AE711" s="372">
        <v>-1343.5214500000002</v>
      </c>
      <c r="AF711" s="372">
        <v>-1343.5214500000002</v>
      </c>
      <c r="AG711" s="400">
        <v>6.9999999999993179E-2</v>
      </c>
      <c r="AH711" s="374">
        <v>-3.7753198744820372E-3</v>
      </c>
      <c r="AI711" s="375">
        <v>0</v>
      </c>
      <c r="AJ711" s="372">
        <v>273.81</v>
      </c>
      <c r="AK711" s="376">
        <v>2.5565172930131543E-4</v>
      </c>
      <c r="AL711" s="376">
        <v>-4.0309716037833527E-3</v>
      </c>
      <c r="AM711" s="412">
        <v>265.20776119402967</v>
      </c>
      <c r="AR711" s="427"/>
      <c r="AS711" s="427"/>
      <c r="AT711" s="427"/>
      <c r="AU711" s="427"/>
      <c r="AV711" s="427"/>
    </row>
    <row r="712" spans="2:48" s="382" customFormat="1" ht="28.15" customHeight="1" x14ac:dyDescent="0.25">
      <c r="B712" s="369">
        <v>43718</v>
      </c>
      <c r="C712" s="370">
        <v>354388.35801899998</v>
      </c>
      <c r="D712" s="370">
        <v>41827.410000000003</v>
      </c>
      <c r="E712" s="371">
        <v>1875</v>
      </c>
      <c r="F712" s="371">
        <v>0</v>
      </c>
      <c r="G712" s="371">
        <v>0</v>
      </c>
      <c r="H712" s="371"/>
      <c r="I712" s="371"/>
      <c r="J712" s="371"/>
      <c r="K712" s="371"/>
      <c r="L712" s="371"/>
      <c r="M712" s="371">
        <v>650000</v>
      </c>
      <c r="N712" s="371">
        <v>21739</v>
      </c>
      <c r="O712" s="371">
        <v>1600</v>
      </c>
      <c r="P712" s="371">
        <v>91683</v>
      </c>
      <c r="Q712" s="379">
        <v>-23122.51</v>
      </c>
      <c r="R712" s="372">
        <v>356263.35801899998</v>
      </c>
      <c r="S712" s="400">
        <v>301788.05</v>
      </c>
      <c r="T712" s="400">
        <v>36230.450000000004</v>
      </c>
      <c r="U712" s="406">
        <v>1875</v>
      </c>
      <c r="V712" s="400">
        <v>0</v>
      </c>
      <c r="W712" s="372">
        <v>303663.05</v>
      </c>
      <c r="X712" s="373">
        <v>339893.5</v>
      </c>
      <c r="Y712" s="372">
        <v>398090.76801899995</v>
      </c>
      <c r="Z712" s="373">
        <v>1139990.2580190001</v>
      </c>
      <c r="AA712" s="400">
        <v>393.79075899993768</v>
      </c>
      <c r="AB712" s="400">
        <v>0</v>
      </c>
      <c r="AC712" s="400">
        <v>0</v>
      </c>
      <c r="AD712" s="400">
        <v>0</v>
      </c>
      <c r="AE712" s="372">
        <v>393.79075899993768</v>
      </c>
      <c r="AF712" s="372">
        <v>393.79075899993768</v>
      </c>
      <c r="AG712" s="400">
        <v>6.0000000000002274E-2</v>
      </c>
      <c r="AH712" s="374">
        <v>1.1053361232252696E-3</v>
      </c>
      <c r="AI712" s="375">
        <v>0</v>
      </c>
      <c r="AJ712" s="372">
        <v>273.87</v>
      </c>
      <c r="AK712" s="376">
        <v>2.1908204622632005E-4</v>
      </c>
      <c r="AL712" s="376">
        <v>8.8625407699894948E-4</v>
      </c>
      <c r="AM712" s="412">
        <v>265.29631840796003</v>
      </c>
      <c r="AR712" s="427"/>
      <c r="AS712" s="427"/>
      <c r="AT712" s="427"/>
      <c r="AU712" s="427"/>
      <c r="AV712" s="427"/>
    </row>
    <row r="713" spans="2:48" s="382" customFormat="1" ht="28.15" customHeight="1" x14ac:dyDescent="0.25">
      <c r="B713" s="369">
        <v>43719</v>
      </c>
      <c r="C713" s="370">
        <v>357248.17779300001</v>
      </c>
      <c r="D713" s="370">
        <v>41827.410000000003</v>
      </c>
      <c r="E713" s="371">
        <v>1875</v>
      </c>
      <c r="F713" s="371">
        <v>0</v>
      </c>
      <c r="G713" s="371">
        <v>0</v>
      </c>
      <c r="H713" s="371"/>
      <c r="I713" s="371"/>
      <c r="J713" s="371"/>
      <c r="K713" s="371"/>
      <c r="L713" s="371"/>
      <c r="M713" s="371">
        <v>650000</v>
      </c>
      <c r="N713" s="371">
        <v>21739</v>
      </c>
      <c r="O713" s="371">
        <v>1600</v>
      </c>
      <c r="P713" s="371">
        <v>91683</v>
      </c>
      <c r="Q713" s="379">
        <v>-23122.51</v>
      </c>
      <c r="R713" s="372">
        <v>359123.17779300001</v>
      </c>
      <c r="S713" s="400">
        <v>301788.05</v>
      </c>
      <c r="T713" s="400">
        <v>36230.450000000004</v>
      </c>
      <c r="U713" s="406">
        <v>1875</v>
      </c>
      <c r="V713" s="400">
        <v>0</v>
      </c>
      <c r="W713" s="372">
        <v>303663.05</v>
      </c>
      <c r="X713" s="373">
        <v>339893.5</v>
      </c>
      <c r="Y713" s="372">
        <v>400950.58779300004</v>
      </c>
      <c r="Z713" s="373">
        <v>1142850.077793</v>
      </c>
      <c r="AA713" s="400">
        <v>2859.8197740000323</v>
      </c>
      <c r="AB713" s="400">
        <v>0</v>
      </c>
      <c r="AC713" s="400">
        <v>0</v>
      </c>
      <c r="AD713" s="400">
        <v>0</v>
      </c>
      <c r="AE713" s="372">
        <v>2859.8197740000323</v>
      </c>
      <c r="AF713" s="372">
        <v>2859.8197740000323</v>
      </c>
      <c r="AG713" s="400">
        <v>1.9699999999999704</v>
      </c>
      <c r="AH713" s="374">
        <v>7.9633394635654602E-3</v>
      </c>
      <c r="AI713" s="375">
        <v>0</v>
      </c>
      <c r="AJ713" s="372">
        <v>275.83999999999997</v>
      </c>
      <c r="AK713" s="376">
        <v>7.1418213457075498E-3</v>
      </c>
      <c r="AL713" s="376">
        <v>8.2151811785791031E-4</v>
      </c>
      <c r="AM713" s="412">
        <v>265.3898009950247</v>
      </c>
      <c r="AR713" s="427"/>
      <c r="AS713" s="427"/>
      <c r="AT713" s="427"/>
      <c r="AU713" s="427"/>
      <c r="AV713" s="427"/>
    </row>
    <row r="714" spans="2:48" s="382" customFormat="1" ht="28.15" customHeight="1" x14ac:dyDescent="0.25">
      <c r="B714" s="369">
        <v>43720</v>
      </c>
      <c r="C714" s="370">
        <v>357265.88547000004</v>
      </c>
      <c r="D714" s="370">
        <v>41827.410000000003</v>
      </c>
      <c r="E714" s="371">
        <v>1784.71</v>
      </c>
      <c r="F714" s="371">
        <v>0</v>
      </c>
      <c r="G714" s="371">
        <v>0</v>
      </c>
      <c r="H714" s="371"/>
      <c r="I714" s="371"/>
      <c r="J714" s="371"/>
      <c r="K714" s="371"/>
      <c r="L714" s="371"/>
      <c r="M714" s="371">
        <v>650000</v>
      </c>
      <c r="N714" s="371">
        <v>21739</v>
      </c>
      <c r="O714" s="371">
        <v>1600</v>
      </c>
      <c r="P714" s="371">
        <v>91683</v>
      </c>
      <c r="Q714" s="379">
        <v>-23122.51</v>
      </c>
      <c r="R714" s="372">
        <v>359050.59547000006</v>
      </c>
      <c r="S714" s="400">
        <v>301788.05</v>
      </c>
      <c r="T714" s="400">
        <v>36230.450000000004</v>
      </c>
      <c r="U714" s="406">
        <v>1875</v>
      </c>
      <c r="V714" s="400">
        <v>0</v>
      </c>
      <c r="W714" s="372">
        <v>303663.05</v>
      </c>
      <c r="X714" s="373">
        <v>339893.5</v>
      </c>
      <c r="Y714" s="372">
        <v>400878.00547000003</v>
      </c>
      <c r="Z714" s="373">
        <v>1142777.49547</v>
      </c>
      <c r="AA714" s="400">
        <v>17.707677000027616</v>
      </c>
      <c r="AB714" s="400">
        <v>0</v>
      </c>
      <c r="AC714" s="400">
        <v>-90.289999999999964</v>
      </c>
      <c r="AD714" s="400">
        <v>0</v>
      </c>
      <c r="AE714" s="372">
        <v>-72.582322999972348</v>
      </c>
      <c r="AF714" s="372">
        <v>-72.582322999972348</v>
      </c>
      <c r="AG714" s="400">
        <v>0.81000000000000227</v>
      </c>
      <c r="AH714" s="374">
        <v>-2.0215068270520905E-4</v>
      </c>
      <c r="AI714" s="375">
        <v>0</v>
      </c>
      <c r="AJ714" s="372">
        <v>276.64999999999998</v>
      </c>
      <c r="AK714" s="376">
        <v>2.9278872221218232E-3</v>
      </c>
      <c r="AL714" s="376">
        <v>-3.1300379048270323E-3</v>
      </c>
      <c r="AM714" s="412">
        <v>265.48547263681576</v>
      </c>
      <c r="AR714" s="427"/>
      <c r="AS714" s="427"/>
      <c r="AT714" s="427"/>
      <c r="AU714" s="427"/>
      <c r="AV714" s="427"/>
    </row>
    <row r="715" spans="2:48" s="382" customFormat="1" ht="28.15" customHeight="1" x14ac:dyDescent="0.25">
      <c r="B715" s="369">
        <v>43721</v>
      </c>
      <c r="C715" s="370">
        <v>345755.76511700003</v>
      </c>
      <c r="D715" s="370">
        <v>42007.02</v>
      </c>
      <c r="E715" s="371">
        <v>1758.37</v>
      </c>
      <c r="F715" s="371">
        <v>0</v>
      </c>
      <c r="G715" s="371">
        <v>1822.18</v>
      </c>
      <c r="H715" s="371"/>
      <c r="I715" s="371"/>
      <c r="J715" s="371"/>
      <c r="K715" s="371"/>
      <c r="L715" s="371">
        <v>1822.18</v>
      </c>
      <c r="M715" s="371">
        <v>650000</v>
      </c>
      <c r="N715" s="371">
        <v>21739</v>
      </c>
      <c r="O715" s="371">
        <v>1600</v>
      </c>
      <c r="P715" s="371">
        <v>91683</v>
      </c>
      <c r="Q715" s="379">
        <v>-23122.51</v>
      </c>
      <c r="R715" s="372">
        <v>349336.31511700002</v>
      </c>
      <c r="S715" s="400">
        <v>301788.05</v>
      </c>
      <c r="T715" s="400">
        <v>36230.450000000004</v>
      </c>
      <c r="U715" s="406">
        <v>1875</v>
      </c>
      <c r="V715" s="400">
        <v>1822.18</v>
      </c>
      <c r="W715" s="372">
        <v>305485.23</v>
      </c>
      <c r="X715" s="373">
        <v>341715.68</v>
      </c>
      <c r="Y715" s="372">
        <v>391343.33511700004</v>
      </c>
      <c r="Z715" s="373">
        <v>1133242.8251170001</v>
      </c>
      <c r="AA715" s="400">
        <v>-11510.120353000006</v>
      </c>
      <c r="AB715" s="400">
        <v>179.60999999999331</v>
      </c>
      <c r="AC715" s="400">
        <v>-26.340000000000146</v>
      </c>
      <c r="AD715" s="400">
        <v>0</v>
      </c>
      <c r="AE715" s="372">
        <v>-11536.460353000006</v>
      </c>
      <c r="AF715" s="372">
        <v>-11356.850353000013</v>
      </c>
      <c r="AG715" s="400">
        <v>-6.9999999999993179E-2</v>
      </c>
      <c r="AH715" s="374">
        <v>-3.3023936687304335E-2</v>
      </c>
      <c r="AI715" s="375">
        <v>4.2757139163881021E-3</v>
      </c>
      <c r="AJ715" s="372">
        <v>276.58</v>
      </c>
      <c r="AK715" s="376">
        <v>-2.53091329814134E-4</v>
      </c>
      <c r="AL715" s="376">
        <v>-3.2770845357490204E-2</v>
      </c>
      <c r="AM715" s="412">
        <v>265.58517412935305</v>
      </c>
      <c r="AR715" s="427"/>
      <c r="AS715" s="427"/>
      <c r="AT715" s="427"/>
      <c r="AU715" s="427"/>
      <c r="AV715" s="427"/>
    </row>
    <row r="716" spans="2:48" s="382" customFormat="1" ht="28.15" customHeight="1" x14ac:dyDescent="0.25">
      <c r="B716" s="378">
        <v>43722</v>
      </c>
      <c r="C716" s="370">
        <v>345755.76511700003</v>
      </c>
      <c r="D716" s="370">
        <v>42007.02</v>
      </c>
      <c r="E716" s="371">
        <v>1758.37</v>
      </c>
      <c r="F716" s="371">
        <v>0</v>
      </c>
      <c r="G716" s="371">
        <v>1822.18</v>
      </c>
      <c r="H716" s="371"/>
      <c r="I716" s="371"/>
      <c r="J716" s="371"/>
      <c r="K716" s="371"/>
      <c r="L716" s="371"/>
      <c r="M716" s="371">
        <v>650000</v>
      </c>
      <c r="N716" s="371">
        <v>21739</v>
      </c>
      <c r="O716" s="371">
        <v>1600</v>
      </c>
      <c r="P716" s="371">
        <v>91683</v>
      </c>
      <c r="Q716" s="379">
        <v>-23122.51</v>
      </c>
      <c r="R716" s="372">
        <v>349336.31511700002</v>
      </c>
      <c r="S716" s="400">
        <v>301788.05</v>
      </c>
      <c r="T716" s="400">
        <v>36230.450000000004</v>
      </c>
      <c r="U716" s="406">
        <v>1875</v>
      </c>
      <c r="V716" s="400">
        <v>1822.18</v>
      </c>
      <c r="W716" s="372">
        <v>305485.23</v>
      </c>
      <c r="X716" s="373">
        <v>341715.68</v>
      </c>
      <c r="Y716" s="372">
        <v>391343.33511700004</v>
      </c>
      <c r="Z716" s="373">
        <v>1133242.8251170001</v>
      </c>
      <c r="AA716" s="400">
        <v>0</v>
      </c>
      <c r="AB716" s="400">
        <v>0</v>
      </c>
      <c r="AC716" s="400">
        <v>0</v>
      </c>
      <c r="AD716" s="400">
        <v>0</v>
      </c>
      <c r="AE716" s="372">
        <v>0</v>
      </c>
      <c r="AF716" s="372">
        <v>0</v>
      </c>
      <c r="AG716" s="400">
        <v>0</v>
      </c>
      <c r="AH716" s="374">
        <v>0</v>
      </c>
      <c r="AI716" s="375">
        <v>0</v>
      </c>
      <c r="AJ716" s="372">
        <v>276.58</v>
      </c>
      <c r="AK716" s="376">
        <v>0</v>
      </c>
      <c r="AL716" s="376">
        <v>0</v>
      </c>
      <c r="AM716" s="412">
        <v>265.68452736318392</v>
      </c>
      <c r="AR716" s="427"/>
      <c r="AS716" s="427"/>
      <c r="AT716" s="427"/>
      <c r="AU716" s="427"/>
      <c r="AV716" s="427"/>
    </row>
    <row r="717" spans="2:48" s="382" customFormat="1" ht="28.15" customHeight="1" x14ac:dyDescent="0.25">
      <c r="B717" s="378">
        <v>43723</v>
      </c>
      <c r="C717" s="370">
        <v>345755.76511700003</v>
      </c>
      <c r="D717" s="370">
        <v>42007.02</v>
      </c>
      <c r="E717" s="371">
        <v>1758.37</v>
      </c>
      <c r="F717" s="371">
        <v>0</v>
      </c>
      <c r="G717" s="371">
        <v>1822.18</v>
      </c>
      <c r="H717" s="371"/>
      <c r="I717" s="371"/>
      <c r="J717" s="371"/>
      <c r="K717" s="371"/>
      <c r="L717" s="371"/>
      <c r="M717" s="371">
        <v>650000</v>
      </c>
      <c r="N717" s="371">
        <v>21739</v>
      </c>
      <c r="O717" s="371">
        <v>1600</v>
      </c>
      <c r="P717" s="371">
        <v>91683</v>
      </c>
      <c r="Q717" s="379">
        <v>-23122.51</v>
      </c>
      <c r="R717" s="372">
        <v>349336.31511700002</v>
      </c>
      <c r="S717" s="400">
        <v>301788.05</v>
      </c>
      <c r="T717" s="400">
        <v>36230.450000000004</v>
      </c>
      <c r="U717" s="406">
        <v>1875</v>
      </c>
      <c r="V717" s="400">
        <v>1822.18</v>
      </c>
      <c r="W717" s="372">
        <v>305485.23</v>
      </c>
      <c r="X717" s="373">
        <v>341715.68</v>
      </c>
      <c r="Y717" s="372">
        <v>391343.33511700004</v>
      </c>
      <c r="Z717" s="373">
        <v>1133242.8251170001</v>
      </c>
      <c r="AA717" s="400">
        <v>0</v>
      </c>
      <c r="AB717" s="400">
        <v>0</v>
      </c>
      <c r="AC717" s="400">
        <v>0</v>
      </c>
      <c r="AD717" s="400">
        <v>0</v>
      </c>
      <c r="AE717" s="372">
        <v>0</v>
      </c>
      <c r="AF717" s="372">
        <v>0</v>
      </c>
      <c r="AG717" s="400">
        <v>0</v>
      </c>
      <c r="AH717" s="374">
        <v>0</v>
      </c>
      <c r="AI717" s="375">
        <v>0</v>
      </c>
      <c r="AJ717" s="372">
        <v>276.58</v>
      </c>
      <c r="AK717" s="376">
        <v>0</v>
      </c>
      <c r="AL717" s="376">
        <v>0</v>
      </c>
      <c r="AM717" s="412">
        <v>265.78199004975107</v>
      </c>
      <c r="AR717" s="427"/>
      <c r="AS717" s="427"/>
      <c r="AT717" s="427"/>
      <c r="AU717" s="427"/>
      <c r="AV717" s="427"/>
    </row>
    <row r="718" spans="2:48" s="382" customFormat="1" ht="28.15" customHeight="1" x14ac:dyDescent="0.25">
      <c r="B718" s="369">
        <v>43724</v>
      </c>
      <c r="C718" s="370">
        <v>354467.72936000006</v>
      </c>
      <c r="D718" s="370">
        <v>42007.02</v>
      </c>
      <c r="E718" s="371">
        <v>1777.37</v>
      </c>
      <c r="F718" s="371">
        <v>0</v>
      </c>
      <c r="G718" s="371">
        <v>1822.18</v>
      </c>
      <c r="H718" s="371"/>
      <c r="I718" s="371"/>
      <c r="J718" s="371"/>
      <c r="K718" s="371"/>
      <c r="L718" s="371"/>
      <c r="M718" s="371">
        <v>650000</v>
      </c>
      <c r="N718" s="371">
        <v>21739</v>
      </c>
      <c r="O718" s="371">
        <v>1600</v>
      </c>
      <c r="P718" s="371">
        <v>91683</v>
      </c>
      <c r="Q718" s="379">
        <v>-23122.51</v>
      </c>
      <c r="R718" s="372">
        <v>358067.27936000004</v>
      </c>
      <c r="S718" s="400">
        <v>301788.05</v>
      </c>
      <c r="T718" s="400">
        <v>36230.450000000004</v>
      </c>
      <c r="U718" s="406">
        <v>1875</v>
      </c>
      <c r="V718" s="400">
        <v>1822.18</v>
      </c>
      <c r="W718" s="372">
        <v>305485.23</v>
      </c>
      <c r="X718" s="373">
        <v>341715.68</v>
      </c>
      <c r="Y718" s="372">
        <v>400074.29936000006</v>
      </c>
      <c r="Z718" s="373">
        <v>1141973.7893600001</v>
      </c>
      <c r="AA718" s="400">
        <v>8711.964243000024</v>
      </c>
      <c r="AB718" s="400">
        <v>0</v>
      </c>
      <c r="AC718" s="400">
        <v>19</v>
      </c>
      <c r="AD718" s="400">
        <v>0</v>
      </c>
      <c r="AE718" s="372">
        <v>8730.964243000024</v>
      </c>
      <c r="AF718" s="372">
        <v>8730.964243000024</v>
      </c>
      <c r="AG718" s="400">
        <v>-0.90999999999996817</v>
      </c>
      <c r="AH718" s="374">
        <v>2.4383585840642902E-2</v>
      </c>
      <c r="AI718" s="375">
        <v>0</v>
      </c>
      <c r="AJ718" s="372">
        <v>275.67</v>
      </c>
      <c r="AK718" s="376">
        <v>-3.3010483549169955E-3</v>
      </c>
      <c r="AL718" s="376">
        <v>2.7684634195559898E-2</v>
      </c>
      <c r="AM718" s="412">
        <v>265.88039800995011</v>
      </c>
      <c r="AR718" s="427"/>
      <c r="AS718" s="427"/>
      <c r="AT718" s="427"/>
      <c r="AU718" s="427"/>
      <c r="AV718" s="427"/>
    </row>
    <row r="719" spans="2:48" s="382" customFormat="1" ht="28.15" customHeight="1" x14ac:dyDescent="0.25">
      <c r="B719" s="428">
        <v>43725</v>
      </c>
      <c r="C719" s="429">
        <v>232.34162600000005</v>
      </c>
      <c r="D719" s="429">
        <v>42007.02</v>
      </c>
      <c r="E719" s="379">
        <v>358793.23684600007</v>
      </c>
      <c r="F719" s="379">
        <v>0</v>
      </c>
      <c r="G719" s="379">
        <v>1822.18</v>
      </c>
      <c r="H719" s="379">
        <v>-301788.05</v>
      </c>
      <c r="I719" s="379">
        <v>210</v>
      </c>
      <c r="J719" s="379">
        <v>301039.87</v>
      </c>
      <c r="K719" s="379"/>
      <c r="L719" s="379"/>
      <c r="M719" s="379">
        <v>650000</v>
      </c>
      <c r="N719" s="379">
        <v>21739</v>
      </c>
      <c r="O719" s="379">
        <v>1600</v>
      </c>
      <c r="P719" s="379">
        <v>91683</v>
      </c>
      <c r="Q719" s="379">
        <v>-23122.51</v>
      </c>
      <c r="R719" s="430">
        <v>360847.75847200007</v>
      </c>
      <c r="S719" s="400">
        <v>0</v>
      </c>
      <c r="T719" s="400">
        <v>36440.450000000004</v>
      </c>
      <c r="U719" s="406">
        <v>302914.87</v>
      </c>
      <c r="V719" s="400">
        <v>1822.18</v>
      </c>
      <c r="W719" s="430">
        <v>304737.05</v>
      </c>
      <c r="X719" s="431">
        <v>341177.5</v>
      </c>
      <c r="Y719" s="430">
        <v>402854.77847200009</v>
      </c>
      <c r="Z719" s="373">
        <v>1144754.268472</v>
      </c>
      <c r="AA719" s="406">
        <v>-52447.337734000059</v>
      </c>
      <c r="AB719" s="406">
        <v>-210</v>
      </c>
      <c r="AC719" s="406">
        <v>55975.996846000082</v>
      </c>
      <c r="AD719" s="406">
        <v>0</v>
      </c>
      <c r="AE719" s="430">
        <v>3528.659112000023</v>
      </c>
      <c r="AF719" s="430">
        <v>3318.659112000023</v>
      </c>
      <c r="AG719" s="400">
        <v>0.75</v>
      </c>
      <c r="AH719" s="432">
        <v>9.7788029138438683E-3</v>
      </c>
      <c r="AI719" s="433">
        <v>-4.9991644253746161E-3</v>
      </c>
      <c r="AJ719" s="430">
        <v>276.42</v>
      </c>
      <c r="AK719" s="434">
        <v>2.7132624267419145E-3</v>
      </c>
      <c r="AL719" s="434">
        <v>7.0655404871019538E-3</v>
      </c>
      <c r="AM719" s="412">
        <v>265.97492537313417</v>
      </c>
      <c r="AR719" s="427"/>
      <c r="AS719" s="427"/>
      <c r="AT719" s="427"/>
      <c r="AU719" s="427"/>
      <c r="AV719" s="427"/>
    </row>
    <row r="720" spans="2:48" s="382" customFormat="1" ht="28.15" customHeight="1" x14ac:dyDescent="0.25">
      <c r="B720" s="369">
        <v>43726</v>
      </c>
      <c r="C720" s="370">
        <v>0</v>
      </c>
      <c r="D720" s="370">
        <v>42135.85</v>
      </c>
      <c r="E720" s="371">
        <v>352618.27</v>
      </c>
      <c r="F720" s="371">
        <v>0</v>
      </c>
      <c r="G720" s="371">
        <v>1822.18</v>
      </c>
      <c r="H720" s="371"/>
      <c r="I720" s="371"/>
      <c r="J720" s="371"/>
      <c r="K720" s="371"/>
      <c r="L720" s="371"/>
      <c r="M720" s="371">
        <v>650000</v>
      </c>
      <c r="N720" s="371">
        <v>21739</v>
      </c>
      <c r="O720" s="371">
        <v>1600</v>
      </c>
      <c r="P720" s="371">
        <v>91683</v>
      </c>
      <c r="Q720" s="379">
        <v>-23122.51</v>
      </c>
      <c r="R720" s="372">
        <v>354440.45</v>
      </c>
      <c r="S720" s="400">
        <v>0</v>
      </c>
      <c r="T720" s="400">
        <v>36440.450000000004</v>
      </c>
      <c r="U720" s="406">
        <v>302914.87</v>
      </c>
      <c r="V720" s="400">
        <v>1822.18</v>
      </c>
      <c r="W720" s="372">
        <v>304737.05</v>
      </c>
      <c r="X720" s="373">
        <v>341177.5</v>
      </c>
      <c r="Y720" s="372">
        <v>396576.3</v>
      </c>
      <c r="Z720" s="373">
        <v>1138475.79</v>
      </c>
      <c r="AA720" s="400">
        <v>-232.34162600000005</v>
      </c>
      <c r="AB720" s="400">
        <v>128.83000000000175</v>
      </c>
      <c r="AC720" s="400">
        <v>-6174.9668460000539</v>
      </c>
      <c r="AD720" s="400">
        <v>0</v>
      </c>
      <c r="AE720" s="372">
        <v>-6407.3084720000543</v>
      </c>
      <c r="AF720" s="372">
        <v>-6278.4784720000525</v>
      </c>
      <c r="AG720" s="400">
        <v>0.16999999999995907</v>
      </c>
      <c r="AH720" s="374">
        <v>-1.8077249569003917E-2</v>
      </c>
      <c r="AI720" s="375">
        <v>3.057491423574029E-3</v>
      </c>
      <c r="AJ720" s="372">
        <v>276.58999999999997</v>
      </c>
      <c r="AK720" s="376">
        <v>6.1462814996912066E-4</v>
      </c>
      <c r="AL720" s="376">
        <v>-1.8691877718973036E-2</v>
      </c>
      <c r="AM720" s="412">
        <v>266.07616915422864</v>
      </c>
      <c r="AR720" s="427"/>
      <c r="AS720" s="427"/>
      <c r="AT720" s="427"/>
      <c r="AU720" s="427"/>
      <c r="AV720" s="427"/>
    </row>
    <row r="721" spans="2:48" s="382" customFormat="1" ht="28.15" customHeight="1" x14ac:dyDescent="0.25">
      <c r="B721" s="369">
        <v>43727</v>
      </c>
      <c r="C721" s="370">
        <v>0</v>
      </c>
      <c r="D721" s="370">
        <v>42309.03</v>
      </c>
      <c r="E721" s="371">
        <v>353837.28</v>
      </c>
      <c r="F721" s="371">
        <v>0</v>
      </c>
      <c r="G721" s="371">
        <v>1822.18</v>
      </c>
      <c r="H721" s="371"/>
      <c r="I721" s="371"/>
      <c r="J721" s="371"/>
      <c r="K721" s="371"/>
      <c r="L721" s="371"/>
      <c r="M721" s="371">
        <v>650000</v>
      </c>
      <c r="N721" s="371">
        <v>21739</v>
      </c>
      <c r="O721" s="371">
        <v>1600</v>
      </c>
      <c r="P721" s="371">
        <v>91683</v>
      </c>
      <c r="Q721" s="379">
        <v>-23122.51</v>
      </c>
      <c r="R721" s="372">
        <v>355659.46</v>
      </c>
      <c r="S721" s="400">
        <v>0</v>
      </c>
      <c r="T721" s="400">
        <v>36440.450000000004</v>
      </c>
      <c r="U721" s="406">
        <v>302914.87</v>
      </c>
      <c r="V721" s="400">
        <v>1822.18</v>
      </c>
      <c r="W721" s="372">
        <v>304737.05</v>
      </c>
      <c r="X721" s="373">
        <v>341177.5</v>
      </c>
      <c r="Y721" s="372">
        <v>397968.49000000005</v>
      </c>
      <c r="Z721" s="373">
        <v>1139867.98</v>
      </c>
      <c r="AA721" s="400">
        <v>0</v>
      </c>
      <c r="AB721" s="400">
        <v>173.18000000000029</v>
      </c>
      <c r="AC721" s="400">
        <v>1219.0100000000093</v>
      </c>
      <c r="AD721" s="400">
        <v>0</v>
      </c>
      <c r="AE721" s="372">
        <v>1219.0100000000093</v>
      </c>
      <c r="AF721" s="372">
        <v>1392.1900000000096</v>
      </c>
      <c r="AG721" s="400">
        <v>-6.0000000000002274E-2</v>
      </c>
      <c r="AH721" s="374">
        <v>3.4274640129072042E-3</v>
      </c>
      <c r="AI721" s="375">
        <v>4.0932160344966618E-3</v>
      </c>
      <c r="AJ721" s="372">
        <v>276.52999999999997</v>
      </c>
      <c r="AK721" s="376">
        <v>-2.1697465012838492E-4</v>
      </c>
      <c r="AL721" s="376">
        <v>3.644438663035589E-3</v>
      </c>
      <c r="AM721" s="412">
        <v>266.169502487562</v>
      </c>
      <c r="AR721" s="427"/>
      <c r="AS721" s="427"/>
      <c r="AT721" s="427"/>
      <c r="AU721" s="427"/>
      <c r="AV721" s="427"/>
    </row>
    <row r="722" spans="2:48" s="382" customFormat="1" ht="28.15" customHeight="1" x14ac:dyDescent="0.25">
      <c r="B722" s="428">
        <v>43728</v>
      </c>
      <c r="C722" s="429">
        <v>0</v>
      </c>
      <c r="D722" s="429">
        <v>42370.879999999997</v>
      </c>
      <c r="E722" s="379">
        <v>355804.12</v>
      </c>
      <c r="F722" s="379">
        <v>0</v>
      </c>
      <c r="G722" s="379">
        <v>1822.18</v>
      </c>
      <c r="H722" s="379"/>
      <c r="I722" s="379"/>
      <c r="J722" s="379"/>
      <c r="K722" s="379"/>
      <c r="L722" s="379"/>
      <c r="M722" s="379">
        <v>650000</v>
      </c>
      <c r="N722" s="379">
        <v>21739</v>
      </c>
      <c r="O722" s="379">
        <v>1600</v>
      </c>
      <c r="P722" s="379">
        <v>91683</v>
      </c>
      <c r="Q722" s="379">
        <v>-23122.51</v>
      </c>
      <c r="R722" s="430">
        <v>357626.3</v>
      </c>
      <c r="S722" s="400">
        <v>0</v>
      </c>
      <c r="T722" s="400">
        <v>36440.450000000004</v>
      </c>
      <c r="U722" s="406">
        <v>302914.87</v>
      </c>
      <c r="V722" s="400">
        <v>1822.18</v>
      </c>
      <c r="W722" s="430">
        <v>304737.05</v>
      </c>
      <c r="X722" s="431">
        <v>341177.5</v>
      </c>
      <c r="Y722" s="430">
        <v>399997.18</v>
      </c>
      <c r="Z722" s="373">
        <v>1141896.67</v>
      </c>
      <c r="AA722" s="406">
        <v>0</v>
      </c>
      <c r="AB722" s="406">
        <v>61.849999999998545</v>
      </c>
      <c r="AC722" s="406">
        <v>1966.8399999999674</v>
      </c>
      <c r="AD722" s="406">
        <v>0</v>
      </c>
      <c r="AE722" s="430">
        <v>1966.8399999999674</v>
      </c>
      <c r="AF722" s="430">
        <v>2028.6899999999659</v>
      </c>
      <c r="AG722" s="400">
        <v>-1.4799999999999613</v>
      </c>
      <c r="AH722" s="432">
        <v>5.4997073761073149E-3</v>
      </c>
      <c r="AI722" s="433">
        <v>1.4597289459175394E-3</v>
      </c>
      <c r="AJ722" s="430">
        <v>275.05</v>
      </c>
      <c r="AK722" s="434">
        <v>-5.3808398473003498E-3</v>
      </c>
      <c r="AL722" s="434">
        <v>1.0880547223407665E-2</v>
      </c>
      <c r="AM722" s="412">
        <v>266.26253731343263</v>
      </c>
      <c r="AR722" s="427"/>
      <c r="AS722" s="427"/>
      <c r="AT722" s="427"/>
      <c r="AU722" s="427"/>
      <c r="AV722" s="427"/>
    </row>
    <row r="723" spans="2:48" s="382" customFormat="1" ht="28.15" customHeight="1" x14ac:dyDescent="0.25">
      <c r="B723" s="378">
        <v>43729</v>
      </c>
      <c r="C723" s="429">
        <v>0</v>
      </c>
      <c r="D723" s="429">
        <v>42370.879999999997</v>
      </c>
      <c r="E723" s="379">
        <v>355804.12</v>
      </c>
      <c r="F723" s="379">
        <v>0</v>
      </c>
      <c r="G723" s="379">
        <v>1822.18</v>
      </c>
      <c r="H723" s="379"/>
      <c r="I723" s="379"/>
      <c r="J723" s="379"/>
      <c r="K723" s="379"/>
      <c r="L723" s="379"/>
      <c r="M723" s="379">
        <v>650000</v>
      </c>
      <c r="N723" s="379">
        <v>21739</v>
      </c>
      <c r="O723" s="379">
        <v>1600</v>
      </c>
      <c r="P723" s="379">
        <v>91683</v>
      </c>
      <c r="Q723" s="379">
        <v>-23122.51</v>
      </c>
      <c r="R723" s="430">
        <v>357626.3</v>
      </c>
      <c r="S723" s="400">
        <v>0</v>
      </c>
      <c r="T723" s="400">
        <v>36440.450000000004</v>
      </c>
      <c r="U723" s="406">
        <v>302914.87</v>
      </c>
      <c r="V723" s="400">
        <v>1822.18</v>
      </c>
      <c r="W723" s="430">
        <v>304737.05</v>
      </c>
      <c r="X723" s="431">
        <v>341177.5</v>
      </c>
      <c r="Y723" s="430">
        <v>399997.18</v>
      </c>
      <c r="Z723" s="373">
        <v>1141896.67</v>
      </c>
      <c r="AA723" s="406">
        <v>0</v>
      </c>
      <c r="AB723" s="406">
        <v>0</v>
      </c>
      <c r="AC723" s="406">
        <v>0</v>
      </c>
      <c r="AD723" s="406">
        <v>0</v>
      </c>
      <c r="AE723" s="430">
        <v>0</v>
      </c>
      <c r="AF723" s="430">
        <v>0</v>
      </c>
      <c r="AG723" s="400">
        <v>0</v>
      </c>
      <c r="AH723" s="432">
        <v>0</v>
      </c>
      <c r="AI723" s="433">
        <v>0</v>
      </c>
      <c r="AJ723" s="430">
        <v>275.05</v>
      </c>
      <c r="AK723" s="434">
        <v>0</v>
      </c>
      <c r="AL723" s="434">
        <v>0</v>
      </c>
      <c r="AM723" s="412">
        <v>266.34820895522364</v>
      </c>
      <c r="AR723" s="427"/>
      <c r="AS723" s="427"/>
      <c r="AT723" s="427"/>
      <c r="AU723" s="427"/>
      <c r="AV723" s="427"/>
    </row>
    <row r="724" spans="2:48" s="382" customFormat="1" ht="28.15" customHeight="1" x14ac:dyDescent="0.25">
      <c r="B724" s="435">
        <v>43730</v>
      </c>
      <c r="C724" s="429">
        <v>0</v>
      </c>
      <c r="D724" s="429">
        <v>42370.879999999997</v>
      </c>
      <c r="E724" s="379">
        <v>355804.12</v>
      </c>
      <c r="F724" s="379">
        <v>0</v>
      </c>
      <c r="G724" s="379">
        <v>1822.18</v>
      </c>
      <c r="H724" s="379"/>
      <c r="I724" s="379"/>
      <c r="J724" s="379"/>
      <c r="K724" s="379"/>
      <c r="L724" s="379"/>
      <c r="M724" s="379">
        <v>650000</v>
      </c>
      <c r="N724" s="379">
        <v>21739</v>
      </c>
      <c r="O724" s="379">
        <v>1600</v>
      </c>
      <c r="P724" s="379">
        <v>91683</v>
      </c>
      <c r="Q724" s="379">
        <v>-23122.51</v>
      </c>
      <c r="R724" s="430">
        <v>357626.3</v>
      </c>
      <c r="S724" s="400">
        <v>0</v>
      </c>
      <c r="T724" s="400">
        <v>36440.450000000004</v>
      </c>
      <c r="U724" s="406">
        <v>302914.87</v>
      </c>
      <c r="V724" s="400">
        <v>1822.18</v>
      </c>
      <c r="W724" s="430">
        <v>304737.05</v>
      </c>
      <c r="X724" s="431">
        <v>341177.5</v>
      </c>
      <c r="Y724" s="430">
        <v>399997.18</v>
      </c>
      <c r="Z724" s="373">
        <v>1141896.67</v>
      </c>
      <c r="AA724" s="406">
        <v>0</v>
      </c>
      <c r="AB724" s="406">
        <v>0</v>
      </c>
      <c r="AC724" s="406">
        <v>0</v>
      </c>
      <c r="AD724" s="406">
        <v>0</v>
      </c>
      <c r="AE724" s="430">
        <v>0</v>
      </c>
      <c r="AF724" s="430">
        <v>0</v>
      </c>
      <c r="AG724" s="400">
        <v>0</v>
      </c>
      <c r="AH724" s="432">
        <v>0</v>
      </c>
      <c r="AI724" s="433">
        <v>0</v>
      </c>
      <c r="AJ724" s="430">
        <v>275.05</v>
      </c>
      <c r="AK724" s="434">
        <v>0</v>
      </c>
      <c r="AL724" s="434">
        <v>0</v>
      </c>
      <c r="AM724" s="412">
        <v>266.43880597014908</v>
      </c>
      <c r="AR724" s="427"/>
      <c r="AS724" s="427"/>
      <c r="AT724" s="427"/>
      <c r="AU724" s="427"/>
      <c r="AV724" s="427"/>
    </row>
    <row r="725" spans="2:48" s="382" customFormat="1" ht="28.15" customHeight="1" x14ac:dyDescent="0.25">
      <c r="B725" s="369">
        <v>43731</v>
      </c>
      <c r="C725" s="429">
        <v>0</v>
      </c>
      <c r="D725" s="429">
        <v>42296.66</v>
      </c>
      <c r="E725" s="379">
        <v>369077.27</v>
      </c>
      <c r="F725" s="379">
        <v>0</v>
      </c>
      <c r="G725" s="379">
        <v>1822.18</v>
      </c>
      <c r="H725" s="371"/>
      <c r="I725" s="371"/>
      <c r="J725" s="379">
        <v>875</v>
      </c>
      <c r="K725" s="379"/>
      <c r="L725" s="379"/>
      <c r="M725" s="379">
        <v>650000</v>
      </c>
      <c r="N725" s="379">
        <v>20739</v>
      </c>
      <c r="O725" s="379">
        <v>1600</v>
      </c>
      <c r="P725" s="379">
        <v>91683</v>
      </c>
      <c r="Q725" s="379">
        <v>-23122.51</v>
      </c>
      <c r="R725" s="430">
        <v>370899.45</v>
      </c>
      <c r="S725" s="400">
        <v>0</v>
      </c>
      <c r="T725" s="400">
        <v>36440.450000000004</v>
      </c>
      <c r="U725" s="406">
        <v>303789.87</v>
      </c>
      <c r="V725" s="400">
        <v>1822.18</v>
      </c>
      <c r="W725" s="430">
        <v>305612.05</v>
      </c>
      <c r="X725" s="431">
        <v>342052.5</v>
      </c>
      <c r="Y725" s="430">
        <v>413196.11000000004</v>
      </c>
      <c r="Z725" s="373">
        <v>1154095.6000000001</v>
      </c>
      <c r="AA725" s="406">
        <v>0</v>
      </c>
      <c r="AB725" s="406">
        <v>-74.219999999993888</v>
      </c>
      <c r="AC725" s="406">
        <v>12398.150000000023</v>
      </c>
      <c r="AD725" s="406">
        <v>0</v>
      </c>
      <c r="AE725" s="430">
        <v>12398.150000000023</v>
      </c>
      <c r="AF725" s="430">
        <v>12323.930000000029</v>
      </c>
      <c r="AG725" s="400">
        <v>0.18999999999999773</v>
      </c>
      <c r="AH725" s="432">
        <v>3.3427253666728336E-2</v>
      </c>
      <c r="AI725" s="433">
        <v>-1.7547484836862742E-3</v>
      </c>
      <c r="AJ725" s="430">
        <v>275.24</v>
      </c>
      <c r="AK725" s="434">
        <v>6.9030664147652133E-4</v>
      </c>
      <c r="AL725" s="434">
        <v>3.2736947025251817E-2</v>
      </c>
      <c r="AM725" s="412">
        <v>266.53089552238788</v>
      </c>
      <c r="AR725" s="427"/>
      <c r="AS725" s="427"/>
      <c r="AT725" s="427"/>
      <c r="AU725" s="427"/>
      <c r="AV725" s="427"/>
    </row>
    <row r="726" spans="2:48" s="382" customFormat="1" ht="28.15" customHeight="1" x14ac:dyDescent="0.25">
      <c r="B726" s="428">
        <v>43732</v>
      </c>
      <c r="C726" s="429">
        <v>0</v>
      </c>
      <c r="D726" s="429">
        <v>42082.74</v>
      </c>
      <c r="E726" s="379">
        <v>364769.6</v>
      </c>
      <c r="F726" s="379">
        <v>0</v>
      </c>
      <c r="G726" s="379">
        <v>1822.18</v>
      </c>
      <c r="H726" s="379"/>
      <c r="I726" s="379"/>
      <c r="J726" s="379"/>
      <c r="K726" s="379"/>
      <c r="L726" s="379"/>
      <c r="M726" s="379">
        <v>650000</v>
      </c>
      <c r="N726" s="379">
        <v>20739</v>
      </c>
      <c r="O726" s="379">
        <v>1600</v>
      </c>
      <c r="P726" s="379">
        <v>91683</v>
      </c>
      <c r="Q726" s="379">
        <v>-23122.51</v>
      </c>
      <c r="R726" s="430">
        <v>366591.77999999997</v>
      </c>
      <c r="S726" s="400">
        <v>0</v>
      </c>
      <c r="T726" s="400">
        <v>36440.450000000004</v>
      </c>
      <c r="U726" s="406">
        <v>303789.87</v>
      </c>
      <c r="V726" s="400">
        <v>1822.18</v>
      </c>
      <c r="W726" s="430">
        <v>305612.05</v>
      </c>
      <c r="X726" s="431">
        <v>342052.5</v>
      </c>
      <c r="Y726" s="430">
        <v>408674.51999999996</v>
      </c>
      <c r="Z726" s="373">
        <v>1149574.01</v>
      </c>
      <c r="AA726" s="406">
        <v>0</v>
      </c>
      <c r="AB726" s="406">
        <v>-213.92000000000553</v>
      </c>
      <c r="AC726" s="406">
        <v>-4307.6700000000419</v>
      </c>
      <c r="AD726" s="406">
        <v>0</v>
      </c>
      <c r="AE726" s="430">
        <v>-4307.6700000000419</v>
      </c>
      <c r="AF726" s="430">
        <v>-4521.5900000000474</v>
      </c>
      <c r="AG726" s="400">
        <v>-2.2800000000000296</v>
      </c>
      <c r="AH726" s="432">
        <v>-1.1750590807028031E-2</v>
      </c>
      <c r="AI726" s="433">
        <v>-5.0833191945202603E-3</v>
      </c>
      <c r="AJ726" s="430">
        <v>272.95999999999998</v>
      </c>
      <c r="AK726" s="434">
        <v>-8.3528722157093695E-3</v>
      </c>
      <c r="AL726" s="434">
        <v>-3.3977185913186617E-3</v>
      </c>
      <c r="AM726" s="412">
        <v>266.6320895522386</v>
      </c>
      <c r="AR726" s="427"/>
      <c r="AS726" s="427"/>
      <c r="AT726" s="427"/>
      <c r="AU726" s="427"/>
      <c r="AV726" s="427"/>
    </row>
    <row r="727" spans="2:48" s="382" customFormat="1" ht="28.15" customHeight="1" x14ac:dyDescent="0.25">
      <c r="B727" s="428">
        <v>43733</v>
      </c>
      <c r="C727" s="429">
        <v>0</v>
      </c>
      <c r="D727" s="429">
        <v>42070.37</v>
      </c>
      <c r="E727" s="379">
        <v>358517.71</v>
      </c>
      <c r="F727" s="379">
        <v>0</v>
      </c>
      <c r="G727" s="379">
        <v>1822.18</v>
      </c>
      <c r="H727" s="379"/>
      <c r="I727" s="379"/>
      <c r="J727" s="379"/>
      <c r="K727" s="379"/>
      <c r="L727" s="379"/>
      <c r="M727" s="379">
        <v>650000</v>
      </c>
      <c r="N727" s="379">
        <v>20739</v>
      </c>
      <c r="O727" s="379">
        <v>1600</v>
      </c>
      <c r="P727" s="379">
        <v>91683</v>
      </c>
      <c r="Q727" s="379">
        <v>-23122.51</v>
      </c>
      <c r="R727" s="430">
        <v>360339.89</v>
      </c>
      <c r="S727" s="400">
        <v>0</v>
      </c>
      <c r="T727" s="400">
        <v>36440.450000000004</v>
      </c>
      <c r="U727" s="406">
        <v>303789.87</v>
      </c>
      <c r="V727" s="400">
        <v>1822.18</v>
      </c>
      <c r="W727" s="430">
        <v>305612.05</v>
      </c>
      <c r="X727" s="431">
        <v>342052.5</v>
      </c>
      <c r="Y727" s="430">
        <v>402410.26</v>
      </c>
      <c r="Z727" s="373">
        <v>1143309.75</v>
      </c>
      <c r="AA727" s="406">
        <v>0</v>
      </c>
      <c r="AB727" s="406">
        <v>-12.369999999995343</v>
      </c>
      <c r="AC727" s="406">
        <v>-6251.8899999999558</v>
      </c>
      <c r="AD727" s="406">
        <v>0</v>
      </c>
      <c r="AE727" s="430">
        <v>-6251.8899999999558</v>
      </c>
      <c r="AF727" s="430">
        <v>-6264.2599999999511</v>
      </c>
      <c r="AG727" s="400">
        <v>1.6700000000000159</v>
      </c>
      <c r="AH727" s="432">
        <v>-1.7349980319969448E-2</v>
      </c>
      <c r="AI727" s="433">
        <v>-2.9403116730362347E-4</v>
      </c>
      <c r="AJ727" s="430">
        <v>274.63</v>
      </c>
      <c r="AK727" s="434">
        <v>6.0809088591924259E-3</v>
      </c>
      <c r="AL727" s="434">
        <v>-2.3430889179161873E-2</v>
      </c>
      <c r="AM727" s="412">
        <v>266.73213930348237</v>
      </c>
      <c r="AR727" s="427"/>
      <c r="AS727" s="427"/>
      <c r="AT727" s="427"/>
      <c r="AU727" s="427"/>
      <c r="AV727" s="427"/>
    </row>
    <row r="728" spans="2:48" s="382" customFormat="1" ht="28.15" customHeight="1" x14ac:dyDescent="0.25">
      <c r="B728" s="428">
        <v>43734</v>
      </c>
      <c r="C728" s="429">
        <v>0</v>
      </c>
      <c r="D728" s="429">
        <v>42070.37</v>
      </c>
      <c r="E728" s="379">
        <v>358158.63</v>
      </c>
      <c r="F728" s="379">
        <v>0</v>
      </c>
      <c r="G728" s="379">
        <v>1822.18</v>
      </c>
      <c r="H728" s="379"/>
      <c r="I728" s="379"/>
      <c r="J728" s="379"/>
      <c r="K728" s="379"/>
      <c r="L728" s="379"/>
      <c r="M728" s="379">
        <v>650000</v>
      </c>
      <c r="N728" s="379">
        <v>20739</v>
      </c>
      <c r="O728" s="379">
        <v>1600</v>
      </c>
      <c r="P728" s="379">
        <v>91683</v>
      </c>
      <c r="Q728" s="379">
        <v>-23122.51</v>
      </c>
      <c r="R728" s="430">
        <v>359980.81</v>
      </c>
      <c r="S728" s="400">
        <v>0</v>
      </c>
      <c r="T728" s="400">
        <v>36440.450000000004</v>
      </c>
      <c r="U728" s="406">
        <v>303789.87</v>
      </c>
      <c r="V728" s="400">
        <v>1822.18</v>
      </c>
      <c r="W728" s="430">
        <v>305612.05</v>
      </c>
      <c r="X728" s="431">
        <v>342052.5</v>
      </c>
      <c r="Y728" s="430">
        <v>402051.18</v>
      </c>
      <c r="Z728" s="373">
        <v>1142950.67</v>
      </c>
      <c r="AA728" s="406">
        <v>0</v>
      </c>
      <c r="AB728" s="406">
        <v>0</v>
      </c>
      <c r="AC728" s="406">
        <v>-359.0800000000163</v>
      </c>
      <c r="AD728" s="406">
        <v>0</v>
      </c>
      <c r="AE728" s="430">
        <v>-359.0800000000163</v>
      </c>
      <c r="AF728" s="430">
        <v>-359.0800000000163</v>
      </c>
      <c r="AG728" s="400">
        <v>-1.839999999999975</v>
      </c>
      <c r="AH728" s="432">
        <v>-9.9749761660910836E-4</v>
      </c>
      <c r="AI728" s="433">
        <v>0</v>
      </c>
      <c r="AJ728" s="430">
        <v>272.79000000000002</v>
      </c>
      <c r="AK728" s="434">
        <v>-6.7451152901498402E-3</v>
      </c>
      <c r="AL728" s="434">
        <v>5.7476176735407319E-3</v>
      </c>
      <c r="AM728" s="412">
        <v>266.8430348258704</v>
      </c>
      <c r="AR728" s="427"/>
      <c r="AS728" s="427"/>
      <c r="AT728" s="427"/>
      <c r="AU728" s="427"/>
      <c r="AV728" s="427"/>
    </row>
    <row r="729" spans="2:48" s="382" customFormat="1" ht="28.15" customHeight="1" x14ac:dyDescent="0.25">
      <c r="B729" s="428">
        <v>43735</v>
      </c>
      <c r="C729" s="429">
        <v>0</v>
      </c>
      <c r="D729" s="429">
        <v>41835.339999999997</v>
      </c>
      <c r="E729" s="379">
        <v>359452.39</v>
      </c>
      <c r="F729" s="379">
        <v>0</v>
      </c>
      <c r="G729" s="379">
        <v>1822.18</v>
      </c>
      <c r="H729" s="379"/>
      <c r="I729" s="379"/>
      <c r="J729" s="379"/>
      <c r="K729" s="379"/>
      <c r="L729" s="379"/>
      <c r="M729" s="379">
        <v>650000</v>
      </c>
      <c r="N729" s="379">
        <v>20739</v>
      </c>
      <c r="O729" s="379">
        <v>1600</v>
      </c>
      <c r="P729" s="379">
        <v>91683</v>
      </c>
      <c r="Q729" s="379">
        <v>-23122.51</v>
      </c>
      <c r="R729" s="430">
        <v>361274.57</v>
      </c>
      <c r="S729" s="400">
        <v>0</v>
      </c>
      <c r="T729" s="400">
        <v>36440.450000000004</v>
      </c>
      <c r="U729" s="406">
        <v>303789.87</v>
      </c>
      <c r="V729" s="400">
        <v>1822.18</v>
      </c>
      <c r="W729" s="430">
        <v>305612.05</v>
      </c>
      <c r="X729" s="431">
        <v>342052.5</v>
      </c>
      <c r="Y729" s="430">
        <v>403109.91</v>
      </c>
      <c r="Z729" s="373">
        <v>1144009.3999999999</v>
      </c>
      <c r="AA729" s="406">
        <v>0</v>
      </c>
      <c r="AB729" s="406">
        <v>-235.03000000000611</v>
      </c>
      <c r="AC729" s="406">
        <v>1293.7600000000093</v>
      </c>
      <c r="AD729" s="406">
        <v>0</v>
      </c>
      <c r="AE729" s="430">
        <v>1293.7600000000093</v>
      </c>
      <c r="AF729" s="430">
        <v>1058.7300000000032</v>
      </c>
      <c r="AG729" s="400">
        <v>-1.5300000000000296</v>
      </c>
      <c r="AH729" s="432">
        <v>3.5810989962565295E-3</v>
      </c>
      <c r="AI729" s="433">
        <v>-5.6179775280900341E-3</v>
      </c>
      <c r="AJ729" s="430">
        <v>271.26</v>
      </c>
      <c r="AK729" s="434">
        <v>-5.6403450564035595E-3</v>
      </c>
      <c r="AL729" s="434">
        <v>9.2214440526600886E-3</v>
      </c>
      <c r="AM729" s="412">
        <v>266.94477611940277</v>
      </c>
      <c r="AR729" s="427"/>
      <c r="AS729" s="427"/>
      <c r="AT729" s="427"/>
      <c r="AU729" s="427"/>
      <c r="AV729" s="427"/>
    </row>
    <row r="730" spans="2:48" s="382" customFormat="1" ht="28.15" customHeight="1" x14ac:dyDescent="0.25">
      <c r="B730" s="435">
        <v>43736</v>
      </c>
      <c r="C730" s="429">
        <v>0</v>
      </c>
      <c r="D730" s="429">
        <v>41835.339999999997</v>
      </c>
      <c r="E730" s="379">
        <v>359452.39</v>
      </c>
      <c r="F730" s="379">
        <v>0</v>
      </c>
      <c r="G730" s="379">
        <v>1822.18</v>
      </c>
      <c r="H730" s="379"/>
      <c r="I730" s="379"/>
      <c r="J730" s="379"/>
      <c r="K730" s="379"/>
      <c r="L730" s="379"/>
      <c r="M730" s="379">
        <v>650000</v>
      </c>
      <c r="N730" s="379">
        <v>20739</v>
      </c>
      <c r="O730" s="379">
        <v>1600</v>
      </c>
      <c r="P730" s="379">
        <v>91683</v>
      </c>
      <c r="Q730" s="379">
        <v>-22694.679999999997</v>
      </c>
      <c r="R730" s="430">
        <v>361274.57</v>
      </c>
      <c r="S730" s="400">
        <v>0</v>
      </c>
      <c r="T730" s="400">
        <v>36440.450000000004</v>
      </c>
      <c r="U730" s="406">
        <v>303789.87</v>
      </c>
      <c r="V730" s="400">
        <v>1822.18</v>
      </c>
      <c r="W730" s="430">
        <v>305612.05</v>
      </c>
      <c r="X730" s="431">
        <v>342052.5</v>
      </c>
      <c r="Y730" s="430">
        <v>403109.91</v>
      </c>
      <c r="Z730" s="373">
        <v>1144437.23</v>
      </c>
      <c r="AA730" s="406">
        <v>0</v>
      </c>
      <c r="AB730" s="406">
        <v>0</v>
      </c>
      <c r="AC730" s="406">
        <v>0</v>
      </c>
      <c r="AD730" s="406">
        <v>0</v>
      </c>
      <c r="AE730" s="430">
        <v>0</v>
      </c>
      <c r="AF730" s="430">
        <v>0</v>
      </c>
      <c r="AG730" s="400">
        <v>0</v>
      </c>
      <c r="AH730" s="432">
        <v>0</v>
      </c>
      <c r="AI730" s="433">
        <v>0</v>
      </c>
      <c r="AJ730" s="430">
        <v>271.26</v>
      </c>
      <c r="AK730" s="434">
        <v>0</v>
      </c>
      <c r="AL730" s="434">
        <v>0</v>
      </c>
      <c r="AM730" s="412">
        <v>267.0389054726366</v>
      </c>
      <c r="AR730" s="427"/>
      <c r="AS730" s="427"/>
      <c r="AT730" s="427"/>
      <c r="AU730" s="427"/>
      <c r="AV730" s="427"/>
    </row>
    <row r="731" spans="2:48" s="382" customFormat="1" ht="28.15" customHeight="1" x14ac:dyDescent="0.25">
      <c r="B731" s="435">
        <v>43737</v>
      </c>
      <c r="C731" s="429">
        <v>0</v>
      </c>
      <c r="D731" s="429">
        <v>41835.339999999997</v>
      </c>
      <c r="E731" s="379">
        <v>359452.39</v>
      </c>
      <c r="F731" s="379">
        <v>0</v>
      </c>
      <c r="G731" s="379">
        <v>1822.18</v>
      </c>
      <c r="H731" s="379"/>
      <c r="I731" s="379"/>
      <c r="J731" s="379"/>
      <c r="K731" s="379"/>
      <c r="L731" s="379"/>
      <c r="M731" s="379">
        <v>650000</v>
      </c>
      <c r="N731" s="379">
        <v>20739</v>
      </c>
      <c r="O731" s="379">
        <v>1600</v>
      </c>
      <c r="P731" s="379">
        <v>91683</v>
      </c>
      <c r="Q731" s="379">
        <v>-22694.679999999997</v>
      </c>
      <c r="R731" s="430">
        <v>361274.57</v>
      </c>
      <c r="S731" s="400">
        <v>0</v>
      </c>
      <c r="T731" s="400">
        <v>36440.450000000004</v>
      </c>
      <c r="U731" s="406">
        <v>303789.87</v>
      </c>
      <c r="V731" s="400">
        <v>1822.18</v>
      </c>
      <c r="W731" s="430">
        <v>305612.05</v>
      </c>
      <c r="X731" s="431">
        <v>342052.5</v>
      </c>
      <c r="Y731" s="430">
        <v>403109.91</v>
      </c>
      <c r="Z731" s="373">
        <v>1144437.23</v>
      </c>
      <c r="AA731" s="406">
        <v>0</v>
      </c>
      <c r="AB731" s="406">
        <v>0</v>
      </c>
      <c r="AC731" s="406">
        <v>0</v>
      </c>
      <c r="AD731" s="406">
        <v>0</v>
      </c>
      <c r="AE731" s="430">
        <v>0</v>
      </c>
      <c r="AF731" s="430">
        <v>0</v>
      </c>
      <c r="AG731" s="400">
        <v>0</v>
      </c>
      <c r="AH731" s="432">
        <v>0</v>
      </c>
      <c r="AI731" s="433">
        <v>0</v>
      </c>
      <c r="AJ731" s="430">
        <v>271.26</v>
      </c>
      <c r="AK731" s="434">
        <v>0</v>
      </c>
      <c r="AL731" s="434">
        <v>0</v>
      </c>
      <c r="AM731" s="412">
        <v>267.11472636815898</v>
      </c>
      <c r="AR731" s="427"/>
      <c r="AS731" s="427"/>
      <c r="AT731" s="427"/>
      <c r="AU731" s="427"/>
      <c r="AV731" s="427"/>
    </row>
    <row r="732" spans="2:48" s="382" customFormat="1" ht="28.15" customHeight="1" x14ac:dyDescent="0.25">
      <c r="B732" s="428">
        <v>43738</v>
      </c>
      <c r="C732" s="429">
        <v>0</v>
      </c>
      <c r="D732" s="429">
        <v>41498.03</v>
      </c>
      <c r="E732" s="379">
        <v>353439.27</v>
      </c>
      <c r="F732" s="379">
        <v>0</v>
      </c>
      <c r="G732" s="379">
        <v>1822.18</v>
      </c>
      <c r="H732" s="379"/>
      <c r="I732" s="379"/>
      <c r="J732" s="379"/>
      <c r="K732" s="379"/>
      <c r="L732" s="379"/>
      <c r="M732" s="379">
        <v>650000</v>
      </c>
      <c r="N732" s="379">
        <v>20739</v>
      </c>
      <c r="O732" s="379">
        <v>1600</v>
      </c>
      <c r="P732" s="379">
        <v>91683</v>
      </c>
      <c r="Q732" s="379">
        <v>-22694.679999999997</v>
      </c>
      <c r="R732" s="430">
        <v>355261.45</v>
      </c>
      <c r="S732" s="400">
        <v>0</v>
      </c>
      <c r="T732" s="400">
        <v>36440.450000000004</v>
      </c>
      <c r="U732" s="406">
        <v>303789.87</v>
      </c>
      <c r="V732" s="400">
        <v>1822.18</v>
      </c>
      <c r="W732" s="430">
        <v>305612.05</v>
      </c>
      <c r="X732" s="431">
        <v>342052.5</v>
      </c>
      <c r="Y732" s="430">
        <v>396759.48000000004</v>
      </c>
      <c r="Z732" s="373">
        <v>1138086.8</v>
      </c>
      <c r="AA732" s="406">
        <v>0</v>
      </c>
      <c r="AB732" s="406">
        <v>-337.30999999999767</v>
      </c>
      <c r="AC732" s="406">
        <v>-6013.1199999999953</v>
      </c>
      <c r="AD732" s="406">
        <v>0</v>
      </c>
      <c r="AE732" s="430">
        <v>-6013.1199999999953</v>
      </c>
      <c r="AF732" s="430">
        <v>-6350.429999999993</v>
      </c>
      <c r="AG732" s="400">
        <v>1.3400000000000318</v>
      </c>
      <c r="AH732" s="432">
        <v>-1.6925900628959305E-2</v>
      </c>
      <c r="AI732" s="433">
        <v>-8.1283376584381888E-3</v>
      </c>
      <c r="AJ732" s="430">
        <v>272.60000000000002</v>
      </c>
      <c r="AK732" s="434">
        <v>4.9156272927367269E-3</v>
      </c>
      <c r="AL732" s="434">
        <v>-2.1841527921696031E-2</v>
      </c>
      <c r="AM732" s="412">
        <v>267.18601990049729</v>
      </c>
      <c r="AR732" s="427"/>
      <c r="AS732" s="427"/>
      <c r="AT732" s="427"/>
      <c r="AU732" s="427"/>
      <c r="AV732" s="427"/>
    </row>
    <row r="733" spans="2:48" s="382" customFormat="1" ht="28.15" customHeight="1" x14ac:dyDescent="0.25">
      <c r="B733" s="428">
        <v>43739</v>
      </c>
      <c r="C733" s="429">
        <v>0</v>
      </c>
      <c r="D733" s="429">
        <v>41498.03</v>
      </c>
      <c r="E733" s="379">
        <v>358587.91</v>
      </c>
      <c r="F733" s="379">
        <v>0</v>
      </c>
      <c r="G733" s="379">
        <v>1822.18</v>
      </c>
      <c r="H733" s="379"/>
      <c r="I733" s="379"/>
      <c r="J733" s="379"/>
      <c r="K733" s="379"/>
      <c r="L733" s="379"/>
      <c r="M733" s="379">
        <v>650000</v>
      </c>
      <c r="N733" s="379">
        <v>20739</v>
      </c>
      <c r="O733" s="379">
        <v>1600</v>
      </c>
      <c r="P733" s="379">
        <v>91683</v>
      </c>
      <c r="Q733" s="379">
        <v>-22694.679999999997</v>
      </c>
      <c r="R733" s="430">
        <v>360410.08999999997</v>
      </c>
      <c r="S733" s="400">
        <v>0</v>
      </c>
      <c r="T733" s="400">
        <v>36440.450000000004</v>
      </c>
      <c r="U733" s="406">
        <v>303789.87</v>
      </c>
      <c r="V733" s="400">
        <v>1822.18</v>
      </c>
      <c r="W733" s="430">
        <v>305612.05</v>
      </c>
      <c r="X733" s="431">
        <v>342052.5</v>
      </c>
      <c r="Y733" s="430">
        <v>401908.11999999994</v>
      </c>
      <c r="Z733" s="373">
        <v>1143235.44</v>
      </c>
      <c r="AA733" s="406">
        <v>0</v>
      </c>
      <c r="AB733" s="406">
        <v>0</v>
      </c>
      <c r="AC733" s="406">
        <v>5148.6399999999558</v>
      </c>
      <c r="AD733" s="406">
        <v>0</v>
      </c>
      <c r="AE733" s="430">
        <v>5148.6399999999558</v>
      </c>
      <c r="AF733" s="430">
        <v>5148.6399999999558</v>
      </c>
      <c r="AG733" s="400">
        <v>-3.2800000000000296</v>
      </c>
      <c r="AH733" s="432">
        <v>1.4285504603935911E-2</v>
      </c>
      <c r="AI733" s="433">
        <v>0</v>
      </c>
      <c r="AJ733" s="430">
        <v>269.32</v>
      </c>
      <c r="AK733" s="434">
        <v>-1.2178820733699799E-2</v>
      </c>
      <c r="AL733" s="434">
        <v>2.6464325337635708E-2</v>
      </c>
      <c r="AM733" s="412">
        <v>267.25527363184062</v>
      </c>
      <c r="AR733" s="427"/>
      <c r="AS733" s="427"/>
      <c r="AT733" s="427"/>
      <c r="AU733" s="427"/>
      <c r="AV733" s="427"/>
    </row>
    <row r="734" spans="2:48" s="382" customFormat="1" ht="28.15" customHeight="1" x14ac:dyDescent="0.25">
      <c r="B734" s="428">
        <v>43740</v>
      </c>
      <c r="C734" s="429">
        <v>0</v>
      </c>
      <c r="D734" s="429">
        <v>41498.03</v>
      </c>
      <c r="E734" s="379">
        <v>364293.91</v>
      </c>
      <c r="F734" s="379">
        <v>0</v>
      </c>
      <c r="G734" s="379">
        <v>1822.18</v>
      </c>
      <c r="H734" s="379"/>
      <c r="I734" s="379"/>
      <c r="J734" s="379"/>
      <c r="K734" s="379"/>
      <c r="L734" s="379"/>
      <c r="M734" s="379">
        <v>650000</v>
      </c>
      <c r="N734" s="379">
        <v>20739</v>
      </c>
      <c r="O734" s="379">
        <v>1600</v>
      </c>
      <c r="P734" s="379">
        <v>91683</v>
      </c>
      <c r="Q734" s="379">
        <v>-22694.679999999997</v>
      </c>
      <c r="R734" s="430">
        <v>366116.08999999997</v>
      </c>
      <c r="S734" s="400">
        <v>0</v>
      </c>
      <c r="T734" s="400">
        <v>36440.450000000004</v>
      </c>
      <c r="U734" s="406">
        <v>303789.87</v>
      </c>
      <c r="V734" s="400">
        <v>1822.18</v>
      </c>
      <c r="W734" s="430">
        <v>305612.05</v>
      </c>
      <c r="X734" s="431">
        <v>342052.5</v>
      </c>
      <c r="Y734" s="430">
        <v>407614.11999999994</v>
      </c>
      <c r="Z734" s="373">
        <v>1148941.44</v>
      </c>
      <c r="AA734" s="406">
        <v>0</v>
      </c>
      <c r="AB734" s="406">
        <v>0</v>
      </c>
      <c r="AC734" s="406">
        <v>5706</v>
      </c>
      <c r="AD734" s="406">
        <v>0</v>
      </c>
      <c r="AE734" s="430">
        <v>5706</v>
      </c>
      <c r="AF734" s="430">
        <v>5706</v>
      </c>
      <c r="AG734" s="400">
        <v>-4.75</v>
      </c>
      <c r="AH734" s="432">
        <v>1.5585220523905411E-2</v>
      </c>
      <c r="AI734" s="433">
        <v>0</v>
      </c>
      <c r="AJ734" s="430">
        <v>264.57</v>
      </c>
      <c r="AK734" s="434">
        <v>-1.7953660656914994E-2</v>
      </c>
      <c r="AL734" s="434">
        <v>3.3538881180820407E-2</v>
      </c>
      <c r="AM734" s="412">
        <v>267.30865671641772</v>
      </c>
      <c r="AR734" s="427"/>
      <c r="AS734" s="427"/>
      <c r="AT734" s="427"/>
      <c r="AU734" s="427"/>
      <c r="AV734" s="427"/>
    </row>
    <row r="735" spans="2:48" s="382" customFormat="1" ht="28.15" customHeight="1" x14ac:dyDescent="0.25">
      <c r="B735" s="428">
        <v>43741</v>
      </c>
      <c r="C735" s="429">
        <v>0</v>
      </c>
      <c r="D735" s="429">
        <v>41498.03</v>
      </c>
      <c r="E735" s="379">
        <v>367057.17</v>
      </c>
      <c r="F735" s="379">
        <v>0</v>
      </c>
      <c r="G735" s="379">
        <v>1822.18</v>
      </c>
      <c r="H735" s="379"/>
      <c r="I735" s="379"/>
      <c r="J735" s="379"/>
      <c r="K735" s="379"/>
      <c r="L735" s="379"/>
      <c r="M735" s="379">
        <v>650000</v>
      </c>
      <c r="N735" s="379">
        <v>20739</v>
      </c>
      <c r="O735" s="379">
        <v>1600</v>
      </c>
      <c r="P735" s="379">
        <v>91683</v>
      </c>
      <c r="Q735" s="379">
        <v>-22694.679999999997</v>
      </c>
      <c r="R735" s="430">
        <v>368879.35</v>
      </c>
      <c r="S735" s="400">
        <v>0</v>
      </c>
      <c r="T735" s="400">
        <v>36440.450000000004</v>
      </c>
      <c r="U735" s="406">
        <v>303789.87</v>
      </c>
      <c r="V735" s="400">
        <v>1822.18</v>
      </c>
      <c r="W735" s="430">
        <v>305612.05</v>
      </c>
      <c r="X735" s="431">
        <v>342052.5</v>
      </c>
      <c r="Y735" s="430">
        <v>410377.37999999995</v>
      </c>
      <c r="Z735" s="373">
        <v>1151704.7</v>
      </c>
      <c r="AA735" s="406">
        <v>0</v>
      </c>
      <c r="AB735" s="406">
        <v>0</v>
      </c>
      <c r="AC735" s="406">
        <v>2763.2600000000093</v>
      </c>
      <c r="AD735" s="406">
        <v>0</v>
      </c>
      <c r="AE735" s="430">
        <v>2763.2600000000093</v>
      </c>
      <c r="AF735" s="430">
        <v>2763.2600000000093</v>
      </c>
      <c r="AG735" s="400">
        <v>2.1000000000000227</v>
      </c>
      <c r="AH735" s="432">
        <v>7.4909587647018182E-3</v>
      </c>
      <c r="AI735" s="433">
        <v>0</v>
      </c>
      <c r="AJ735" s="430">
        <v>266.67</v>
      </c>
      <c r="AK735" s="434">
        <v>7.8749015637305381E-3</v>
      </c>
      <c r="AL735" s="434">
        <v>-3.8394279902871989E-4</v>
      </c>
      <c r="AM735" s="412">
        <v>267.33213930348239</v>
      </c>
      <c r="AR735" s="427"/>
      <c r="AS735" s="427"/>
      <c r="AT735" s="427"/>
      <c r="AU735" s="427"/>
      <c r="AV735" s="427"/>
    </row>
    <row r="736" spans="2:48" s="382" customFormat="1" ht="28.15" customHeight="1" x14ac:dyDescent="0.25">
      <c r="B736" s="428">
        <v>43742</v>
      </c>
      <c r="C736" s="429">
        <v>0</v>
      </c>
      <c r="D736" s="429">
        <v>41498.03</v>
      </c>
      <c r="E736" s="379">
        <v>364229</v>
      </c>
      <c r="F736" s="379">
        <v>0</v>
      </c>
      <c r="G736" s="379">
        <v>1822.18</v>
      </c>
      <c r="H736" s="379"/>
      <c r="I736" s="379"/>
      <c r="J736" s="379"/>
      <c r="K736" s="379"/>
      <c r="L736" s="379"/>
      <c r="M736" s="379">
        <v>650000</v>
      </c>
      <c r="N736" s="379">
        <v>20739</v>
      </c>
      <c r="O736" s="379">
        <v>1600</v>
      </c>
      <c r="P736" s="379">
        <v>91683</v>
      </c>
      <c r="Q736" s="379">
        <v>-22694.679999999997</v>
      </c>
      <c r="R736" s="430">
        <v>366051.18</v>
      </c>
      <c r="S736" s="400">
        <v>0</v>
      </c>
      <c r="T736" s="400">
        <v>36440.450000000004</v>
      </c>
      <c r="U736" s="406">
        <v>303789.87</v>
      </c>
      <c r="V736" s="400">
        <v>1822.18</v>
      </c>
      <c r="W736" s="430">
        <v>305612.05</v>
      </c>
      <c r="X736" s="431">
        <v>342052.5</v>
      </c>
      <c r="Y736" s="430">
        <v>407549.21</v>
      </c>
      <c r="Z736" s="373">
        <v>1148876.53</v>
      </c>
      <c r="AA736" s="406">
        <v>0</v>
      </c>
      <c r="AB736" s="406">
        <v>0</v>
      </c>
      <c r="AC736" s="406">
        <v>-2828.1699999999837</v>
      </c>
      <c r="AD736" s="406">
        <v>0</v>
      </c>
      <c r="AE736" s="430">
        <v>-2828.1699999999837</v>
      </c>
      <c r="AF736" s="430">
        <v>-2828.1699999999837</v>
      </c>
      <c r="AG736" s="400">
        <v>3.6999999999999886</v>
      </c>
      <c r="AH736" s="432">
        <v>-7.7261600413362514E-3</v>
      </c>
      <c r="AI736" s="433">
        <v>0</v>
      </c>
      <c r="AJ736" s="430">
        <v>270.37</v>
      </c>
      <c r="AK736" s="434">
        <v>1.3684950253356469E-2</v>
      </c>
      <c r="AL736" s="434">
        <v>-2.1411110294692719E-2</v>
      </c>
      <c r="AM736" s="412">
        <v>267.3660696517411</v>
      </c>
      <c r="AR736" s="427"/>
      <c r="AS736" s="427"/>
      <c r="AT736" s="427"/>
      <c r="AU736" s="427"/>
      <c r="AV736" s="427"/>
    </row>
    <row r="737" spans="2:48" s="382" customFormat="1" ht="28.15" customHeight="1" x14ac:dyDescent="0.25">
      <c r="B737" s="435">
        <v>43743</v>
      </c>
      <c r="C737" s="429">
        <v>0</v>
      </c>
      <c r="D737" s="429">
        <v>41498.03</v>
      </c>
      <c r="E737" s="379">
        <v>364229</v>
      </c>
      <c r="F737" s="379">
        <v>0</v>
      </c>
      <c r="G737" s="379">
        <v>1822.18</v>
      </c>
      <c r="H737" s="379"/>
      <c r="I737" s="379"/>
      <c r="J737" s="379"/>
      <c r="K737" s="379"/>
      <c r="L737" s="379"/>
      <c r="M737" s="379">
        <v>650000</v>
      </c>
      <c r="N737" s="379">
        <v>20739</v>
      </c>
      <c r="O737" s="379">
        <v>1600</v>
      </c>
      <c r="P737" s="379">
        <v>91683</v>
      </c>
      <c r="Q737" s="379">
        <v>-22694.679999999997</v>
      </c>
      <c r="R737" s="430">
        <v>366051.18</v>
      </c>
      <c r="S737" s="400">
        <v>0</v>
      </c>
      <c r="T737" s="400">
        <v>36440.450000000004</v>
      </c>
      <c r="U737" s="406">
        <v>303789.87</v>
      </c>
      <c r="V737" s="400">
        <v>1822.18</v>
      </c>
      <c r="W737" s="430">
        <v>305612.05</v>
      </c>
      <c r="X737" s="431">
        <v>342052.5</v>
      </c>
      <c r="Y737" s="430">
        <v>407549.21</v>
      </c>
      <c r="Z737" s="373">
        <v>1148876.53</v>
      </c>
      <c r="AA737" s="406">
        <v>0</v>
      </c>
      <c r="AB737" s="406">
        <v>0</v>
      </c>
      <c r="AC737" s="406">
        <v>0</v>
      </c>
      <c r="AD737" s="406">
        <v>0</v>
      </c>
      <c r="AE737" s="430">
        <v>0</v>
      </c>
      <c r="AF737" s="430">
        <v>0</v>
      </c>
      <c r="AG737" s="400">
        <v>0</v>
      </c>
      <c r="AH737" s="432">
        <v>0</v>
      </c>
      <c r="AI737" s="433">
        <v>0</v>
      </c>
      <c r="AJ737" s="430">
        <v>270.37</v>
      </c>
      <c r="AK737" s="434">
        <v>0</v>
      </c>
      <c r="AL737" s="434">
        <v>0</v>
      </c>
      <c r="AM737" s="412">
        <v>267.41840796019881</v>
      </c>
      <c r="AR737" s="427"/>
      <c r="AS737" s="427"/>
      <c r="AT737" s="427"/>
      <c r="AU737" s="427"/>
      <c r="AV737" s="427"/>
    </row>
    <row r="738" spans="2:48" s="382" customFormat="1" ht="28.15" customHeight="1" x14ac:dyDescent="0.25">
      <c r="B738" s="435">
        <v>43744</v>
      </c>
      <c r="C738" s="429">
        <v>0</v>
      </c>
      <c r="D738" s="429">
        <v>41498.03</v>
      </c>
      <c r="E738" s="379">
        <v>364229</v>
      </c>
      <c r="F738" s="379">
        <v>0</v>
      </c>
      <c r="G738" s="379">
        <v>1822.18</v>
      </c>
      <c r="H738" s="379"/>
      <c r="I738" s="379"/>
      <c r="J738" s="379"/>
      <c r="K738" s="379"/>
      <c r="L738" s="379"/>
      <c r="M738" s="379">
        <v>650000</v>
      </c>
      <c r="N738" s="379">
        <v>20739</v>
      </c>
      <c r="O738" s="379">
        <v>1600</v>
      </c>
      <c r="P738" s="379">
        <v>91683</v>
      </c>
      <c r="Q738" s="379">
        <v>-22694.679999999997</v>
      </c>
      <c r="R738" s="430">
        <v>366051.18</v>
      </c>
      <c r="S738" s="400">
        <v>0</v>
      </c>
      <c r="T738" s="400">
        <v>36440.450000000004</v>
      </c>
      <c r="U738" s="406">
        <v>303789.87</v>
      </c>
      <c r="V738" s="400">
        <v>1822.18</v>
      </c>
      <c r="W738" s="430">
        <v>305612.05</v>
      </c>
      <c r="X738" s="431">
        <v>342052.5</v>
      </c>
      <c r="Y738" s="430">
        <v>407549.21</v>
      </c>
      <c r="Z738" s="373">
        <v>1148876.53</v>
      </c>
      <c r="AA738" s="406">
        <v>0</v>
      </c>
      <c r="AB738" s="406">
        <v>0</v>
      </c>
      <c r="AC738" s="406">
        <v>0</v>
      </c>
      <c r="AD738" s="406">
        <v>0</v>
      </c>
      <c r="AE738" s="430">
        <v>0</v>
      </c>
      <c r="AF738" s="430">
        <v>0</v>
      </c>
      <c r="AG738" s="400">
        <v>0</v>
      </c>
      <c r="AH738" s="432">
        <v>0</v>
      </c>
      <c r="AI738" s="433">
        <v>0</v>
      </c>
      <c r="AJ738" s="430">
        <v>270.37</v>
      </c>
      <c r="AK738" s="434">
        <v>0</v>
      </c>
      <c r="AL738" s="434">
        <v>0</v>
      </c>
      <c r="AM738" s="412">
        <v>267.46611940298493</v>
      </c>
      <c r="AR738" s="427"/>
      <c r="AS738" s="427"/>
      <c r="AT738" s="427"/>
      <c r="AU738" s="427"/>
      <c r="AV738" s="427"/>
    </row>
    <row r="739" spans="2:48" s="382" customFormat="1" ht="28.15" customHeight="1" x14ac:dyDescent="0.25">
      <c r="B739" s="428">
        <v>43745</v>
      </c>
      <c r="C739" s="429">
        <v>0</v>
      </c>
      <c r="D739" s="429">
        <v>41498.03</v>
      </c>
      <c r="E739" s="379">
        <v>364372.31</v>
      </c>
      <c r="F739" s="379">
        <v>0</v>
      </c>
      <c r="G739" s="379">
        <v>1822.18</v>
      </c>
      <c r="H739" s="379"/>
      <c r="I739" s="379"/>
      <c r="J739" s="379">
        <v>875</v>
      </c>
      <c r="K739" s="379"/>
      <c r="L739" s="379"/>
      <c r="M739" s="379">
        <v>650000</v>
      </c>
      <c r="N739" s="379">
        <v>20739</v>
      </c>
      <c r="O739" s="379">
        <v>1600</v>
      </c>
      <c r="P739" s="379">
        <v>91683</v>
      </c>
      <c r="Q739" s="379">
        <v>-22694.679999999997</v>
      </c>
      <c r="R739" s="430">
        <v>366194.49</v>
      </c>
      <c r="S739" s="400">
        <v>0</v>
      </c>
      <c r="T739" s="400">
        <v>36440.450000000004</v>
      </c>
      <c r="U739" s="406">
        <v>304664.87</v>
      </c>
      <c r="V739" s="400">
        <v>1822.18</v>
      </c>
      <c r="W739" s="430">
        <v>306487.05</v>
      </c>
      <c r="X739" s="431">
        <v>342927.5</v>
      </c>
      <c r="Y739" s="430">
        <v>407692.51999999996</v>
      </c>
      <c r="Z739" s="373">
        <v>1149019.8400000001</v>
      </c>
      <c r="AA739" s="406">
        <v>0</v>
      </c>
      <c r="AB739" s="406">
        <v>0</v>
      </c>
      <c r="AC739" s="406">
        <v>-731.69000000000233</v>
      </c>
      <c r="AD739" s="406">
        <v>0</v>
      </c>
      <c r="AE739" s="430">
        <v>-731.69000000000233</v>
      </c>
      <c r="AF739" s="430">
        <v>-731.69000000000233</v>
      </c>
      <c r="AG739" s="400">
        <v>-1.160000000000025</v>
      </c>
      <c r="AH739" s="432">
        <v>-1.9980912328855694E-3</v>
      </c>
      <c r="AI739" s="433">
        <v>0</v>
      </c>
      <c r="AJ739" s="430">
        <v>269.20999999999998</v>
      </c>
      <c r="AK739" s="434">
        <v>-4.3089038297241004E-3</v>
      </c>
      <c r="AL739" s="434">
        <v>2.3108125968385311E-3</v>
      </c>
      <c r="AM739" s="412">
        <v>267.51343283582077</v>
      </c>
      <c r="AR739" s="427"/>
      <c r="AS739" s="427"/>
      <c r="AT739" s="427"/>
      <c r="AU739" s="427"/>
      <c r="AV739" s="427"/>
    </row>
    <row r="740" spans="2:48" s="382" customFormat="1" ht="28.15" customHeight="1" x14ac:dyDescent="0.25">
      <c r="B740" s="428">
        <v>43746</v>
      </c>
      <c r="C740" s="429">
        <v>0</v>
      </c>
      <c r="D740" s="429">
        <v>41836.400000000001</v>
      </c>
      <c r="E740" s="379">
        <v>364372.31</v>
      </c>
      <c r="F740" s="379">
        <v>0</v>
      </c>
      <c r="G740" s="379">
        <v>1822.18</v>
      </c>
      <c r="H740" s="379"/>
      <c r="I740" s="379"/>
      <c r="J740" s="379"/>
      <c r="K740" s="379"/>
      <c r="L740" s="379"/>
      <c r="M740" s="379">
        <v>650000</v>
      </c>
      <c r="N740" s="379">
        <v>20739</v>
      </c>
      <c r="O740" s="379">
        <v>1600</v>
      </c>
      <c r="P740" s="379">
        <v>91683</v>
      </c>
      <c r="Q740" s="379">
        <v>-22694.679999999997</v>
      </c>
      <c r="R740" s="430">
        <v>366194.49</v>
      </c>
      <c r="S740" s="400">
        <v>0</v>
      </c>
      <c r="T740" s="400">
        <v>36440.450000000004</v>
      </c>
      <c r="U740" s="406">
        <v>304664.87</v>
      </c>
      <c r="V740" s="400">
        <v>1822.18</v>
      </c>
      <c r="W740" s="430">
        <v>306487.05</v>
      </c>
      <c r="X740" s="431">
        <v>342927.5</v>
      </c>
      <c r="Y740" s="430">
        <v>408030.89</v>
      </c>
      <c r="Z740" s="373">
        <v>1149358.2100000002</v>
      </c>
      <c r="AA740" s="406">
        <v>0</v>
      </c>
      <c r="AB740" s="406">
        <v>338.37000000000262</v>
      </c>
      <c r="AC740" s="406">
        <v>0</v>
      </c>
      <c r="AD740" s="406">
        <v>0</v>
      </c>
      <c r="AE740" s="430">
        <v>0</v>
      </c>
      <c r="AF740" s="430">
        <v>338.37000000000262</v>
      </c>
      <c r="AG740" s="400">
        <v>-4.1800000000000068</v>
      </c>
      <c r="AH740" s="432">
        <v>0</v>
      </c>
      <c r="AI740" s="433">
        <v>8.0879329961469591E-3</v>
      </c>
      <c r="AJ740" s="430">
        <v>265.02999999999997</v>
      </c>
      <c r="AK740" s="434">
        <v>-1.5771799418933734E-2</v>
      </c>
      <c r="AL740" s="434">
        <v>1.5771799418933734E-2</v>
      </c>
      <c r="AM740" s="412">
        <v>267.5596019900496</v>
      </c>
      <c r="AR740" s="427"/>
      <c r="AS740" s="427"/>
      <c r="AT740" s="427"/>
      <c r="AU740" s="427"/>
      <c r="AV740" s="427"/>
    </row>
    <row r="741" spans="2:48" s="382" customFormat="1" ht="28.15" customHeight="1" x14ac:dyDescent="0.25">
      <c r="B741" s="428">
        <v>43747</v>
      </c>
      <c r="C741" s="429">
        <v>0</v>
      </c>
      <c r="D741" s="429">
        <v>41836.400000000001</v>
      </c>
      <c r="E741" s="379">
        <v>364372.31</v>
      </c>
      <c r="F741" s="379">
        <v>0</v>
      </c>
      <c r="G741" s="379">
        <v>1822.18</v>
      </c>
      <c r="H741" s="379"/>
      <c r="I741" s="379"/>
      <c r="J741" s="379"/>
      <c r="K741" s="379"/>
      <c r="L741" s="379"/>
      <c r="M741" s="379">
        <v>650000</v>
      </c>
      <c r="N741" s="379">
        <v>20739</v>
      </c>
      <c r="O741" s="379">
        <v>1600</v>
      </c>
      <c r="P741" s="379">
        <v>91683</v>
      </c>
      <c r="Q741" s="379">
        <v>-22694.679999999997</v>
      </c>
      <c r="R741" s="430">
        <v>366194.49</v>
      </c>
      <c r="S741" s="400">
        <v>0</v>
      </c>
      <c r="T741" s="400">
        <v>36440.450000000004</v>
      </c>
      <c r="U741" s="406">
        <v>304664.87</v>
      </c>
      <c r="V741" s="400">
        <v>1822.18</v>
      </c>
      <c r="W741" s="430">
        <v>306487.05</v>
      </c>
      <c r="X741" s="431">
        <v>342927.5</v>
      </c>
      <c r="Y741" s="430">
        <v>408030.89</v>
      </c>
      <c r="Z741" s="373">
        <v>1149358.2100000002</v>
      </c>
      <c r="AA741" s="406">
        <v>0</v>
      </c>
      <c r="AB741" s="406">
        <v>0</v>
      </c>
      <c r="AC741" s="406">
        <v>0</v>
      </c>
      <c r="AD741" s="406">
        <v>0</v>
      </c>
      <c r="AE741" s="430">
        <v>0</v>
      </c>
      <c r="AF741" s="430">
        <v>0</v>
      </c>
      <c r="AG741" s="400">
        <v>2.4700000000000273</v>
      </c>
      <c r="AH741" s="432">
        <v>0</v>
      </c>
      <c r="AI741" s="433">
        <v>0</v>
      </c>
      <c r="AJ741" s="430">
        <v>267.5</v>
      </c>
      <c r="AK741" s="434">
        <v>9.2336448598131868E-3</v>
      </c>
      <c r="AL741" s="434">
        <v>-9.2336448598131868E-3</v>
      </c>
      <c r="AM741" s="412">
        <v>267.57751243781087</v>
      </c>
      <c r="AR741" s="427"/>
      <c r="AS741" s="427"/>
      <c r="AT741" s="427"/>
      <c r="AU741" s="427"/>
      <c r="AV741" s="427"/>
    </row>
    <row r="742" spans="2:48" s="382" customFormat="1" ht="28.15" customHeight="1" x14ac:dyDescent="0.25">
      <c r="B742" s="428">
        <v>43748</v>
      </c>
      <c r="C742" s="429">
        <v>0</v>
      </c>
      <c r="D742" s="429">
        <v>41836.400000000001</v>
      </c>
      <c r="E742" s="379">
        <v>364609.5</v>
      </c>
      <c r="F742" s="379">
        <v>0</v>
      </c>
      <c r="G742" s="379">
        <v>1822.18</v>
      </c>
      <c r="H742" s="379"/>
      <c r="I742" s="379"/>
      <c r="J742" s="379"/>
      <c r="K742" s="379"/>
      <c r="L742" s="379"/>
      <c r="M742" s="379">
        <v>650000</v>
      </c>
      <c r="N742" s="379">
        <v>20739</v>
      </c>
      <c r="O742" s="379">
        <v>1600</v>
      </c>
      <c r="P742" s="379">
        <v>91683</v>
      </c>
      <c r="Q742" s="379">
        <v>-22694.679999999997</v>
      </c>
      <c r="R742" s="430">
        <v>366431.68</v>
      </c>
      <c r="S742" s="400">
        <v>0</v>
      </c>
      <c r="T742" s="400">
        <v>36440.450000000004</v>
      </c>
      <c r="U742" s="406">
        <v>304664.87</v>
      </c>
      <c r="V742" s="400">
        <v>1822.18</v>
      </c>
      <c r="W742" s="430">
        <v>306487.05</v>
      </c>
      <c r="X742" s="431">
        <v>342927.5</v>
      </c>
      <c r="Y742" s="430">
        <v>408268.08</v>
      </c>
      <c r="Z742" s="373">
        <v>1149595.4000000001</v>
      </c>
      <c r="AA742" s="406">
        <v>0</v>
      </c>
      <c r="AB742" s="406">
        <v>0</v>
      </c>
      <c r="AC742" s="406">
        <v>237.19000000000233</v>
      </c>
      <c r="AD742" s="406">
        <v>0</v>
      </c>
      <c r="AE742" s="430">
        <v>237.19000000000233</v>
      </c>
      <c r="AF742" s="430">
        <v>237.19000000000233</v>
      </c>
      <c r="AG742" s="400">
        <v>1.8199999999999932</v>
      </c>
      <c r="AH742" s="432">
        <v>6.4729665295315715E-4</v>
      </c>
      <c r="AI742" s="433">
        <v>0</v>
      </c>
      <c r="AJ742" s="430">
        <v>269.32</v>
      </c>
      <c r="AK742" s="434">
        <v>6.7577602851626069E-3</v>
      </c>
      <c r="AL742" s="434">
        <v>-6.1104636322094497E-3</v>
      </c>
      <c r="AM742" s="412">
        <v>267.63243781094519</v>
      </c>
      <c r="AR742" s="427"/>
      <c r="AS742" s="427"/>
      <c r="AT742" s="427"/>
      <c r="AU742" s="427"/>
      <c r="AV742" s="427"/>
    </row>
    <row r="743" spans="2:48" s="382" customFormat="1" ht="28.15" customHeight="1" x14ac:dyDescent="0.25">
      <c r="B743" s="428">
        <v>43749</v>
      </c>
      <c r="C743" s="429">
        <v>0</v>
      </c>
      <c r="D743" s="429">
        <v>41836.400000000001</v>
      </c>
      <c r="E743" s="379">
        <v>357189.84</v>
      </c>
      <c r="F743" s="379">
        <v>0</v>
      </c>
      <c r="G743" s="379">
        <v>1822.18</v>
      </c>
      <c r="H743" s="379"/>
      <c r="I743" s="379"/>
      <c r="J743" s="379"/>
      <c r="K743" s="379"/>
      <c r="L743" s="379"/>
      <c r="M743" s="379">
        <v>650000</v>
      </c>
      <c r="N743" s="379">
        <v>20739</v>
      </c>
      <c r="O743" s="379">
        <v>1600</v>
      </c>
      <c r="P743" s="379">
        <v>91683</v>
      </c>
      <c r="Q743" s="379">
        <v>-22694.679999999997</v>
      </c>
      <c r="R743" s="430">
        <v>359012.02</v>
      </c>
      <c r="S743" s="400">
        <v>0</v>
      </c>
      <c r="T743" s="400">
        <v>36440.450000000004</v>
      </c>
      <c r="U743" s="406">
        <v>304664.87</v>
      </c>
      <c r="V743" s="400">
        <v>1822.18</v>
      </c>
      <c r="W743" s="430">
        <v>306487.05</v>
      </c>
      <c r="X743" s="431">
        <v>342927.5</v>
      </c>
      <c r="Y743" s="430">
        <v>400848.42000000004</v>
      </c>
      <c r="Z743" s="373">
        <v>1142175.74</v>
      </c>
      <c r="AA743" s="406">
        <v>0</v>
      </c>
      <c r="AB743" s="406">
        <v>0</v>
      </c>
      <c r="AC743" s="406">
        <v>-7419.6599999999744</v>
      </c>
      <c r="AD743" s="406">
        <v>0</v>
      </c>
      <c r="AE743" s="430">
        <v>-7419.6599999999744</v>
      </c>
      <c r="AF743" s="430">
        <v>-7419.6599999999744</v>
      </c>
      <c r="AG743" s="400">
        <v>2.8100000000000023</v>
      </c>
      <c r="AH743" s="432">
        <v>-2.0666884635227461E-2</v>
      </c>
      <c r="AI743" s="433">
        <v>0</v>
      </c>
      <c r="AJ743" s="430">
        <v>272.13</v>
      </c>
      <c r="AK743" s="434">
        <v>1.0325947157608505E-2</v>
      </c>
      <c r="AL743" s="434">
        <v>-3.0992831792835965E-2</v>
      </c>
      <c r="AM743" s="412">
        <v>267.69641791044762</v>
      </c>
      <c r="AR743" s="427"/>
      <c r="AS743" s="427"/>
      <c r="AT743" s="427"/>
      <c r="AU743" s="427"/>
      <c r="AV743" s="427"/>
    </row>
    <row r="744" spans="2:48" s="382" customFormat="1" ht="28.15" customHeight="1" x14ac:dyDescent="0.25">
      <c r="B744" s="435">
        <v>43750</v>
      </c>
      <c r="C744" s="429">
        <v>0</v>
      </c>
      <c r="D744" s="429">
        <v>41836.400000000001</v>
      </c>
      <c r="E744" s="379">
        <v>354449.48</v>
      </c>
      <c r="F744" s="379">
        <v>0</v>
      </c>
      <c r="G744" s="379">
        <v>1822.18</v>
      </c>
      <c r="H744" s="379"/>
      <c r="I744" s="379"/>
      <c r="J744" s="379"/>
      <c r="K744" s="379"/>
      <c r="L744" s="379"/>
      <c r="M744" s="379">
        <v>650000</v>
      </c>
      <c r="N744" s="379">
        <v>20739</v>
      </c>
      <c r="O744" s="379">
        <v>1600</v>
      </c>
      <c r="P744" s="379">
        <v>91683</v>
      </c>
      <c r="Q744" s="379">
        <v>-22694.679999999997</v>
      </c>
      <c r="R744" s="430">
        <v>356271.66</v>
      </c>
      <c r="S744" s="400">
        <v>0</v>
      </c>
      <c r="T744" s="400">
        <v>36440.450000000004</v>
      </c>
      <c r="U744" s="406">
        <v>304664.87</v>
      </c>
      <c r="V744" s="400">
        <v>1822.18</v>
      </c>
      <c r="W744" s="430">
        <v>306487.05</v>
      </c>
      <c r="X744" s="431">
        <v>342927.5</v>
      </c>
      <c r="Y744" s="430">
        <v>398108.06</v>
      </c>
      <c r="Z744" s="373">
        <v>1139435.3800000001</v>
      </c>
      <c r="AA744" s="406">
        <v>0</v>
      </c>
      <c r="AB744" s="406">
        <v>0</v>
      </c>
      <c r="AC744" s="406">
        <v>-2740.3600000000442</v>
      </c>
      <c r="AD744" s="406">
        <v>0</v>
      </c>
      <c r="AE744" s="430">
        <v>-2740.3600000000442</v>
      </c>
      <c r="AF744" s="430">
        <v>-2740.3600000000442</v>
      </c>
      <c r="AG744" s="400">
        <v>0</v>
      </c>
      <c r="AH744" s="432">
        <v>-7.6917709368183942E-3</v>
      </c>
      <c r="AI744" s="433">
        <v>0</v>
      </c>
      <c r="AJ744" s="430">
        <v>272.13</v>
      </c>
      <c r="AK744" s="434">
        <v>0</v>
      </c>
      <c r="AL744" s="434">
        <v>-7.6917709368183942E-3</v>
      </c>
      <c r="AM744" s="412">
        <v>267.77437810945258</v>
      </c>
      <c r="AR744" s="427"/>
      <c r="AS744" s="427"/>
      <c r="AT744" s="427"/>
      <c r="AU744" s="427"/>
      <c r="AV744" s="427"/>
    </row>
    <row r="745" spans="2:48" s="382" customFormat="1" ht="28.15" customHeight="1" x14ac:dyDescent="0.25">
      <c r="B745" s="435">
        <v>43751</v>
      </c>
      <c r="C745" s="429">
        <v>0</v>
      </c>
      <c r="D745" s="429">
        <v>41836.400000000001</v>
      </c>
      <c r="E745" s="379">
        <v>354449.48</v>
      </c>
      <c r="F745" s="379">
        <v>0</v>
      </c>
      <c r="G745" s="379">
        <v>1822.18</v>
      </c>
      <c r="H745" s="379"/>
      <c r="I745" s="379"/>
      <c r="J745" s="379"/>
      <c r="K745" s="379"/>
      <c r="L745" s="379"/>
      <c r="M745" s="379">
        <v>650000</v>
      </c>
      <c r="N745" s="379">
        <v>20739</v>
      </c>
      <c r="O745" s="379">
        <v>1600</v>
      </c>
      <c r="P745" s="379">
        <v>91683</v>
      </c>
      <c r="Q745" s="379">
        <v>-22694.679999999997</v>
      </c>
      <c r="R745" s="430">
        <v>356271.66</v>
      </c>
      <c r="S745" s="400">
        <v>0</v>
      </c>
      <c r="T745" s="400">
        <v>36440.450000000004</v>
      </c>
      <c r="U745" s="406">
        <v>304664.87</v>
      </c>
      <c r="V745" s="400">
        <v>1822.18</v>
      </c>
      <c r="W745" s="430">
        <v>306487.05</v>
      </c>
      <c r="X745" s="431">
        <v>342927.5</v>
      </c>
      <c r="Y745" s="430">
        <v>398108.06</v>
      </c>
      <c r="Z745" s="373">
        <v>1139435.3800000001</v>
      </c>
      <c r="AA745" s="406">
        <v>0</v>
      </c>
      <c r="AB745" s="406">
        <v>0</v>
      </c>
      <c r="AC745" s="406">
        <v>0</v>
      </c>
      <c r="AD745" s="406">
        <v>0</v>
      </c>
      <c r="AE745" s="430">
        <v>0</v>
      </c>
      <c r="AF745" s="430">
        <v>0</v>
      </c>
      <c r="AG745" s="400">
        <v>0</v>
      </c>
      <c r="AH745" s="432">
        <v>0</v>
      </c>
      <c r="AI745" s="433">
        <v>0</v>
      </c>
      <c r="AJ745" s="430">
        <v>272.13</v>
      </c>
      <c r="AK745" s="434">
        <v>0</v>
      </c>
      <c r="AL745" s="434">
        <v>0</v>
      </c>
      <c r="AM745" s="412">
        <v>267.85348258706449</v>
      </c>
      <c r="AR745" s="427"/>
      <c r="AS745" s="427"/>
      <c r="AT745" s="427"/>
      <c r="AU745" s="427"/>
      <c r="AV745" s="427"/>
    </row>
    <row r="746" spans="2:48" s="382" customFormat="1" ht="28.15" customHeight="1" x14ac:dyDescent="0.25">
      <c r="B746" s="435">
        <v>43752</v>
      </c>
      <c r="C746" s="429">
        <v>0</v>
      </c>
      <c r="D746" s="429">
        <v>41836.400000000001</v>
      </c>
      <c r="E746" s="379">
        <v>354449.48</v>
      </c>
      <c r="F746" s="379">
        <v>0</v>
      </c>
      <c r="G746" s="379">
        <v>1822.18</v>
      </c>
      <c r="H746" s="379"/>
      <c r="I746" s="379"/>
      <c r="J746" s="379"/>
      <c r="K746" s="379"/>
      <c r="L746" s="379"/>
      <c r="M746" s="379">
        <v>650000</v>
      </c>
      <c r="N746" s="379">
        <v>20739</v>
      </c>
      <c r="O746" s="379">
        <v>1600</v>
      </c>
      <c r="P746" s="379">
        <v>91683</v>
      </c>
      <c r="Q746" s="379">
        <v>-22694.679999999997</v>
      </c>
      <c r="R746" s="430">
        <v>356271.66</v>
      </c>
      <c r="S746" s="400">
        <v>0</v>
      </c>
      <c r="T746" s="400">
        <v>36440.450000000004</v>
      </c>
      <c r="U746" s="406">
        <v>304664.87</v>
      </c>
      <c r="V746" s="400">
        <v>1822.18</v>
      </c>
      <c r="W746" s="430">
        <v>306487.05</v>
      </c>
      <c r="X746" s="431">
        <v>342927.5</v>
      </c>
      <c r="Y746" s="430">
        <v>398108.06</v>
      </c>
      <c r="Z746" s="373">
        <v>1139435.3800000001</v>
      </c>
      <c r="AA746" s="406">
        <v>0</v>
      </c>
      <c r="AB746" s="406">
        <v>0</v>
      </c>
      <c r="AC746" s="406">
        <v>0</v>
      </c>
      <c r="AD746" s="406">
        <v>0</v>
      </c>
      <c r="AE746" s="430">
        <v>0</v>
      </c>
      <c r="AF746" s="430">
        <v>0</v>
      </c>
      <c r="AG746" s="400">
        <v>-0.25</v>
      </c>
      <c r="AH746" s="432">
        <v>0</v>
      </c>
      <c r="AI746" s="433">
        <v>0</v>
      </c>
      <c r="AJ746" s="430">
        <v>271.88</v>
      </c>
      <c r="AK746" s="434">
        <v>-9.1952331911137263E-4</v>
      </c>
      <c r="AL746" s="434">
        <v>9.1952331911137263E-4</v>
      </c>
      <c r="AM746" s="412">
        <v>267.92338308457698</v>
      </c>
      <c r="AR746" s="427"/>
      <c r="AS746" s="427"/>
      <c r="AT746" s="427"/>
      <c r="AU746" s="427"/>
      <c r="AV746" s="427"/>
    </row>
    <row r="747" spans="2:48" s="382" customFormat="1" ht="28.15" customHeight="1" x14ac:dyDescent="0.25">
      <c r="B747" s="428">
        <v>43753</v>
      </c>
      <c r="C747" s="429">
        <v>0</v>
      </c>
      <c r="D747" s="429">
        <v>41836.400000000001</v>
      </c>
      <c r="E747" s="379">
        <v>352289</v>
      </c>
      <c r="F747" s="379">
        <v>0</v>
      </c>
      <c r="G747" s="379">
        <v>1822.18</v>
      </c>
      <c r="H747" s="379"/>
      <c r="I747" s="379"/>
      <c r="J747" s="379"/>
      <c r="K747" s="379"/>
      <c r="L747" s="379">
        <v>985</v>
      </c>
      <c r="M747" s="379">
        <v>650000</v>
      </c>
      <c r="N747" s="379">
        <v>20739</v>
      </c>
      <c r="O747" s="379">
        <v>1600</v>
      </c>
      <c r="P747" s="379">
        <v>91683</v>
      </c>
      <c r="Q747" s="379">
        <v>-22694.679999999997</v>
      </c>
      <c r="R747" s="430">
        <v>354111.18</v>
      </c>
      <c r="S747" s="400">
        <v>0</v>
      </c>
      <c r="T747" s="400">
        <v>36440.450000000004</v>
      </c>
      <c r="U747" s="406">
        <v>304664.87</v>
      </c>
      <c r="V747" s="400">
        <v>2807.1800000000003</v>
      </c>
      <c r="W747" s="430">
        <v>307472.05</v>
      </c>
      <c r="X747" s="431">
        <v>343912.5</v>
      </c>
      <c r="Y747" s="430">
        <v>395947.58</v>
      </c>
      <c r="Z747" s="373">
        <v>1137274.9000000001</v>
      </c>
      <c r="AA747" s="406">
        <v>0</v>
      </c>
      <c r="AB747" s="406">
        <v>0</v>
      </c>
      <c r="AC747" s="406">
        <v>-2160.4799999999814</v>
      </c>
      <c r="AD747" s="406">
        <v>-985</v>
      </c>
      <c r="AE747" s="430">
        <v>-3145.4799999999814</v>
      </c>
      <c r="AF747" s="430">
        <v>-3145.4799999999814</v>
      </c>
      <c r="AG747" s="400">
        <v>2.6299999999999955</v>
      </c>
      <c r="AH747" s="432">
        <v>-8.8827469384049982E-3</v>
      </c>
      <c r="AI747" s="433">
        <v>0</v>
      </c>
      <c r="AJ747" s="430">
        <v>274.51</v>
      </c>
      <c r="AK747" s="434">
        <v>9.5807074423518105E-3</v>
      </c>
      <c r="AL747" s="434">
        <v>-1.8463454380756809E-2</v>
      </c>
      <c r="AM747" s="412">
        <v>267.99800995024862</v>
      </c>
      <c r="AR747" s="427"/>
      <c r="AS747" s="427"/>
      <c r="AT747" s="427"/>
      <c r="AU747" s="427"/>
      <c r="AV747" s="427"/>
    </row>
    <row r="748" spans="2:48" s="382" customFormat="1" ht="28.15" customHeight="1" x14ac:dyDescent="0.25">
      <c r="B748" s="428">
        <v>43754</v>
      </c>
      <c r="C748" s="429">
        <v>0</v>
      </c>
      <c r="D748" s="429">
        <v>42046.400000000001</v>
      </c>
      <c r="E748" s="379">
        <v>352603.52</v>
      </c>
      <c r="F748" s="379">
        <v>0</v>
      </c>
      <c r="G748" s="379">
        <v>2795.93</v>
      </c>
      <c r="H748" s="379"/>
      <c r="I748" s="379">
        <v>210</v>
      </c>
      <c r="J748" s="379"/>
      <c r="K748" s="379"/>
      <c r="L748" s="379"/>
      <c r="M748" s="379">
        <v>650000</v>
      </c>
      <c r="N748" s="379">
        <v>21445</v>
      </c>
      <c r="O748" s="379">
        <v>1600</v>
      </c>
      <c r="P748" s="379">
        <v>91683</v>
      </c>
      <c r="Q748" s="379">
        <v>-22694.679999999997</v>
      </c>
      <c r="R748" s="430">
        <v>355399.45</v>
      </c>
      <c r="S748" s="400">
        <v>0</v>
      </c>
      <c r="T748" s="400">
        <v>36650.450000000004</v>
      </c>
      <c r="U748" s="406">
        <v>304664.87</v>
      </c>
      <c r="V748" s="400">
        <v>2807.1800000000003</v>
      </c>
      <c r="W748" s="430">
        <v>307472.05</v>
      </c>
      <c r="X748" s="431">
        <v>344122.5</v>
      </c>
      <c r="Y748" s="430">
        <v>397445.85000000003</v>
      </c>
      <c r="Z748" s="373">
        <v>1139479.1700000002</v>
      </c>
      <c r="AA748" s="406">
        <v>0</v>
      </c>
      <c r="AB748" s="406">
        <v>0</v>
      </c>
      <c r="AC748" s="406">
        <v>314.52000000001863</v>
      </c>
      <c r="AD748" s="406">
        <v>973.74999999999977</v>
      </c>
      <c r="AE748" s="430">
        <v>1288.2700000000184</v>
      </c>
      <c r="AF748" s="430">
        <v>1288.2700000000184</v>
      </c>
      <c r="AG748" s="400">
        <v>-0.43000000000000682</v>
      </c>
      <c r="AH748" s="432">
        <v>3.6248508544400346E-3</v>
      </c>
      <c r="AI748" s="433">
        <v>0</v>
      </c>
      <c r="AJ748" s="430">
        <v>274.08</v>
      </c>
      <c r="AK748" s="434">
        <v>-1.5688849970811691E-3</v>
      </c>
      <c r="AL748" s="434">
        <v>5.1937358515212039E-3</v>
      </c>
      <c r="AM748" s="412">
        <v>268.08074626865664</v>
      </c>
      <c r="AR748" s="427"/>
      <c r="AS748" s="427"/>
      <c r="AT748" s="427"/>
      <c r="AU748" s="427"/>
      <c r="AV748" s="427"/>
    </row>
    <row r="749" spans="2:48" s="382" customFormat="1" ht="28.15" customHeight="1" x14ac:dyDescent="0.25">
      <c r="B749" s="428">
        <v>43755</v>
      </c>
      <c r="C749" s="429">
        <v>0</v>
      </c>
      <c r="D749" s="429">
        <v>42046.400000000001</v>
      </c>
      <c r="E749" s="379">
        <v>355686</v>
      </c>
      <c r="F749" s="379">
        <v>0</v>
      </c>
      <c r="G749" s="379">
        <v>2795.93</v>
      </c>
      <c r="H749" s="379"/>
      <c r="I749" s="379"/>
      <c r="J749" s="379"/>
      <c r="K749" s="379"/>
      <c r="L749" s="379"/>
      <c r="M749" s="379">
        <v>650000</v>
      </c>
      <c r="N749" s="379">
        <v>21445</v>
      </c>
      <c r="O749" s="379">
        <v>1600</v>
      </c>
      <c r="P749" s="379">
        <v>91683</v>
      </c>
      <c r="Q749" s="379">
        <v>-22694.679999999997</v>
      </c>
      <c r="R749" s="430">
        <v>358481.93</v>
      </c>
      <c r="S749" s="400">
        <v>0</v>
      </c>
      <c r="T749" s="400">
        <v>36650.450000000004</v>
      </c>
      <c r="U749" s="406">
        <v>304664.87</v>
      </c>
      <c r="V749" s="400">
        <v>2807.1800000000003</v>
      </c>
      <c r="W749" s="430">
        <v>307472.05</v>
      </c>
      <c r="X749" s="431">
        <v>344122.5</v>
      </c>
      <c r="Y749" s="430">
        <v>400528.33</v>
      </c>
      <c r="Z749" s="373">
        <v>1142561.6500000001</v>
      </c>
      <c r="AA749" s="406">
        <v>0</v>
      </c>
      <c r="AB749" s="406">
        <v>0</v>
      </c>
      <c r="AC749" s="406">
        <v>3082.4799999999814</v>
      </c>
      <c r="AD749" s="406">
        <v>0</v>
      </c>
      <c r="AE749" s="430">
        <v>3082.4799999999814</v>
      </c>
      <c r="AF749" s="430">
        <v>3082.4799999999814</v>
      </c>
      <c r="AG749" s="400">
        <v>0.74000000000000909</v>
      </c>
      <c r="AH749" s="432">
        <v>8.5987039848842064E-3</v>
      </c>
      <c r="AI749" s="433">
        <v>0</v>
      </c>
      <c r="AJ749" s="430">
        <v>274.82</v>
      </c>
      <c r="AK749" s="434">
        <v>2.6926715668437852E-3</v>
      </c>
      <c r="AL749" s="434">
        <v>5.9060324180404212E-3</v>
      </c>
      <c r="AM749" s="412">
        <v>268.15308457711438</v>
      </c>
      <c r="AR749" s="427"/>
      <c r="AS749" s="427"/>
      <c r="AT749" s="427"/>
      <c r="AU749" s="427"/>
      <c r="AV749" s="427"/>
    </row>
    <row r="750" spans="2:48" s="382" customFormat="1" ht="28.15" customHeight="1" x14ac:dyDescent="0.25">
      <c r="B750" s="428">
        <v>43756</v>
      </c>
      <c r="C750" s="429">
        <v>0</v>
      </c>
      <c r="D750" s="429">
        <v>42046.400000000001</v>
      </c>
      <c r="E750" s="379">
        <v>354218</v>
      </c>
      <c r="F750" s="379">
        <v>0</v>
      </c>
      <c r="G750" s="379">
        <v>2795.93</v>
      </c>
      <c r="H750" s="379"/>
      <c r="I750" s="379"/>
      <c r="J750" s="379"/>
      <c r="K750" s="379"/>
      <c r="L750" s="379"/>
      <c r="M750" s="379">
        <v>650000</v>
      </c>
      <c r="N750" s="379">
        <v>21445</v>
      </c>
      <c r="O750" s="379">
        <v>1600</v>
      </c>
      <c r="P750" s="379">
        <v>91683</v>
      </c>
      <c r="Q750" s="379">
        <v>-22694.679999999997</v>
      </c>
      <c r="R750" s="430">
        <v>357013.93</v>
      </c>
      <c r="S750" s="400">
        <v>0</v>
      </c>
      <c r="T750" s="400">
        <v>36650.450000000004</v>
      </c>
      <c r="U750" s="406">
        <v>304664.87</v>
      </c>
      <c r="V750" s="400">
        <v>2807.1800000000003</v>
      </c>
      <c r="W750" s="430">
        <v>307472.05</v>
      </c>
      <c r="X750" s="431">
        <v>344122.5</v>
      </c>
      <c r="Y750" s="430">
        <v>399060.33</v>
      </c>
      <c r="Z750" s="373">
        <v>1141093.6500000001</v>
      </c>
      <c r="AA750" s="406">
        <v>0</v>
      </c>
      <c r="AB750" s="406">
        <v>0</v>
      </c>
      <c r="AC750" s="406">
        <v>-1468</v>
      </c>
      <c r="AD750" s="406">
        <v>0</v>
      </c>
      <c r="AE750" s="430">
        <v>-1468</v>
      </c>
      <c r="AF750" s="430">
        <v>-1468</v>
      </c>
      <c r="AG750" s="400">
        <v>-1.1299999999999955</v>
      </c>
      <c r="AH750" s="432">
        <v>-4.1118843738114086E-3</v>
      </c>
      <c r="AI750" s="433">
        <v>0</v>
      </c>
      <c r="AJ750" s="430">
        <v>273.69</v>
      </c>
      <c r="AK750" s="434">
        <v>-4.1287588147173645E-3</v>
      </c>
      <c r="AL750" s="434">
        <v>1.6874440905955898E-5</v>
      </c>
      <c r="AM750" s="412">
        <v>268.22910447761183</v>
      </c>
      <c r="AR750" s="427"/>
      <c r="AS750" s="427"/>
      <c r="AT750" s="427"/>
      <c r="AU750" s="427"/>
      <c r="AV750" s="427"/>
    </row>
    <row r="751" spans="2:48" s="382" customFormat="1" ht="28.15" customHeight="1" x14ac:dyDescent="0.25">
      <c r="B751" s="435">
        <v>43757</v>
      </c>
      <c r="C751" s="429">
        <v>0</v>
      </c>
      <c r="D751" s="429">
        <v>42046.400000000001</v>
      </c>
      <c r="E751" s="379">
        <v>354218</v>
      </c>
      <c r="F751" s="379">
        <v>0</v>
      </c>
      <c r="G751" s="379">
        <v>2795.93</v>
      </c>
      <c r="H751" s="379"/>
      <c r="I751" s="379"/>
      <c r="J751" s="379"/>
      <c r="K751" s="379"/>
      <c r="L751" s="379"/>
      <c r="M751" s="379">
        <v>650000</v>
      </c>
      <c r="N751" s="379">
        <v>21445</v>
      </c>
      <c r="O751" s="379">
        <v>1600</v>
      </c>
      <c r="P751" s="379">
        <v>91683</v>
      </c>
      <c r="Q751" s="379">
        <v>-22694.679999999997</v>
      </c>
      <c r="R751" s="430">
        <v>357013.93</v>
      </c>
      <c r="S751" s="400">
        <v>0</v>
      </c>
      <c r="T751" s="400">
        <v>36650.450000000004</v>
      </c>
      <c r="U751" s="406">
        <v>304664.87</v>
      </c>
      <c r="V751" s="400">
        <v>2807.1800000000003</v>
      </c>
      <c r="W751" s="430">
        <v>307472.05</v>
      </c>
      <c r="X751" s="431">
        <v>344122.5</v>
      </c>
      <c r="Y751" s="430">
        <v>399060.33</v>
      </c>
      <c r="Z751" s="373">
        <v>1141093.6500000001</v>
      </c>
      <c r="AA751" s="406">
        <v>0</v>
      </c>
      <c r="AB751" s="406">
        <v>0</v>
      </c>
      <c r="AC751" s="406">
        <v>0</v>
      </c>
      <c r="AD751" s="406">
        <v>0</v>
      </c>
      <c r="AE751" s="430">
        <v>0</v>
      </c>
      <c r="AF751" s="430">
        <v>0</v>
      </c>
      <c r="AG751" s="400">
        <v>0</v>
      </c>
      <c r="AH751" s="432">
        <v>0</v>
      </c>
      <c r="AI751" s="433">
        <v>0</v>
      </c>
      <c r="AJ751" s="430">
        <v>273.69</v>
      </c>
      <c r="AK751" s="434">
        <v>0</v>
      </c>
      <c r="AL751" s="434">
        <v>0</v>
      </c>
      <c r="AM751" s="412">
        <v>268.29950248756217</v>
      </c>
      <c r="AR751" s="427"/>
      <c r="AS751" s="427"/>
      <c r="AT751" s="427"/>
      <c r="AU751" s="427"/>
      <c r="AV751" s="427"/>
    </row>
    <row r="752" spans="2:48" s="382" customFormat="1" ht="28.15" customHeight="1" x14ac:dyDescent="0.25">
      <c r="B752" s="435">
        <v>43758</v>
      </c>
      <c r="C752" s="429">
        <v>0</v>
      </c>
      <c r="D752" s="429">
        <v>42046.400000000001</v>
      </c>
      <c r="E752" s="379">
        <v>354218</v>
      </c>
      <c r="F752" s="379">
        <v>0</v>
      </c>
      <c r="G752" s="379">
        <v>2795.93</v>
      </c>
      <c r="H752" s="379"/>
      <c r="I752" s="379"/>
      <c r="J752" s="379"/>
      <c r="K752" s="379"/>
      <c r="L752" s="379"/>
      <c r="M752" s="379">
        <v>650000</v>
      </c>
      <c r="N752" s="379">
        <v>21445</v>
      </c>
      <c r="O752" s="379">
        <v>1600</v>
      </c>
      <c r="P752" s="379">
        <v>91683</v>
      </c>
      <c r="Q752" s="379">
        <v>-22694.679999999997</v>
      </c>
      <c r="R752" s="430">
        <v>357013.93</v>
      </c>
      <c r="S752" s="400">
        <v>0</v>
      </c>
      <c r="T752" s="400">
        <v>36650.450000000004</v>
      </c>
      <c r="U752" s="406">
        <v>304664.87</v>
      </c>
      <c r="V752" s="400">
        <v>2807.1800000000003</v>
      </c>
      <c r="W752" s="430">
        <v>307472.05</v>
      </c>
      <c r="X752" s="431">
        <v>344122.5</v>
      </c>
      <c r="Y752" s="430">
        <v>399060.33</v>
      </c>
      <c r="Z752" s="373">
        <v>1141093.6500000001</v>
      </c>
      <c r="AA752" s="406">
        <v>0</v>
      </c>
      <c r="AB752" s="406">
        <v>0</v>
      </c>
      <c r="AC752" s="406">
        <v>0</v>
      </c>
      <c r="AD752" s="406">
        <v>0</v>
      </c>
      <c r="AE752" s="430">
        <v>0</v>
      </c>
      <c r="AF752" s="430">
        <v>0</v>
      </c>
      <c r="AG752" s="400">
        <v>0</v>
      </c>
      <c r="AH752" s="432">
        <v>0</v>
      </c>
      <c r="AI752" s="433">
        <v>0</v>
      </c>
      <c r="AJ752" s="430">
        <v>273.69</v>
      </c>
      <c r="AK752" s="434">
        <v>0</v>
      </c>
      <c r="AL752" s="434">
        <v>0</v>
      </c>
      <c r="AM752" s="412">
        <v>268.35502487562184</v>
      </c>
      <c r="AR752" s="427"/>
      <c r="AS752" s="427"/>
      <c r="AT752" s="427"/>
      <c r="AU752" s="427"/>
      <c r="AV752" s="427"/>
    </row>
    <row r="753" spans="2:48" s="382" customFormat="1" ht="28.15" customHeight="1" x14ac:dyDescent="0.25">
      <c r="B753" s="428">
        <v>43759</v>
      </c>
      <c r="C753" s="429">
        <v>0</v>
      </c>
      <c r="D753" s="429">
        <v>42046.400000000001</v>
      </c>
      <c r="E753" s="379">
        <v>353978.32</v>
      </c>
      <c r="F753" s="379">
        <v>0</v>
      </c>
      <c r="G753" s="379">
        <v>2795.93</v>
      </c>
      <c r="H753" s="379"/>
      <c r="I753" s="379"/>
      <c r="J753" s="379">
        <v>875</v>
      </c>
      <c r="K753" s="379"/>
      <c r="L753" s="379"/>
      <c r="M753" s="379">
        <v>650000</v>
      </c>
      <c r="N753" s="379">
        <v>21445</v>
      </c>
      <c r="O753" s="379">
        <v>1600</v>
      </c>
      <c r="P753" s="379">
        <v>91683</v>
      </c>
      <c r="Q753" s="379">
        <v>-22694.679999999997</v>
      </c>
      <c r="R753" s="430">
        <v>356774.25</v>
      </c>
      <c r="S753" s="400">
        <v>0</v>
      </c>
      <c r="T753" s="400">
        <v>36650.450000000004</v>
      </c>
      <c r="U753" s="406">
        <v>305539.87</v>
      </c>
      <c r="V753" s="400">
        <v>2807.1800000000003</v>
      </c>
      <c r="W753" s="430">
        <v>308347.05</v>
      </c>
      <c r="X753" s="431">
        <v>344997.5</v>
      </c>
      <c r="Y753" s="430">
        <v>398820.65</v>
      </c>
      <c r="Z753" s="373">
        <v>1140853.97</v>
      </c>
      <c r="AA753" s="406">
        <v>0</v>
      </c>
      <c r="AB753" s="406">
        <v>0</v>
      </c>
      <c r="AC753" s="406">
        <v>-1114.679999999993</v>
      </c>
      <c r="AD753" s="406">
        <v>0</v>
      </c>
      <c r="AE753" s="430">
        <v>-1114.679999999993</v>
      </c>
      <c r="AF753" s="430">
        <v>-1114.679999999993</v>
      </c>
      <c r="AG753" s="400">
        <v>1.910000000000025</v>
      </c>
      <c r="AH753" s="432">
        <v>-3.124328619568237E-3</v>
      </c>
      <c r="AI753" s="433">
        <v>0</v>
      </c>
      <c r="AJ753" s="430">
        <v>275.60000000000002</v>
      </c>
      <c r="AK753" s="434">
        <v>6.93033381712636E-3</v>
      </c>
      <c r="AL753" s="434">
        <v>-1.0054662436694596E-2</v>
      </c>
      <c r="AM753" s="412">
        <v>268.41009950248758</v>
      </c>
      <c r="AR753" s="427"/>
      <c r="AS753" s="427"/>
      <c r="AT753" s="427"/>
      <c r="AU753" s="427"/>
      <c r="AV753" s="427"/>
    </row>
    <row r="754" spans="2:48" s="382" customFormat="1" ht="28.15" customHeight="1" x14ac:dyDescent="0.25">
      <c r="B754" s="428">
        <v>43760</v>
      </c>
      <c r="C754" s="429">
        <v>0</v>
      </c>
      <c r="D754" s="429">
        <v>42046.400000000001</v>
      </c>
      <c r="E754" s="379">
        <v>352960.77</v>
      </c>
      <c r="F754" s="379">
        <v>0</v>
      </c>
      <c r="G754" s="379">
        <v>2795.93</v>
      </c>
      <c r="H754" s="379"/>
      <c r="I754" s="379"/>
      <c r="J754" s="379"/>
      <c r="K754" s="379"/>
      <c r="L754" s="379"/>
      <c r="M754" s="379">
        <v>650000</v>
      </c>
      <c r="N754" s="379">
        <v>21445</v>
      </c>
      <c r="O754" s="379">
        <v>1600</v>
      </c>
      <c r="P754" s="379">
        <v>91683</v>
      </c>
      <c r="Q754" s="379">
        <v>-22694.679999999997</v>
      </c>
      <c r="R754" s="430">
        <v>355756.7</v>
      </c>
      <c r="S754" s="400">
        <v>0</v>
      </c>
      <c r="T754" s="400">
        <v>36650.450000000004</v>
      </c>
      <c r="U754" s="406">
        <v>305539.87</v>
      </c>
      <c r="V754" s="400">
        <v>2807.1800000000003</v>
      </c>
      <c r="W754" s="430">
        <v>308347.05</v>
      </c>
      <c r="X754" s="431">
        <v>344997.5</v>
      </c>
      <c r="Y754" s="430">
        <v>397803.10000000003</v>
      </c>
      <c r="Z754" s="373">
        <v>1139836.4200000002</v>
      </c>
      <c r="AA754" s="406">
        <v>0</v>
      </c>
      <c r="AB754" s="406">
        <v>0</v>
      </c>
      <c r="AC754" s="406">
        <v>-1017.5499999999884</v>
      </c>
      <c r="AD754" s="406">
        <v>0</v>
      </c>
      <c r="AE754" s="430">
        <v>-1017.5499999999884</v>
      </c>
      <c r="AF754" s="430">
        <v>-1017.5499999999884</v>
      </c>
      <c r="AG754" s="400">
        <v>-0.97000000000002728</v>
      </c>
      <c r="AH754" s="432">
        <v>-2.8602412828767198E-3</v>
      </c>
      <c r="AI754" s="433">
        <v>0</v>
      </c>
      <c r="AJ754" s="430">
        <v>274.63</v>
      </c>
      <c r="AK754" s="434">
        <v>-3.5320249062375827E-3</v>
      </c>
      <c r="AL754" s="434">
        <v>6.7178362336086294E-4</v>
      </c>
      <c r="AM754" s="412">
        <v>268.47223880597016</v>
      </c>
      <c r="AR754" s="427"/>
      <c r="AS754" s="427"/>
      <c r="AT754" s="427"/>
      <c r="AU754" s="427"/>
      <c r="AV754" s="427"/>
    </row>
    <row r="755" spans="2:48" s="382" customFormat="1" ht="28.15" customHeight="1" x14ac:dyDescent="0.25">
      <c r="B755" s="428">
        <v>43761</v>
      </c>
      <c r="C755" s="429">
        <v>0</v>
      </c>
      <c r="D755" s="429">
        <v>42046.400000000001</v>
      </c>
      <c r="E755" s="379">
        <v>353466</v>
      </c>
      <c r="F755" s="379">
        <v>0</v>
      </c>
      <c r="G755" s="379">
        <v>2795.93</v>
      </c>
      <c r="H755" s="379"/>
      <c r="I755" s="379"/>
      <c r="J755" s="379"/>
      <c r="K755" s="379"/>
      <c r="L755" s="379"/>
      <c r="M755" s="379">
        <v>650000</v>
      </c>
      <c r="N755" s="379">
        <v>21445</v>
      </c>
      <c r="O755" s="379">
        <v>1600</v>
      </c>
      <c r="P755" s="379">
        <v>91683</v>
      </c>
      <c r="Q755" s="379">
        <v>-22694.679999999997</v>
      </c>
      <c r="R755" s="430">
        <v>356261.93</v>
      </c>
      <c r="S755" s="400">
        <v>0</v>
      </c>
      <c r="T755" s="400">
        <v>36650.450000000004</v>
      </c>
      <c r="U755" s="406">
        <v>305539.87</v>
      </c>
      <c r="V755" s="400">
        <v>2807.1800000000003</v>
      </c>
      <c r="W755" s="430">
        <v>308347.05</v>
      </c>
      <c r="X755" s="431">
        <v>344997.5</v>
      </c>
      <c r="Y755" s="430">
        <v>398308.33</v>
      </c>
      <c r="Z755" s="373">
        <v>1140341.6500000001</v>
      </c>
      <c r="AA755" s="406">
        <v>0</v>
      </c>
      <c r="AB755" s="406">
        <v>0</v>
      </c>
      <c r="AC755" s="406">
        <v>505.22999999998137</v>
      </c>
      <c r="AD755" s="406">
        <v>0</v>
      </c>
      <c r="AE755" s="430">
        <v>505.22999999998137</v>
      </c>
      <c r="AF755" s="430">
        <v>505.22999999998137</v>
      </c>
      <c r="AG755" s="400">
        <v>0.81000000000000227</v>
      </c>
      <c r="AH755" s="432">
        <v>1.4181419833434951E-3</v>
      </c>
      <c r="AI755" s="433">
        <v>0</v>
      </c>
      <c r="AJ755" s="430">
        <v>275.44</v>
      </c>
      <c r="AK755" s="434">
        <v>2.9407493465001535E-3</v>
      </c>
      <c r="AL755" s="434">
        <v>-1.5226073631566584E-3</v>
      </c>
      <c r="AM755" s="412">
        <v>268.52641791044783</v>
      </c>
      <c r="AR755" s="427"/>
      <c r="AS755" s="427"/>
      <c r="AT755" s="427"/>
      <c r="AU755" s="427"/>
      <c r="AV755" s="427"/>
    </row>
    <row r="756" spans="2:48" s="382" customFormat="1" ht="28.15" customHeight="1" x14ac:dyDescent="0.25">
      <c r="B756" s="428">
        <v>43762</v>
      </c>
      <c r="C756" s="429">
        <v>0</v>
      </c>
      <c r="D756" s="429">
        <v>42046.400000000001</v>
      </c>
      <c r="E756" s="379">
        <v>358429.99</v>
      </c>
      <c r="F756" s="379">
        <v>0</v>
      </c>
      <c r="G756" s="379">
        <v>2795.93</v>
      </c>
      <c r="H756" s="379"/>
      <c r="I756" s="379"/>
      <c r="J756" s="379"/>
      <c r="K756" s="379"/>
      <c r="L756" s="379"/>
      <c r="M756" s="379">
        <v>650000</v>
      </c>
      <c r="N756" s="379">
        <v>21445</v>
      </c>
      <c r="O756" s="379">
        <v>1600</v>
      </c>
      <c r="P756" s="379">
        <v>91683</v>
      </c>
      <c r="Q756" s="379">
        <v>-22694.679999999997</v>
      </c>
      <c r="R756" s="430">
        <v>361225.92</v>
      </c>
      <c r="S756" s="400">
        <v>0</v>
      </c>
      <c r="T756" s="400">
        <v>36650.450000000004</v>
      </c>
      <c r="U756" s="406">
        <v>305539.87</v>
      </c>
      <c r="V756" s="400">
        <v>2807.1800000000003</v>
      </c>
      <c r="W756" s="430">
        <v>308347.05</v>
      </c>
      <c r="X756" s="431">
        <v>344997.5</v>
      </c>
      <c r="Y756" s="430">
        <v>403272.32</v>
      </c>
      <c r="Z756" s="373">
        <v>1145305.6400000001</v>
      </c>
      <c r="AA756" s="406">
        <v>0</v>
      </c>
      <c r="AB756" s="406">
        <v>0</v>
      </c>
      <c r="AC756" s="406">
        <v>4963.9899999999907</v>
      </c>
      <c r="AD756" s="406">
        <v>0</v>
      </c>
      <c r="AE756" s="430">
        <v>4963.9899999999907</v>
      </c>
      <c r="AF756" s="430">
        <v>4963.9899999999907</v>
      </c>
      <c r="AG756" s="400">
        <v>0.44999999999998863</v>
      </c>
      <c r="AH756" s="432">
        <v>1.3742064799779569E-2</v>
      </c>
      <c r="AI756" s="433">
        <v>0</v>
      </c>
      <c r="AJ756" s="430">
        <v>275.89</v>
      </c>
      <c r="AK756" s="434">
        <v>1.6310848526586272E-3</v>
      </c>
      <c r="AL756" s="434">
        <v>1.2110979947120942E-2</v>
      </c>
      <c r="AM756" s="412">
        <v>268.57830845771156</v>
      </c>
      <c r="AR756" s="427"/>
      <c r="AS756" s="427"/>
      <c r="AT756" s="427"/>
      <c r="AU756" s="427"/>
      <c r="AV756" s="427"/>
    </row>
    <row r="757" spans="2:48" s="382" customFormat="1" ht="28.15" customHeight="1" x14ac:dyDescent="0.25">
      <c r="B757" s="428">
        <v>43763</v>
      </c>
      <c r="C757" s="429">
        <v>0</v>
      </c>
      <c r="D757" s="429">
        <v>42046.400000000001</v>
      </c>
      <c r="E757" s="379">
        <v>369056</v>
      </c>
      <c r="F757" s="379">
        <v>0</v>
      </c>
      <c r="G757" s="379">
        <v>2795.93</v>
      </c>
      <c r="H757" s="379"/>
      <c r="I757" s="379"/>
      <c r="J757" s="379"/>
      <c r="K757" s="379"/>
      <c r="L757" s="379"/>
      <c r="M757" s="379">
        <v>650000</v>
      </c>
      <c r="N757" s="379">
        <v>21445</v>
      </c>
      <c r="O757" s="379">
        <v>1600</v>
      </c>
      <c r="P757" s="379">
        <v>91683</v>
      </c>
      <c r="Q757" s="379">
        <v>-22694.679999999997</v>
      </c>
      <c r="R757" s="430">
        <v>371851.93</v>
      </c>
      <c r="S757" s="400">
        <v>0</v>
      </c>
      <c r="T757" s="400">
        <v>36650.450000000004</v>
      </c>
      <c r="U757" s="406">
        <v>305539.87</v>
      </c>
      <c r="V757" s="400">
        <v>2807.1800000000003</v>
      </c>
      <c r="W757" s="430">
        <v>308347.05</v>
      </c>
      <c r="X757" s="431">
        <v>344997.5</v>
      </c>
      <c r="Y757" s="430">
        <v>413898.33</v>
      </c>
      <c r="Z757" s="373">
        <v>1155931.6500000001</v>
      </c>
      <c r="AA757" s="406">
        <v>0</v>
      </c>
      <c r="AB757" s="406">
        <v>0</v>
      </c>
      <c r="AC757" s="406">
        <v>10626.010000000009</v>
      </c>
      <c r="AD757" s="406">
        <v>0</v>
      </c>
      <c r="AE757" s="430">
        <v>10626.010000000009</v>
      </c>
      <c r="AF757" s="430">
        <v>10626.010000000009</v>
      </c>
      <c r="AG757" s="400">
        <v>1.1500000000000341</v>
      </c>
      <c r="AH757" s="432">
        <v>2.8575917301276371E-2</v>
      </c>
      <c r="AI757" s="433">
        <v>0</v>
      </c>
      <c r="AJ757" s="430">
        <v>277.04000000000002</v>
      </c>
      <c r="AK757" s="434">
        <v>4.1510251227260828E-3</v>
      </c>
      <c r="AL757" s="434">
        <v>2.4424892178550289E-2</v>
      </c>
      <c r="AM757" s="412">
        <v>268.63243781094536</v>
      </c>
      <c r="AR757" s="427"/>
      <c r="AS757" s="427"/>
      <c r="AT757" s="427"/>
      <c r="AU757" s="427"/>
      <c r="AV757" s="427"/>
    </row>
    <row r="758" spans="2:48" s="382" customFormat="1" ht="28.15" customHeight="1" x14ac:dyDescent="0.25">
      <c r="B758" s="435">
        <v>43764</v>
      </c>
      <c r="C758" s="429">
        <v>0</v>
      </c>
      <c r="D758" s="429">
        <v>42046.400000000001</v>
      </c>
      <c r="E758" s="379">
        <v>369056</v>
      </c>
      <c r="F758" s="379">
        <v>0</v>
      </c>
      <c r="G758" s="379">
        <v>2795.93</v>
      </c>
      <c r="H758" s="379"/>
      <c r="I758" s="379"/>
      <c r="J758" s="379"/>
      <c r="K758" s="379"/>
      <c r="L758" s="379"/>
      <c r="M758" s="379">
        <v>650000</v>
      </c>
      <c r="N758" s="379">
        <v>21445</v>
      </c>
      <c r="O758" s="379">
        <v>1600</v>
      </c>
      <c r="P758" s="379">
        <v>91683</v>
      </c>
      <c r="Q758" s="379">
        <v>-22694.679999999997</v>
      </c>
      <c r="R758" s="430">
        <v>371851.93</v>
      </c>
      <c r="S758" s="400">
        <v>0</v>
      </c>
      <c r="T758" s="400">
        <v>36650.450000000004</v>
      </c>
      <c r="U758" s="406">
        <v>305539.87</v>
      </c>
      <c r="V758" s="400">
        <v>2807.1800000000003</v>
      </c>
      <c r="W758" s="430">
        <v>308347.05</v>
      </c>
      <c r="X758" s="431">
        <v>344997.5</v>
      </c>
      <c r="Y758" s="430">
        <v>413898.33</v>
      </c>
      <c r="Z758" s="373">
        <v>1155931.6500000001</v>
      </c>
      <c r="AA758" s="406">
        <v>0</v>
      </c>
      <c r="AB758" s="406">
        <v>0</v>
      </c>
      <c r="AC758" s="406">
        <v>0</v>
      </c>
      <c r="AD758" s="406">
        <v>0</v>
      </c>
      <c r="AE758" s="430">
        <v>0</v>
      </c>
      <c r="AF758" s="430">
        <v>0</v>
      </c>
      <c r="AG758" s="400">
        <v>0</v>
      </c>
      <c r="AH758" s="432">
        <v>0</v>
      </c>
      <c r="AI758" s="433">
        <v>0</v>
      </c>
      <c r="AJ758" s="430">
        <v>277.04000000000002</v>
      </c>
      <c r="AK758" s="434">
        <v>0</v>
      </c>
      <c r="AL758" s="434">
        <v>0</v>
      </c>
      <c r="AM758" s="412">
        <v>268.692288557214</v>
      </c>
      <c r="AR758" s="427"/>
      <c r="AS758" s="427"/>
      <c r="AT758" s="427"/>
      <c r="AU758" s="427"/>
      <c r="AV758" s="427"/>
    </row>
    <row r="759" spans="2:48" s="382" customFormat="1" ht="28.15" customHeight="1" x14ac:dyDescent="0.25">
      <c r="B759" s="435">
        <v>43765</v>
      </c>
      <c r="C759" s="429">
        <v>0</v>
      </c>
      <c r="D759" s="429">
        <v>42046.400000000001</v>
      </c>
      <c r="E759" s="379">
        <v>369056</v>
      </c>
      <c r="F759" s="379">
        <v>0</v>
      </c>
      <c r="G759" s="379">
        <v>2795.93</v>
      </c>
      <c r="H759" s="379"/>
      <c r="I759" s="379"/>
      <c r="J759" s="379"/>
      <c r="K759" s="379"/>
      <c r="L759" s="379"/>
      <c r="M759" s="379">
        <v>650000</v>
      </c>
      <c r="N759" s="379">
        <v>21445</v>
      </c>
      <c r="O759" s="379">
        <v>1600</v>
      </c>
      <c r="P759" s="379">
        <v>91683</v>
      </c>
      <c r="Q759" s="379">
        <v>-22694.679999999997</v>
      </c>
      <c r="R759" s="430">
        <v>371851.93</v>
      </c>
      <c r="S759" s="400">
        <v>0</v>
      </c>
      <c r="T759" s="400">
        <v>36650.450000000004</v>
      </c>
      <c r="U759" s="406">
        <v>305539.87</v>
      </c>
      <c r="V759" s="400">
        <v>2807.1800000000003</v>
      </c>
      <c r="W759" s="430">
        <v>308347.05</v>
      </c>
      <c r="X759" s="431">
        <v>344997.5</v>
      </c>
      <c r="Y759" s="430">
        <v>413898.33</v>
      </c>
      <c r="Z759" s="373">
        <v>1155931.6500000001</v>
      </c>
      <c r="AA759" s="406">
        <v>0</v>
      </c>
      <c r="AB759" s="406">
        <v>0</v>
      </c>
      <c r="AC759" s="406">
        <v>0</v>
      </c>
      <c r="AD759" s="406">
        <v>0</v>
      </c>
      <c r="AE759" s="430">
        <v>0</v>
      </c>
      <c r="AF759" s="430">
        <v>0</v>
      </c>
      <c r="AG759" s="400">
        <v>0</v>
      </c>
      <c r="AH759" s="432">
        <v>0</v>
      </c>
      <c r="AI759" s="433">
        <v>0</v>
      </c>
      <c r="AJ759" s="430">
        <v>277.04000000000002</v>
      </c>
      <c r="AK759" s="434">
        <v>0</v>
      </c>
      <c r="AL759" s="434">
        <v>0</v>
      </c>
      <c r="AM759" s="412">
        <v>268.75099502487569</v>
      </c>
      <c r="AR759" s="427"/>
      <c r="AS759" s="427"/>
      <c r="AT759" s="427"/>
      <c r="AU759" s="427"/>
      <c r="AV759" s="427"/>
    </row>
    <row r="760" spans="2:48" s="382" customFormat="1" ht="28.15" customHeight="1" x14ac:dyDescent="0.25">
      <c r="B760" s="428">
        <v>43766</v>
      </c>
      <c r="C760" s="429">
        <v>0</v>
      </c>
      <c r="D760" s="429">
        <v>42046.400000000001</v>
      </c>
      <c r="E760" s="379">
        <v>364191.27</v>
      </c>
      <c r="F760" s="379">
        <v>0</v>
      </c>
      <c r="G760" s="379">
        <v>2795.93</v>
      </c>
      <c r="H760" s="379"/>
      <c r="I760" s="379"/>
      <c r="J760" s="379"/>
      <c r="K760" s="379"/>
      <c r="L760" s="379"/>
      <c r="M760" s="379">
        <v>650000</v>
      </c>
      <c r="N760" s="379">
        <v>21445</v>
      </c>
      <c r="O760" s="379">
        <v>1600</v>
      </c>
      <c r="P760" s="379">
        <v>91683</v>
      </c>
      <c r="Q760" s="379">
        <v>-22694.679999999997</v>
      </c>
      <c r="R760" s="430">
        <v>366987.2</v>
      </c>
      <c r="S760" s="400">
        <v>0</v>
      </c>
      <c r="T760" s="400">
        <v>36650.450000000004</v>
      </c>
      <c r="U760" s="406">
        <v>305539.87</v>
      </c>
      <c r="V760" s="400">
        <v>2807.1800000000003</v>
      </c>
      <c r="W760" s="430">
        <v>308347.05</v>
      </c>
      <c r="X760" s="431">
        <v>344997.5</v>
      </c>
      <c r="Y760" s="430">
        <v>409033.60000000003</v>
      </c>
      <c r="Z760" s="373">
        <v>1151066.9200000002</v>
      </c>
      <c r="AA760" s="406">
        <v>0</v>
      </c>
      <c r="AB760" s="406">
        <v>0</v>
      </c>
      <c r="AC760" s="406">
        <v>-4864.7299999999814</v>
      </c>
      <c r="AD760" s="406">
        <v>0</v>
      </c>
      <c r="AE760" s="430">
        <v>-4864.7299999999814</v>
      </c>
      <c r="AF760" s="430">
        <v>-4864.7299999999814</v>
      </c>
      <c r="AG760" s="400">
        <v>1.6099999999999568</v>
      </c>
      <c r="AH760" s="432">
        <v>-1.3255857425000057E-2</v>
      </c>
      <c r="AI760" s="433">
        <v>0</v>
      </c>
      <c r="AJ760" s="430">
        <v>278.64999999999998</v>
      </c>
      <c r="AK760" s="434">
        <v>5.7778575273639225E-3</v>
      </c>
      <c r="AL760" s="434">
        <v>-1.903371495236398E-2</v>
      </c>
      <c r="AM760" s="412">
        <v>268.81671641791053</v>
      </c>
      <c r="AR760" s="427"/>
      <c r="AS760" s="427"/>
      <c r="AT760" s="427"/>
      <c r="AU760" s="427"/>
      <c r="AV760" s="427"/>
    </row>
    <row r="761" spans="2:48" s="382" customFormat="1" ht="28.15" customHeight="1" x14ac:dyDescent="0.25">
      <c r="B761" s="428">
        <v>43767</v>
      </c>
      <c r="C761" s="429">
        <v>0</v>
      </c>
      <c r="D761" s="429">
        <v>42046.400000000001</v>
      </c>
      <c r="E761" s="379">
        <v>363461</v>
      </c>
      <c r="F761" s="379">
        <v>0</v>
      </c>
      <c r="G761" s="379">
        <v>2795.93</v>
      </c>
      <c r="H761" s="379"/>
      <c r="I761" s="379"/>
      <c r="J761" s="379"/>
      <c r="K761" s="379"/>
      <c r="L761" s="379"/>
      <c r="M761" s="379">
        <v>650000</v>
      </c>
      <c r="N761" s="379">
        <v>21445</v>
      </c>
      <c r="O761" s="379">
        <v>1600</v>
      </c>
      <c r="P761" s="379">
        <v>91683</v>
      </c>
      <c r="Q761" s="379">
        <v>-22694.679999999997</v>
      </c>
      <c r="R761" s="430">
        <v>366256.93</v>
      </c>
      <c r="S761" s="400">
        <v>0</v>
      </c>
      <c r="T761" s="400">
        <v>36650.450000000004</v>
      </c>
      <c r="U761" s="406">
        <v>305539.87</v>
      </c>
      <c r="V761" s="400">
        <v>2807.1800000000003</v>
      </c>
      <c r="W761" s="430">
        <v>308347.05</v>
      </c>
      <c r="X761" s="431">
        <v>344997.5</v>
      </c>
      <c r="Y761" s="430">
        <v>408303.33</v>
      </c>
      <c r="Z761" s="373">
        <v>1150336.6500000001</v>
      </c>
      <c r="AA761" s="406">
        <v>0</v>
      </c>
      <c r="AB761" s="406">
        <v>0</v>
      </c>
      <c r="AC761" s="406">
        <v>-730.27000000001863</v>
      </c>
      <c r="AD761" s="406">
        <v>0</v>
      </c>
      <c r="AE761" s="430">
        <v>-730.27000000001863</v>
      </c>
      <c r="AF761" s="430">
        <v>-730.27000000001863</v>
      </c>
      <c r="AG761" s="400">
        <v>-0.17999999999994998</v>
      </c>
      <c r="AH761" s="432">
        <v>-1.993873535717177E-3</v>
      </c>
      <c r="AI761" s="433">
        <v>0</v>
      </c>
      <c r="AJ761" s="430">
        <v>278.47000000000003</v>
      </c>
      <c r="AK761" s="434">
        <v>-6.4638919811810952E-4</v>
      </c>
      <c r="AL761" s="434">
        <v>-1.3474843375990675E-3</v>
      </c>
      <c r="AM761" s="412">
        <v>268.88592039801006</v>
      </c>
      <c r="AR761" s="427"/>
      <c r="AS761" s="427"/>
      <c r="AT761" s="427"/>
      <c r="AU761" s="427"/>
      <c r="AV761" s="427"/>
    </row>
    <row r="762" spans="2:48" s="382" customFormat="1" ht="28.15" customHeight="1" x14ac:dyDescent="0.25">
      <c r="B762" s="428">
        <v>43768</v>
      </c>
      <c r="C762" s="429">
        <v>0</v>
      </c>
      <c r="D762" s="429">
        <v>42046.400000000001</v>
      </c>
      <c r="E762" s="379">
        <v>366071.66</v>
      </c>
      <c r="F762" s="379">
        <v>0</v>
      </c>
      <c r="G762" s="379">
        <v>2795.93</v>
      </c>
      <c r="H762" s="379"/>
      <c r="I762" s="379"/>
      <c r="J762" s="379"/>
      <c r="K762" s="379"/>
      <c r="L762" s="379"/>
      <c r="M762" s="379">
        <v>650000</v>
      </c>
      <c r="N762" s="379">
        <v>21445</v>
      </c>
      <c r="O762" s="379">
        <v>1600</v>
      </c>
      <c r="P762" s="379">
        <v>91683</v>
      </c>
      <c r="Q762" s="379">
        <v>-22694.679999999997</v>
      </c>
      <c r="R762" s="430">
        <v>368867.58999999997</v>
      </c>
      <c r="S762" s="400">
        <v>0</v>
      </c>
      <c r="T762" s="400">
        <v>36650.450000000004</v>
      </c>
      <c r="U762" s="406">
        <v>305539.87</v>
      </c>
      <c r="V762" s="400">
        <v>2807.1800000000003</v>
      </c>
      <c r="W762" s="430">
        <v>308347.05</v>
      </c>
      <c r="X762" s="431">
        <v>344997.5</v>
      </c>
      <c r="Y762" s="430">
        <v>410913.99</v>
      </c>
      <c r="Z762" s="373">
        <v>1152947.31</v>
      </c>
      <c r="AA762" s="406">
        <v>0</v>
      </c>
      <c r="AB762" s="406">
        <v>0</v>
      </c>
      <c r="AC762" s="406">
        <v>2610.6599999999744</v>
      </c>
      <c r="AD762" s="406">
        <v>0</v>
      </c>
      <c r="AE762" s="430">
        <v>2610.6599999999744</v>
      </c>
      <c r="AF762" s="430">
        <v>2610.6599999999744</v>
      </c>
      <c r="AG762" s="400">
        <v>0.97999999999996135</v>
      </c>
      <c r="AH762" s="432">
        <v>7.077499001741993E-3</v>
      </c>
      <c r="AI762" s="433">
        <v>0</v>
      </c>
      <c r="AJ762" s="430">
        <v>279.45</v>
      </c>
      <c r="AK762" s="434">
        <v>3.5068885310429823E-3</v>
      </c>
      <c r="AL762" s="434">
        <v>3.5706104706990107E-3</v>
      </c>
      <c r="AM762" s="412">
        <v>268.95447761194043</v>
      </c>
      <c r="AR762" s="427"/>
      <c r="AS762" s="427"/>
      <c r="AT762" s="427"/>
      <c r="AU762" s="427"/>
      <c r="AV762" s="427"/>
    </row>
    <row r="763" spans="2:48" s="382" customFormat="1" ht="28.15" customHeight="1" x14ac:dyDescent="0.25">
      <c r="B763" s="428">
        <v>43769</v>
      </c>
      <c r="C763" s="429">
        <v>0</v>
      </c>
      <c r="D763" s="429">
        <v>42046.400000000001</v>
      </c>
      <c r="E763" s="379">
        <v>372830.76</v>
      </c>
      <c r="F763" s="379">
        <v>0</v>
      </c>
      <c r="G763" s="379">
        <v>2875.34</v>
      </c>
      <c r="H763" s="379"/>
      <c r="I763" s="379"/>
      <c r="J763" s="379"/>
      <c r="K763" s="379"/>
      <c r="L763" s="379"/>
      <c r="M763" s="379">
        <v>650000</v>
      </c>
      <c r="N763" s="379">
        <v>21445</v>
      </c>
      <c r="O763" s="379">
        <v>1600</v>
      </c>
      <c r="P763" s="379">
        <v>91683</v>
      </c>
      <c r="Q763" s="379">
        <v>-22694.679999999997</v>
      </c>
      <c r="R763" s="430">
        <v>375706.10000000003</v>
      </c>
      <c r="S763" s="400">
        <v>0</v>
      </c>
      <c r="T763" s="400">
        <v>36650.450000000004</v>
      </c>
      <c r="U763" s="406">
        <v>305539.87</v>
      </c>
      <c r="V763" s="400">
        <v>2807.1800000000003</v>
      </c>
      <c r="W763" s="430">
        <v>308347.05</v>
      </c>
      <c r="X763" s="431">
        <v>344997.5</v>
      </c>
      <c r="Y763" s="430">
        <v>417752.50000000006</v>
      </c>
      <c r="Z763" s="373">
        <v>1159785.82</v>
      </c>
      <c r="AA763" s="406">
        <v>0</v>
      </c>
      <c r="AB763" s="406">
        <v>0</v>
      </c>
      <c r="AC763" s="406">
        <v>6759.1000000000349</v>
      </c>
      <c r="AD763" s="406">
        <v>79.410000000000309</v>
      </c>
      <c r="AE763" s="430">
        <v>6838.5100000000348</v>
      </c>
      <c r="AF763" s="430">
        <v>6838.5100000000348</v>
      </c>
      <c r="AG763" s="400">
        <v>-0.89999999999997726</v>
      </c>
      <c r="AH763" s="432">
        <v>1.8201753977377621E-2</v>
      </c>
      <c r="AI763" s="433">
        <v>0</v>
      </c>
      <c r="AJ763" s="430">
        <v>278.55</v>
      </c>
      <c r="AK763" s="434">
        <v>-3.2310177705976565E-3</v>
      </c>
      <c r="AL763" s="434">
        <v>2.1432771747975279E-2</v>
      </c>
      <c r="AM763" s="412">
        <v>269.01900497512446</v>
      </c>
      <c r="AR763" s="427"/>
      <c r="AS763" s="427"/>
      <c r="AT763" s="427"/>
      <c r="AU763" s="427"/>
      <c r="AV763" s="427"/>
    </row>
    <row r="764" spans="2:48" s="382" customFormat="1" ht="28.15" customHeight="1" x14ac:dyDescent="0.25">
      <c r="B764" s="428">
        <v>43770</v>
      </c>
      <c r="C764" s="429">
        <v>0</v>
      </c>
      <c r="D764" s="429">
        <v>42046.400000000001</v>
      </c>
      <c r="E764" s="379">
        <v>371192.33</v>
      </c>
      <c r="F764" s="379">
        <v>0</v>
      </c>
      <c r="G764" s="379">
        <v>2875.34</v>
      </c>
      <c r="H764" s="379"/>
      <c r="I764" s="379"/>
      <c r="J764" s="379"/>
      <c r="K764" s="379"/>
      <c r="L764" s="379"/>
      <c r="M764" s="379">
        <v>650000</v>
      </c>
      <c r="N764" s="379">
        <v>21445</v>
      </c>
      <c r="O764" s="379">
        <v>1600</v>
      </c>
      <c r="P764" s="379">
        <v>91683</v>
      </c>
      <c r="Q764" s="379">
        <v>-22694.679999999997</v>
      </c>
      <c r="R764" s="430">
        <v>374067.67000000004</v>
      </c>
      <c r="S764" s="400">
        <v>0</v>
      </c>
      <c r="T764" s="400">
        <v>36650.450000000004</v>
      </c>
      <c r="U764" s="406">
        <v>305539.87</v>
      </c>
      <c r="V764" s="400">
        <v>2807.1800000000003</v>
      </c>
      <c r="W764" s="430">
        <v>308347.05</v>
      </c>
      <c r="X764" s="431">
        <v>344997.5</v>
      </c>
      <c r="Y764" s="430">
        <v>416114.07000000007</v>
      </c>
      <c r="Z764" s="373">
        <v>1158147.3900000001</v>
      </c>
      <c r="AA764" s="406">
        <v>0</v>
      </c>
      <c r="AB764" s="406">
        <v>0</v>
      </c>
      <c r="AC764" s="406">
        <v>-1638.429999999993</v>
      </c>
      <c r="AD764" s="406">
        <v>0</v>
      </c>
      <c r="AE764" s="430">
        <v>-1638.429999999993</v>
      </c>
      <c r="AF764" s="430">
        <v>-1638.429999999993</v>
      </c>
      <c r="AG764" s="400">
        <v>2.6499999999999773</v>
      </c>
      <c r="AH764" s="432">
        <v>-4.380036371493941E-3</v>
      </c>
      <c r="AI764" s="433">
        <v>0</v>
      </c>
      <c r="AJ764" s="430">
        <v>281.2</v>
      </c>
      <c r="AK764" s="434">
        <v>9.4238975817922382E-3</v>
      </c>
      <c r="AL764" s="434">
        <v>-1.380393395328618E-2</v>
      </c>
      <c r="AM764" s="412">
        <v>269.07905472636833</v>
      </c>
      <c r="AR764" s="427"/>
      <c r="AS764" s="427"/>
      <c r="AT764" s="427"/>
      <c r="AU764" s="427"/>
      <c r="AV764" s="427"/>
    </row>
    <row r="765" spans="2:48" s="382" customFormat="1" ht="28.15" customHeight="1" x14ac:dyDescent="0.25">
      <c r="B765" s="435">
        <v>43771</v>
      </c>
      <c r="C765" s="429">
        <v>0</v>
      </c>
      <c r="D765" s="429">
        <v>42046.400000000001</v>
      </c>
      <c r="E765" s="379">
        <v>371192.33</v>
      </c>
      <c r="F765" s="379">
        <v>0</v>
      </c>
      <c r="G765" s="379">
        <v>2875.34</v>
      </c>
      <c r="H765" s="379"/>
      <c r="I765" s="379"/>
      <c r="J765" s="379"/>
      <c r="K765" s="379"/>
      <c r="L765" s="379"/>
      <c r="M765" s="379">
        <v>650000</v>
      </c>
      <c r="N765" s="379">
        <v>21445</v>
      </c>
      <c r="O765" s="379">
        <v>1600</v>
      </c>
      <c r="P765" s="379">
        <v>91683</v>
      </c>
      <c r="Q765" s="379">
        <v>-22694.679999999997</v>
      </c>
      <c r="R765" s="430">
        <v>374067.67000000004</v>
      </c>
      <c r="S765" s="400">
        <v>0</v>
      </c>
      <c r="T765" s="400">
        <v>36650.450000000004</v>
      </c>
      <c r="U765" s="406">
        <v>305539.87</v>
      </c>
      <c r="V765" s="400">
        <v>2807.1800000000003</v>
      </c>
      <c r="W765" s="430">
        <v>308347.05</v>
      </c>
      <c r="X765" s="431">
        <v>344997.5</v>
      </c>
      <c r="Y765" s="430">
        <v>416114.07000000007</v>
      </c>
      <c r="Z765" s="373">
        <v>1158147.3900000001</v>
      </c>
      <c r="AA765" s="406">
        <v>0</v>
      </c>
      <c r="AB765" s="406">
        <v>0</v>
      </c>
      <c r="AC765" s="406">
        <v>0</v>
      </c>
      <c r="AD765" s="406">
        <v>0</v>
      </c>
      <c r="AE765" s="430">
        <v>0</v>
      </c>
      <c r="AF765" s="430">
        <v>0</v>
      </c>
      <c r="AG765" s="400">
        <v>0</v>
      </c>
      <c r="AH765" s="432">
        <v>0</v>
      </c>
      <c r="AI765" s="433">
        <v>0</v>
      </c>
      <c r="AJ765" s="430">
        <v>281.2</v>
      </c>
      <c r="AK765" s="434">
        <v>0</v>
      </c>
      <c r="AL765" s="434">
        <v>0</v>
      </c>
      <c r="AM765" s="412">
        <v>269.15228855721404</v>
      </c>
      <c r="AR765" s="427"/>
      <c r="AS765" s="427"/>
      <c r="AT765" s="427"/>
      <c r="AU765" s="427"/>
      <c r="AV765" s="427"/>
    </row>
    <row r="766" spans="2:48" s="382" customFormat="1" ht="28.15" customHeight="1" x14ac:dyDescent="0.25">
      <c r="B766" s="435">
        <v>43772</v>
      </c>
      <c r="C766" s="429">
        <v>0</v>
      </c>
      <c r="D766" s="429">
        <v>42046.400000000001</v>
      </c>
      <c r="E766" s="379">
        <v>371192.33</v>
      </c>
      <c r="F766" s="379">
        <v>0</v>
      </c>
      <c r="G766" s="379">
        <v>2875.34</v>
      </c>
      <c r="H766" s="379"/>
      <c r="I766" s="379"/>
      <c r="J766" s="379"/>
      <c r="K766" s="379"/>
      <c r="L766" s="379"/>
      <c r="M766" s="379">
        <v>650000</v>
      </c>
      <c r="N766" s="379">
        <v>21445</v>
      </c>
      <c r="O766" s="379">
        <v>1600</v>
      </c>
      <c r="P766" s="379">
        <v>91683</v>
      </c>
      <c r="Q766" s="379">
        <v>-22694.679999999997</v>
      </c>
      <c r="R766" s="430">
        <v>374067.67000000004</v>
      </c>
      <c r="S766" s="400">
        <v>0</v>
      </c>
      <c r="T766" s="400">
        <v>36650.450000000004</v>
      </c>
      <c r="U766" s="406">
        <v>305539.87</v>
      </c>
      <c r="V766" s="400">
        <v>2807.1800000000003</v>
      </c>
      <c r="W766" s="430">
        <v>308347.05</v>
      </c>
      <c r="X766" s="431">
        <v>344997.5</v>
      </c>
      <c r="Y766" s="430">
        <v>416114.07000000007</v>
      </c>
      <c r="Z766" s="373">
        <v>1158147.3900000001</v>
      </c>
      <c r="AA766" s="406">
        <v>0</v>
      </c>
      <c r="AB766" s="406">
        <v>0</v>
      </c>
      <c r="AC766" s="406">
        <v>0</v>
      </c>
      <c r="AD766" s="406">
        <v>0</v>
      </c>
      <c r="AE766" s="430">
        <v>0</v>
      </c>
      <c r="AF766" s="430">
        <v>0</v>
      </c>
      <c r="AG766" s="400">
        <v>0</v>
      </c>
      <c r="AH766" s="432">
        <v>0</v>
      </c>
      <c r="AI766" s="433">
        <v>0</v>
      </c>
      <c r="AJ766" s="430">
        <v>281.2</v>
      </c>
      <c r="AK766" s="434">
        <v>0</v>
      </c>
      <c r="AL766" s="434">
        <v>0</v>
      </c>
      <c r="AM766" s="412">
        <v>269.22641791044788</v>
      </c>
      <c r="AR766" s="427"/>
      <c r="AS766" s="427"/>
      <c r="AT766" s="427"/>
      <c r="AU766" s="427"/>
      <c r="AV766" s="427"/>
    </row>
    <row r="767" spans="2:48" s="382" customFormat="1" ht="28.15" customHeight="1" x14ac:dyDescent="0.25">
      <c r="B767" s="428">
        <v>43773</v>
      </c>
      <c r="C767" s="429">
        <v>0</v>
      </c>
      <c r="D767" s="429">
        <v>41434.800000000003</v>
      </c>
      <c r="E767" s="379">
        <v>370332</v>
      </c>
      <c r="F767" s="379">
        <v>0</v>
      </c>
      <c r="G767" s="379">
        <v>2875.34</v>
      </c>
      <c r="H767" s="379"/>
      <c r="I767" s="379"/>
      <c r="J767" s="379">
        <v>875</v>
      </c>
      <c r="K767" s="379"/>
      <c r="L767" s="379"/>
      <c r="M767" s="379">
        <v>650000</v>
      </c>
      <c r="N767" s="379">
        <v>21445</v>
      </c>
      <c r="O767" s="379">
        <v>1600</v>
      </c>
      <c r="P767" s="379">
        <v>91683</v>
      </c>
      <c r="Q767" s="379">
        <v>-22694.679999999997</v>
      </c>
      <c r="R767" s="430">
        <v>373207.34</v>
      </c>
      <c r="S767" s="400">
        <v>0</v>
      </c>
      <c r="T767" s="400">
        <v>36650.450000000004</v>
      </c>
      <c r="U767" s="406">
        <v>306414.87</v>
      </c>
      <c r="V767" s="400">
        <v>2807.1800000000003</v>
      </c>
      <c r="W767" s="430">
        <v>309222.05</v>
      </c>
      <c r="X767" s="431">
        <v>345872.5</v>
      </c>
      <c r="Y767" s="430">
        <v>414642.14</v>
      </c>
      <c r="Z767" s="373">
        <v>1156675.4600000002</v>
      </c>
      <c r="AA767" s="406">
        <v>0</v>
      </c>
      <c r="AB767" s="406">
        <v>-611.59999999999854</v>
      </c>
      <c r="AC767" s="406">
        <v>-1735.3300000000163</v>
      </c>
      <c r="AD767" s="406">
        <v>0</v>
      </c>
      <c r="AE767" s="430">
        <v>-1735.3300000000163</v>
      </c>
      <c r="AF767" s="430">
        <v>-2346.9300000000148</v>
      </c>
      <c r="AG767" s="400">
        <v>1.1200000000000045</v>
      </c>
      <c r="AH767" s="432">
        <v>-4.6497745730296088E-3</v>
      </c>
      <c r="AI767" s="433">
        <v>-1.4760539449930939E-2</v>
      </c>
      <c r="AJ767" s="430">
        <v>282.32</v>
      </c>
      <c r="AK767" s="434">
        <v>3.9671294984415014E-3</v>
      </c>
      <c r="AL767" s="434">
        <v>-8.6169040714711102E-3</v>
      </c>
      <c r="AM767" s="412">
        <v>269.29960199004989</v>
      </c>
      <c r="AR767" s="427"/>
      <c r="AS767" s="427"/>
      <c r="AT767" s="427"/>
      <c r="AU767" s="427"/>
      <c r="AV767" s="427"/>
    </row>
    <row r="768" spans="2:48" s="382" customFormat="1" ht="28.15" customHeight="1" x14ac:dyDescent="0.25">
      <c r="B768" s="428">
        <v>43774</v>
      </c>
      <c r="C768" s="429">
        <v>0</v>
      </c>
      <c r="D768" s="429">
        <v>40821</v>
      </c>
      <c r="E768" s="379">
        <v>362567</v>
      </c>
      <c r="F768" s="379">
        <v>0</v>
      </c>
      <c r="G768" s="379">
        <v>2875.34</v>
      </c>
      <c r="H768" s="379"/>
      <c r="I768" s="379"/>
      <c r="J768" s="379"/>
      <c r="K768" s="379"/>
      <c r="L768" s="379"/>
      <c r="M768" s="379">
        <v>650000</v>
      </c>
      <c r="N768" s="379">
        <v>21445</v>
      </c>
      <c r="O768" s="379">
        <v>1600</v>
      </c>
      <c r="P768" s="379">
        <v>91683</v>
      </c>
      <c r="Q768" s="379">
        <v>-22694.679999999997</v>
      </c>
      <c r="R768" s="430">
        <v>365442.34</v>
      </c>
      <c r="S768" s="400">
        <v>0</v>
      </c>
      <c r="T768" s="400">
        <v>36650.450000000004</v>
      </c>
      <c r="U768" s="406">
        <v>306414.87</v>
      </c>
      <c r="V768" s="400">
        <v>2807.1800000000003</v>
      </c>
      <c r="W768" s="430">
        <v>309222.05</v>
      </c>
      <c r="X768" s="431">
        <v>345872.5</v>
      </c>
      <c r="Y768" s="430">
        <v>406263.34</v>
      </c>
      <c r="Z768" s="373">
        <v>1148296.6600000001</v>
      </c>
      <c r="AA768" s="406">
        <v>0</v>
      </c>
      <c r="AB768" s="406">
        <v>-613.80000000000291</v>
      </c>
      <c r="AC768" s="406">
        <v>-7765</v>
      </c>
      <c r="AD768" s="406">
        <v>0</v>
      </c>
      <c r="AE768" s="430">
        <v>-7765</v>
      </c>
      <c r="AF768" s="430">
        <v>-8378.8000000000029</v>
      </c>
      <c r="AG768" s="400">
        <v>-0.36000000000001364</v>
      </c>
      <c r="AH768" s="432">
        <v>-2.1248222086143603E-2</v>
      </c>
      <c r="AI768" s="433">
        <v>-1.503637833468075E-2</v>
      </c>
      <c r="AJ768" s="430">
        <v>281.95999999999998</v>
      </c>
      <c r="AK768" s="434">
        <v>-1.2767768477798755E-3</v>
      </c>
      <c r="AL768" s="434">
        <v>-1.9971445238363729E-2</v>
      </c>
      <c r="AM768" s="412">
        <v>269.38159203980109</v>
      </c>
      <c r="AR768" s="427"/>
      <c r="AS768" s="427"/>
      <c r="AT768" s="427"/>
      <c r="AU768" s="427"/>
      <c r="AV768" s="427"/>
    </row>
    <row r="769" spans="2:48" s="382" customFormat="1" ht="28.15" customHeight="1" x14ac:dyDescent="0.25">
      <c r="B769" s="428">
        <v>43775</v>
      </c>
      <c r="C769" s="429">
        <v>0</v>
      </c>
      <c r="D769" s="429">
        <v>41274.199999999997</v>
      </c>
      <c r="E769" s="379">
        <v>363302.28</v>
      </c>
      <c r="F769" s="379">
        <v>0</v>
      </c>
      <c r="G769" s="379">
        <v>2875.34</v>
      </c>
      <c r="H769" s="379"/>
      <c r="I769" s="379"/>
      <c r="J769" s="379"/>
      <c r="K769" s="379"/>
      <c r="L769" s="379"/>
      <c r="M769" s="379">
        <v>650000</v>
      </c>
      <c r="N769" s="379">
        <v>21445</v>
      </c>
      <c r="O769" s="379">
        <v>1600</v>
      </c>
      <c r="P769" s="379">
        <v>91683</v>
      </c>
      <c r="Q769" s="379">
        <v>-22694.679999999997</v>
      </c>
      <c r="R769" s="430">
        <v>366177.62000000005</v>
      </c>
      <c r="S769" s="400">
        <v>0</v>
      </c>
      <c r="T769" s="400">
        <v>36650.450000000004</v>
      </c>
      <c r="U769" s="406">
        <v>306414.87</v>
      </c>
      <c r="V769" s="400">
        <v>2807.1800000000003</v>
      </c>
      <c r="W769" s="430">
        <v>309222.05</v>
      </c>
      <c r="X769" s="431">
        <v>345872.5</v>
      </c>
      <c r="Y769" s="430">
        <v>407451.82000000007</v>
      </c>
      <c r="Z769" s="373">
        <v>1149485.1400000001</v>
      </c>
      <c r="AA769" s="406">
        <v>0</v>
      </c>
      <c r="AB769" s="406">
        <v>453.19999999999709</v>
      </c>
      <c r="AC769" s="406">
        <v>735.28000000002794</v>
      </c>
      <c r="AD769" s="406">
        <v>0</v>
      </c>
      <c r="AE769" s="430">
        <v>735.28000000002794</v>
      </c>
      <c r="AF769" s="430">
        <v>1188.480000000025</v>
      </c>
      <c r="AG769" s="400">
        <v>0.15000000000003411</v>
      </c>
      <c r="AH769" s="432">
        <v>2.0079872713139263E-3</v>
      </c>
      <c r="AI769" s="433">
        <v>1.0980224934704904E-2</v>
      </c>
      <c r="AJ769" s="430">
        <v>282.11</v>
      </c>
      <c r="AK769" s="434">
        <v>5.3170748998629652E-4</v>
      </c>
      <c r="AL769" s="434">
        <v>1.4762797813276298E-3</v>
      </c>
      <c r="AM769" s="412">
        <v>269.45930348258713</v>
      </c>
      <c r="AR769" s="427"/>
      <c r="AS769" s="427"/>
      <c r="AT769" s="427"/>
      <c r="AU769" s="427"/>
      <c r="AV769" s="427"/>
    </row>
    <row r="770" spans="2:48" s="382" customFormat="1" ht="28.15" customHeight="1" x14ac:dyDescent="0.25">
      <c r="B770" s="428">
        <v>43776</v>
      </c>
      <c r="C770" s="429">
        <v>0</v>
      </c>
      <c r="D770" s="429">
        <v>40135.4</v>
      </c>
      <c r="E770" s="379">
        <v>352579.44</v>
      </c>
      <c r="F770" s="379">
        <v>0</v>
      </c>
      <c r="G770" s="379">
        <v>2875.34</v>
      </c>
      <c r="H770" s="379"/>
      <c r="I770" s="379"/>
      <c r="J770" s="379"/>
      <c r="K770" s="379"/>
      <c r="L770" s="379"/>
      <c r="M770" s="379">
        <v>650000</v>
      </c>
      <c r="N770" s="379">
        <v>21445</v>
      </c>
      <c r="O770" s="379">
        <v>1600</v>
      </c>
      <c r="P770" s="379">
        <v>91683</v>
      </c>
      <c r="Q770" s="379">
        <v>-22694.679999999997</v>
      </c>
      <c r="R770" s="430">
        <v>355454.78</v>
      </c>
      <c r="S770" s="400">
        <v>0</v>
      </c>
      <c r="T770" s="400">
        <v>36650.450000000004</v>
      </c>
      <c r="U770" s="406">
        <v>306414.87</v>
      </c>
      <c r="V770" s="400">
        <v>2807.1800000000003</v>
      </c>
      <c r="W770" s="430">
        <v>309222.05</v>
      </c>
      <c r="X770" s="431">
        <v>345872.5</v>
      </c>
      <c r="Y770" s="430">
        <v>395590.18000000005</v>
      </c>
      <c r="Z770" s="373">
        <v>1137623.5000000002</v>
      </c>
      <c r="AA770" s="406">
        <v>0</v>
      </c>
      <c r="AB770" s="406">
        <v>-1138.7999999999956</v>
      </c>
      <c r="AC770" s="406">
        <v>-10722.840000000026</v>
      </c>
      <c r="AD770" s="406">
        <v>0</v>
      </c>
      <c r="AE770" s="430">
        <v>-10722.840000000026</v>
      </c>
      <c r="AF770" s="430">
        <v>-11861.640000000021</v>
      </c>
      <c r="AG770" s="400">
        <v>1</v>
      </c>
      <c r="AH770" s="432">
        <v>-3.0166537639471396E-2</v>
      </c>
      <c r="AI770" s="433">
        <v>-2.8373954165150855E-2</v>
      </c>
      <c r="AJ770" s="430">
        <v>283.11</v>
      </c>
      <c r="AK770" s="434">
        <v>3.5321959662322064E-3</v>
      </c>
      <c r="AL770" s="434">
        <v>-3.36987336057036E-2</v>
      </c>
      <c r="AM770" s="412">
        <v>269.53776119402988</v>
      </c>
      <c r="AR770" s="427"/>
      <c r="AS770" s="427"/>
      <c r="AT770" s="427"/>
      <c r="AU770" s="427"/>
      <c r="AV770" s="427"/>
    </row>
    <row r="771" spans="2:48" s="382" customFormat="1" ht="28.15" customHeight="1" x14ac:dyDescent="0.25">
      <c r="B771" s="428">
        <v>43777</v>
      </c>
      <c r="C771" s="429">
        <v>0</v>
      </c>
      <c r="D771" s="429">
        <v>40004</v>
      </c>
      <c r="E771" s="379">
        <v>348838</v>
      </c>
      <c r="F771" s="379">
        <v>0</v>
      </c>
      <c r="G771" s="379">
        <v>2875.34</v>
      </c>
      <c r="H771" s="379"/>
      <c r="I771" s="379"/>
      <c r="J771" s="379"/>
      <c r="K771" s="379"/>
      <c r="L771" s="379"/>
      <c r="M771" s="379">
        <v>650000</v>
      </c>
      <c r="N771" s="379">
        <v>21445</v>
      </c>
      <c r="O771" s="379">
        <v>1600</v>
      </c>
      <c r="P771" s="379">
        <v>91683</v>
      </c>
      <c r="Q771" s="379">
        <v>-22694.679999999997</v>
      </c>
      <c r="R771" s="430">
        <v>351713.34</v>
      </c>
      <c r="S771" s="400">
        <v>0</v>
      </c>
      <c r="T771" s="400">
        <v>36650.450000000004</v>
      </c>
      <c r="U771" s="406">
        <v>306414.87</v>
      </c>
      <c r="V771" s="400">
        <v>2807.1800000000003</v>
      </c>
      <c r="W771" s="430">
        <v>309222.05</v>
      </c>
      <c r="X771" s="431">
        <v>345872.5</v>
      </c>
      <c r="Y771" s="430">
        <v>391717.34</v>
      </c>
      <c r="Z771" s="373">
        <v>1133750.6600000001</v>
      </c>
      <c r="AA771" s="406">
        <v>0</v>
      </c>
      <c r="AB771" s="406">
        <v>-131.40000000000146</v>
      </c>
      <c r="AC771" s="406">
        <v>-3741.4400000000023</v>
      </c>
      <c r="AD771" s="406">
        <v>0</v>
      </c>
      <c r="AE771" s="430">
        <v>-3741.4400000000023</v>
      </c>
      <c r="AF771" s="430">
        <v>-3872.8400000000038</v>
      </c>
      <c r="AG771" s="400">
        <v>0.68999999999999773</v>
      </c>
      <c r="AH771" s="432">
        <v>-1.0637754030029119E-2</v>
      </c>
      <c r="AI771" s="433">
        <v>-3.2846715328467518E-3</v>
      </c>
      <c r="AJ771" s="430">
        <v>283.8</v>
      </c>
      <c r="AK771" s="434">
        <v>2.4312896405919581E-3</v>
      </c>
      <c r="AL771" s="434">
        <v>-1.3069043670621077E-2</v>
      </c>
      <c r="AM771" s="412">
        <v>269.62119402985081</v>
      </c>
      <c r="AR771" s="427"/>
      <c r="AS771" s="427"/>
      <c r="AT771" s="427"/>
      <c r="AU771" s="427"/>
      <c r="AV771" s="427"/>
    </row>
    <row r="772" spans="2:48" s="382" customFormat="1" ht="28.15" customHeight="1" x14ac:dyDescent="0.25">
      <c r="B772" s="435">
        <v>43778</v>
      </c>
      <c r="C772" s="429">
        <v>0</v>
      </c>
      <c r="D772" s="429">
        <v>40004</v>
      </c>
      <c r="E772" s="379">
        <v>348838</v>
      </c>
      <c r="F772" s="379">
        <v>0</v>
      </c>
      <c r="G772" s="379">
        <v>2875.34</v>
      </c>
      <c r="H772" s="379"/>
      <c r="I772" s="379"/>
      <c r="J772" s="379"/>
      <c r="K772" s="379"/>
      <c r="L772" s="379"/>
      <c r="M772" s="379">
        <v>650000</v>
      </c>
      <c r="N772" s="379">
        <v>21445</v>
      </c>
      <c r="O772" s="379">
        <v>1600</v>
      </c>
      <c r="P772" s="379">
        <v>91683</v>
      </c>
      <c r="Q772" s="379">
        <v>-22694.679999999997</v>
      </c>
      <c r="R772" s="430">
        <v>351713.34</v>
      </c>
      <c r="S772" s="400">
        <v>0</v>
      </c>
      <c r="T772" s="400">
        <v>36650.450000000004</v>
      </c>
      <c r="U772" s="406">
        <v>306414.87</v>
      </c>
      <c r="V772" s="400">
        <v>2807.1800000000003</v>
      </c>
      <c r="W772" s="430">
        <v>309222.05</v>
      </c>
      <c r="X772" s="431">
        <v>345872.5</v>
      </c>
      <c r="Y772" s="430">
        <v>391717.34</v>
      </c>
      <c r="Z772" s="373">
        <v>1133750.6600000001</v>
      </c>
      <c r="AA772" s="406">
        <v>0</v>
      </c>
      <c r="AB772" s="406">
        <v>0</v>
      </c>
      <c r="AC772" s="406">
        <v>0</v>
      </c>
      <c r="AD772" s="406">
        <v>0</v>
      </c>
      <c r="AE772" s="430">
        <v>0</v>
      </c>
      <c r="AF772" s="430">
        <v>0</v>
      </c>
      <c r="AG772" s="400">
        <v>0</v>
      </c>
      <c r="AH772" s="432">
        <v>0</v>
      </c>
      <c r="AI772" s="433">
        <v>0</v>
      </c>
      <c r="AJ772" s="430">
        <v>283.8</v>
      </c>
      <c r="AK772" s="434">
        <v>0</v>
      </c>
      <c r="AL772" s="434">
        <v>0</v>
      </c>
      <c r="AM772" s="412">
        <v>269.70805970149263</v>
      </c>
      <c r="AR772" s="427"/>
      <c r="AS772" s="427"/>
      <c r="AT772" s="427"/>
      <c r="AU772" s="427"/>
      <c r="AV772" s="427"/>
    </row>
    <row r="773" spans="2:48" s="382" customFormat="1" ht="28.15" customHeight="1" x14ac:dyDescent="0.25">
      <c r="B773" s="435">
        <v>43779</v>
      </c>
      <c r="C773" s="429">
        <v>0</v>
      </c>
      <c r="D773" s="429">
        <v>40004</v>
      </c>
      <c r="E773" s="379">
        <v>348838</v>
      </c>
      <c r="F773" s="379">
        <v>0</v>
      </c>
      <c r="G773" s="379">
        <v>2875.34</v>
      </c>
      <c r="H773" s="379"/>
      <c r="I773" s="379"/>
      <c r="J773" s="379"/>
      <c r="K773" s="379"/>
      <c r="L773" s="379"/>
      <c r="M773" s="379">
        <v>650000</v>
      </c>
      <c r="N773" s="379">
        <v>21445</v>
      </c>
      <c r="O773" s="379">
        <v>1600</v>
      </c>
      <c r="P773" s="379">
        <v>91683</v>
      </c>
      <c r="Q773" s="379">
        <v>-22694.679999999997</v>
      </c>
      <c r="R773" s="430">
        <v>351713.34</v>
      </c>
      <c r="S773" s="400">
        <v>0</v>
      </c>
      <c r="T773" s="400">
        <v>36650.450000000004</v>
      </c>
      <c r="U773" s="406">
        <v>306414.87</v>
      </c>
      <c r="V773" s="400">
        <v>2807.1800000000003</v>
      </c>
      <c r="W773" s="430">
        <v>309222.05</v>
      </c>
      <c r="X773" s="431">
        <v>345872.5</v>
      </c>
      <c r="Y773" s="430">
        <v>391717.34</v>
      </c>
      <c r="Z773" s="373">
        <v>1133750.6600000001</v>
      </c>
      <c r="AA773" s="406">
        <v>0</v>
      </c>
      <c r="AB773" s="406">
        <v>0</v>
      </c>
      <c r="AC773" s="406">
        <v>0</v>
      </c>
      <c r="AD773" s="406">
        <v>0</v>
      </c>
      <c r="AE773" s="430">
        <v>0</v>
      </c>
      <c r="AF773" s="430">
        <v>0</v>
      </c>
      <c r="AG773" s="400">
        <v>0</v>
      </c>
      <c r="AH773" s="432">
        <v>0</v>
      </c>
      <c r="AI773" s="433">
        <v>0</v>
      </c>
      <c r="AJ773" s="430">
        <v>283.8</v>
      </c>
      <c r="AK773" s="434">
        <v>0</v>
      </c>
      <c r="AL773" s="434">
        <v>0</v>
      </c>
      <c r="AM773" s="412">
        <v>269.79363184079614</v>
      </c>
      <c r="AR773" s="427"/>
      <c r="AS773" s="427"/>
      <c r="AT773" s="427"/>
      <c r="AU773" s="427"/>
      <c r="AV773" s="427"/>
    </row>
    <row r="774" spans="2:48" s="382" customFormat="1" ht="28.15" customHeight="1" x14ac:dyDescent="0.25">
      <c r="B774" s="428">
        <v>43780</v>
      </c>
      <c r="C774" s="429">
        <v>0</v>
      </c>
      <c r="D774" s="429">
        <v>40150</v>
      </c>
      <c r="E774" s="379">
        <v>348994</v>
      </c>
      <c r="F774" s="379">
        <v>0</v>
      </c>
      <c r="G774" s="379">
        <v>2875.34</v>
      </c>
      <c r="H774" s="379"/>
      <c r="I774" s="379"/>
      <c r="J774" s="379"/>
      <c r="K774" s="379"/>
      <c r="L774" s="379"/>
      <c r="M774" s="379">
        <v>650000</v>
      </c>
      <c r="N774" s="379">
        <v>21445</v>
      </c>
      <c r="O774" s="379">
        <v>1600</v>
      </c>
      <c r="P774" s="379">
        <v>91683</v>
      </c>
      <c r="Q774" s="379">
        <v>-22694.679999999997</v>
      </c>
      <c r="R774" s="430">
        <v>351869.34</v>
      </c>
      <c r="S774" s="400">
        <v>0</v>
      </c>
      <c r="T774" s="400">
        <v>36650.450000000004</v>
      </c>
      <c r="U774" s="406">
        <v>306414.87</v>
      </c>
      <c r="V774" s="400">
        <v>2807.1800000000003</v>
      </c>
      <c r="W774" s="430">
        <v>309222.05</v>
      </c>
      <c r="X774" s="431">
        <v>345872.5</v>
      </c>
      <c r="Y774" s="430">
        <v>392019.34</v>
      </c>
      <c r="Z774" s="373">
        <v>1134052.6600000001</v>
      </c>
      <c r="AA774" s="406">
        <v>0</v>
      </c>
      <c r="AB774" s="406">
        <v>146</v>
      </c>
      <c r="AC774" s="406">
        <v>156</v>
      </c>
      <c r="AD774" s="406">
        <v>0</v>
      </c>
      <c r="AE774" s="430">
        <v>156</v>
      </c>
      <c r="AF774" s="430">
        <v>302</v>
      </c>
      <c r="AG774" s="400">
        <v>-0.55000000000001137</v>
      </c>
      <c r="AH774" s="432">
        <v>4.4334638533723907E-4</v>
      </c>
      <c r="AI774" s="433">
        <v>3.6363636363636364E-3</v>
      </c>
      <c r="AJ774" s="430">
        <v>283.25</v>
      </c>
      <c r="AK774" s="434">
        <v>-1.941747572815574E-3</v>
      </c>
      <c r="AL774" s="434">
        <v>2.3850939581528132E-3</v>
      </c>
      <c r="AM774" s="412">
        <v>269.86776119402998</v>
      </c>
      <c r="AR774" s="427"/>
      <c r="AS774" s="427"/>
      <c r="AT774" s="427"/>
      <c r="AU774" s="427"/>
      <c r="AV774" s="427"/>
    </row>
    <row r="775" spans="2:48" s="382" customFormat="1" ht="28.15" customHeight="1" x14ac:dyDescent="0.25">
      <c r="B775" s="428">
        <v>43781</v>
      </c>
      <c r="C775" s="429">
        <v>0</v>
      </c>
      <c r="D775" s="429">
        <v>40354</v>
      </c>
      <c r="E775" s="379">
        <v>348994</v>
      </c>
      <c r="F775" s="379">
        <v>0</v>
      </c>
      <c r="G775" s="379">
        <v>2875.34</v>
      </c>
      <c r="H775" s="379"/>
      <c r="I775" s="379"/>
      <c r="J775" s="379"/>
      <c r="K775" s="379"/>
      <c r="L775" s="379"/>
      <c r="M775" s="379">
        <v>650000</v>
      </c>
      <c r="N775" s="379">
        <v>21445</v>
      </c>
      <c r="O775" s="379">
        <v>1600</v>
      </c>
      <c r="P775" s="379">
        <v>91683</v>
      </c>
      <c r="Q775" s="379">
        <v>-22694.679999999997</v>
      </c>
      <c r="R775" s="430">
        <v>351869.34</v>
      </c>
      <c r="S775" s="400">
        <v>0</v>
      </c>
      <c r="T775" s="400">
        <v>36650.450000000004</v>
      </c>
      <c r="U775" s="406">
        <v>306414.87</v>
      </c>
      <c r="V775" s="400">
        <v>2807.1800000000003</v>
      </c>
      <c r="W775" s="430">
        <v>309222.05</v>
      </c>
      <c r="X775" s="431">
        <v>345872.5</v>
      </c>
      <c r="Y775" s="430">
        <v>392223.34</v>
      </c>
      <c r="Z775" s="373">
        <v>1134256.6600000001</v>
      </c>
      <c r="AA775" s="406">
        <v>0</v>
      </c>
      <c r="AB775" s="406">
        <v>204</v>
      </c>
      <c r="AC775" s="406">
        <v>0</v>
      </c>
      <c r="AD775" s="406">
        <v>0</v>
      </c>
      <c r="AE775" s="430">
        <v>0</v>
      </c>
      <c r="AF775" s="430">
        <v>204</v>
      </c>
      <c r="AG775" s="400">
        <v>0.56000000000000227</v>
      </c>
      <c r="AH775" s="432">
        <v>0</v>
      </c>
      <c r="AI775" s="433">
        <v>5.0552609406750264E-3</v>
      </c>
      <c r="AJ775" s="430">
        <v>283.81</v>
      </c>
      <c r="AK775" s="434">
        <v>1.9731510517599885E-3</v>
      </c>
      <c r="AL775" s="434">
        <v>-1.9731510517599885E-3</v>
      </c>
      <c r="AM775" s="412">
        <v>269.94179104477627</v>
      </c>
      <c r="AR775" s="427"/>
      <c r="AS775" s="427"/>
      <c r="AT775" s="427"/>
      <c r="AU775" s="427"/>
      <c r="AV775" s="427"/>
    </row>
    <row r="776" spans="2:48" s="382" customFormat="1" ht="28.15" customHeight="1" x14ac:dyDescent="0.25">
      <c r="B776" s="428">
        <v>43782</v>
      </c>
      <c r="C776" s="429">
        <v>0</v>
      </c>
      <c r="D776" s="429">
        <v>40354</v>
      </c>
      <c r="E776" s="379">
        <v>348994</v>
      </c>
      <c r="F776" s="379">
        <v>0</v>
      </c>
      <c r="G776" s="379">
        <v>2875.34</v>
      </c>
      <c r="H776" s="379"/>
      <c r="I776" s="379"/>
      <c r="J776" s="379"/>
      <c r="K776" s="379"/>
      <c r="L776" s="379"/>
      <c r="M776" s="379">
        <v>650000</v>
      </c>
      <c r="N776" s="379">
        <v>21445</v>
      </c>
      <c r="O776" s="379">
        <v>1600</v>
      </c>
      <c r="P776" s="379">
        <v>91683</v>
      </c>
      <c r="Q776" s="379">
        <v>-22694.679999999997</v>
      </c>
      <c r="R776" s="430">
        <v>351869.34</v>
      </c>
      <c r="S776" s="400">
        <v>0</v>
      </c>
      <c r="T776" s="400">
        <v>36650.450000000004</v>
      </c>
      <c r="U776" s="406">
        <v>306414.87</v>
      </c>
      <c r="V776" s="400">
        <v>2807.1800000000003</v>
      </c>
      <c r="W776" s="430">
        <v>309222.05</v>
      </c>
      <c r="X776" s="431">
        <v>345872.5</v>
      </c>
      <c r="Y776" s="430">
        <v>392223.34</v>
      </c>
      <c r="Z776" s="373">
        <v>1134256.6600000001</v>
      </c>
      <c r="AA776" s="406">
        <v>0</v>
      </c>
      <c r="AB776" s="406">
        <v>0</v>
      </c>
      <c r="AC776" s="406">
        <v>0</v>
      </c>
      <c r="AD776" s="406">
        <v>0</v>
      </c>
      <c r="AE776" s="430">
        <v>0</v>
      </c>
      <c r="AF776" s="430">
        <v>0</v>
      </c>
      <c r="AG776" s="400">
        <v>0.12000000000000455</v>
      </c>
      <c r="AH776" s="432">
        <v>0</v>
      </c>
      <c r="AI776" s="433">
        <v>0</v>
      </c>
      <c r="AJ776" s="430">
        <v>283.93</v>
      </c>
      <c r="AK776" s="434">
        <v>4.2263938294651688E-4</v>
      </c>
      <c r="AL776" s="434">
        <v>-4.2263938294651688E-4</v>
      </c>
      <c r="AM776" s="412">
        <v>270.01910447761202</v>
      </c>
      <c r="AR776" s="427"/>
      <c r="AS776" s="427"/>
      <c r="AT776" s="427"/>
      <c r="AU776" s="427"/>
      <c r="AV776" s="427"/>
    </row>
    <row r="777" spans="2:48" s="382" customFormat="1" ht="28.15" customHeight="1" x14ac:dyDescent="0.25">
      <c r="B777" s="428">
        <v>43783</v>
      </c>
      <c r="C777" s="429">
        <v>0</v>
      </c>
      <c r="D777" s="429">
        <v>41201.199999999997</v>
      </c>
      <c r="E777" s="379">
        <v>348994</v>
      </c>
      <c r="F777" s="379">
        <v>0</v>
      </c>
      <c r="G777" s="379">
        <v>2875.34</v>
      </c>
      <c r="H777" s="379"/>
      <c r="I777" s="379"/>
      <c r="J777" s="379"/>
      <c r="K777" s="379"/>
      <c r="L777" s="379"/>
      <c r="M777" s="379">
        <v>650000</v>
      </c>
      <c r="N777" s="379">
        <v>21445</v>
      </c>
      <c r="O777" s="379">
        <v>1600</v>
      </c>
      <c r="P777" s="379">
        <v>91683</v>
      </c>
      <c r="Q777" s="379">
        <v>-22694.679999999997</v>
      </c>
      <c r="R777" s="430">
        <v>351869.34</v>
      </c>
      <c r="S777" s="400">
        <v>0</v>
      </c>
      <c r="T777" s="400">
        <v>36650.450000000004</v>
      </c>
      <c r="U777" s="406">
        <v>306414.87</v>
      </c>
      <c r="V777" s="400">
        <v>2807.1800000000003</v>
      </c>
      <c r="W777" s="430">
        <v>309222.05</v>
      </c>
      <c r="X777" s="431">
        <v>345872.5</v>
      </c>
      <c r="Y777" s="430">
        <v>393070.54000000004</v>
      </c>
      <c r="Z777" s="373">
        <v>1135103.8600000001</v>
      </c>
      <c r="AA777" s="406">
        <v>0</v>
      </c>
      <c r="AB777" s="406">
        <v>847.19999999999709</v>
      </c>
      <c r="AC777" s="406">
        <v>0</v>
      </c>
      <c r="AD777" s="406">
        <v>0</v>
      </c>
      <c r="AE777" s="430">
        <v>0</v>
      </c>
      <c r="AF777" s="430">
        <v>847.19999999999709</v>
      </c>
      <c r="AG777" s="400">
        <v>0.37999999999999545</v>
      </c>
      <c r="AH777" s="432">
        <v>0</v>
      </c>
      <c r="AI777" s="433">
        <v>2.0562507888119693E-2</v>
      </c>
      <c r="AJ777" s="430">
        <v>284.31</v>
      </c>
      <c r="AK777" s="434">
        <v>1.3365692378037898E-3</v>
      </c>
      <c r="AL777" s="434">
        <v>-1.3365692378037898E-3</v>
      </c>
      <c r="AM777" s="412">
        <v>270.09089552238817</v>
      </c>
      <c r="AR777" s="427"/>
      <c r="AS777" s="427"/>
      <c r="AT777" s="427"/>
      <c r="AU777" s="427"/>
      <c r="AV777" s="427"/>
    </row>
    <row r="778" spans="2:48" s="382" customFormat="1" ht="28.15" customHeight="1" x14ac:dyDescent="0.25">
      <c r="B778" s="428">
        <v>43784</v>
      </c>
      <c r="C778" s="429">
        <v>0</v>
      </c>
      <c r="D778" s="429">
        <v>41303.4</v>
      </c>
      <c r="E778" s="379">
        <v>349654</v>
      </c>
      <c r="F778" s="379">
        <v>0</v>
      </c>
      <c r="G778" s="379">
        <v>2875.34</v>
      </c>
      <c r="H778" s="379"/>
      <c r="I778" s="379"/>
      <c r="J778" s="379"/>
      <c r="K778" s="379"/>
      <c r="L778" s="379">
        <v>805</v>
      </c>
      <c r="M778" s="379">
        <v>650000</v>
      </c>
      <c r="N778" s="379">
        <v>21445</v>
      </c>
      <c r="O778" s="379">
        <v>1600</v>
      </c>
      <c r="P778" s="379">
        <v>91683</v>
      </c>
      <c r="Q778" s="379">
        <v>-22694.679999999997</v>
      </c>
      <c r="R778" s="430">
        <v>352529.34</v>
      </c>
      <c r="S778" s="400">
        <v>0</v>
      </c>
      <c r="T778" s="400">
        <v>36650.450000000004</v>
      </c>
      <c r="U778" s="406">
        <v>306414.87</v>
      </c>
      <c r="V778" s="400">
        <v>3612.1800000000003</v>
      </c>
      <c r="W778" s="430">
        <v>310027.05</v>
      </c>
      <c r="X778" s="431">
        <v>346677.5</v>
      </c>
      <c r="Y778" s="430">
        <v>393832.74000000005</v>
      </c>
      <c r="Z778" s="373">
        <v>1135866.06</v>
      </c>
      <c r="AA778" s="406">
        <v>0</v>
      </c>
      <c r="AB778" s="406">
        <v>102.20000000000437</v>
      </c>
      <c r="AC778" s="406">
        <v>660</v>
      </c>
      <c r="AD778" s="406">
        <v>-805</v>
      </c>
      <c r="AE778" s="430">
        <v>-145</v>
      </c>
      <c r="AF778" s="430">
        <v>-42.799999999995634</v>
      </c>
      <c r="AG778" s="400">
        <v>2.1200000000000045</v>
      </c>
      <c r="AH778" s="432">
        <v>-4.1131328246324118E-4</v>
      </c>
      <c r="AI778" s="433">
        <v>2.4743725698127602E-3</v>
      </c>
      <c r="AJ778" s="430">
        <v>286.43</v>
      </c>
      <c r="AK778" s="434">
        <v>7.4014593443424382E-3</v>
      </c>
      <c r="AL778" s="434">
        <v>-7.8127726268056794E-3</v>
      </c>
      <c r="AM778" s="412">
        <v>270.16457711442791</v>
      </c>
      <c r="AR778" s="427"/>
      <c r="AS778" s="427"/>
      <c r="AT778" s="427"/>
      <c r="AU778" s="427"/>
      <c r="AV778" s="427"/>
    </row>
    <row r="779" spans="2:48" s="382" customFormat="1" ht="28.15" customHeight="1" x14ac:dyDescent="0.25">
      <c r="B779" s="435">
        <v>43785</v>
      </c>
      <c r="C779" s="429">
        <v>0</v>
      </c>
      <c r="D779" s="429">
        <v>41303.4</v>
      </c>
      <c r="E779" s="379">
        <v>349654</v>
      </c>
      <c r="F779" s="379">
        <v>0</v>
      </c>
      <c r="G779" s="379">
        <v>2875.34</v>
      </c>
      <c r="H779" s="379"/>
      <c r="I779" s="379"/>
      <c r="J779" s="379"/>
      <c r="K779" s="379"/>
      <c r="L779" s="379"/>
      <c r="M779" s="379">
        <v>650000</v>
      </c>
      <c r="N779" s="379">
        <v>21445</v>
      </c>
      <c r="O779" s="379">
        <v>1600</v>
      </c>
      <c r="P779" s="379">
        <v>91683</v>
      </c>
      <c r="Q779" s="379">
        <v>-22694.679999999997</v>
      </c>
      <c r="R779" s="430">
        <v>352529.34</v>
      </c>
      <c r="S779" s="400">
        <v>0</v>
      </c>
      <c r="T779" s="400">
        <v>36650.450000000004</v>
      </c>
      <c r="U779" s="406">
        <v>306414.87</v>
      </c>
      <c r="V779" s="400">
        <v>3612.1800000000003</v>
      </c>
      <c r="W779" s="430">
        <v>310027.05</v>
      </c>
      <c r="X779" s="431">
        <v>346677.5</v>
      </c>
      <c r="Y779" s="430">
        <v>393832.74000000005</v>
      </c>
      <c r="Z779" s="373">
        <v>1135866.06</v>
      </c>
      <c r="AA779" s="406">
        <v>0</v>
      </c>
      <c r="AB779" s="406">
        <v>0</v>
      </c>
      <c r="AC779" s="406">
        <v>0</v>
      </c>
      <c r="AD779" s="406">
        <v>0</v>
      </c>
      <c r="AE779" s="430">
        <v>0</v>
      </c>
      <c r="AF779" s="430">
        <v>0</v>
      </c>
      <c r="AG779" s="400">
        <v>0</v>
      </c>
      <c r="AH779" s="432">
        <v>0</v>
      </c>
      <c r="AI779" s="433">
        <v>0</v>
      </c>
      <c r="AJ779" s="430">
        <v>286.43</v>
      </c>
      <c r="AK779" s="434">
        <v>0</v>
      </c>
      <c r="AL779" s="434">
        <v>0</v>
      </c>
      <c r="AM779" s="412">
        <v>270.24880597014931</v>
      </c>
      <c r="AR779" s="427"/>
      <c r="AS779" s="427"/>
      <c r="AT779" s="427"/>
      <c r="AU779" s="427"/>
      <c r="AV779" s="427"/>
    </row>
    <row r="780" spans="2:48" s="382" customFormat="1" ht="28.15" customHeight="1" x14ac:dyDescent="0.25">
      <c r="B780" s="435">
        <v>43786</v>
      </c>
      <c r="C780" s="429">
        <v>0</v>
      </c>
      <c r="D780" s="429">
        <v>41303.4</v>
      </c>
      <c r="E780" s="379">
        <v>349654</v>
      </c>
      <c r="F780" s="379">
        <v>0</v>
      </c>
      <c r="G780" s="379">
        <v>2875.34</v>
      </c>
      <c r="H780" s="379"/>
      <c r="I780" s="379"/>
      <c r="J780" s="379"/>
      <c r="K780" s="379"/>
      <c r="L780" s="379"/>
      <c r="M780" s="379">
        <v>650000</v>
      </c>
      <c r="N780" s="379">
        <v>21445</v>
      </c>
      <c r="O780" s="379">
        <v>1600</v>
      </c>
      <c r="P780" s="379">
        <v>91683</v>
      </c>
      <c r="Q780" s="379">
        <v>-22694.679999999997</v>
      </c>
      <c r="R780" s="430">
        <v>352529.34</v>
      </c>
      <c r="S780" s="400">
        <v>0</v>
      </c>
      <c r="T780" s="400">
        <v>36650.450000000004</v>
      </c>
      <c r="U780" s="406">
        <v>306414.87</v>
      </c>
      <c r="V780" s="400">
        <v>3612.1800000000003</v>
      </c>
      <c r="W780" s="430">
        <v>310027.05</v>
      </c>
      <c r="X780" s="431">
        <v>346677.5</v>
      </c>
      <c r="Y780" s="430">
        <v>393832.74000000005</v>
      </c>
      <c r="Z780" s="373">
        <v>1135866.06</v>
      </c>
      <c r="AA780" s="406">
        <v>0</v>
      </c>
      <c r="AB780" s="406">
        <v>0</v>
      </c>
      <c r="AC780" s="406">
        <v>0</v>
      </c>
      <c r="AD780" s="406">
        <v>0</v>
      </c>
      <c r="AE780" s="430">
        <v>0</v>
      </c>
      <c r="AF780" s="430">
        <v>0</v>
      </c>
      <c r="AG780" s="400">
        <v>0</v>
      </c>
      <c r="AH780" s="432">
        <v>0</v>
      </c>
      <c r="AI780" s="433">
        <v>0</v>
      </c>
      <c r="AJ780" s="430">
        <v>286.43</v>
      </c>
      <c r="AK780" s="434">
        <v>0</v>
      </c>
      <c r="AL780" s="434">
        <v>0</v>
      </c>
      <c r="AM780" s="412">
        <v>270.33134328358216</v>
      </c>
      <c r="AR780" s="427"/>
      <c r="AS780" s="427"/>
      <c r="AT780" s="427"/>
      <c r="AU780" s="427"/>
      <c r="AV780" s="427"/>
    </row>
    <row r="781" spans="2:48" s="382" customFormat="1" ht="28.15" customHeight="1" x14ac:dyDescent="0.25">
      <c r="B781" s="428">
        <v>43787</v>
      </c>
      <c r="C781" s="429">
        <v>0</v>
      </c>
      <c r="D781" s="429">
        <v>42048</v>
      </c>
      <c r="E781" s="379">
        <v>355106</v>
      </c>
      <c r="F781" s="379">
        <v>0</v>
      </c>
      <c r="G781" s="379">
        <v>3753</v>
      </c>
      <c r="H781" s="379"/>
      <c r="I781" s="379">
        <v>210</v>
      </c>
      <c r="J781" s="379">
        <v>875</v>
      </c>
      <c r="K781" s="379"/>
      <c r="L781" s="379"/>
      <c r="M781" s="379">
        <v>650000</v>
      </c>
      <c r="N781" s="379">
        <v>21445</v>
      </c>
      <c r="O781" s="379">
        <v>1600</v>
      </c>
      <c r="P781" s="379">
        <v>91683</v>
      </c>
      <c r="Q781" s="379">
        <v>-22694.679999999997</v>
      </c>
      <c r="R781" s="430">
        <v>358859</v>
      </c>
      <c r="S781" s="400">
        <v>0</v>
      </c>
      <c r="T781" s="400">
        <v>36860.450000000004</v>
      </c>
      <c r="U781" s="406">
        <v>307289.87</v>
      </c>
      <c r="V781" s="400">
        <v>3612.1800000000003</v>
      </c>
      <c r="W781" s="430">
        <v>310902.05</v>
      </c>
      <c r="X781" s="431">
        <v>347762.5</v>
      </c>
      <c r="Y781" s="430">
        <v>400907</v>
      </c>
      <c r="Z781" s="373">
        <v>1142940.32</v>
      </c>
      <c r="AA781" s="406">
        <v>0</v>
      </c>
      <c r="AB781" s="406">
        <v>534.59999999999854</v>
      </c>
      <c r="AC781" s="406">
        <v>4577</v>
      </c>
      <c r="AD781" s="406">
        <v>877.65999999999985</v>
      </c>
      <c r="AE781" s="430">
        <v>5454.66</v>
      </c>
      <c r="AF781" s="430">
        <v>5989.2599999999984</v>
      </c>
      <c r="AG781" s="400">
        <v>0.18000000000000682</v>
      </c>
      <c r="AH781" s="432">
        <v>1.5200008917151304E-2</v>
      </c>
      <c r="AI781" s="433">
        <v>1.2714041095890376E-2</v>
      </c>
      <c r="AJ781" s="430">
        <v>286.61</v>
      </c>
      <c r="AK781" s="434">
        <v>6.2803112243120204E-4</v>
      </c>
      <c r="AL781" s="434">
        <v>1.4571977794720102E-2</v>
      </c>
      <c r="AM781" s="412">
        <v>270.41303482587074</v>
      </c>
      <c r="AR781" s="427"/>
      <c r="AS781" s="427"/>
      <c r="AT781" s="427"/>
      <c r="AU781" s="427"/>
      <c r="AV781" s="427"/>
    </row>
    <row r="782" spans="2:48" s="382" customFormat="1" ht="28.15" customHeight="1" x14ac:dyDescent="0.25">
      <c r="B782" s="428">
        <v>43788</v>
      </c>
      <c r="C782" s="429">
        <v>0</v>
      </c>
      <c r="D782" s="429">
        <v>42048</v>
      </c>
      <c r="E782" s="379">
        <v>355106</v>
      </c>
      <c r="F782" s="379">
        <v>0</v>
      </c>
      <c r="G782" s="379">
        <v>3753</v>
      </c>
      <c r="H782" s="379"/>
      <c r="I782" s="379"/>
      <c r="J782" s="379"/>
      <c r="K782" s="379"/>
      <c r="L782" s="379"/>
      <c r="M782" s="379">
        <v>650000</v>
      </c>
      <c r="N782" s="379">
        <v>21445</v>
      </c>
      <c r="O782" s="379">
        <v>1600</v>
      </c>
      <c r="P782" s="379">
        <v>91683</v>
      </c>
      <c r="Q782" s="379">
        <v>-22694.679999999997</v>
      </c>
      <c r="R782" s="430">
        <v>358859</v>
      </c>
      <c r="S782" s="400">
        <v>0</v>
      </c>
      <c r="T782" s="400">
        <v>36860.450000000004</v>
      </c>
      <c r="U782" s="406">
        <v>307289.87</v>
      </c>
      <c r="V782" s="400">
        <v>3612.1800000000003</v>
      </c>
      <c r="W782" s="430">
        <v>310902.05</v>
      </c>
      <c r="X782" s="431">
        <v>347762.5</v>
      </c>
      <c r="Y782" s="430">
        <v>400907</v>
      </c>
      <c r="Z782" s="373">
        <v>1142940.32</v>
      </c>
      <c r="AA782" s="406">
        <v>0</v>
      </c>
      <c r="AB782" s="406">
        <v>0</v>
      </c>
      <c r="AC782" s="406">
        <v>0</v>
      </c>
      <c r="AD782" s="406">
        <v>0</v>
      </c>
      <c r="AE782" s="430">
        <v>0</v>
      </c>
      <c r="AF782" s="430">
        <v>0</v>
      </c>
      <c r="AG782" s="400">
        <v>-0.13999999999998636</v>
      </c>
      <c r="AH782" s="432">
        <v>0</v>
      </c>
      <c r="AI782" s="433">
        <v>0</v>
      </c>
      <c r="AJ782" s="430">
        <v>286.47000000000003</v>
      </c>
      <c r="AK782" s="434">
        <v>-4.8870736900892358E-4</v>
      </c>
      <c r="AL782" s="434">
        <v>4.8870736900892358E-4</v>
      </c>
      <c r="AM782" s="412">
        <v>270.50542288557222</v>
      </c>
      <c r="AR782" s="427"/>
      <c r="AS782" s="427"/>
      <c r="AT782" s="427"/>
      <c r="AU782" s="427"/>
      <c r="AV782" s="427"/>
    </row>
    <row r="783" spans="2:48" s="382" customFormat="1" ht="28.15" customHeight="1" x14ac:dyDescent="0.25">
      <c r="B783" s="428">
        <v>43789</v>
      </c>
      <c r="C783" s="429">
        <v>0</v>
      </c>
      <c r="D783" s="429">
        <v>42340</v>
      </c>
      <c r="E783" s="379">
        <v>355106</v>
      </c>
      <c r="F783" s="379">
        <v>0</v>
      </c>
      <c r="G783" s="379">
        <v>3753</v>
      </c>
      <c r="H783" s="379"/>
      <c r="I783" s="379"/>
      <c r="J783" s="379"/>
      <c r="K783" s="379"/>
      <c r="L783" s="379"/>
      <c r="M783" s="379">
        <v>650000</v>
      </c>
      <c r="N783" s="379">
        <v>21445</v>
      </c>
      <c r="O783" s="379">
        <v>1600</v>
      </c>
      <c r="P783" s="379">
        <v>91683</v>
      </c>
      <c r="Q783" s="379">
        <v>-22694.679999999997</v>
      </c>
      <c r="R783" s="430">
        <v>358859</v>
      </c>
      <c r="S783" s="400">
        <v>0</v>
      </c>
      <c r="T783" s="400">
        <v>36860.450000000004</v>
      </c>
      <c r="U783" s="406">
        <v>307289.87</v>
      </c>
      <c r="V783" s="400">
        <v>3612.1800000000003</v>
      </c>
      <c r="W783" s="430">
        <v>310902.05</v>
      </c>
      <c r="X783" s="431">
        <v>347762.5</v>
      </c>
      <c r="Y783" s="430">
        <v>401199</v>
      </c>
      <c r="Z783" s="373">
        <v>1143232.32</v>
      </c>
      <c r="AA783" s="406">
        <v>0</v>
      </c>
      <c r="AB783" s="406">
        <v>292</v>
      </c>
      <c r="AC783" s="406">
        <v>0</v>
      </c>
      <c r="AD783" s="406">
        <v>0</v>
      </c>
      <c r="AE783" s="430">
        <v>0</v>
      </c>
      <c r="AF783" s="430">
        <v>292</v>
      </c>
      <c r="AG783" s="400">
        <v>-1.0100000000000477</v>
      </c>
      <c r="AH783" s="432">
        <v>0</v>
      </c>
      <c r="AI783" s="433">
        <v>6.8965517241379309E-3</v>
      </c>
      <c r="AJ783" s="430">
        <v>285.45999999999998</v>
      </c>
      <c r="AK783" s="434">
        <v>-3.538148952567953E-3</v>
      </c>
      <c r="AL783" s="434">
        <v>3.538148952567953E-3</v>
      </c>
      <c r="AM783" s="412">
        <v>270.59975124378121</v>
      </c>
      <c r="AR783" s="427"/>
      <c r="AS783" s="427"/>
      <c r="AT783" s="427"/>
      <c r="AU783" s="427"/>
      <c r="AV783" s="427"/>
    </row>
    <row r="784" spans="2:48" s="382" customFormat="1" ht="28.15" customHeight="1" x14ac:dyDescent="0.25">
      <c r="B784" s="428">
        <v>43790</v>
      </c>
      <c r="C784" s="429">
        <v>0</v>
      </c>
      <c r="D784" s="429">
        <v>41902</v>
      </c>
      <c r="E784" s="379">
        <v>354864</v>
      </c>
      <c r="F784" s="379">
        <v>0</v>
      </c>
      <c r="G784" s="379">
        <v>3753</v>
      </c>
      <c r="H784" s="379"/>
      <c r="I784" s="379"/>
      <c r="J784" s="379"/>
      <c r="K784" s="379"/>
      <c r="L784" s="379"/>
      <c r="M784" s="379">
        <v>650000</v>
      </c>
      <c r="N784" s="379">
        <v>21445</v>
      </c>
      <c r="O784" s="379">
        <v>1600</v>
      </c>
      <c r="P784" s="379">
        <v>91683</v>
      </c>
      <c r="Q784" s="379">
        <v>-22694.679999999997</v>
      </c>
      <c r="R784" s="430">
        <v>358617</v>
      </c>
      <c r="S784" s="400">
        <v>0</v>
      </c>
      <c r="T784" s="400">
        <v>36860.450000000004</v>
      </c>
      <c r="U784" s="406">
        <v>307289.87</v>
      </c>
      <c r="V784" s="400">
        <v>3612.1800000000003</v>
      </c>
      <c r="W784" s="430">
        <v>310902.05</v>
      </c>
      <c r="X784" s="431">
        <v>347762.5</v>
      </c>
      <c r="Y784" s="430">
        <v>400519</v>
      </c>
      <c r="Z784" s="373">
        <v>1142552.32</v>
      </c>
      <c r="AA784" s="406">
        <v>0</v>
      </c>
      <c r="AB784" s="406">
        <v>-438</v>
      </c>
      <c r="AC784" s="406">
        <v>-242</v>
      </c>
      <c r="AD784" s="406">
        <v>0</v>
      </c>
      <c r="AE784" s="430">
        <v>-242</v>
      </c>
      <c r="AF784" s="430">
        <v>-680</v>
      </c>
      <c r="AG784" s="400">
        <v>-0.43999999999999773</v>
      </c>
      <c r="AH784" s="432">
        <v>-6.7481463511211127E-4</v>
      </c>
      <c r="AI784" s="433">
        <v>-1.0452961672473868E-2</v>
      </c>
      <c r="AJ784" s="430">
        <v>285.02</v>
      </c>
      <c r="AK784" s="434">
        <v>-1.5437513156971361E-3</v>
      </c>
      <c r="AL784" s="434">
        <v>8.6893668058502481E-4</v>
      </c>
      <c r="AM784" s="412">
        <v>270.67641791044787</v>
      </c>
      <c r="AR784" s="427"/>
      <c r="AS784" s="427"/>
      <c r="AT784" s="427"/>
      <c r="AU784" s="427"/>
      <c r="AV784" s="427"/>
    </row>
    <row r="785" spans="2:48" s="382" customFormat="1" ht="28.15" customHeight="1" x14ac:dyDescent="0.25">
      <c r="B785" s="428">
        <v>43791</v>
      </c>
      <c r="C785" s="429">
        <v>0</v>
      </c>
      <c r="D785" s="429">
        <v>41610</v>
      </c>
      <c r="E785" s="379">
        <v>352660</v>
      </c>
      <c r="F785" s="379">
        <v>0</v>
      </c>
      <c r="G785" s="379">
        <v>3753</v>
      </c>
      <c r="H785" s="379"/>
      <c r="I785" s="379"/>
      <c r="J785" s="379"/>
      <c r="K785" s="379"/>
      <c r="L785" s="379"/>
      <c r="M785" s="379">
        <v>650000</v>
      </c>
      <c r="N785" s="379">
        <v>21445</v>
      </c>
      <c r="O785" s="379">
        <v>1600</v>
      </c>
      <c r="P785" s="379">
        <v>91683</v>
      </c>
      <c r="Q785" s="379">
        <v>-22694.679999999997</v>
      </c>
      <c r="R785" s="430">
        <v>356413</v>
      </c>
      <c r="S785" s="400">
        <v>0</v>
      </c>
      <c r="T785" s="400">
        <v>36860.450000000004</v>
      </c>
      <c r="U785" s="406">
        <v>307289.87</v>
      </c>
      <c r="V785" s="400">
        <v>3612.1800000000003</v>
      </c>
      <c r="W785" s="430">
        <v>310902.05</v>
      </c>
      <c r="X785" s="431">
        <v>347762.5</v>
      </c>
      <c r="Y785" s="430">
        <v>398023</v>
      </c>
      <c r="Z785" s="373">
        <v>1140056.32</v>
      </c>
      <c r="AA785" s="406">
        <v>0</v>
      </c>
      <c r="AB785" s="406">
        <v>-292</v>
      </c>
      <c r="AC785" s="406">
        <v>-2204</v>
      </c>
      <c r="AD785" s="406">
        <v>0</v>
      </c>
      <c r="AE785" s="430">
        <v>-2204</v>
      </c>
      <c r="AF785" s="430">
        <v>-2496</v>
      </c>
      <c r="AG785" s="400">
        <v>0.62999999999999545</v>
      </c>
      <c r="AH785" s="432">
        <v>-6.1838372898856105E-3</v>
      </c>
      <c r="AI785" s="433">
        <v>-7.0175438596491229E-3</v>
      </c>
      <c r="AJ785" s="430">
        <v>285.64999999999998</v>
      </c>
      <c r="AK785" s="434">
        <v>2.2054962366532312E-3</v>
      </c>
      <c r="AL785" s="434">
        <v>-8.3893335265388426E-3</v>
      </c>
      <c r="AM785" s="412">
        <v>270.75089552238813</v>
      </c>
      <c r="AR785" s="427"/>
      <c r="AS785" s="427"/>
      <c r="AT785" s="427"/>
      <c r="AU785" s="427"/>
      <c r="AV785" s="427"/>
    </row>
    <row r="786" spans="2:48" s="382" customFormat="1" ht="28.15" customHeight="1" x14ac:dyDescent="0.25">
      <c r="B786" s="435">
        <v>43792</v>
      </c>
      <c r="C786" s="429">
        <v>0</v>
      </c>
      <c r="D786" s="429">
        <v>41610</v>
      </c>
      <c r="E786" s="379">
        <v>352660</v>
      </c>
      <c r="F786" s="379">
        <v>0</v>
      </c>
      <c r="G786" s="379">
        <v>3753</v>
      </c>
      <c r="H786" s="379"/>
      <c r="I786" s="379"/>
      <c r="J786" s="379"/>
      <c r="K786" s="379"/>
      <c r="L786" s="379"/>
      <c r="M786" s="379">
        <v>650000</v>
      </c>
      <c r="N786" s="379">
        <v>21445</v>
      </c>
      <c r="O786" s="379">
        <v>1600</v>
      </c>
      <c r="P786" s="379">
        <v>91683</v>
      </c>
      <c r="Q786" s="379">
        <v>-22694.679999999997</v>
      </c>
      <c r="R786" s="430">
        <v>356413</v>
      </c>
      <c r="S786" s="400">
        <v>0</v>
      </c>
      <c r="T786" s="400">
        <v>36860.450000000004</v>
      </c>
      <c r="U786" s="406">
        <v>307289.87</v>
      </c>
      <c r="V786" s="400">
        <v>3612.1800000000003</v>
      </c>
      <c r="W786" s="430">
        <v>310902.05</v>
      </c>
      <c r="X786" s="431">
        <v>347762.5</v>
      </c>
      <c r="Y786" s="430">
        <v>398023</v>
      </c>
      <c r="Z786" s="373">
        <v>1140056.32</v>
      </c>
      <c r="AA786" s="406">
        <v>0</v>
      </c>
      <c r="AB786" s="406">
        <v>0</v>
      </c>
      <c r="AC786" s="406">
        <v>0</v>
      </c>
      <c r="AD786" s="406">
        <v>0</v>
      </c>
      <c r="AE786" s="430">
        <v>0</v>
      </c>
      <c r="AF786" s="430">
        <v>0</v>
      </c>
      <c r="AG786" s="400">
        <v>0</v>
      </c>
      <c r="AH786" s="432">
        <v>0</v>
      </c>
      <c r="AI786" s="433">
        <v>0</v>
      </c>
      <c r="AJ786" s="430">
        <v>285.64999999999998</v>
      </c>
      <c r="AK786" s="434">
        <v>0</v>
      </c>
      <c r="AL786" s="434">
        <v>0</v>
      </c>
      <c r="AM786" s="412">
        <v>270.82850746268667</v>
      </c>
      <c r="AR786" s="427"/>
      <c r="AS786" s="427"/>
      <c r="AT786" s="427"/>
      <c r="AU786" s="427"/>
      <c r="AV786" s="427"/>
    </row>
    <row r="787" spans="2:48" s="382" customFormat="1" ht="28.15" customHeight="1" x14ac:dyDescent="0.25">
      <c r="B787" s="435">
        <v>43793</v>
      </c>
      <c r="C787" s="429">
        <v>0</v>
      </c>
      <c r="D787" s="429">
        <v>41610</v>
      </c>
      <c r="E787" s="379">
        <v>352660</v>
      </c>
      <c r="F787" s="379">
        <v>0</v>
      </c>
      <c r="G787" s="379">
        <v>3753</v>
      </c>
      <c r="H787" s="379"/>
      <c r="I787" s="379"/>
      <c r="J787" s="379"/>
      <c r="K787" s="379"/>
      <c r="L787" s="379"/>
      <c r="M787" s="379">
        <v>650000</v>
      </c>
      <c r="N787" s="379">
        <v>21445</v>
      </c>
      <c r="O787" s="379">
        <v>1600</v>
      </c>
      <c r="P787" s="379">
        <v>91683</v>
      </c>
      <c r="Q787" s="379">
        <v>-22694.679999999997</v>
      </c>
      <c r="R787" s="430">
        <v>356413</v>
      </c>
      <c r="S787" s="400">
        <v>0</v>
      </c>
      <c r="T787" s="400">
        <v>36860.450000000004</v>
      </c>
      <c r="U787" s="406">
        <v>307289.87</v>
      </c>
      <c r="V787" s="400">
        <v>3612.1800000000003</v>
      </c>
      <c r="W787" s="430">
        <v>310902.05</v>
      </c>
      <c r="X787" s="431">
        <v>347762.5</v>
      </c>
      <c r="Y787" s="430">
        <v>398023</v>
      </c>
      <c r="Z787" s="373">
        <v>1140056.32</v>
      </c>
      <c r="AA787" s="406">
        <v>0</v>
      </c>
      <c r="AB787" s="406">
        <v>0</v>
      </c>
      <c r="AC787" s="406">
        <v>0</v>
      </c>
      <c r="AD787" s="406">
        <v>0</v>
      </c>
      <c r="AE787" s="430">
        <v>0</v>
      </c>
      <c r="AF787" s="430">
        <v>0</v>
      </c>
      <c r="AG787" s="400">
        <v>0</v>
      </c>
      <c r="AH787" s="432">
        <v>0</v>
      </c>
      <c r="AI787" s="433">
        <v>0</v>
      </c>
      <c r="AJ787" s="430">
        <v>285.64999999999998</v>
      </c>
      <c r="AK787" s="434">
        <v>0</v>
      </c>
      <c r="AL787" s="434">
        <v>0</v>
      </c>
      <c r="AM787" s="412">
        <v>270.91144278606976</v>
      </c>
      <c r="AR787" s="427"/>
      <c r="AS787" s="427"/>
      <c r="AT787" s="427"/>
      <c r="AU787" s="427"/>
      <c r="AV787" s="427"/>
    </row>
    <row r="788" spans="2:48" s="382" customFormat="1" ht="28.15" customHeight="1" x14ac:dyDescent="0.25">
      <c r="B788" s="428">
        <v>43794</v>
      </c>
      <c r="C788" s="429">
        <v>0</v>
      </c>
      <c r="D788" s="429">
        <v>40967</v>
      </c>
      <c r="E788" s="379">
        <v>352660</v>
      </c>
      <c r="F788" s="379">
        <v>0</v>
      </c>
      <c r="G788" s="379">
        <v>3753</v>
      </c>
      <c r="H788" s="379"/>
      <c r="I788" s="379"/>
      <c r="J788" s="379"/>
      <c r="K788" s="379"/>
      <c r="L788" s="379"/>
      <c r="M788" s="379">
        <v>650000</v>
      </c>
      <c r="N788" s="379">
        <v>21445</v>
      </c>
      <c r="O788" s="379">
        <v>1600</v>
      </c>
      <c r="P788" s="379">
        <v>91683</v>
      </c>
      <c r="Q788" s="379">
        <v>-22694.679999999997</v>
      </c>
      <c r="R788" s="430">
        <v>356413</v>
      </c>
      <c r="S788" s="400">
        <v>0</v>
      </c>
      <c r="T788" s="400">
        <v>36860.450000000004</v>
      </c>
      <c r="U788" s="406">
        <v>307289.87</v>
      </c>
      <c r="V788" s="400">
        <v>3612.1800000000003</v>
      </c>
      <c r="W788" s="430">
        <v>310902.05</v>
      </c>
      <c r="X788" s="431">
        <v>347762.5</v>
      </c>
      <c r="Y788" s="430">
        <v>397380</v>
      </c>
      <c r="Z788" s="373">
        <v>1139413.32</v>
      </c>
      <c r="AA788" s="406">
        <v>0</v>
      </c>
      <c r="AB788" s="406">
        <v>-643</v>
      </c>
      <c r="AC788" s="406">
        <v>0</v>
      </c>
      <c r="AD788" s="406">
        <v>0</v>
      </c>
      <c r="AE788" s="430">
        <v>0</v>
      </c>
      <c r="AF788" s="430">
        <v>-643</v>
      </c>
      <c r="AG788" s="400">
        <v>2.1700000000000159</v>
      </c>
      <c r="AH788" s="432">
        <v>0</v>
      </c>
      <c r="AI788" s="433">
        <v>-1.5695559840847511E-2</v>
      </c>
      <c r="AJ788" s="430">
        <v>287.82</v>
      </c>
      <c r="AK788" s="434">
        <v>7.539434368702717E-3</v>
      </c>
      <c r="AL788" s="434">
        <v>-7.539434368702717E-3</v>
      </c>
      <c r="AM788" s="412">
        <v>271.01606965174142</v>
      </c>
      <c r="AR788" s="427"/>
      <c r="AS788" s="427"/>
      <c r="AT788" s="427"/>
      <c r="AU788" s="427"/>
      <c r="AV788" s="427"/>
    </row>
    <row r="789" spans="2:48" s="382" customFormat="1" ht="28.15" customHeight="1" x14ac:dyDescent="0.25">
      <c r="B789" s="428">
        <v>43795</v>
      </c>
      <c r="C789" s="429">
        <v>0</v>
      </c>
      <c r="D789" s="429">
        <v>41361.800000000003</v>
      </c>
      <c r="E789" s="379">
        <v>358375</v>
      </c>
      <c r="F789" s="379">
        <v>0</v>
      </c>
      <c r="G789" s="379">
        <v>3753</v>
      </c>
      <c r="H789" s="379"/>
      <c r="I789" s="379"/>
      <c r="J789" s="379"/>
      <c r="K789" s="379"/>
      <c r="L789" s="379"/>
      <c r="M789" s="379">
        <v>650000</v>
      </c>
      <c r="N789" s="379">
        <v>21445</v>
      </c>
      <c r="O789" s="379">
        <v>1600</v>
      </c>
      <c r="P789" s="379">
        <v>91683</v>
      </c>
      <c r="Q789" s="379">
        <v>-22694.679999999997</v>
      </c>
      <c r="R789" s="430">
        <v>362128</v>
      </c>
      <c r="S789" s="400">
        <v>0</v>
      </c>
      <c r="T789" s="400">
        <v>36860.450000000004</v>
      </c>
      <c r="U789" s="406">
        <v>307289.87</v>
      </c>
      <c r="V789" s="400">
        <v>3612.1800000000003</v>
      </c>
      <c r="W789" s="430">
        <v>310902.05</v>
      </c>
      <c r="X789" s="431">
        <v>347762.5</v>
      </c>
      <c r="Y789" s="430">
        <v>403489.8</v>
      </c>
      <c r="Z789" s="373">
        <v>1145523.1200000001</v>
      </c>
      <c r="AA789" s="406">
        <v>0</v>
      </c>
      <c r="AB789" s="406">
        <v>394.80000000000291</v>
      </c>
      <c r="AC789" s="406">
        <v>5715</v>
      </c>
      <c r="AD789" s="406">
        <v>0</v>
      </c>
      <c r="AE789" s="430">
        <v>5715</v>
      </c>
      <c r="AF789" s="430">
        <v>6109.8000000000029</v>
      </c>
      <c r="AG789" s="400">
        <v>0.57999999999998408</v>
      </c>
      <c r="AH789" s="432">
        <v>1.578171254363098E-2</v>
      </c>
      <c r="AI789" s="433">
        <v>9.54503914239716E-3</v>
      </c>
      <c r="AJ789" s="430">
        <v>288.39999999999998</v>
      </c>
      <c r="AK789" s="434">
        <v>2.0110957004160338E-3</v>
      </c>
      <c r="AL789" s="434">
        <v>1.3770616843214947E-2</v>
      </c>
      <c r="AM789" s="412">
        <v>271.13407960199021</v>
      </c>
      <c r="AR789" s="427"/>
      <c r="AS789" s="427"/>
      <c r="AT789" s="427"/>
      <c r="AU789" s="427"/>
      <c r="AV789" s="427"/>
    </row>
    <row r="790" spans="2:48" s="382" customFormat="1" ht="28.15" customHeight="1" x14ac:dyDescent="0.25">
      <c r="B790" s="428">
        <v>43796</v>
      </c>
      <c r="C790" s="429">
        <v>0</v>
      </c>
      <c r="D790" s="429">
        <v>41318</v>
      </c>
      <c r="E790" s="379">
        <v>354321.43</v>
      </c>
      <c r="F790" s="379">
        <v>0</v>
      </c>
      <c r="G790" s="379">
        <v>3753</v>
      </c>
      <c r="H790" s="379"/>
      <c r="I790" s="379"/>
      <c r="J790" s="379"/>
      <c r="K790" s="379"/>
      <c r="L790" s="379"/>
      <c r="M790" s="379">
        <v>650000</v>
      </c>
      <c r="N790" s="379">
        <v>21445</v>
      </c>
      <c r="O790" s="379">
        <v>1600</v>
      </c>
      <c r="P790" s="379">
        <v>91683</v>
      </c>
      <c r="Q790" s="379">
        <v>0</v>
      </c>
      <c r="R790" s="430">
        <v>358074.43</v>
      </c>
      <c r="S790" s="400">
        <v>0</v>
      </c>
      <c r="T790" s="400">
        <v>36860.450000000004</v>
      </c>
      <c r="U790" s="406">
        <v>307289.87</v>
      </c>
      <c r="V790" s="400">
        <v>3612.1800000000003</v>
      </c>
      <c r="W790" s="430">
        <v>310902.05</v>
      </c>
      <c r="X790" s="431">
        <v>347762.5</v>
      </c>
      <c r="Y790" s="430">
        <v>399392.43</v>
      </c>
      <c r="Z790" s="373">
        <v>1164120.43</v>
      </c>
      <c r="AA790" s="406">
        <v>0</v>
      </c>
      <c r="AB790" s="406">
        <v>-43.80000000000291</v>
      </c>
      <c r="AC790" s="406">
        <v>-4053.570000000007</v>
      </c>
      <c r="AD790" s="406">
        <v>0</v>
      </c>
      <c r="AE790" s="430">
        <v>-4053.570000000007</v>
      </c>
      <c r="AF790" s="430">
        <v>-4097.3700000000099</v>
      </c>
      <c r="AG790" s="400">
        <v>1.3600000000000136</v>
      </c>
      <c r="AH790" s="432">
        <v>-1.1320467646907955E-2</v>
      </c>
      <c r="AI790" s="433">
        <v>-1.0600706713781622E-3</v>
      </c>
      <c r="AJ790" s="430">
        <v>289.76</v>
      </c>
      <c r="AK790" s="434">
        <v>4.6935394809497991E-3</v>
      </c>
      <c r="AL790" s="434">
        <v>-1.6014007127857756E-2</v>
      </c>
      <c r="AM790" s="412">
        <v>271.25900497512458</v>
      </c>
      <c r="AR790" s="427"/>
      <c r="AS790" s="427"/>
      <c r="AT790" s="427"/>
      <c r="AU790" s="427"/>
      <c r="AV790" s="427"/>
    </row>
    <row r="791" spans="2:48" s="382" customFormat="1" ht="28.15" customHeight="1" x14ac:dyDescent="0.25">
      <c r="B791" s="428">
        <v>43797</v>
      </c>
      <c r="C791" s="429">
        <v>0</v>
      </c>
      <c r="D791" s="429">
        <v>41318</v>
      </c>
      <c r="E791" s="379">
        <v>354321.43</v>
      </c>
      <c r="F791" s="379">
        <v>0</v>
      </c>
      <c r="G791" s="379">
        <v>3753</v>
      </c>
      <c r="H791" s="379"/>
      <c r="I791" s="379"/>
      <c r="J791" s="379"/>
      <c r="K791" s="379"/>
      <c r="L791" s="379"/>
      <c r="M791" s="379">
        <v>650000</v>
      </c>
      <c r="N791" s="379">
        <v>21445</v>
      </c>
      <c r="O791" s="379">
        <v>1600</v>
      </c>
      <c r="P791" s="379">
        <v>91683</v>
      </c>
      <c r="Q791" s="379">
        <v>0</v>
      </c>
      <c r="R791" s="430">
        <v>358074.43</v>
      </c>
      <c r="S791" s="400">
        <v>0</v>
      </c>
      <c r="T791" s="400">
        <v>36860.450000000004</v>
      </c>
      <c r="U791" s="406">
        <v>307289.87</v>
      </c>
      <c r="V791" s="400">
        <v>3612.1800000000003</v>
      </c>
      <c r="W791" s="430">
        <v>310902.05</v>
      </c>
      <c r="X791" s="431">
        <v>347762.5</v>
      </c>
      <c r="Y791" s="430">
        <v>399392.43</v>
      </c>
      <c r="Z791" s="373">
        <v>1164120.43</v>
      </c>
      <c r="AA791" s="406">
        <v>0</v>
      </c>
      <c r="AB791" s="406">
        <v>0</v>
      </c>
      <c r="AC791" s="406">
        <v>0</v>
      </c>
      <c r="AD791" s="406">
        <v>0</v>
      </c>
      <c r="AE791" s="430">
        <v>0</v>
      </c>
      <c r="AF791" s="430">
        <v>0</v>
      </c>
      <c r="AG791" s="400">
        <v>0</v>
      </c>
      <c r="AH791" s="432">
        <v>0</v>
      </c>
      <c r="AI791" s="433">
        <v>0</v>
      </c>
      <c r="AJ791" s="430">
        <v>289.76</v>
      </c>
      <c r="AK791" s="376">
        <v>0</v>
      </c>
      <c r="AL791" s="376">
        <v>0</v>
      </c>
      <c r="AM791" s="412">
        <v>271.38457711442805</v>
      </c>
      <c r="AR791" s="427"/>
      <c r="AS791" s="427"/>
      <c r="AT791" s="427"/>
      <c r="AU791" s="427"/>
      <c r="AV791" s="427"/>
    </row>
    <row r="792" spans="2:48" s="382" customFormat="1" ht="28.15" customHeight="1" x14ac:dyDescent="0.25">
      <c r="B792" s="428">
        <v>43798</v>
      </c>
      <c r="C792" s="429">
        <v>0</v>
      </c>
      <c r="D792" s="429">
        <v>42004.2</v>
      </c>
      <c r="E792" s="379">
        <v>354321.43</v>
      </c>
      <c r="F792" s="379">
        <v>0</v>
      </c>
      <c r="G792" s="379">
        <v>3753</v>
      </c>
      <c r="H792" s="379"/>
      <c r="I792" s="379"/>
      <c r="J792" s="379"/>
      <c r="K792" s="379"/>
      <c r="L792" s="379"/>
      <c r="M792" s="379">
        <v>650000</v>
      </c>
      <c r="N792" s="379">
        <v>21445</v>
      </c>
      <c r="O792" s="379">
        <v>1600</v>
      </c>
      <c r="P792" s="379">
        <v>91683</v>
      </c>
      <c r="Q792" s="379">
        <v>0</v>
      </c>
      <c r="R792" s="430">
        <v>358074.43</v>
      </c>
      <c r="S792" s="400">
        <v>0</v>
      </c>
      <c r="T792" s="400">
        <v>36860.450000000004</v>
      </c>
      <c r="U792" s="406">
        <v>307289.87</v>
      </c>
      <c r="V792" s="400">
        <v>3612.1800000000003</v>
      </c>
      <c r="W792" s="430">
        <v>310902.05</v>
      </c>
      <c r="X792" s="431">
        <v>347762.5</v>
      </c>
      <c r="Y792" s="430">
        <v>400078.63</v>
      </c>
      <c r="Z792" s="373">
        <v>1164806.6299999999</v>
      </c>
      <c r="AA792" s="406">
        <v>0</v>
      </c>
      <c r="AB792" s="406">
        <v>686.19999999999709</v>
      </c>
      <c r="AC792" s="406">
        <v>0</v>
      </c>
      <c r="AD792" s="406">
        <v>0</v>
      </c>
      <c r="AE792" s="430">
        <v>0</v>
      </c>
      <c r="AF792" s="430">
        <v>686.19999999999709</v>
      </c>
      <c r="AG792" s="400">
        <v>-1.1100000000000136</v>
      </c>
      <c r="AH792" s="432">
        <v>0</v>
      </c>
      <c r="AI792" s="433">
        <v>1.6336461591935976E-2</v>
      </c>
      <c r="AJ792" s="430">
        <v>288.64999999999998</v>
      </c>
      <c r="AK792" s="376">
        <v>-3.8454876147584055E-3</v>
      </c>
      <c r="AL792" s="376">
        <v>3.8454876147584055E-3</v>
      </c>
      <c r="AM792" s="412">
        <v>271.51014925373158</v>
      </c>
      <c r="AR792" s="427"/>
      <c r="AS792" s="427"/>
      <c r="AT792" s="427"/>
      <c r="AU792" s="427"/>
      <c r="AV792" s="427"/>
    </row>
    <row r="793" spans="2:48" s="382" customFormat="1" ht="28.15" customHeight="1" x14ac:dyDescent="0.25">
      <c r="B793" s="435">
        <v>43799</v>
      </c>
      <c r="C793" s="429">
        <v>0</v>
      </c>
      <c r="D793" s="429">
        <v>42004.2</v>
      </c>
      <c r="E793" s="379">
        <v>354321.43</v>
      </c>
      <c r="F793" s="379">
        <v>0</v>
      </c>
      <c r="G793" s="379">
        <v>3753</v>
      </c>
      <c r="H793" s="379"/>
      <c r="I793" s="379"/>
      <c r="J793" s="379"/>
      <c r="K793" s="379"/>
      <c r="L793" s="379"/>
      <c r="M793" s="379">
        <v>650000</v>
      </c>
      <c r="N793" s="379">
        <v>21445</v>
      </c>
      <c r="O793" s="379">
        <v>1600</v>
      </c>
      <c r="P793" s="379">
        <v>91683</v>
      </c>
      <c r="Q793" s="379">
        <v>0</v>
      </c>
      <c r="R793" s="430">
        <v>358074.43</v>
      </c>
      <c r="S793" s="400">
        <v>0</v>
      </c>
      <c r="T793" s="400">
        <v>36860.450000000004</v>
      </c>
      <c r="U793" s="406">
        <v>307289.87</v>
      </c>
      <c r="V793" s="400">
        <v>3612.1800000000003</v>
      </c>
      <c r="W793" s="430">
        <v>310902.05</v>
      </c>
      <c r="X793" s="431">
        <v>347762.5</v>
      </c>
      <c r="Y793" s="430">
        <v>400078.63</v>
      </c>
      <c r="Z793" s="373">
        <v>1164806.6299999999</v>
      </c>
      <c r="AA793" s="406">
        <v>0</v>
      </c>
      <c r="AB793" s="406">
        <v>0</v>
      </c>
      <c r="AC793" s="406">
        <v>0</v>
      </c>
      <c r="AD793" s="406">
        <v>0</v>
      </c>
      <c r="AE793" s="430">
        <v>0</v>
      </c>
      <c r="AF793" s="430">
        <v>0</v>
      </c>
      <c r="AG793" s="400">
        <v>0</v>
      </c>
      <c r="AH793" s="432">
        <v>0</v>
      </c>
      <c r="AI793" s="433">
        <v>0</v>
      </c>
      <c r="AJ793" s="430">
        <v>288.64999999999998</v>
      </c>
      <c r="AK793" s="376">
        <v>0</v>
      </c>
      <c r="AL793" s="376">
        <v>0</v>
      </c>
      <c r="AM793" s="412">
        <v>271.63019900497534</v>
      </c>
      <c r="AR793" s="427"/>
      <c r="AS793" s="427"/>
      <c r="AT793" s="427"/>
      <c r="AU793" s="427"/>
      <c r="AV793" s="427"/>
    </row>
    <row r="794" spans="2:48" s="382" customFormat="1" ht="28.15" customHeight="1" x14ac:dyDescent="0.25">
      <c r="B794" s="435">
        <v>43800</v>
      </c>
      <c r="C794" s="429">
        <v>0</v>
      </c>
      <c r="D794" s="429">
        <v>42004.2</v>
      </c>
      <c r="E794" s="379">
        <v>354321.43</v>
      </c>
      <c r="F794" s="379">
        <v>0</v>
      </c>
      <c r="G794" s="379">
        <v>3753</v>
      </c>
      <c r="H794" s="379"/>
      <c r="I794" s="379"/>
      <c r="J794" s="379"/>
      <c r="K794" s="379"/>
      <c r="L794" s="379"/>
      <c r="M794" s="379">
        <v>650000</v>
      </c>
      <c r="N794" s="379">
        <v>21445</v>
      </c>
      <c r="O794" s="379">
        <v>1600</v>
      </c>
      <c r="P794" s="379">
        <v>91683</v>
      </c>
      <c r="Q794" s="379">
        <v>0</v>
      </c>
      <c r="R794" s="430">
        <v>358074.43</v>
      </c>
      <c r="S794" s="400">
        <v>0</v>
      </c>
      <c r="T794" s="400">
        <v>36860.450000000004</v>
      </c>
      <c r="U794" s="406">
        <v>307289.87</v>
      </c>
      <c r="V794" s="400">
        <v>3612.1800000000003</v>
      </c>
      <c r="W794" s="430">
        <v>310902.05</v>
      </c>
      <c r="X794" s="431">
        <v>347762.5</v>
      </c>
      <c r="Y794" s="430">
        <v>400078.63</v>
      </c>
      <c r="Z794" s="373">
        <v>1164806.6299999999</v>
      </c>
      <c r="AA794" s="406">
        <v>0</v>
      </c>
      <c r="AB794" s="406">
        <v>0</v>
      </c>
      <c r="AC794" s="406">
        <v>0</v>
      </c>
      <c r="AD794" s="406">
        <v>0</v>
      </c>
      <c r="AE794" s="430">
        <v>0</v>
      </c>
      <c r="AF794" s="430">
        <v>0</v>
      </c>
      <c r="AG794" s="400">
        <v>0</v>
      </c>
      <c r="AH794" s="432">
        <v>0</v>
      </c>
      <c r="AI794" s="433">
        <v>0</v>
      </c>
      <c r="AJ794" s="430">
        <v>288.64999999999998</v>
      </c>
      <c r="AK794" s="376">
        <v>0</v>
      </c>
      <c r="AL794" s="376">
        <v>0</v>
      </c>
      <c r="AM794" s="412">
        <v>271.78253731343307</v>
      </c>
      <c r="AR794" s="427"/>
      <c r="AS794" s="427"/>
      <c r="AT794" s="427"/>
      <c r="AU794" s="427"/>
      <c r="AV794" s="427"/>
    </row>
    <row r="795" spans="2:48" s="382" customFormat="1" ht="28.15" customHeight="1" x14ac:dyDescent="0.25">
      <c r="B795" s="428">
        <v>43801</v>
      </c>
      <c r="C795" s="429">
        <v>0</v>
      </c>
      <c r="D795" s="429">
        <v>42194</v>
      </c>
      <c r="E795" s="379">
        <v>354233.07</v>
      </c>
      <c r="F795" s="379">
        <v>0</v>
      </c>
      <c r="G795" s="379">
        <v>3753</v>
      </c>
      <c r="H795" s="379"/>
      <c r="I795" s="379"/>
      <c r="J795" s="379">
        <v>875</v>
      </c>
      <c r="K795" s="379"/>
      <c r="L795" s="379"/>
      <c r="M795" s="379">
        <v>650000</v>
      </c>
      <c r="N795" s="379">
        <v>21445</v>
      </c>
      <c r="O795" s="379">
        <v>1600</v>
      </c>
      <c r="P795" s="379">
        <v>91683</v>
      </c>
      <c r="Q795" s="379">
        <v>0</v>
      </c>
      <c r="R795" s="430">
        <v>357986.07</v>
      </c>
      <c r="S795" s="400">
        <v>0</v>
      </c>
      <c r="T795" s="400">
        <v>36860.450000000004</v>
      </c>
      <c r="U795" s="406">
        <v>308164.87</v>
      </c>
      <c r="V795" s="400">
        <v>3612.1800000000003</v>
      </c>
      <c r="W795" s="430">
        <v>311777.05</v>
      </c>
      <c r="X795" s="431">
        <v>348637.5</v>
      </c>
      <c r="Y795" s="430">
        <v>400180.07</v>
      </c>
      <c r="Z795" s="373">
        <v>1164908.07</v>
      </c>
      <c r="AA795" s="406">
        <v>0</v>
      </c>
      <c r="AB795" s="406">
        <v>189.80000000000291</v>
      </c>
      <c r="AC795" s="406">
        <v>-963.35999999998603</v>
      </c>
      <c r="AD795" s="406">
        <v>0</v>
      </c>
      <c r="AE795" s="430">
        <v>-963.35999999998603</v>
      </c>
      <c r="AF795" s="430">
        <v>-773.55999999998312</v>
      </c>
      <c r="AG795" s="400">
        <v>-2.3499999999999659</v>
      </c>
      <c r="AH795" s="432">
        <v>-2.6910544312519925E-3</v>
      </c>
      <c r="AI795" s="433">
        <v>4.4982698961938405E-3</v>
      </c>
      <c r="AJ795" s="430">
        <v>286.3</v>
      </c>
      <c r="AK795" s="376">
        <v>-8.2081732448479414E-3</v>
      </c>
      <c r="AL795" s="376">
        <v>5.517118813595949E-3</v>
      </c>
      <c r="AM795" s="412">
        <v>271.92373134328381</v>
      </c>
      <c r="AR795" s="427"/>
      <c r="AS795" s="427"/>
      <c r="AT795" s="427"/>
      <c r="AU795" s="427"/>
      <c r="AV795" s="427"/>
    </row>
    <row r="796" spans="2:48" s="382" customFormat="1" ht="28.15" customHeight="1" x14ac:dyDescent="0.25">
      <c r="B796" s="428">
        <v>43802</v>
      </c>
      <c r="C796" s="429">
        <v>0</v>
      </c>
      <c r="D796" s="429">
        <v>42778</v>
      </c>
      <c r="E796" s="379">
        <v>361459</v>
      </c>
      <c r="F796" s="379">
        <v>0</v>
      </c>
      <c r="G796" s="379">
        <v>3753</v>
      </c>
      <c r="H796" s="379"/>
      <c r="I796" s="379"/>
      <c r="J796" s="379"/>
      <c r="K796" s="379"/>
      <c r="L796" s="379"/>
      <c r="M796" s="379">
        <v>650000</v>
      </c>
      <c r="N796" s="379">
        <v>21445</v>
      </c>
      <c r="O796" s="379">
        <v>1600</v>
      </c>
      <c r="P796" s="379">
        <v>91683</v>
      </c>
      <c r="Q796" s="379">
        <v>0</v>
      </c>
      <c r="R796" s="430">
        <v>365212</v>
      </c>
      <c r="S796" s="400">
        <v>0</v>
      </c>
      <c r="T796" s="400">
        <v>36860.450000000004</v>
      </c>
      <c r="U796" s="406">
        <v>308164.87</v>
      </c>
      <c r="V796" s="400">
        <v>3612.1800000000003</v>
      </c>
      <c r="W796" s="430">
        <v>311777.05</v>
      </c>
      <c r="X796" s="431">
        <v>348637.5</v>
      </c>
      <c r="Y796" s="430">
        <v>407990</v>
      </c>
      <c r="Z796" s="373">
        <v>1172718</v>
      </c>
      <c r="AA796" s="406">
        <v>0</v>
      </c>
      <c r="AB796" s="406">
        <v>584</v>
      </c>
      <c r="AC796" s="406">
        <v>7225.929999999993</v>
      </c>
      <c r="AD796" s="406">
        <v>0</v>
      </c>
      <c r="AE796" s="430">
        <v>7225.929999999993</v>
      </c>
      <c r="AF796" s="430">
        <v>7809.929999999993</v>
      </c>
      <c r="AG796" s="400">
        <v>-2.0099999999999909</v>
      </c>
      <c r="AH796" s="432">
        <v>1.9785576596606885E-2</v>
      </c>
      <c r="AI796" s="433">
        <v>1.3651877133105802E-2</v>
      </c>
      <c r="AJ796" s="430">
        <v>284.29000000000002</v>
      </c>
      <c r="AK796" s="376">
        <v>-7.0702451721833016E-3</v>
      </c>
      <c r="AL796" s="376">
        <v>2.6855821768790186E-2</v>
      </c>
      <c r="AM796" s="412">
        <v>272.04557213930377</v>
      </c>
      <c r="AR796" s="427"/>
      <c r="AS796" s="427"/>
      <c r="AT796" s="427"/>
      <c r="AU796" s="427"/>
      <c r="AV796" s="427"/>
    </row>
    <row r="797" spans="2:48" s="382" customFormat="1" ht="28.15" customHeight="1" x14ac:dyDescent="0.25">
      <c r="B797" s="428">
        <v>43803</v>
      </c>
      <c r="C797" s="429">
        <v>0</v>
      </c>
      <c r="D797" s="429">
        <v>42267</v>
      </c>
      <c r="E797" s="379">
        <v>358903.79</v>
      </c>
      <c r="F797" s="379">
        <v>0</v>
      </c>
      <c r="G797" s="379">
        <v>3753</v>
      </c>
      <c r="H797" s="379"/>
      <c r="I797" s="379"/>
      <c r="J797" s="379"/>
      <c r="K797" s="379"/>
      <c r="L797" s="379"/>
      <c r="M797" s="379">
        <v>650000</v>
      </c>
      <c r="N797" s="379">
        <v>21445</v>
      </c>
      <c r="O797" s="379">
        <v>1600</v>
      </c>
      <c r="P797" s="379">
        <v>91683</v>
      </c>
      <c r="Q797" s="379">
        <v>0</v>
      </c>
      <c r="R797" s="430">
        <v>362656.79</v>
      </c>
      <c r="S797" s="400">
        <v>0</v>
      </c>
      <c r="T797" s="400">
        <v>36860.450000000004</v>
      </c>
      <c r="U797" s="406">
        <v>308164.87</v>
      </c>
      <c r="V797" s="400">
        <v>3612.1800000000003</v>
      </c>
      <c r="W797" s="430">
        <v>311777.05</v>
      </c>
      <c r="X797" s="431">
        <v>348637.5</v>
      </c>
      <c r="Y797" s="430">
        <v>404923.79</v>
      </c>
      <c r="Z797" s="373">
        <v>1169651.79</v>
      </c>
      <c r="AA797" s="406">
        <v>0</v>
      </c>
      <c r="AB797" s="406">
        <v>-511</v>
      </c>
      <c r="AC797" s="406">
        <v>-2555.210000000021</v>
      </c>
      <c r="AD797" s="406">
        <v>0</v>
      </c>
      <c r="AE797" s="430">
        <v>-2555.210000000021</v>
      </c>
      <c r="AF797" s="430">
        <v>-3066.210000000021</v>
      </c>
      <c r="AG797" s="400">
        <v>1.8199999999999932</v>
      </c>
      <c r="AH797" s="432">
        <v>-7.0458076905164828E-3</v>
      </c>
      <c r="AI797" s="433">
        <v>-1.2089810017271158E-2</v>
      </c>
      <c r="AJ797" s="430">
        <v>286.11</v>
      </c>
      <c r="AK797" s="376">
        <v>6.3611897521931885E-3</v>
      </c>
      <c r="AL797" s="376">
        <v>-1.3406997442709671E-2</v>
      </c>
      <c r="AM797" s="412">
        <v>272.14547263681618</v>
      </c>
      <c r="AR797" s="427"/>
      <c r="AS797" s="427"/>
      <c r="AT797" s="427"/>
      <c r="AU797" s="427"/>
      <c r="AV797" s="427"/>
    </row>
    <row r="798" spans="2:48" s="382" customFormat="1" ht="28.15" customHeight="1" x14ac:dyDescent="0.25">
      <c r="B798" s="428">
        <v>43804</v>
      </c>
      <c r="C798" s="429">
        <v>0</v>
      </c>
      <c r="D798" s="429">
        <v>42588.2</v>
      </c>
      <c r="E798" s="379">
        <v>358403</v>
      </c>
      <c r="F798" s="379">
        <v>0</v>
      </c>
      <c r="G798" s="379">
        <v>3753</v>
      </c>
      <c r="H798" s="379"/>
      <c r="I798" s="379"/>
      <c r="J798" s="379"/>
      <c r="K798" s="379"/>
      <c r="L798" s="379"/>
      <c r="M798" s="379">
        <v>650000</v>
      </c>
      <c r="N798" s="379">
        <v>21445</v>
      </c>
      <c r="O798" s="379">
        <v>1600</v>
      </c>
      <c r="P798" s="379">
        <v>91683</v>
      </c>
      <c r="Q798" s="379">
        <v>0</v>
      </c>
      <c r="R798" s="430">
        <v>362156</v>
      </c>
      <c r="S798" s="400">
        <v>0</v>
      </c>
      <c r="T798" s="400">
        <v>36860.450000000004</v>
      </c>
      <c r="U798" s="406">
        <v>308164.87</v>
      </c>
      <c r="V798" s="400">
        <v>3612.1800000000003</v>
      </c>
      <c r="W798" s="430">
        <v>311777.05</v>
      </c>
      <c r="X798" s="431">
        <v>348637.5</v>
      </c>
      <c r="Y798" s="430">
        <v>404744.2</v>
      </c>
      <c r="Z798" s="373">
        <v>1169472.2</v>
      </c>
      <c r="AA798" s="406">
        <v>0</v>
      </c>
      <c r="AB798" s="406">
        <v>321.19999999999709</v>
      </c>
      <c r="AC798" s="406">
        <v>-500.78999999997905</v>
      </c>
      <c r="AD798" s="406">
        <v>0</v>
      </c>
      <c r="AE798" s="430">
        <v>-500.78999999997905</v>
      </c>
      <c r="AF798" s="430">
        <v>-179.58999999998196</v>
      </c>
      <c r="AG798" s="400">
        <v>0.52999999999997272</v>
      </c>
      <c r="AH798" s="432">
        <v>-1.3828018864798016E-3</v>
      </c>
      <c r="AI798" s="433">
        <v>7.5419952005484408E-3</v>
      </c>
      <c r="AJ798" s="430">
        <v>286.64</v>
      </c>
      <c r="AK798" s="376">
        <v>1.8490092101589894E-3</v>
      </c>
      <c r="AL798" s="376">
        <v>-3.231811096638791E-3</v>
      </c>
      <c r="AM798" s="412">
        <v>272.26238805970178</v>
      </c>
      <c r="AR798" s="427"/>
      <c r="AS798" s="427"/>
      <c r="AT798" s="427"/>
      <c r="AU798" s="427"/>
      <c r="AV798" s="427"/>
    </row>
    <row r="799" spans="2:48" s="382" customFormat="1" ht="28.15" customHeight="1" x14ac:dyDescent="0.25">
      <c r="B799" s="428">
        <v>43805</v>
      </c>
      <c r="C799" s="429">
        <v>0</v>
      </c>
      <c r="D799" s="429">
        <v>41639.199999999997</v>
      </c>
      <c r="E799" s="379">
        <v>352187</v>
      </c>
      <c r="F799" s="379">
        <v>0</v>
      </c>
      <c r="G799" s="379">
        <v>3753</v>
      </c>
      <c r="H799" s="379"/>
      <c r="I799" s="379"/>
      <c r="J799" s="379"/>
      <c r="K799" s="379"/>
      <c r="L799" s="379"/>
      <c r="M799" s="379">
        <v>650000</v>
      </c>
      <c r="N799" s="379">
        <v>21445</v>
      </c>
      <c r="O799" s="379">
        <v>1600</v>
      </c>
      <c r="P799" s="379">
        <v>91683</v>
      </c>
      <c r="Q799" s="379">
        <v>0</v>
      </c>
      <c r="R799" s="430">
        <v>355940</v>
      </c>
      <c r="S799" s="400">
        <v>0</v>
      </c>
      <c r="T799" s="400">
        <v>36860.450000000004</v>
      </c>
      <c r="U799" s="406">
        <v>308164.87</v>
      </c>
      <c r="V799" s="400">
        <v>3612.1800000000003</v>
      </c>
      <c r="W799" s="430">
        <v>311777.05</v>
      </c>
      <c r="X799" s="431">
        <v>348637.5</v>
      </c>
      <c r="Y799" s="430">
        <v>397579.2</v>
      </c>
      <c r="Z799" s="373">
        <v>1162307.2</v>
      </c>
      <c r="AA799" s="406">
        <v>0</v>
      </c>
      <c r="AB799" s="406">
        <v>-949</v>
      </c>
      <c r="AC799" s="406">
        <v>-6216</v>
      </c>
      <c r="AD799" s="406">
        <v>0</v>
      </c>
      <c r="AE799" s="430">
        <v>-6216</v>
      </c>
      <c r="AF799" s="430">
        <v>-7165</v>
      </c>
      <c r="AG799" s="400">
        <v>2.5500000000000114</v>
      </c>
      <c r="AH799" s="432">
        <v>-1.7463617463617465E-2</v>
      </c>
      <c r="AI799" s="433">
        <v>-2.2791023842917254E-2</v>
      </c>
      <c r="AJ799" s="430">
        <v>289.19</v>
      </c>
      <c r="AK799" s="376">
        <v>8.8177322867319455E-3</v>
      </c>
      <c r="AL799" s="376">
        <v>-2.628134975034941E-2</v>
      </c>
      <c r="AM799" s="412">
        <v>272.38194029850774</v>
      </c>
      <c r="AR799" s="427"/>
      <c r="AS799" s="427"/>
      <c r="AT799" s="427"/>
      <c r="AU799" s="427"/>
      <c r="AV799" s="427"/>
    </row>
    <row r="800" spans="2:48" s="382" customFormat="1" ht="28.15" customHeight="1" x14ac:dyDescent="0.25">
      <c r="B800" s="428">
        <v>43806</v>
      </c>
      <c r="C800" s="429">
        <v>0</v>
      </c>
      <c r="D800" s="429">
        <v>41639.199999999997</v>
      </c>
      <c r="E800" s="379">
        <v>352187</v>
      </c>
      <c r="F800" s="379">
        <v>0</v>
      </c>
      <c r="G800" s="379">
        <v>3753</v>
      </c>
      <c r="H800" s="379"/>
      <c r="I800" s="379"/>
      <c r="J800" s="379"/>
      <c r="K800" s="379"/>
      <c r="L800" s="379"/>
      <c r="M800" s="379">
        <v>650000</v>
      </c>
      <c r="N800" s="379">
        <v>21445</v>
      </c>
      <c r="O800" s="379">
        <v>1600</v>
      </c>
      <c r="P800" s="379">
        <v>91683</v>
      </c>
      <c r="Q800" s="379">
        <v>0</v>
      </c>
      <c r="R800" s="430">
        <v>355940</v>
      </c>
      <c r="S800" s="400">
        <v>0</v>
      </c>
      <c r="T800" s="400">
        <v>36860.450000000004</v>
      </c>
      <c r="U800" s="406">
        <v>308164.87</v>
      </c>
      <c r="V800" s="400">
        <v>3612.1800000000003</v>
      </c>
      <c r="W800" s="430">
        <v>311777.05</v>
      </c>
      <c r="X800" s="431">
        <v>348637.5</v>
      </c>
      <c r="Y800" s="430">
        <v>397579.2</v>
      </c>
      <c r="Z800" s="373">
        <v>1162307.2</v>
      </c>
      <c r="AA800" s="406">
        <v>0</v>
      </c>
      <c r="AB800" s="406">
        <v>0</v>
      </c>
      <c r="AC800" s="406">
        <v>0</v>
      </c>
      <c r="AD800" s="406">
        <v>0</v>
      </c>
      <c r="AE800" s="430">
        <v>0</v>
      </c>
      <c r="AF800" s="430">
        <v>0</v>
      </c>
      <c r="AG800" s="400">
        <v>0</v>
      </c>
      <c r="AH800" s="432">
        <v>0</v>
      </c>
      <c r="AI800" s="433">
        <v>0</v>
      </c>
      <c r="AJ800" s="430">
        <v>289.19</v>
      </c>
      <c r="AK800" s="376">
        <v>0</v>
      </c>
      <c r="AL800" s="376">
        <v>0</v>
      </c>
      <c r="AM800" s="412">
        <v>272.51417910447793</v>
      </c>
      <c r="AR800" s="427"/>
      <c r="AS800" s="427"/>
      <c r="AT800" s="427"/>
      <c r="AU800" s="427"/>
      <c r="AV800" s="427"/>
    </row>
    <row r="801" spans="2:48" s="382" customFormat="1" ht="28.15" customHeight="1" x14ac:dyDescent="0.25">
      <c r="B801" s="428">
        <v>43807</v>
      </c>
      <c r="C801" s="429">
        <v>0</v>
      </c>
      <c r="D801" s="429">
        <v>41639.199999999997</v>
      </c>
      <c r="E801" s="379">
        <v>352187</v>
      </c>
      <c r="F801" s="379">
        <v>0</v>
      </c>
      <c r="G801" s="379">
        <v>3753</v>
      </c>
      <c r="H801" s="379"/>
      <c r="I801" s="379"/>
      <c r="J801" s="379"/>
      <c r="K801" s="379"/>
      <c r="L801" s="379"/>
      <c r="M801" s="379">
        <v>650000</v>
      </c>
      <c r="N801" s="379">
        <v>21445</v>
      </c>
      <c r="O801" s="379">
        <v>1600</v>
      </c>
      <c r="P801" s="379">
        <v>91683</v>
      </c>
      <c r="Q801" s="379">
        <v>0</v>
      </c>
      <c r="R801" s="430">
        <v>355940</v>
      </c>
      <c r="S801" s="400">
        <v>0</v>
      </c>
      <c r="T801" s="400">
        <v>36860.450000000004</v>
      </c>
      <c r="U801" s="406">
        <v>308164.87</v>
      </c>
      <c r="V801" s="400">
        <v>3612.1800000000003</v>
      </c>
      <c r="W801" s="430">
        <v>311777.05</v>
      </c>
      <c r="X801" s="431">
        <v>348637.5</v>
      </c>
      <c r="Y801" s="430">
        <v>397579.2</v>
      </c>
      <c r="Z801" s="373">
        <v>1162307.2</v>
      </c>
      <c r="AA801" s="406">
        <v>0</v>
      </c>
      <c r="AB801" s="406">
        <v>0</v>
      </c>
      <c r="AC801" s="406">
        <v>0</v>
      </c>
      <c r="AD801" s="406">
        <v>0</v>
      </c>
      <c r="AE801" s="430">
        <v>0</v>
      </c>
      <c r="AF801" s="430">
        <v>0</v>
      </c>
      <c r="AG801" s="400">
        <v>0</v>
      </c>
      <c r="AH801" s="432">
        <v>0</v>
      </c>
      <c r="AI801" s="433">
        <v>0</v>
      </c>
      <c r="AJ801" s="430">
        <v>289.19</v>
      </c>
      <c r="AK801" s="376">
        <v>0</v>
      </c>
      <c r="AL801" s="376">
        <v>0</v>
      </c>
      <c r="AM801" s="412">
        <v>272.65532338308492</v>
      </c>
      <c r="AR801" s="427"/>
      <c r="AS801" s="427"/>
      <c r="AT801" s="427"/>
      <c r="AU801" s="427"/>
      <c r="AV801" s="427"/>
    </row>
    <row r="802" spans="2:48" s="382" customFormat="1" ht="28.15" customHeight="1" x14ac:dyDescent="0.25">
      <c r="B802" s="428">
        <v>43808</v>
      </c>
      <c r="C802" s="429">
        <v>0</v>
      </c>
      <c r="D802" s="429">
        <v>41639.199999999997</v>
      </c>
      <c r="E802" s="379">
        <v>352187</v>
      </c>
      <c r="F802" s="379">
        <v>0</v>
      </c>
      <c r="G802" s="379">
        <v>3753</v>
      </c>
      <c r="H802" s="379"/>
      <c r="I802" s="379"/>
      <c r="J802" s="379"/>
      <c r="K802" s="379"/>
      <c r="L802" s="379"/>
      <c r="M802" s="379">
        <v>650000</v>
      </c>
      <c r="N802" s="379">
        <v>21445</v>
      </c>
      <c r="O802" s="379">
        <v>1600</v>
      </c>
      <c r="P802" s="379">
        <v>91683</v>
      </c>
      <c r="Q802" s="379">
        <v>0</v>
      </c>
      <c r="R802" s="430">
        <v>355940</v>
      </c>
      <c r="S802" s="400">
        <v>0</v>
      </c>
      <c r="T802" s="400">
        <v>36860.450000000004</v>
      </c>
      <c r="U802" s="406">
        <v>308164.87</v>
      </c>
      <c r="V802" s="400">
        <v>3612.1800000000003</v>
      </c>
      <c r="W802" s="430">
        <v>311777.05</v>
      </c>
      <c r="X802" s="431">
        <v>348637.5</v>
      </c>
      <c r="Y802" s="430">
        <v>397579.2</v>
      </c>
      <c r="Z802" s="373">
        <v>1162307.2</v>
      </c>
      <c r="AA802" s="406">
        <v>0</v>
      </c>
      <c r="AB802" s="406">
        <v>0</v>
      </c>
      <c r="AC802" s="406">
        <v>0</v>
      </c>
      <c r="AD802" s="406">
        <v>0</v>
      </c>
      <c r="AE802" s="430">
        <v>0</v>
      </c>
      <c r="AF802" s="430">
        <v>0</v>
      </c>
      <c r="AG802" s="400">
        <v>-0.87999999999999545</v>
      </c>
      <c r="AH802" s="432">
        <v>0</v>
      </c>
      <c r="AI802" s="433">
        <v>0</v>
      </c>
      <c r="AJ802" s="430">
        <v>288.31</v>
      </c>
      <c r="AK802" s="376">
        <v>-3.0522701259061268E-3</v>
      </c>
      <c r="AL802" s="376">
        <v>3.0522701259061268E-3</v>
      </c>
      <c r="AM802" s="412">
        <v>272.78547263681622</v>
      </c>
      <c r="AR802" s="427"/>
      <c r="AS802" s="427"/>
      <c r="AT802" s="427"/>
      <c r="AU802" s="427"/>
      <c r="AV802" s="427"/>
    </row>
    <row r="803" spans="2:48" s="382" customFormat="1" ht="28.15" customHeight="1" x14ac:dyDescent="0.25">
      <c r="B803" s="428">
        <v>43809</v>
      </c>
      <c r="C803" s="429">
        <v>0</v>
      </c>
      <c r="D803" s="429">
        <v>41639.199999999997</v>
      </c>
      <c r="E803" s="379">
        <v>352187</v>
      </c>
      <c r="F803" s="379">
        <v>0</v>
      </c>
      <c r="G803" s="379">
        <v>3753</v>
      </c>
      <c r="H803" s="379"/>
      <c r="I803" s="379"/>
      <c r="J803" s="379"/>
      <c r="K803" s="379"/>
      <c r="L803" s="379"/>
      <c r="M803" s="379">
        <v>650000</v>
      </c>
      <c r="N803" s="379">
        <v>21445</v>
      </c>
      <c r="O803" s="379">
        <v>1600</v>
      </c>
      <c r="P803" s="379">
        <v>91683</v>
      </c>
      <c r="Q803" s="379">
        <v>0</v>
      </c>
      <c r="R803" s="430">
        <v>355940</v>
      </c>
      <c r="S803" s="400">
        <v>0</v>
      </c>
      <c r="T803" s="400">
        <v>36860.450000000004</v>
      </c>
      <c r="U803" s="406">
        <v>308164.87</v>
      </c>
      <c r="V803" s="400">
        <v>3612.1800000000003</v>
      </c>
      <c r="W803" s="430">
        <v>311777.05</v>
      </c>
      <c r="X803" s="431">
        <v>348637.5</v>
      </c>
      <c r="Y803" s="430">
        <v>397579.2</v>
      </c>
      <c r="Z803" s="373">
        <v>1162307.2</v>
      </c>
      <c r="AA803" s="406">
        <v>0</v>
      </c>
      <c r="AB803" s="406">
        <v>0</v>
      </c>
      <c r="AC803" s="406">
        <v>0</v>
      </c>
      <c r="AD803" s="406">
        <v>0</v>
      </c>
      <c r="AE803" s="430">
        <v>0</v>
      </c>
      <c r="AF803" s="430">
        <v>0</v>
      </c>
      <c r="AG803" s="400">
        <v>-0.26999999999998181</v>
      </c>
      <c r="AH803" s="432">
        <v>0</v>
      </c>
      <c r="AI803" s="433">
        <v>0</v>
      </c>
      <c r="AJ803" s="430">
        <v>288.04000000000002</v>
      </c>
      <c r="AK803" s="376">
        <v>-9.3736980974858282E-4</v>
      </c>
      <c r="AL803" s="376">
        <v>9.3736980974858282E-4</v>
      </c>
      <c r="AM803" s="412">
        <v>272.91482587064706</v>
      </c>
      <c r="AR803" s="427"/>
      <c r="AS803" s="427"/>
      <c r="AT803" s="427"/>
      <c r="AU803" s="427"/>
      <c r="AV803" s="427"/>
    </row>
    <row r="804" spans="2:48" s="382" customFormat="1" ht="28.15" customHeight="1" x14ac:dyDescent="0.25">
      <c r="B804" s="428">
        <v>43810</v>
      </c>
      <c r="C804" s="429">
        <v>0</v>
      </c>
      <c r="D804" s="429">
        <v>41639.199999999997</v>
      </c>
      <c r="E804" s="379">
        <v>352187</v>
      </c>
      <c r="F804" s="379">
        <v>0</v>
      </c>
      <c r="G804" s="379">
        <v>3753</v>
      </c>
      <c r="H804" s="379"/>
      <c r="I804" s="379"/>
      <c r="J804" s="379"/>
      <c r="K804" s="379"/>
      <c r="L804" s="379"/>
      <c r="M804" s="379">
        <v>650000</v>
      </c>
      <c r="N804" s="379">
        <v>21445</v>
      </c>
      <c r="O804" s="379">
        <v>1600</v>
      </c>
      <c r="P804" s="379">
        <v>91683</v>
      </c>
      <c r="Q804" s="379">
        <v>0</v>
      </c>
      <c r="R804" s="430">
        <v>355940</v>
      </c>
      <c r="S804" s="400">
        <v>0</v>
      </c>
      <c r="T804" s="400">
        <v>36860.450000000004</v>
      </c>
      <c r="U804" s="406">
        <v>308164.87</v>
      </c>
      <c r="V804" s="400">
        <v>3612.1800000000003</v>
      </c>
      <c r="W804" s="430">
        <v>311777.05</v>
      </c>
      <c r="X804" s="431">
        <v>348637.5</v>
      </c>
      <c r="Y804" s="430">
        <v>397579.2</v>
      </c>
      <c r="Z804" s="373">
        <v>1162307.2</v>
      </c>
      <c r="AA804" s="406">
        <v>0</v>
      </c>
      <c r="AB804" s="406">
        <v>0</v>
      </c>
      <c r="AC804" s="406">
        <v>0</v>
      </c>
      <c r="AD804" s="406">
        <v>0</v>
      </c>
      <c r="AE804" s="430">
        <v>0</v>
      </c>
      <c r="AF804" s="430">
        <v>0</v>
      </c>
      <c r="AG804" s="400">
        <v>0.75</v>
      </c>
      <c r="AH804" s="432">
        <v>0</v>
      </c>
      <c r="AI804" s="433">
        <v>0</v>
      </c>
      <c r="AJ804" s="430">
        <v>288.79000000000002</v>
      </c>
      <c r="AK804" s="376">
        <v>2.5970428338931402E-3</v>
      </c>
      <c r="AL804" s="376">
        <v>-2.5970428338931402E-3</v>
      </c>
      <c r="AM804" s="412">
        <v>273.05810945273663</v>
      </c>
      <c r="AR804" s="427"/>
      <c r="AS804" s="427"/>
      <c r="AT804" s="427"/>
      <c r="AU804" s="427"/>
      <c r="AV804" s="427"/>
    </row>
    <row r="805" spans="2:48" s="382" customFormat="1" ht="28.15" customHeight="1" x14ac:dyDescent="0.25">
      <c r="B805" s="428">
        <v>43811</v>
      </c>
      <c r="C805" s="429">
        <v>0</v>
      </c>
      <c r="D805" s="429">
        <v>41639.199999999997</v>
      </c>
      <c r="E805" s="379">
        <v>352187</v>
      </c>
      <c r="F805" s="379">
        <v>0</v>
      </c>
      <c r="G805" s="379">
        <v>3753</v>
      </c>
      <c r="H805" s="379"/>
      <c r="I805" s="379"/>
      <c r="J805" s="379"/>
      <c r="K805" s="379"/>
      <c r="L805" s="379"/>
      <c r="M805" s="379">
        <v>650000</v>
      </c>
      <c r="N805" s="379">
        <v>21445</v>
      </c>
      <c r="O805" s="379">
        <v>1600</v>
      </c>
      <c r="P805" s="379">
        <v>91683</v>
      </c>
      <c r="Q805" s="379">
        <v>0</v>
      </c>
      <c r="R805" s="430">
        <v>355940</v>
      </c>
      <c r="S805" s="400">
        <v>0</v>
      </c>
      <c r="T805" s="400">
        <v>36860.450000000004</v>
      </c>
      <c r="U805" s="406">
        <v>308164.87</v>
      </c>
      <c r="V805" s="400">
        <v>3612.1800000000003</v>
      </c>
      <c r="W805" s="430">
        <v>311777.05</v>
      </c>
      <c r="X805" s="431">
        <v>348637.5</v>
      </c>
      <c r="Y805" s="430">
        <v>397579.2</v>
      </c>
      <c r="Z805" s="373">
        <v>1162307.2</v>
      </c>
      <c r="AA805" s="406">
        <v>0</v>
      </c>
      <c r="AB805" s="406">
        <v>0</v>
      </c>
      <c r="AC805" s="406">
        <v>0</v>
      </c>
      <c r="AD805" s="406">
        <v>0</v>
      </c>
      <c r="AE805" s="430">
        <v>0</v>
      </c>
      <c r="AF805" s="430">
        <v>0</v>
      </c>
      <c r="AG805" s="400">
        <v>2.5399999999999636</v>
      </c>
      <c r="AH805" s="432">
        <v>0</v>
      </c>
      <c r="AI805" s="433">
        <v>0</v>
      </c>
      <c r="AJ805" s="430">
        <v>291.33</v>
      </c>
      <c r="AK805" s="376">
        <v>8.7186352246591964E-3</v>
      </c>
      <c r="AL805" s="376">
        <v>-8.7186352246591964E-3</v>
      </c>
      <c r="AM805" s="412">
        <v>273.20288557213962</v>
      </c>
      <c r="AR805" s="427"/>
      <c r="AS805" s="427"/>
      <c r="AT805" s="427"/>
      <c r="AU805" s="427"/>
      <c r="AV805" s="427"/>
    </row>
    <row r="806" spans="2:48" s="382" customFormat="1" ht="28.15" customHeight="1" x14ac:dyDescent="0.25">
      <c r="B806" s="428">
        <v>43812</v>
      </c>
      <c r="C806" s="429">
        <v>0</v>
      </c>
      <c r="D806" s="429">
        <v>41639.199999999997</v>
      </c>
      <c r="E806" s="379">
        <v>352187</v>
      </c>
      <c r="F806" s="379">
        <v>0</v>
      </c>
      <c r="G806" s="379">
        <v>3753</v>
      </c>
      <c r="H806" s="379"/>
      <c r="I806" s="379"/>
      <c r="J806" s="379"/>
      <c r="K806" s="379"/>
      <c r="L806" s="379"/>
      <c r="M806" s="379">
        <v>650000</v>
      </c>
      <c r="N806" s="379">
        <v>21445</v>
      </c>
      <c r="O806" s="379">
        <v>1600</v>
      </c>
      <c r="P806" s="379">
        <v>91683</v>
      </c>
      <c r="Q806" s="379">
        <v>0</v>
      </c>
      <c r="R806" s="430">
        <v>355940</v>
      </c>
      <c r="S806" s="400">
        <v>0</v>
      </c>
      <c r="T806" s="400">
        <v>36860.450000000004</v>
      </c>
      <c r="U806" s="406">
        <v>308164.87</v>
      </c>
      <c r="V806" s="400">
        <v>3612.1800000000003</v>
      </c>
      <c r="W806" s="430">
        <v>311777.05</v>
      </c>
      <c r="X806" s="431">
        <v>348637.5</v>
      </c>
      <c r="Y806" s="430">
        <v>397579.2</v>
      </c>
      <c r="Z806" s="373">
        <v>1162307.2</v>
      </c>
      <c r="AA806" s="406">
        <v>0</v>
      </c>
      <c r="AB806" s="406">
        <v>0</v>
      </c>
      <c r="AC806" s="406">
        <v>0</v>
      </c>
      <c r="AD806" s="406">
        <v>0</v>
      </c>
      <c r="AE806" s="430">
        <v>0</v>
      </c>
      <c r="AF806" s="430">
        <v>0</v>
      </c>
      <c r="AG806" s="400">
        <v>0.11000000000001364</v>
      </c>
      <c r="AH806" s="432">
        <v>0</v>
      </c>
      <c r="AI806" s="433">
        <v>0</v>
      </c>
      <c r="AJ806" s="430">
        <v>291.44</v>
      </c>
      <c r="AK806" s="376">
        <v>3.7743617897342043E-4</v>
      </c>
      <c r="AL806" s="376">
        <v>-3.7743617897342043E-4</v>
      </c>
      <c r="AM806" s="412">
        <v>273.36029850746303</v>
      </c>
      <c r="AR806" s="427"/>
      <c r="AS806" s="427"/>
      <c r="AT806" s="427"/>
      <c r="AU806" s="427"/>
      <c r="AV806" s="427"/>
    </row>
    <row r="807" spans="2:48" s="382" customFormat="1" ht="28.15" customHeight="1" x14ac:dyDescent="0.25">
      <c r="B807" s="428">
        <v>43813</v>
      </c>
      <c r="C807" s="429">
        <v>0</v>
      </c>
      <c r="D807" s="429">
        <v>41639.199999999997</v>
      </c>
      <c r="E807" s="379">
        <v>352187</v>
      </c>
      <c r="F807" s="379">
        <v>0</v>
      </c>
      <c r="G807" s="379">
        <v>3753</v>
      </c>
      <c r="H807" s="379"/>
      <c r="I807" s="379"/>
      <c r="J807" s="379"/>
      <c r="K807" s="379"/>
      <c r="L807" s="379"/>
      <c r="M807" s="379">
        <v>650000</v>
      </c>
      <c r="N807" s="379">
        <v>21445</v>
      </c>
      <c r="O807" s="379">
        <v>1600</v>
      </c>
      <c r="P807" s="379">
        <v>91683</v>
      </c>
      <c r="Q807" s="379">
        <v>0</v>
      </c>
      <c r="R807" s="430">
        <v>355940</v>
      </c>
      <c r="S807" s="400">
        <v>0</v>
      </c>
      <c r="T807" s="400">
        <v>36860.450000000004</v>
      </c>
      <c r="U807" s="406">
        <v>308164.87</v>
      </c>
      <c r="V807" s="400">
        <v>3612.1800000000003</v>
      </c>
      <c r="W807" s="430">
        <v>311777.05</v>
      </c>
      <c r="X807" s="431">
        <v>348637.5</v>
      </c>
      <c r="Y807" s="430">
        <v>397579.2</v>
      </c>
      <c r="Z807" s="373">
        <v>1162307.2</v>
      </c>
      <c r="AA807" s="406">
        <v>0</v>
      </c>
      <c r="AB807" s="406">
        <v>0</v>
      </c>
      <c r="AC807" s="406">
        <v>0</v>
      </c>
      <c r="AD807" s="406">
        <v>0</v>
      </c>
      <c r="AE807" s="430">
        <v>0</v>
      </c>
      <c r="AF807" s="430">
        <v>0</v>
      </c>
      <c r="AG807" s="400">
        <v>0</v>
      </c>
      <c r="AH807" s="432">
        <v>0</v>
      </c>
      <c r="AI807" s="433">
        <v>0</v>
      </c>
      <c r="AJ807" s="430">
        <v>291.44</v>
      </c>
      <c r="AK807" s="376">
        <v>0</v>
      </c>
      <c r="AL807" s="376">
        <v>0</v>
      </c>
      <c r="AM807" s="412">
        <v>273.51825870646798</v>
      </c>
      <c r="AR807" s="427"/>
      <c r="AS807" s="427"/>
      <c r="AT807" s="427"/>
      <c r="AU807" s="427"/>
      <c r="AV807" s="427"/>
    </row>
    <row r="808" spans="2:48" s="382" customFormat="1" ht="28.15" customHeight="1" x14ac:dyDescent="0.25">
      <c r="B808" s="428">
        <v>43814</v>
      </c>
      <c r="C808" s="429">
        <v>0</v>
      </c>
      <c r="D808" s="429">
        <v>41639.199999999997</v>
      </c>
      <c r="E808" s="379">
        <v>352187</v>
      </c>
      <c r="F808" s="379">
        <v>0</v>
      </c>
      <c r="G808" s="379">
        <v>3753</v>
      </c>
      <c r="H808" s="379"/>
      <c r="I808" s="379"/>
      <c r="J808" s="379"/>
      <c r="K808" s="379"/>
      <c r="L808" s="379"/>
      <c r="M808" s="379">
        <v>650000</v>
      </c>
      <c r="N808" s="379">
        <v>21445</v>
      </c>
      <c r="O808" s="379">
        <v>1600</v>
      </c>
      <c r="P808" s="379">
        <v>91683</v>
      </c>
      <c r="Q808" s="379">
        <v>0</v>
      </c>
      <c r="R808" s="430">
        <v>355940</v>
      </c>
      <c r="S808" s="400">
        <v>0</v>
      </c>
      <c r="T808" s="400">
        <v>36860.450000000004</v>
      </c>
      <c r="U808" s="406">
        <v>308164.87</v>
      </c>
      <c r="V808" s="400">
        <v>3612.1800000000003</v>
      </c>
      <c r="W808" s="430">
        <v>311777.05</v>
      </c>
      <c r="X808" s="431">
        <v>348637.5</v>
      </c>
      <c r="Y808" s="430">
        <v>397579.2</v>
      </c>
      <c r="Z808" s="373">
        <v>1162307.2</v>
      </c>
      <c r="AA808" s="406">
        <v>0</v>
      </c>
      <c r="AB808" s="406">
        <v>0</v>
      </c>
      <c r="AC808" s="406">
        <v>0</v>
      </c>
      <c r="AD808" s="406">
        <v>0</v>
      </c>
      <c r="AE808" s="430">
        <v>0</v>
      </c>
      <c r="AF808" s="430">
        <v>0</v>
      </c>
      <c r="AG808" s="400">
        <v>0</v>
      </c>
      <c r="AH808" s="432">
        <v>0</v>
      </c>
      <c r="AI808" s="433">
        <v>0</v>
      </c>
      <c r="AJ808" s="430">
        <v>291.44</v>
      </c>
      <c r="AK808" s="376">
        <v>0</v>
      </c>
      <c r="AL808" s="376">
        <v>0</v>
      </c>
      <c r="AM808" s="412">
        <v>273.67621890547298</v>
      </c>
      <c r="AR808" s="427"/>
      <c r="AS808" s="427"/>
      <c r="AT808" s="427"/>
      <c r="AU808" s="427"/>
      <c r="AV808" s="427"/>
    </row>
    <row r="809" spans="2:48" s="382" customFormat="1" ht="28.15" customHeight="1" x14ac:dyDescent="0.25">
      <c r="B809" s="428">
        <v>43815</v>
      </c>
      <c r="C809" s="429">
        <v>0</v>
      </c>
      <c r="D809" s="429">
        <v>41639.199999999997</v>
      </c>
      <c r="E809" s="379">
        <v>352842</v>
      </c>
      <c r="F809" s="379">
        <v>0</v>
      </c>
      <c r="G809" s="379">
        <v>3753</v>
      </c>
      <c r="H809" s="379"/>
      <c r="I809" s="379"/>
      <c r="J809" s="379">
        <v>1075</v>
      </c>
      <c r="K809" s="379"/>
      <c r="L809" s="379"/>
      <c r="M809" s="379">
        <v>650000</v>
      </c>
      <c r="N809" s="379">
        <v>21445</v>
      </c>
      <c r="O809" s="379">
        <v>1600</v>
      </c>
      <c r="P809" s="379">
        <v>91683</v>
      </c>
      <c r="Q809" s="379">
        <v>0</v>
      </c>
      <c r="R809" s="430">
        <v>356595</v>
      </c>
      <c r="S809" s="400">
        <v>0</v>
      </c>
      <c r="T809" s="400">
        <v>36860.450000000004</v>
      </c>
      <c r="U809" s="406">
        <v>309239.87</v>
      </c>
      <c r="V809" s="400">
        <v>3612.1800000000003</v>
      </c>
      <c r="W809" s="430">
        <v>312852.05</v>
      </c>
      <c r="X809" s="431">
        <v>349712.5</v>
      </c>
      <c r="Y809" s="430">
        <v>398234.2</v>
      </c>
      <c r="Z809" s="373">
        <v>1162962.2</v>
      </c>
      <c r="AA809" s="406">
        <v>0</v>
      </c>
      <c r="AB809" s="406">
        <v>0</v>
      </c>
      <c r="AC809" s="406">
        <v>-420</v>
      </c>
      <c r="AD809" s="406">
        <v>0</v>
      </c>
      <c r="AE809" s="430">
        <v>-420</v>
      </c>
      <c r="AF809" s="430">
        <v>-420</v>
      </c>
      <c r="AG809" s="400">
        <v>2.0600000000000023</v>
      </c>
      <c r="AH809" s="432">
        <v>-1.1778067555630338E-3</v>
      </c>
      <c r="AI809" s="433">
        <v>0</v>
      </c>
      <c r="AJ809" s="430">
        <v>293.5</v>
      </c>
      <c r="AK809" s="376">
        <v>7.0187393526405526E-3</v>
      </c>
      <c r="AL809" s="376">
        <v>-8.1965461082035857E-3</v>
      </c>
      <c r="AM809" s="412">
        <v>273.84577114427896</v>
      </c>
      <c r="AR809" s="427"/>
      <c r="AS809" s="427"/>
      <c r="AT809" s="427"/>
      <c r="AU809" s="427"/>
      <c r="AV809" s="427"/>
    </row>
    <row r="810" spans="2:48" s="382" customFormat="1" ht="28.15" customHeight="1" x14ac:dyDescent="0.25">
      <c r="B810" s="428">
        <v>43816</v>
      </c>
      <c r="C810" s="429">
        <v>0</v>
      </c>
      <c r="D810" s="429">
        <v>42325</v>
      </c>
      <c r="E810" s="379">
        <v>359073</v>
      </c>
      <c r="F810" s="379">
        <v>0</v>
      </c>
      <c r="G810" s="379">
        <v>4700.58</v>
      </c>
      <c r="H810" s="379"/>
      <c r="I810" s="379">
        <v>210</v>
      </c>
      <c r="J810" s="379">
        <v>6231</v>
      </c>
      <c r="K810" s="379"/>
      <c r="L810" s="379">
        <v>874.59</v>
      </c>
      <c r="M810" s="379">
        <v>650000</v>
      </c>
      <c r="N810" s="379">
        <v>21445</v>
      </c>
      <c r="O810" s="379">
        <v>1600</v>
      </c>
      <c r="P810" s="379">
        <v>91683</v>
      </c>
      <c r="Q810" s="379">
        <v>0</v>
      </c>
      <c r="R810" s="430">
        <v>363773.58</v>
      </c>
      <c r="S810" s="400">
        <v>0</v>
      </c>
      <c r="T810" s="400">
        <v>37070.450000000004</v>
      </c>
      <c r="U810" s="406">
        <v>315470.87</v>
      </c>
      <c r="V810" s="400">
        <v>4486.7700000000004</v>
      </c>
      <c r="W810" s="430">
        <v>319957.64</v>
      </c>
      <c r="X810" s="431">
        <v>357028.09</v>
      </c>
      <c r="Y810" s="430">
        <v>406098.58</v>
      </c>
      <c r="Z810" s="373">
        <v>1170826.58</v>
      </c>
      <c r="AA810" s="406">
        <v>0</v>
      </c>
      <c r="AB810" s="406">
        <v>475.80000000000291</v>
      </c>
      <c r="AC810" s="406">
        <v>0</v>
      </c>
      <c r="AD810" s="406">
        <v>72.989999999999895</v>
      </c>
      <c r="AE810" s="430">
        <v>72.989999999999895</v>
      </c>
      <c r="AF810" s="430">
        <v>548.79000000000281</v>
      </c>
      <c r="AG810" s="400">
        <v>6.0000000000002274E-2</v>
      </c>
      <c r="AH810" s="432">
        <v>2.0064678693818252E-4</v>
      </c>
      <c r="AI810" s="433">
        <v>1.1241582988777386E-2</v>
      </c>
      <c r="AJ810" s="430">
        <v>293.56</v>
      </c>
      <c r="AK810" s="376">
        <v>2.043875187355303E-4</v>
      </c>
      <c r="AL810" s="376">
        <v>-3.7407317973477778E-6</v>
      </c>
      <c r="AM810" s="412">
        <v>274.03437810945303</v>
      </c>
      <c r="AR810" s="427"/>
      <c r="AS810" s="427"/>
      <c r="AT810" s="427"/>
      <c r="AU810" s="427"/>
      <c r="AV810" s="427"/>
    </row>
    <row r="811" spans="2:48" s="382" customFormat="1" ht="28.15" customHeight="1" x14ac:dyDescent="0.25">
      <c r="B811" s="428">
        <v>43817</v>
      </c>
      <c r="C811" s="429">
        <v>0</v>
      </c>
      <c r="D811" s="429">
        <v>42921.33</v>
      </c>
      <c r="E811" s="379">
        <v>358814.8</v>
      </c>
      <c r="F811" s="379">
        <v>0</v>
      </c>
      <c r="G811" s="379">
        <v>4700.58</v>
      </c>
      <c r="H811" s="379"/>
      <c r="I811" s="379"/>
      <c r="J811" s="379"/>
      <c r="K811" s="379"/>
      <c r="L811" s="379"/>
      <c r="M811" s="379">
        <v>650000</v>
      </c>
      <c r="N811" s="379">
        <v>21445</v>
      </c>
      <c r="O811" s="379">
        <v>1600</v>
      </c>
      <c r="P811" s="379">
        <v>91683</v>
      </c>
      <c r="Q811" s="379">
        <v>0</v>
      </c>
      <c r="R811" s="430">
        <v>363515.38</v>
      </c>
      <c r="S811" s="400">
        <v>0</v>
      </c>
      <c r="T811" s="400">
        <v>37070.450000000004</v>
      </c>
      <c r="U811" s="406">
        <v>315470.87</v>
      </c>
      <c r="V811" s="400">
        <v>4486.7700000000004</v>
      </c>
      <c r="W811" s="430">
        <v>319957.64</v>
      </c>
      <c r="X811" s="431">
        <v>357028.09</v>
      </c>
      <c r="Y811" s="430">
        <v>406436.71</v>
      </c>
      <c r="Z811" s="373">
        <v>1171164.71</v>
      </c>
      <c r="AA811" s="406">
        <v>0</v>
      </c>
      <c r="AB811" s="406">
        <v>596.33000000000175</v>
      </c>
      <c r="AC811" s="406">
        <v>-258.20000000001164</v>
      </c>
      <c r="AD811" s="406">
        <v>0</v>
      </c>
      <c r="AE811" s="430">
        <v>-258.20000000001164</v>
      </c>
      <c r="AF811" s="430">
        <v>338.1299999999901</v>
      </c>
      <c r="AG811" s="400">
        <v>1.999999999998181E-2</v>
      </c>
      <c r="AH811" s="432">
        <v>-7.1028631580873319E-4</v>
      </c>
      <c r="AI811" s="433">
        <v>1.3893558284424125E-2</v>
      </c>
      <c r="AJ811" s="430">
        <v>293.58</v>
      </c>
      <c r="AK811" s="376">
        <v>6.8124531643782993E-5</v>
      </c>
      <c r="AL811" s="376">
        <v>-7.7841084745251614E-4</v>
      </c>
      <c r="AM811" s="412">
        <v>274.21975124378139</v>
      </c>
      <c r="AR811" s="427"/>
      <c r="AS811" s="427"/>
      <c r="AT811" s="427"/>
      <c r="AU811" s="427"/>
      <c r="AV811" s="427"/>
    </row>
    <row r="812" spans="2:48" s="382" customFormat="1" ht="28.15" customHeight="1" x14ac:dyDescent="0.25">
      <c r="B812" s="428">
        <v>43818</v>
      </c>
      <c r="C812" s="429">
        <v>0</v>
      </c>
      <c r="D812" s="429">
        <v>42951.41</v>
      </c>
      <c r="E812" s="379">
        <v>360144.07</v>
      </c>
      <c r="F812" s="379">
        <v>0</v>
      </c>
      <c r="G812" s="379">
        <v>4700.58</v>
      </c>
      <c r="H812" s="379"/>
      <c r="I812" s="379"/>
      <c r="J812" s="379"/>
      <c r="K812" s="379"/>
      <c r="L812" s="379"/>
      <c r="M812" s="379">
        <v>650000</v>
      </c>
      <c r="N812" s="379">
        <v>21445</v>
      </c>
      <c r="O812" s="379">
        <v>1600</v>
      </c>
      <c r="P812" s="379">
        <v>91683</v>
      </c>
      <c r="Q812" s="379">
        <v>0</v>
      </c>
      <c r="R812" s="430">
        <v>364844.65</v>
      </c>
      <c r="S812" s="400">
        <v>0</v>
      </c>
      <c r="T812" s="400">
        <v>37070.450000000004</v>
      </c>
      <c r="U812" s="406">
        <v>315470.87</v>
      </c>
      <c r="V812" s="400">
        <v>4486.7700000000004</v>
      </c>
      <c r="W812" s="430">
        <v>319957.64</v>
      </c>
      <c r="X812" s="431">
        <v>357028.09</v>
      </c>
      <c r="Y812" s="430">
        <v>407796.06</v>
      </c>
      <c r="Z812" s="373">
        <v>1172524.06</v>
      </c>
      <c r="AA812" s="406">
        <v>0</v>
      </c>
      <c r="AB812" s="406">
        <v>30.080000000001746</v>
      </c>
      <c r="AC812" s="406">
        <v>1329.2700000000186</v>
      </c>
      <c r="AD812" s="406">
        <v>0</v>
      </c>
      <c r="AE812" s="430">
        <v>1329.2700000000186</v>
      </c>
      <c r="AF812" s="430">
        <v>1359.3500000000204</v>
      </c>
      <c r="AG812" s="400">
        <v>1.2200000000000273</v>
      </c>
      <c r="AH812" s="432">
        <v>3.6433863015396238E-3</v>
      </c>
      <c r="AI812" s="433">
        <v>7.0032625238616712E-4</v>
      </c>
      <c r="AJ812" s="430">
        <v>294.8</v>
      </c>
      <c r="AK812" s="376">
        <v>4.1383989145184095E-3</v>
      </c>
      <c r="AL812" s="376">
        <v>-4.9501261297878575E-4</v>
      </c>
      <c r="AM812" s="412">
        <v>274.42228855721419</v>
      </c>
      <c r="AR812" s="427"/>
      <c r="AS812" s="427"/>
      <c r="AT812" s="427"/>
      <c r="AU812" s="427"/>
      <c r="AV812" s="427"/>
    </row>
    <row r="813" spans="2:48" s="382" customFormat="1" ht="28.15" customHeight="1" x14ac:dyDescent="0.25">
      <c r="B813" s="428">
        <v>43819</v>
      </c>
      <c r="C813" s="429">
        <v>0</v>
      </c>
      <c r="D813" s="429">
        <v>43192.21</v>
      </c>
      <c r="E813" s="379">
        <v>361309</v>
      </c>
      <c r="F813" s="379">
        <v>0</v>
      </c>
      <c r="G813" s="379">
        <v>4700.58</v>
      </c>
      <c r="H813" s="379"/>
      <c r="I813" s="379"/>
      <c r="J813" s="379"/>
      <c r="K813" s="379"/>
      <c r="L813" s="379"/>
      <c r="M813" s="379">
        <v>650000</v>
      </c>
      <c r="N813" s="379">
        <v>21445</v>
      </c>
      <c r="O813" s="379">
        <v>1600</v>
      </c>
      <c r="P813" s="379">
        <v>91683</v>
      </c>
      <c r="Q813" s="379">
        <v>0</v>
      </c>
      <c r="R813" s="430">
        <v>366009.58</v>
      </c>
      <c r="S813" s="400">
        <v>0</v>
      </c>
      <c r="T813" s="400">
        <v>37070.450000000004</v>
      </c>
      <c r="U813" s="406">
        <v>315470.87</v>
      </c>
      <c r="V813" s="400">
        <v>4486.7700000000004</v>
      </c>
      <c r="W813" s="430">
        <v>319957.64</v>
      </c>
      <c r="X813" s="431">
        <v>357028.09</v>
      </c>
      <c r="Y813" s="430">
        <v>409201.79000000004</v>
      </c>
      <c r="Z813" s="373">
        <v>1173929.79</v>
      </c>
      <c r="AA813" s="406">
        <v>0</v>
      </c>
      <c r="AB813" s="406">
        <v>240.79999999999563</v>
      </c>
      <c r="AC813" s="406">
        <v>1164.929999999993</v>
      </c>
      <c r="AD813" s="406">
        <v>0</v>
      </c>
      <c r="AE813" s="430">
        <v>1164.929999999993</v>
      </c>
      <c r="AF813" s="430">
        <v>1405.7299999999886</v>
      </c>
      <c r="AG813" s="400">
        <v>1.5</v>
      </c>
      <c r="AH813" s="432">
        <v>3.1827855434822033E-3</v>
      </c>
      <c r="AI813" s="433">
        <v>5.5750793951037849E-3</v>
      </c>
      <c r="AJ813" s="430">
        <v>296.3</v>
      </c>
      <c r="AK813" s="376">
        <v>5.0624367195410058E-3</v>
      </c>
      <c r="AL813" s="376">
        <v>-1.8796511760588025E-3</v>
      </c>
      <c r="AM813" s="412">
        <v>274.63089552238836</v>
      </c>
      <c r="AR813" s="427"/>
      <c r="AS813" s="427"/>
      <c r="AT813" s="427"/>
      <c r="AU813" s="427"/>
      <c r="AV813" s="427"/>
    </row>
    <row r="814" spans="2:48" s="382" customFormat="1" ht="28.15" customHeight="1" x14ac:dyDescent="0.25">
      <c r="B814" s="428">
        <v>43820</v>
      </c>
      <c r="C814" s="429">
        <v>0</v>
      </c>
      <c r="D814" s="429">
        <v>43192.21</v>
      </c>
      <c r="E814" s="379">
        <v>361309</v>
      </c>
      <c r="F814" s="379">
        <v>0</v>
      </c>
      <c r="G814" s="379">
        <v>4700.58</v>
      </c>
      <c r="H814" s="379"/>
      <c r="I814" s="379"/>
      <c r="J814" s="379"/>
      <c r="K814" s="379"/>
      <c r="L814" s="379"/>
      <c r="M814" s="379">
        <v>650000</v>
      </c>
      <c r="N814" s="379">
        <v>21445</v>
      </c>
      <c r="O814" s="379">
        <v>1600</v>
      </c>
      <c r="P814" s="379">
        <v>91683</v>
      </c>
      <c r="Q814" s="379">
        <v>0</v>
      </c>
      <c r="R814" s="430">
        <v>366009.58</v>
      </c>
      <c r="S814" s="400">
        <v>0</v>
      </c>
      <c r="T814" s="400">
        <v>37070.450000000004</v>
      </c>
      <c r="U814" s="406">
        <v>315470.87</v>
      </c>
      <c r="V814" s="400">
        <v>4486.7700000000004</v>
      </c>
      <c r="W814" s="430">
        <v>319957.64</v>
      </c>
      <c r="X814" s="431">
        <v>357028.09</v>
      </c>
      <c r="Y814" s="430">
        <v>409201.79000000004</v>
      </c>
      <c r="Z814" s="373">
        <v>1173929.79</v>
      </c>
      <c r="AA814" s="406">
        <v>0</v>
      </c>
      <c r="AB814" s="406">
        <v>0</v>
      </c>
      <c r="AC814" s="406">
        <v>0</v>
      </c>
      <c r="AD814" s="406">
        <v>0</v>
      </c>
      <c r="AE814" s="430">
        <v>0</v>
      </c>
      <c r="AF814" s="430">
        <v>0</v>
      </c>
      <c r="AG814" s="400">
        <v>0</v>
      </c>
      <c r="AH814" s="432">
        <v>0</v>
      </c>
      <c r="AI814" s="433">
        <v>0</v>
      </c>
      <c r="AJ814" s="430">
        <v>296.3</v>
      </c>
      <c r="AK814" s="376">
        <v>0</v>
      </c>
      <c r="AL814" s="376">
        <v>0</v>
      </c>
      <c r="AM814" s="412">
        <v>274.84696517412965</v>
      </c>
      <c r="AR814" s="427"/>
      <c r="AS814" s="427"/>
      <c r="AT814" s="427"/>
      <c r="AU814" s="427"/>
      <c r="AV814" s="427"/>
    </row>
    <row r="815" spans="2:48" s="382" customFormat="1" ht="28.15" customHeight="1" x14ac:dyDescent="0.25">
      <c r="B815" s="428">
        <v>43821</v>
      </c>
      <c r="C815" s="429">
        <v>0</v>
      </c>
      <c r="D815" s="429">
        <v>43192.21</v>
      </c>
      <c r="E815" s="379">
        <v>361309</v>
      </c>
      <c r="F815" s="379">
        <v>0</v>
      </c>
      <c r="G815" s="379">
        <v>4700.58</v>
      </c>
      <c r="H815" s="379"/>
      <c r="I815" s="379"/>
      <c r="J815" s="379"/>
      <c r="K815" s="379"/>
      <c r="L815" s="379"/>
      <c r="M815" s="379">
        <v>650000</v>
      </c>
      <c r="N815" s="379">
        <v>21445</v>
      </c>
      <c r="O815" s="379">
        <v>1600</v>
      </c>
      <c r="P815" s="379">
        <v>91683</v>
      </c>
      <c r="Q815" s="379">
        <v>0</v>
      </c>
      <c r="R815" s="430">
        <v>366009.58</v>
      </c>
      <c r="S815" s="400">
        <v>0</v>
      </c>
      <c r="T815" s="400">
        <v>37070.450000000004</v>
      </c>
      <c r="U815" s="406">
        <v>315470.87</v>
      </c>
      <c r="V815" s="400">
        <v>4486.7700000000004</v>
      </c>
      <c r="W815" s="430">
        <v>319957.64</v>
      </c>
      <c r="X815" s="431">
        <v>357028.09</v>
      </c>
      <c r="Y815" s="430">
        <v>409201.79000000004</v>
      </c>
      <c r="Z815" s="373">
        <v>1173929.79</v>
      </c>
      <c r="AA815" s="406">
        <v>0</v>
      </c>
      <c r="AB815" s="406">
        <v>0</v>
      </c>
      <c r="AC815" s="406">
        <v>0</v>
      </c>
      <c r="AD815" s="406">
        <v>0</v>
      </c>
      <c r="AE815" s="430">
        <v>0</v>
      </c>
      <c r="AF815" s="430">
        <v>0</v>
      </c>
      <c r="AG815" s="400">
        <v>0</v>
      </c>
      <c r="AH815" s="432">
        <v>0</v>
      </c>
      <c r="AI815" s="433">
        <v>0</v>
      </c>
      <c r="AJ815" s="430">
        <v>296.3</v>
      </c>
      <c r="AK815" s="376">
        <v>0</v>
      </c>
      <c r="AL815" s="376">
        <v>0</v>
      </c>
      <c r="AM815" s="412">
        <v>275.06676616915456</v>
      </c>
      <c r="AR815" s="427"/>
      <c r="AS815" s="427"/>
      <c r="AT815" s="427"/>
      <c r="AU815" s="427"/>
      <c r="AV815" s="427"/>
    </row>
    <row r="816" spans="2:48" s="382" customFormat="1" ht="28.15" customHeight="1" x14ac:dyDescent="0.25">
      <c r="B816" s="428">
        <v>43822</v>
      </c>
      <c r="C816" s="429">
        <v>0</v>
      </c>
      <c r="D816" s="429">
        <v>43235.64</v>
      </c>
      <c r="E816" s="379">
        <v>362899.46</v>
      </c>
      <c r="F816" s="379">
        <v>0</v>
      </c>
      <c r="G816" s="379">
        <v>4700.58</v>
      </c>
      <c r="H816" s="379"/>
      <c r="I816" s="379"/>
      <c r="J816" s="379"/>
      <c r="K816" s="379"/>
      <c r="L816" s="379"/>
      <c r="M816" s="379">
        <v>650000</v>
      </c>
      <c r="N816" s="379">
        <v>21445</v>
      </c>
      <c r="O816" s="379">
        <v>1600</v>
      </c>
      <c r="P816" s="379">
        <v>91683</v>
      </c>
      <c r="Q816" s="379">
        <v>0</v>
      </c>
      <c r="R816" s="430">
        <v>367600.04000000004</v>
      </c>
      <c r="S816" s="400">
        <v>0</v>
      </c>
      <c r="T816" s="400">
        <v>37070.450000000004</v>
      </c>
      <c r="U816" s="406">
        <v>315470.87</v>
      </c>
      <c r="V816" s="400">
        <v>4486.7700000000004</v>
      </c>
      <c r="W816" s="430">
        <v>319957.64</v>
      </c>
      <c r="X816" s="431">
        <v>357028.09</v>
      </c>
      <c r="Y816" s="430">
        <v>410835.68000000005</v>
      </c>
      <c r="Z816" s="373">
        <v>1175563.6800000002</v>
      </c>
      <c r="AA816" s="406">
        <v>0</v>
      </c>
      <c r="AB816" s="406">
        <v>43.430000000000291</v>
      </c>
      <c r="AC816" s="406">
        <v>1590.460000000021</v>
      </c>
      <c r="AD816" s="406">
        <v>0</v>
      </c>
      <c r="AE816" s="430">
        <v>1590.460000000021</v>
      </c>
      <c r="AF816" s="430">
        <v>1633.8900000000212</v>
      </c>
      <c r="AG816" s="400">
        <v>-1.1399999999999864</v>
      </c>
      <c r="AH816" s="432">
        <v>4.3266045346459182E-3</v>
      </c>
      <c r="AI816" s="433">
        <v>1.0044953653976277E-3</v>
      </c>
      <c r="AJ816" s="430">
        <v>295.16000000000003</v>
      </c>
      <c r="AK816" s="376">
        <v>-3.8623119663910633E-3</v>
      </c>
      <c r="AL816" s="376">
        <v>8.1889165010369819E-3</v>
      </c>
      <c r="AM816" s="412">
        <v>275.25895522388089</v>
      </c>
      <c r="AR816" s="427"/>
      <c r="AS816" s="427"/>
      <c r="AT816" s="427"/>
      <c r="AU816" s="427"/>
      <c r="AV816" s="427"/>
    </row>
    <row r="817" spans="2:48" s="382" customFormat="1" ht="28.15" customHeight="1" x14ac:dyDescent="0.25">
      <c r="B817" s="428">
        <v>43823</v>
      </c>
      <c r="C817" s="429">
        <v>0</v>
      </c>
      <c r="D817" s="429">
        <v>43187.48</v>
      </c>
      <c r="E817" s="379">
        <v>365921.55</v>
      </c>
      <c r="F817" s="379">
        <v>0</v>
      </c>
      <c r="G817" s="379">
        <v>4700.58</v>
      </c>
      <c r="H817" s="379"/>
      <c r="I817" s="379"/>
      <c r="J817" s="379"/>
      <c r="K817" s="379"/>
      <c r="L817" s="379"/>
      <c r="M817" s="379">
        <v>650000</v>
      </c>
      <c r="N817" s="379">
        <v>21445</v>
      </c>
      <c r="O817" s="379">
        <v>1600</v>
      </c>
      <c r="P817" s="379">
        <v>91683</v>
      </c>
      <c r="Q817" s="379">
        <v>0</v>
      </c>
      <c r="R817" s="430">
        <v>370622.13</v>
      </c>
      <c r="S817" s="400">
        <v>0</v>
      </c>
      <c r="T817" s="400">
        <v>37070.450000000004</v>
      </c>
      <c r="U817" s="406">
        <v>315470.87</v>
      </c>
      <c r="V817" s="400">
        <v>4486.7700000000004</v>
      </c>
      <c r="W817" s="430">
        <v>319957.64</v>
      </c>
      <c r="X817" s="431">
        <v>357028.09</v>
      </c>
      <c r="Y817" s="430">
        <v>413809.61</v>
      </c>
      <c r="Z817" s="373">
        <v>1178537.6099999999</v>
      </c>
      <c r="AA817" s="406">
        <v>0</v>
      </c>
      <c r="AB817" s="406">
        <v>-48.159999999996217</v>
      </c>
      <c r="AC817" s="406">
        <v>3022.0899999999674</v>
      </c>
      <c r="AD817" s="406">
        <v>0</v>
      </c>
      <c r="AE817" s="430">
        <v>3022.0899999999674</v>
      </c>
      <c r="AF817" s="430">
        <v>2973.9299999999712</v>
      </c>
      <c r="AG817" s="400">
        <v>0</v>
      </c>
      <c r="AH817" s="432">
        <v>8.1541002422061727E-3</v>
      </c>
      <c r="AI817" s="433">
        <v>-1.1151379983272054E-3</v>
      </c>
      <c r="AJ817" s="430">
        <v>295.16000000000003</v>
      </c>
      <c r="AK817" s="376">
        <v>0</v>
      </c>
      <c r="AL817" s="376">
        <v>8.1541002422061727E-3</v>
      </c>
      <c r="AM817" s="412">
        <v>275.43462686567193</v>
      </c>
      <c r="AR817" s="427"/>
      <c r="AS817" s="427"/>
      <c r="AT817" s="427"/>
      <c r="AU817" s="427"/>
      <c r="AV817" s="427"/>
    </row>
    <row r="818" spans="2:48" s="382" customFormat="1" ht="28.15" customHeight="1" x14ac:dyDescent="0.25">
      <c r="B818" s="428">
        <v>43824</v>
      </c>
      <c r="C818" s="429">
        <v>0</v>
      </c>
      <c r="D818" s="429">
        <v>43187.48</v>
      </c>
      <c r="E818" s="379">
        <v>365921.55</v>
      </c>
      <c r="F818" s="379">
        <v>0</v>
      </c>
      <c r="G818" s="379">
        <v>4700.58</v>
      </c>
      <c r="H818" s="379"/>
      <c r="I818" s="379"/>
      <c r="J818" s="379"/>
      <c r="K818" s="379"/>
      <c r="L818" s="379"/>
      <c r="M818" s="379">
        <v>650000</v>
      </c>
      <c r="N818" s="379">
        <v>21445</v>
      </c>
      <c r="O818" s="379">
        <v>1600</v>
      </c>
      <c r="P818" s="379">
        <v>91683</v>
      </c>
      <c r="Q818" s="379">
        <v>0</v>
      </c>
      <c r="R818" s="430">
        <v>370622.13</v>
      </c>
      <c r="S818" s="400">
        <v>0</v>
      </c>
      <c r="T818" s="400">
        <v>37070.450000000004</v>
      </c>
      <c r="U818" s="406">
        <v>315470.87</v>
      </c>
      <c r="V818" s="400">
        <v>4486.7700000000004</v>
      </c>
      <c r="W818" s="430">
        <v>319957.64</v>
      </c>
      <c r="X818" s="431">
        <v>357028.09</v>
      </c>
      <c r="Y818" s="430">
        <v>413809.61</v>
      </c>
      <c r="Z818" s="373">
        <v>1178537.6099999999</v>
      </c>
      <c r="AA818" s="406">
        <v>0</v>
      </c>
      <c r="AB818" s="406">
        <v>0</v>
      </c>
      <c r="AC818" s="406">
        <v>0</v>
      </c>
      <c r="AD818" s="406">
        <v>0</v>
      </c>
      <c r="AE818" s="430">
        <v>0</v>
      </c>
      <c r="AF818" s="430">
        <v>0</v>
      </c>
      <c r="AG818" s="400">
        <v>0</v>
      </c>
      <c r="AH818" s="432">
        <v>0</v>
      </c>
      <c r="AI818" s="433">
        <v>0</v>
      </c>
      <c r="AJ818" s="430">
        <v>295.16000000000003</v>
      </c>
      <c r="AK818" s="376">
        <v>0</v>
      </c>
      <c r="AL818" s="376">
        <v>0</v>
      </c>
      <c r="AM818" s="412">
        <v>275.60189054726396</v>
      </c>
      <c r="AR818" s="427"/>
      <c r="AS818" s="427"/>
      <c r="AT818" s="427"/>
      <c r="AU818" s="427"/>
      <c r="AV818" s="427"/>
    </row>
    <row r="819" spans="2:48" s="382" customFormat="1" ht="28.15" customHeight="1" x14ac:dyDescent="0.25">
      <c r="B819" s="428">
        <v>43825</v>
      </c>
      <c r="C819" s="429">
        <v>0</v>
      </c>
      <c r="D819" s="429">
        <v>43187.48</v>
      </c>
      <c r="E819" s="379">
        <v>365921.55</v>
      </c>
      <c r="F819" s="379">
        <v>0</v>
      </c>
      <c r="G819" s="379">
        <v>4700.58</v>
      </c>
      <c r="H819" s="379"/>
      <c r="I819" s="379"/>
      <c r="J819" s="379"/>
      <c r="K819" s="379"/>
      <c r="L819" s="379"/>
      <c r="M819" s="379">
        <v>650000</v>
      </c>
      <c r="N819" s="379">
        <v>21445</v>
      </c>
      <c r="O819" s="379">
        <v>1600</v>
      </c>
      <c r="P819" s="379">
        <v>91683</v>
      </c>
      <c r="Q819" s="379">
        <v>0</v>
      </c>
      <c r="R819" s="430">
        <v>370622.13</v>
      </c>
      <c r="S819" s="400">
        <v>0</v>
      </c>
      <c r="T819" s="400">
        <v>37070.450000000004</v>
      </c>
      <c r="U819" s="406">
        <v>315470.87</v>
      </c>
      <c r="V819" s="400">
        <v>4486.7700000000004</v>
      </c>
      <c r="W819" s="430">
        <v>319957.64</v>
      </c>
      <c r="X819" s="431">
        <v>357028.09</v>
      </c>
      <c r="Y819" s="430">
        <v>413809.61</v>
      </c>
      <c r="Z819" s="373">
        <v>1178537.6099999999</v>
      </c>
      <c r="AA819" s="406">
        <v>0</v>
      </c>
      <c r="AB819" s="406">
        <v>0</v>
      </c>
      <c r="AC819" s="406">
        <v>0</v>
      </c>
      <c r="AD819" s="406">
        <v>0</v>
      </c>
      <c r="AE819" s="430">
        <v>0</v>
      </c>
      <c r="AF819" s="430">
        <v>0</v>
      </c>
      <c r="AG819" s="400">
        <v>1.5099999999999909</v>
      </c>
      <c r="AH819" s="432">
        <v>0</v>
      </c>
      <c r="AI819" s="433">
        <v>0</v>
      </c>
      <c r="AJ819" s="430">
        <v>296.67</v>
      </c>
      <c r="AK819" s="376">
        <v>5.089830451343212E-3</v>
      </c>
      <c r="AL819" s="376">
        <v>-5.089830451343212E-3</v>
      </c>
      <c r="AM819" s="412">
        <v>275.75616915422916</v>
      </c>
      <c r="AR819" s="427"/>
      <c r="AS819" s="427"/>
      <c r="AT819" s="427"/>
      <c r="AU819" s="427"/>
      <c r="AV819" s="427"/>
    </row>
    <row r="820" spans="2:48" s="382" customFormat="1" ht="28.15" customHeight="1" x14ac:dyDescent="0.25">
      <c r="B820" s="428">
        <v>43826</v>
      </c>
      <c r="C820" s="429">
        <v>0</v>
      </c>
      <c r="D820" s="429">
        <v>43404.2</v>
      </c>
      <c r="E820" s="379">
        <v>365778</v>
      </c>
      <c r="F820" s="379">
        <v>0</v>
      </c>
      <c r="G820" s="379">
        <v>4700.58</v>
      </c>
      <c r="H820" s="379"/>
      <c r="I820" s="379"/>
      <c r="J820" s="379"/>
      <c r="K820" s="379"/>
      <c r="L820" s="379"/>
      <c r="M820" s="379">
        <v>650000</v>
      </c>
      <c r="N820" s="379">
        <v>21445</v>
      </c>
      <c r="O820" s="379">
        <v>1600</v>
      </c>
      <c r="P820" s="379">
        <v>91683</v>
      </c>
      <c r="Q820" s="379">
        <v>0</v>
      </c>
      <c r="R820" s="430">
        <v>370478.58</v>
      </c>
      <c r="S820" s="400">
        <v>0</v>
      </c>
      <c r="T820" s="400">
        <v>37070.450000000004</v>
      </c>
      <c r="U820" s="406">
        <v>315470.87</v>
      </c>
      <c r="V820" s="400">
        <v>4486.7700000000004</v>
      </c>
      <c r="W820" s="430">
        <v>319957.64</v>
      </c>
      <c r="X820" s="431">
        <v>357028.09</v>
      </c>
      <c r="Y820" s="430">
        <v>413882.78</v>
      </c>
      <c r="Z820" s="373">
        <v>1178610.78</v>
      </c>
      <c r="AA820" s="406">
        <v>0</v>
      </c>
      <c r="AB820" s="406">
        <v>216.71999999999389</v>
      </c>
      <c r="AC820" s="406">
        <v>-143.54999999998836</v>
      </c>
      <c r="AD820" s="406">
        <v>0</v>
      </c>
      <c r="AE820" s="430">
        <v>-143.54999999998836</v>
      </c>
      <c r="AF820" s="430">
        <v>73.17000000000553</v>
      </c>
      <c r="AG820" s="400">
        <v>0</v>
      </c>
      <c r="AH820" s="432">
        <v>-3.8747179391582736E-4</v>
      </c>
      <c r="AI820" s="433">
        <v>4.993065187239804E-3</v>
      </c>
      <c r="AJ820" s="430">
        <v>296.67</v>
      </c>
      <c r="AK820" s="376">
        <v>0</v>
      </c>
      <c r="AL820" s="376">
        <v>-3.8747179391582736E-4</v>
      </c>
      <c r="AM820" s="412">
        <v>275.91796019900528</v>
      </c>
      <c r="AR820" s="427"/>
      <c r="AS820" s="427"/>
      <c r="AT820" s="427"/>
      <c r="AU820" s="427"/>
      <c r="AV820" s="427"/>
    </row>
    <row r="821" spans="2:48" s="382" customFormat="1" ht="28.15" customHeight="1" x14ac:dyDescent="0.25">
      <c r="B821" s="428">
        <v>43827</v>
      </c>
      <c r="C821" s="429">
        <v>0</v>
      </c>
      <c r="D821" s="429">
        <v>43404.2</v>
      </c>
      <c r="E821" s="379">
        <v>365778</v>
      </c>
      <c r="F821" s="379">
        <v>0</v>
      </c>
      <c r="G821" s="379">
        <v>4700.58</v>
      </c>
      <c r="H821" s="379"/>
      <c r="I821" s="379"/>
      <c r="J821" s="379"/>
      <c r="K821" s="379"/>
      <c r="L821" s="379"/>
      <c r="M821" s="379">
        <v>650000</v>
      </c>
      <c r="N821" s="379">
        <v>21445</v>
      </c>
      <c r="O821" s="379">
        <v>1600</v>
      </c>
      <c r="P821" s="379">
        <v>91683</v>
      </c>
      <c r="Q821" s="379">
        <v>0</v>
      </c>
      <c r="R821" s="430">
        <v>370478.58</v>
      </c>
      <c r="S821" s="400">
        <v>0</v>
      </c>
      <c r="T821" s="400">
        <v>37070.450000000004</v>
      </c>
      <c r="U821" s="406">
        <v>315470.87</v>
      </c>
      <c r="V821" s="400">
        <v>4486.7700000000004</v>
      </c>
      <c r="W821" s="430">
        <v>319957.64</v>
      </c>
      <c r="X821" s="431">
        <v>357028.09</v>
      </c>
      <c r="Y821" s="430">
        <v>413882.78</v>
      </c>
      <c r="Z821" s="373">
        <v>1178610.78</v>
      </c>
      <c r="AA821" s="406">
        <v>0</v>
      </c>
      <c r="AB821" s="406">
        <v>0</v>
      </c>
      <c r="AC821" s="406">
        <v>0</v>
      </c>
      <c r="AD821" s="406">
        <v>0</v>
      </c>
      <c r="AE821" s="430">
        <v>0</v>
      </c>
      <c r="AF821" s="430">
        <v>0</v>
      </c>
      <c r="AG821" s="400">
        <v>0</v>
      </c>
      <c r="AH821" s="432">
        <v>0</v>
      </c>
      <c r="AI821" s="433">
        <v>0</v>
      </c>
      <c r="AJ821" s="430">
        <v>296.67</v>
      </c>
      <c r="AK821" s="376">
        <v>0</v>
      </c>
      <c r="AL821" s="376">
        <v>0</v>
      </c>
      <c r="AM821" s="412">
        <v>276.0797512437814</v>
      </c>
      <c r="AR821" s="427"/>
      <c r="AS821" s="427"/>
      <c r="AT821" s="427"/>
      <c r="AU821" s="427"/>
      <c r="AV821" s="427"/>
    </row>
    <row r="822" spans="2:48" s="382" customFormat="1" ht="28.15" customHeight="1" x14ac:dyDescent="0.25">
      <c r="B822" s="428">
        <v>43828</v>
      </c>
      <c r="C822" s="429">
        <v>0</v>
      </c>
      <c r="D822" s="429">
        <v>43404.2</v>
      </c>
      <c r="E822" s="379">
        <v>365778</v>
      </c>
      <c r="F822" s="379">
        <v>0</v>
      </c>
      <c r="G822" s="379">
        <v>4700.58</v>
      </c>
      <c r="H822" s="379"/>
      <c r="I822" s="379"/>
      <c r="J822" s="379"/>
      <c r="K822" s="379"/>
      <c r="L822" s="379"/>
      <c r="M822" s="379">
        <v>650000</v>
      </c>
      <c r="N822" s="379">
        <v>21445</v>
      </c>
      <c r="O822" s="379">
        <v>1600</v>
      </c>
      <c r="P822" s="379">
        <v>91683</v>
      </c>
      <c r="Q822" s="379">
        <v>0</v>
      </c>
      <c r="R822" s="430">
        <v>370478.58</v>
      </c>
      <c r="S822" s="400">
        <v>0</v>
      </c>
      <c r="T822" s="400">
        <v>37070.450000000004</v>
      </c>
      <c r="U822" s="406">
        <v>315470.87</v>
      </c>
      <c r="V822" s="400">
        <v>4486.7700000000004</v>
      </c>
      <c r="W822" s="430">
        <v>319957.64</v>
      </c>
      <c r="X822" s="431">
        <v>357028.09</v>
      </c>
      <c r="Y822" s="430">
        <v>413882.78</v>
      </c>
      <c r="Z822" s="373">
        <v>1178610.78</v>
      </c>
      <c r="AA822" s="406">
        <v>0</v>
      </c>
      <c r="AB822" s="406">
        <v>0</v>
      </c>
      <c r="AC822" s="406">
        <v>0</v>
      </c>
      <c r="AD822" s="406">
        <v>0</v>
      </c>
      <c r="AE822" s="430">
        <v>0</v>
      </c>
      <c r="AF822" s="430">
        <v>0</v>
      </c>
      <c r="AG822" s="400">
        <v>0</v>
      </c>
      <c r="AH822" s="432">
        <v>0</v>
      </c>
      <c r="AI822" s="433">
        <v>0</v>
      </c>
      <c r="AJ822" s="430">
        <v>296.67</v>
      </c>
      <c r="AK822" s="376">
        <v>0</v>
      </c>
      <c r="AL822" s="376">
        <v>0</v>
      </c>
      <c r="AM822" s="412">
        <v>276.23537313432865</v>
      </c>
      <c r="AR822" s="427"/>
      <c r="AS822" s="427"/>
      <c r="AT822" s="427"/>
      <c r="AU822" s="427"/>
      <c r="AV822" s="427"/>
    </row>
    <row r="823" spans="2:48" s="382" customFormat="1" ht="28.15" customHeight="1" x14ac:dyDescent="0.25">
      <c r="B823" s="428">
        <v>43829</v>
      </c>
      <c r="C823" s="429">
        <v>0</v>
      </c>
      <c r="D823" s="429">
        <v>41899.199999999997</v>
      </c>
      <c r="E823" s="379">
        <v>363844.13</v>
      </c>
      <c r="F823" s="379">
        <v>0</v>
      </c>
      <c r="G823" s="379">
        <v>4700.58</v>
      </c>
      <c r="H823" s="379"/>
      <c r="I823" s="379"/>
      <c r="J823" s="379">
        <v>1075</v>
      </c>
      <c r="K823" s="379"/>
      <c r="L823" s="379"/>
      <c r="M823" s="379">
        <v>650000</v>
      </c>
      <c r="N823" s="379">
        <v>21445</v>
      </c>
      <c r="O823" s="379">
        <v>1600</v>
      </c>
      <c r="P823" s="379">
        <v>91683</v>
      </c>
      <c r="Q823" s="379">
        <v>0</v>
      </c>
      <c r="R823" s="430">
        <v>368544.71</v>
      </c>
      <c r="S823" s="400">
        <v>0</v>
      </c>
      <c r="T823" s="400">
        <v>37070.450000000004</v>
      </c>
      <c r="U823" s="406">
        <v>316545.87</v>
      </c>
      <c r="V823" s="400">
        <v>4486.7700000000004</v>
      </c>
      <c r="W823" s="430">
        <v>321032.64</v>
      </c>
      <c r="X823" s="431">
        <v>358103.09</v>
      </c>
      <c r="Y823" s="430">
        <v>410443.91000000003</v>
      </c>
      <c r="Z823" s="373">
        <v>1175171.9100000001</v>
      </c>
      <c r="AA823" s="406">
        <v>0</v>
      </c>
      <c r="AB823" s="406">
        <v>-1505</v>
      </c>
      <c r="AC823" s="406">
        <v>-3008.8699999999953</v>
      </c>
      <c r="AD823" s="406">
        <v>0</v>
      </c>
      <c r="AE823" s="430">
        <v>-3008.8699999999953</v>
      </c>
      <c r="AF823" s="430">
        <v>-4513.8699999999953</v>
      </c>
      <c r="AG823" s="400">
        <v>-1.6299999999999955</v>
      </c>
      <c r="AH823" s="432">
        <v>-8.1641926158701212E-3</v>
      </c>
      <c r="AI823" s="433">
        <v>-3.5919540229885062E-2</v>
      </c>
      <c r="AJ823" s="430">
        <v>295.04000000000002</v>
      </c>
      <c r="AK823" s="376">
        <v>-5.5246746203904398E-3</v>
      </c>
      <c r="AL823" s="376">
        <v>-2.6395179954796814E-3</v>
      </c>
      <c r="AM823" s="412">
        <v>276.39124378109477</v>
      </c>
      <c r="AR823" s="427"/>
      <c r="AS823" s="427"/>
      <c r="AT823" s="427"/>
      <c r="AU823" s="427"/>
      <c r="AV823" s="427"/>
    </row>
    <row r="824" spans="2:48" s="382" customFormat="1" ht="28.15" customHeight="1" x14ac:dyDescent="0.25">
      <c r="B824" s="428">
        <v>43830</v>
      </c>
      <c r="C824" s="429">
        <v>0</v>
      </c>
      <c r="D824" s="429">
        <v>41923.56</v>
      </c>
      <c r="E824" s="379">
        <v>365924.44</v>
      </c>
      <c r="F824" s="379">
        <v>0</v>
      </c>
      <c r="G824" s="379">
        <v>4700.58</v>
      </c>
      <c r="H824" s="379"/>
      <c r="I824" s="379"/>
      <c r="J824" s="379"/>
      <c r="K824" s="379"/>
      <c r="L824" s="379"/>
      <c r="M824" s="379">
        <v>650000</v>
      </c>
      <c r="N824" s="379">
        <v>21445</v>
      </c>
      <c r="O824" s="379">
        <v>1600</v>
      </c>
      <c r="P824" s="379">
        <v>91683</v>
      </c>
      <c r="Q824" s="379">
        <v>0</v>
      </c>
      <c r="R824" s="430">
        <v>370625.02</v>
      </c>
      <c r="S824" s="400">
        <v>0</v>
      </c>
      <c r="T824" s="400">
        <v>37070.450000000004</v>
      </c>
      <c r="U824" s="406">
        <v>316545.87</v>
      </c>
      <c r="V824" s="400">
        <v>4486.7700000000004</v>
      </c>
      <c r="W824" s="430">
        <v>321032.64</v>
      </c>
      <c r="X824" s="431">
        <v>358103.09</v>
      </c>
      <c r="Y824" s="430">
        <v>412548.58</v>
      </c>
      <c r="Z824" s="373">
        <v>1177276.58</v>
      </c>
      <c r="AA824" s="406">
        <v>0</v>
      </c>
      <c r="AB824" s="406">
        <v>24.360000000000582</v>
      </c>
      <c r="AC824" s="406">
        <v>2080.3099999999977</v>
      </c>
      <c r="AD824" s="406">
        <v>0</v>
      </c>
      <c r="AE824" s="430">
        <v>2080.3099999999977</v>
      </c>
      <c r="AF824" s="430">
        <v>2104.6699999999983</v>
      </c>
      <c r="AG824" s="400">
        <v>0.75999999999999091</v>
      </c>
      <c r="AH824" s="432">
        <v>5.612977774679102E-3</v>
      </c>
      <c r="AI824" s="433">
        <v>5.8105752469495876E-4</v>
      </c>
      <c r="AJ824" s="430">
        <v>295.8</v>
      </c>
      <c r="AK824" s="376">
        <v>2.5693035835023356E-3</v>
      </c>
      <c r="AL824" s="376">
        <v>3.0436741911767664E-3</v>
      </c>
      <c r="AM824" s="412">
        <v>276.54149253731373</v>
      </c>
      <c r="AR824" s="427"/>
      <c r="AS824" s="427"/>
      <c r="AT824" s="427"/>
      <c r="AU824" s="427"/>
      <c r="AV824" s="427"/>
    </row>
    <row r="825" spans="2:48" s="330" customFormat="1" ht="28.15" customHeight="1" x14ac:dyDescent="0.25">
      <c r="B825" s="359">
        <v>43831</v>
      </c>
      <c r="C825" s="360">
        <v>0</v>
      </c>
      <c r="D825" s="360">
        <v>41923.56</v>
      </c>
      <c r="E825" s="329">
        <v>365924.44</v>
      </c>
      <c r="F825" s="329">
        <v>0</v>
      </c>
      <c r="G825" s="329">
        <v>4700.58</v>
      </c>
      <c r="H825" s="329"/>
      <c r="I825" s="329"/>
      <c r="J825" s="329"/>
      <c r="K825" s="329"/>
      <c r="L825" s="329"/>
      <c r="M825" s="329">
        <v>650000</v>
      </c>
      <c r="N825" s="329">
        <f t="shared" ref="N825:N840" si="10">44000+1000-23555</f>
        <v>21445</v>
      </c>
      <c r="O825" s="329">
        <f t="shared" ref="O825:O853" si="11">900+700</f>
        <v>1600</v>
      </c>
      <c r="P825" s="329">
        <v>91683</v>
      </c>
      <c r="Q825" s="329">
        <v>0</v>
      </c>
      <c r="R825" s="315">
        <f>Dailies[[#This Row],[CIBC RRSP]]+Dailies[[#This Row],[QT RRSP]]+Dailies[[#This Row],[SunLife RRSP]]</f>
        <v>370625.02</v>
      </c>
      <c r="S825" s="401">
        <f>S824+Dailies[[#This Row],[CIBC RRSP Principal Delta]]</f>
        <v>0</v>
      </c>
      <c r="T825" s="401">
        <f>T824+Dailies[[#This Row],[CIBC RESP Principal Delta]]</f>
        <v>37070.450000000004</v>
      </c>
      <c r="U825" s="402">
        <f>U824+Dailies[[#This Row],[QT RRSP Principal Delta]]</f>
        <v>316545.87</v>
      </c>
      <c r="V825" s="401">
        <f>V824+Dailies[[#This Row],[SunLife RRSP Principal Delta]]</f>
        <v>4486.7700000000004</v>
      </c>
      <c r="W825" s="315">
        <f>Dailies[[#This Row],[CIBC RRSP Principal]]+Dailies[[#This Row],[QT RRSP Principal]]+Dailies[[#This Row],[SunLife RRSP Principal]]</f>
        <v>321032.64</v>
      </c>
      <c r="X825" s="361">
        <f>Dailies[[#This Row],[CIBC RRSP Principal]]+Dailies[[#This Row],[CIBC RESP Principal]]+Dailies[[#This Row],[QT RRSP Principal]]+Dailies[[#This Row],[SunLife RRSP Principal]]</f>
        <v>358103.09</v>
      </c>
      <c r="Y825" s="315">
        <f>Dailies[[#This Row],[CIBC RRSP]]+Dailies[[#This Row],[CIBC RESP]]+Dailies[[#This Row],[QT RRSP]]+Dailies[[#This Row],[SunLife RRSP]]</f>
        <v>412548.58</v>
      </c>
      <c r="Z825" s="313">
        <f>Dailies[[#This Row],[Portfolio Total]]+Dailies[[#This Row],[Home Equity]]+Dailies[[#This Row],[Car Equity]]+Dailies[[#This Row],[Valuables Equity]]+Dailies[[#This Row],[GSK Pension]]+Dailies[[#This Row],[Home Loan]]</f>
        <v>1177276.58</v>
      </c>
      <c r="AA825" s="402">
        <f>IF(ISNUMBER(C824),Dailies[[#This Row],[CIBC RRSP]]-C824-Dailies[[#This Row],[CIBC RRSP Principal Delta]],0)</f>
        <v>0</v>
      </c>
      <c r="AB825" s="402">
        <f>IF(ISNUMBER(D824),Dailies[[#This Row],[CIBC RESP]]-D824-Dailies[[#This Row],[CIBC RESP Principal Delta]],0)</f>
        <v>0</v>
      </c>
      <c r="AC825" s="402">
        <f>IF(ISNUMBER(E824),Dailies[[#This Row],[QT RRSP]]-E824-Dailies[[#This Row],[QT RRSP Principal Delta]],0)</f>
        <v>0</v>
      </c>
      <c r="AD825" s="402">
        <f>IF(ISNUMBER(G824),Dailies[[#This Row],[SunLife RRSP]]-G824-Dailies[[#This Row],[SunLife RRSP Principal Delta]],0)</f>
        <v>0</v>
      </c>
      <c r="AE825" s="315">
        <f>Dailies[[#This Row],[CIBC RRSP Daily $]]+Dailies[[#This Row],[QT RRSP Daily $]]+Dailies[[#This Row],[SunLife RRSP Daily $]]</f>
        <v>0</v>
      </c>
      <c r="AF825" s="315">
        <f>Dailies[[#This Row],[RRSP Daily $]]+Dailies[[#This Row],[CIBC RESP Daily $]]</f>
        <v>0</v>
      </c>
      <c r="AG825" s="401">
        <f>IF(ISNUMBER(AJ824),Dailies[[#This Row],[VOO]]-AJ824,0)</f>
        <v>0</v>
      </c>
      <c r="AH825" s="362">
        <f>Dailies[[#This Row],[RRSP Daily $]]/Dailies[[#This Row],[RRSP Total]]</f>
        <v>0</v>
      </c>
      <c r="AI825" s="363">
        <f>IF(Dailies[[#This Row],[CIBC RESP]]&gt;0,Dailies[[#This Row],[CIBC RESP Daily $]]/Dailies[[#This Row],[CIBC RESP]],0)</f>
        <v>0</v>
      </c>
      <c r="AJ825" s="315">
        <f>VLOOKUP(Dailies[[#This Row],[Date]],Quotes[],MATCH("VOO",Quotes[#Headers],EXACT_MATCH))</f>
        <v>295.8</v>
      </c>
      <c r="AK825" s="314">
        <f>Dailies[[#This Row],[VOO Daily $]]/Dailies[[#This Row],[VOO]]</f>
        <v>0</v>
      </c>
      <c r="AL825" s="314">
        <f>Dailies[[#This Row],[RRSP Daily %]]-Dailies[[#This Row],[VOO Daily %]]</f>
        <v>0</v>
      </c>
      <c r="AM825" s="413">
        <f t="shared" ref="AM825:AM834" si="12">AVERAGE(AJ624:AJ824)</f>
        <v>276.6896517412938</v>
      </c>
      <c r="AR825" s="333"/>
      <c r="AS825" s="333"/>
      <c r="AT825" s="333"/>
      <c r="AU825" s="333"/>
      <c r="AV825" s="333"/>
    </row>
    <row r="826" spans="2:48" s="330" customFormat="1" ht="28.15" customHeight="1" x14ac:dyDescent="0.25">
      <c r="B826" s="359">
        <v>43832</v>
      </c>
      <c r="C826" s="360">
        <v>0</v>
      </c>
      <c r="D826" s="360">
        <v>41866.720000000001</v>
      </c>
      <c r="E826" s="329">
        <v>363172.53</v>
      </c>
      <c r="F826" s="329">
        <v>0</v>
      </c>
      <c r="G826" s="329">
        <v>4700.58</v>
      </c>
      <c r="H826" s="329"/>
      <c r="I826" s="329"/>
      <c r="J826" s="329"/>
      <c r="K826" s="329"/>
      <c r="L826" s="329"/>
      <c r="M826" s="329">
        <v>650000</v>
      </c>
      <c r="N826" s="329">
        <f t="shared" si="10"/>
        <v>21445</v>
      </c>
      <c r="O826" s="329">
        <f t="shared" si="11"/>
        <v>1600</v>
      </c>
      <c r="P826" s="329">
        <v>91683</v>
      </c>
      <c r="Q826" s="329">
        <v>0</v>
      </c>
      <c r="R826" s="315">
        <f>Dailies[[#This Row],[CIBC RRSP]]+Dailies[[#This Row],[QT RRSP]]+Dailies[[#This Row],[SunLife RRSP]]</f>
        <v>367873.11000000004</v>
      </c>
      <c r="S826" s="401">
        <f>S825+Dailies[[#This Row],[CIBC RRSP Principal Delta]]</f>
        <v>0</v>
      </c>
      <c r="T826" s="401">
        <f>T825+Dailies[[#This Row],[CIBC RESP Principal Delta]]</f>
        <v>37070.450000000004</v>
      </c>
      <c r="U826" s="402">
        <f>U825+Dailies[[#This Row],[QT RRSP Principal Delta]]</f>
        <v>316545.87</v>
      </c>
      <c r="V826" s="401">
        <f>V825+Dailies[[#This Row],[SunLife RRSP Principal Delta]]</f>
        <v>4486.7700000000004</v>
      </c>
      <c r="W826" s="315">
        <f>Dailies[[#This Row],[CIBC RRSP Principal]]+Dailies[[#This Row],[QT RRSP Principal]]+Dailies[[#This Row],[SunLife RRSP Principal]]</f>
        <v>321032.64</v>
      </c>
      <c r="X826" s="361">
        <f>Dailies[[#This Row],[CIBC RRSP Principal]]+Dailies[[#This Row],[CIBC RESP Principal]]+Dailies[[#This Row],[QT RRSP Principal]]+Dailies[[#This Row],[SunLife RRSP Principal]]</f>
        <v>358103.09</v>
      </c>
      <c r="Y826" s="315">
        <f>Dailies[[#This Row],[CIBC RRSP]]+Dailies[[#This Row],[CIBC RESP]]+Dailies[[#This Row],[QT RRSP]]+Dailies[[#This Row],[SunLife RRSP]]</f>
        <v>409739.83</v>
      </c>
      <c r="Z826" s="313">
        <f>Dailies[[#This Row],[Portfolio Total]]+Dailies[[#This Row],[Home Equity]]+Dailies[[#This Row],[Car Equity]]+Dailies[[#This Row],[Valuables Equity]]+Dailies[[#This Row],[GSK Pension]]+Dailies[[#This Row],[Home Loan]]</f>
        <v>1174467.83</v>
      </c>
      <c r="AA826" s="402">
        <f>IF(ISNUMBER(C825),Dailies[[#This Row],[CIBC RRSP]]-C825-Dailies[[#This Row],[CIBC RRSP Principal Delta]],0)</f>
        <v>0</v>
      </c>
      <c r="AB826" s="402">
        <f>IF(ISNUMBER(D825),Dailies[[#This Row],[CIBC RESP]]-D825-Dailies[[#This Row],[CIBC RESP Principal Delta]],0)</f>
        <v>-56.839999999996508</v>
      </c>
      <c r="AC826" s="402">
        <f>IF(ISNUMBER(E825),Dailies[[#This Row],[QT RRSP]]-E825-Dailies[[#This Row],[QT RRSP Principal Delta]],0)</f>
        <v>-2751.9099999999744</v>
      </c>
      <c r="AD826" s="402">
        <f>IF(ISNUMBER(G825),Dailies[[#This Row],[SunLife RRSP]]-G825-Dailies[[#This Row],[SunLife RRSP Principal Delta]],0)</f>
        <v>0</v>
      </c>
      <c r="AE826" s="315">
        <f>Dailies[[#This Row],[CIBC RRSP Daily $]]+Dailies[[#This Row],[QT RRSP Daily $]]+Dailies[[#This Row],[SunLife RRSP Daily $]]</f>
        <v>-2751.9099999999744</v>
      </c>
      <c r="AF826" s="315">
        <f>Dailies[[#This Row],[RRSP Daily $]]+Dailies[[#This Row],[CIBC RESP Daily $]]</f>
        <v>-2808.7499999999709</v>
      </c>
      <c r="AG826" s="401">
        <f>IF(ISNUMBER(AJ825),Dailies[[#This Row],[VOO]]-AJ825,0)</f>
        <v>2.6200000000000045</v>
      </c>
      <c r="AH826" s="362">
        <f>Dailies[[#This Row],[RRSP Daily $]]/Dailies[[#This Row],[RRSP Total]]</f>
        <v>-7.4805956869203457E-3</v>
      </c>
      <c r="AI826" s="363">
        <f>IF(Dailies[[#This Row],[CIBC RESP]]&gt;0,Dailies[[#This Row],[CIBC RESP Daily $]]/Dailies[[#This Row],[CIBC RESP]],0)</f>
        <v>-1.3576415826221044E-3</v>
      </c>
      <c r="AJ826" s="315">
        <f>VLOOKUP(Dailies[[#This Row],[Date]],Quotes[],MATCH("VOO",Quotes[#Headers],EXACT_MATCH))</f>
        <v>298.42</v>
      </c>
      <c r="AK826" s="314">
        <f>Dailies[[#This Row],[VOO Daily $]]/Dailies[[#This Row],[VOO]]</f>
        <v>8.7795724147175271E-3</v>
      </c>
      <c r="AL826" s="314">
        <f>Dailies[[#This Row],[RRSP Daily %]]-Dailies[[#This Row],[VOO Daily %]]</f>
        <v>-1.6260168101637874E-2</v>
      </c>
      <c r="AM826" s="413">
        <f t="shared" si="12"/>
        <v>276.8398009950252</v>
      </c>
      <c r="AR826" s="333"/>
      <c r="AS826" s="333"/>
      <c r="AT826" s="333"/>
      <c r="AU826" s="333"/>
      <c r="AV826" s="333"/>
    </row>
    <row r="827" spans="2:48" s="330" customFormat="1" ht="28.15" customHeight="1" x14ac:dyDescent="0.25">
      <c r="B827" s="359">
        <v>43833</v>
      </c>
      <c r="C827" s="360">
        <v>0</v>
      </c>
      <c r="D827" s="360">
        <v>41866.720000000001</v>
      </c>
      <c r="E827" s="329">
        <v>363172.53</v>
      </c>
      <c r="F827" s="329">
        <v>0</v>
      </c>
      <c r="G827" s="329">
        <v>4700.58</v>
      </c>
      <c r="H827" s="329"/>
      <c r="I827" s="329"/>
      <c r="J827" s="329"/>
      <c r="K827" s="329"/>
      <c r="L827" s="329"/>
      <c r="M827" s="329">
        <v>650000</v>
      </c>
      <c r="N827" s="329">
        <f t="shared" si="10"/>
        <v>21445</v>
      </c>
      <c r="O827" s="329">
        <f t="shared" si="11"/>
        <v>1600</v>
      </c>
      <c r="P827" s="329">
        <v>91683</v>
      </c>
      <c r="Q827" s="329">
        <v>0</v>
      </c>
      <c r="R827" s="315">
        <f>Dailies[[#This Row],[CIBC RRSP]]+Dailies[[#This Row],[QT RRSP]]+Dailies[[#This Row],[SunLife RRSP]]</f>
        <v>367873.11000000004</v>
      </c>
      <c r="S827" s="401">
        <f>S826+Dailies[[#This Row],[CIBC RRSP Principal Delta]]</f>
        <v>0</v>
      </c>
      <c r="T827" s="401">
        <f>T826+Dailies[[#This Row],[CIBC RESP Principal Delta]]</f>
        <v>37070.450000000004</v>
      </c>
      <c r="U827" s="402">
        <f>U826+Dailies[[#This Row],[QT RRSP Principal Delta]]</f>
        <v>316545.87</v>
      </c>
      <c r="V827" s="401">
        <f>V826+Dailies[[#This Row],[SunLife RRSP Principal Delta]]</f>
        <v>4486.7700000000004</v>
      </c>
      <c r="W827" s="315">
        <f>Dailies[[#This Row],[CIBC RRSP Principal]]+Dailies[[#This Row],[QT RRSP Principal]]+Dailies[[#This Row],[SunLife RRSP Principal]]</f>
        <v>321032.64</v>
      </c>
      <c r="X827" s="361">
        <f>Dailies[[#This Row],[CIBC RRSP Principal]]+Dailies[[#This Row],[CIBC RESP Principal]]+Dailies[[#This Row],[QT RRSP Principal]]+Dailies[[#This Row],[SunLife RRSP Principal]]</f>
        <v>358103.09</v>
      </c>
      <c r="Y827" s="315">
        <f>Dailies[[#This Row],[CIBC RRSP]]+Dailies[[#This Row],[CIBC RESP]]+Dailies[[#This Row],[QT RRSP]]+Dailies[[#This Row],[SunLife RRSP]]</f>
        <v>409739.83</v>
      </c>
      <c r="Z827" s="313">
        <f>Dailies[[#This Row],[Portfolio Total]]+Dailies[[#This Row],[Home Equity]]+Dailies[[#This Row],[Car Equity]]+Dailies[[#This Row],[Valuables Equity]]+Dailies[[#This Row],[GSK Pension]]+Dailies[[#This Row],[Home Loan]]</f>
        <v>1174467.83</v>
      </c>
      <c r="AA827" s="402">
        <f>IF(ISNUMBER(C826),Dailies[[#This Row],[CIBC RRSP]]-C826-Dailies[[#This Row],[CIBC RRSP Principal Delta]],0)</f>
        <v>0</v>
      </c>
      <c r="AB827" s="402">
        <f>IF(ISNUMBER(D826),Dailies[[#This Row],[CIBC RESP]]-D826-Dailies[[#This Row],[CIBC RESP Principal Delta]],0)</f>
        <v>0</v>
      </c>
      <c r="AC827" s="402">
        <f>IF(ISNUMBER(E826),Dailies[[#This Row],[QT RRSP]]-E826-Dailies[[#This Row],[QT RRSP Principal Delta]],0)</f>
        <v>0</v>
      </c>
      <c r="AD827" s="402">
        <f>IF(ISNUMBER(G826),Dailies[[#This Row],[SunLife RRSP]]-G826-Dailies[[#This Row],[SunLife RRSP Principal Delta]],0)</f>
        <v>0</v>
      </c>
      <c r="AE827" s="315">
        <f>Dailies[[#This Row],[CIBC RRSP Daily $]]+Dailies[[#This Row],[QT RRSP Daily $]]+Dailies[[#This Row],[SunLife RRSP Daily $]]</f>
        <v>0</v>
      </c>
      <c r="AF827" s="315">
        <f>Dailies[[#This Row],[RRSP Daily $]]+Dailies[[#This Row],[CIBC RESP Daily $]]</f>
        <v>0</v>
      </c>
      <c r="AG827" s="401">
        <f>IF(ISNUMBER(AJ826),Dailies[[#This Row],[VOO]]-AJ826,0)</f>
        <v>-2.1800000000000068</v>
      </c>
      <c r="AH827" s="362">
        <f>Dailies[[#This Row],[RRSP Daily $]]/Dailies[[#This Row],[RRSP Total]]</f>
        <v>0</v>
      </c>
      <c r="AI827" s="363">
        <f>IF(Dailies[[#This Row],[CIBC RESP]]&gt;0,Dailies[[#This Row],[CIBC RESP Daily $]]/Dailies[[#This Row],[CIBC RESP]],0)</f>
        <v>0</v>
      </c>
      <c r="AJ827" s="315">
        <f>VLOOKUP(Dailies[[#This Row],[Date]],Quotes[],MATCH("VOO",Quotes[#Headers],EXACT_MATCH))</f>
        <v>296.24</v>
      </c>
      <c r="AK827" s="314">
        <f>Dailies[[#This Row],[VOO Daily $]]/Dailies[[#This Row],[VOO]]</f>
        <v>-7.3588981906562477E-3</v>
      </c>
      <c r="AL827" s="314">
        <f>Dailies[[#This Row],[RRSP Daily %]]-Dailies[[#This Row],[VOO Daily %]]</f>
        <v>7.3588981906562477E-3</v>
      </c>
      <c r="AM827" s="413">
        <f t="shared" si="12"/>
        <v>277.00298507462719</v>
      </c>
      <c r="AR827" s="333"/>
      <c r="AS827" s="333"/>
      <c r="AT827" s="333"/>
      <c r="AU827" s="333"/>
      <c r="AV827" s="333"/>
    </row>
    <row r="828" spans="2:48" s="330" customFormat="1" ht="28.15" customHeight="1" x14ac:dyDescent="0.25">
      <c r="B828" s="359">
        <v>43834</v>
      </c>
      <c r="C828" s="360">
        <v>0</v>
      </c>
      <c r="D828" s="360">
        <v>41866.720000000001</v>
      </c>
      <c r="E828" s="329">
        <v>363172.53</v>
      </c>
      <c r="F828" s="329">
        <v>0</v>
      </c>
      <c r="G828" s="329">
        <v>4700.58</v>
      </c>
      <c r="H828" s="329"/>
      <c r="I828" s="329"/>
      <c r="J828" s="329"/>
      <c r="K828" s="329"/>
      <c r="L828" s="329"/>
      <c r="M828" s="329">
        <v>650000</v>
      </c>
      <c r="N828" s="329">
        <f t="shared" si="10"/>
        <v>21445</v>
      </c>
      <c r="O828" s="329">
        <f t="shared" si="11"/>
        <v>1600</v>
      </c>
      <c r="P828" s="329">
        <v>91683</v>
      </c>
      <c r="Q828" s="329">
        <v>0</v>
      </c>
      <c r="R828" s="315">
        <f>Dailies[[#This Row],[CIBC RRSP]]+Dailies[[#This Row],[QT RRSP]]+Dailies[[#This Row],[SunLife RRSP]]</f>
        <v>367873.11000000004</v>
      </c>
      <c r="S828" s="401">
        <f>S827+Dailies[[#This Row],[CIBC RRSP Principal Delta]]</f>
        <v>0</v>
      </c>
      <c r="T828" s="401">
        <f>T827+Dailies[[#This Row],[CIBC RESP Principal Delta]]</f>
        <v>37070.450000000004</v>
      </c>
      <c r="U828" s="402">
        <f>U827+Dailies[[#This Row],[QT RRSP Principal Delta]]</f>
        <v>316545.87</v>
      </c>
      <c r="V828" s="401">
        <f>V827+Dailies[[#This Row],[SunLife RRSP Principal Delta]]</f>
        <v>4486.7700000000004</v>
      </c>
      <c r="W828" s="315">
        <f>Dailies[[#This Row],[CIBC RRSP Principal]]+Dailies[[#This Row],[QT RRSP Principal]]+Dailies[[#This Row],[SunLife RRSP Principal]]</f>
        <v>321032.64</v>
      </c>
      <c r="X828" s="361">
        <f>Dailies[[#This Row],[CIBC RRSP Principal]]+Dailies[[#This Row],[CIBC RESP Principal]]+Dailies[[#This Row],[QT RRSP Principal]]+Dailies[[#This Row],[SunLife RRSP Principal]]</f>
        <v>358103.09</v>
      </c>
      <c r="Y828" s="315">
        <f>Dailies[[#This Row],[CIBC RRSP]]+Dailies[[#This Row],[CIBC RESP]]+Dailies[[#This Row],[QT RRSP]]+Dailies[[#This Row],[SunLife RRSP]]</f>
        <v>409739.83</v>
      </c>
      <c r="Z828" s="313">
        <f>Dailies[[#This Row],[Portfolio Total]]+Dailies[[#This Row],[Home Equity]]+Dailies[[#This Row],[Car Equity]]+Dailies[[#This Row],[Valuables Equity]]+Dailies[[#This Row],[GSK Pension]]+Dailies[[#This Row],[Home Loan]]</f>
        <v>1174467.83</v>
      </c>
      <c r="AA828" s="402">
        <f>IF(ISNUMBER(C827),Dailies[[#This Row],[CIBC RRSP]]-C827-Dailies[[#This Row],[CIBC RRSP Principal Delta]],0)</f>
        <v>0</v>
      </c>
      <c r="AB828" s="402">
        <f>IF(ISNUMBER(D827),Dailies[[#This Row],[CIBC RESP]]-D827-Dailies[[#This Row],[CIBC RESP Principal Delta]],0)</f>
        <v>0</v>
      </c>
      <c r="AC828" s="402">
        <f>IF(ISNUMBER(E827),Dailies[[#This Row],[QT RRSP]]-E827-Dailies[[#This Row],[QT RRSP Principal Delta]],0)</f>
        <v>0</v>
      </c>
      <c r="AD828" s="402">
        <f>IF(ISNUMBER(G827),Dailies[[#This Row],[SunLife RRSP]]-G827-Dailies[[#This Row],[SunLife RRSP Principal Delta]],0)</f>
        <v>0</v>
      </c>
      <c r="AE828" s="315">
        <f>Dailies[[#This Row],[CIBC RRSP Daily $]]+Dailies[[#This Row],[QT RRSP Daily $]]+Dailies[[#This Row],[SunLife RRSP Daily $]]</f>
        <v>0</v>
      </c>
      <c r="AF828" s="315">
        <f>Dailies[[#This Row],[RRSP Daily $]]+Dailies[[#This Row],[CIBC RESP Daily $]]</f>
        <v>0</v>
      </c>
      <c r="AG828" s="401">
        <f>IF(ISNUMBER(AJ827),Dailies[[#This Row],[VOO]]-AJ827,0)</f>
        <v>0</v>
      </c>
      <c r="AH828" s="362">
        <f>Dailies[[#This Row],[RRSP Daily $]]/Dailies[[#This Row],[RRSP Total]]</f>
        <v>0</v>
      </c>
      <c r="AI828" s="363">
        <f>IF(Dailies[[#This Row],[CIBC RESP]]&gt;0,Dailies[[#This Row],[CIBC RESP Daily $]]/Dailies[[#This Row],[CIBC RESP]],0)</f>
        <v>0</v>
      </c>
      <c r="AJ828" s="315">
        <f>VLOOKUP(Dailies[[#This Row],[Date]],Quotes[],MATCH("VOO",Quotes[#Headers],EXACT_MATCH))</f>
        <v>296.24</v>
      </c>
      <c r="AK828" s="314">
        <f>Dailies[[#This Row],[VOO Daily $]]/Dailies[[#This Row],[VOO]]</f>
        <v>0</v>
      </c>
      <c r="AL828" s="314">
        <f>Dailies[[#This Row],[RRSP Daily %]]-Dailies[[#This Row],[VOO Daily %]]</f>
        <v>0</v>
      </c>
      <c r="AM828" s="413">
        <f t="shared" si="12"/>
        <v>277.15532338308486</v>
      </c>
      <c r="AR828" s="333"/>
      <c r="AS828" s="333"/>
      <c r="AT828" s="333"/>
      <c r="AU828" s="333"/>
      <c r="AV828" s="333"/>
    </row>
    <row r="829" spans="2:48" s="330" customFormat="1" ht="28.15" customHeight="1" x14ac:dyDescent="0.25">
      <c r="B829" s="359">
        <v>43835</v>
      </c>
      <c r="C829" s="360">
        <v>0</v>
      </c>
      <c r="D829" s="360">
        <v>41866.720000000001</v>
      </c>
      <c r="E829" s="329">
        <v>363172.53</v>
      </c>
      <c r="F829" s="329">
        <v>0</v>
      </c>
      <c r="G829" s="329">
        <v>4700.58</v>
      </c>
      <c r="H829" s="329"/>
      <c r="I829" s="329"/>
      <c r="J829" s="329"/>
      <c r="K829" s="329"/>
      <c r="L829" s="329"/>
      <c r="M829" s="329">
        <v>650000</v>
      </c>
      <c r="N829" s="329">
        <f t="shared" si="10"/>
        <v>21445</v>
      </c>
      <c r="O829" s="329">
        <f t="shared" si="11"/>
        <v>1600</v>
      </c>
      <c r="P829" s="329">
        <v>91683</v>
      </c>
      <c r="Q829" s="329">
        <v>0</v>
      </c>
      <c r="R829" s="315">
        <f>Dailies[[#This Row],[CIBC RRSP]]+Dailies[[#This Row],[QT RRSP]]+Dailies[[#This Row],[SunLife RRSP]]</f>
        <v>367873.11000000004</v>
      </c>
      <c r="S829" s="401">
        <f>S828+Dailies[[#This Row],[CIBC RRSP Principal Delta]]</f>
        <v>0</v>
      </c>
      <c r="T829" s="401">
        <f>T828+Dailies[[#This Row],[CIBC RESP Principal Delta]]</f>
        <v>37070.450000000004</v>
      </c>
      <c r="U829" s="402">
        <f>U828+Dailies[[#This Row],[QT RRSP Principal Delta]]</f>
        <v>316545.87</v>
      </c>
      <c r="V829" s="401">
        <f>V828+Dailies[[#This Row],[SunLife RRSP Principal Delta]]</f>
        <v>4486.7700000000004</v>
      </c>
      <c r="W829" s="315">
        <f>Dailies[[#This Row],[CIBC RRSP Principal]]+Dailies[[#This Row],[QT RRSP Principal]]+Dailies[[#This Row],[SunLife RRSP Principal]]</f>
        <v>321032.64</v>
      </c>
      <c r="X829" s="361">
        <f>Dailies[[#This Row],[CIBC RRSP Principal]]+Dailies[[#This Row],[CIBC RESP Principal]]+Dailies[[#This Row],[QT RRSP Principal]]+Dailies[[#This Row],[SunLife RRSP Principal]]</f>
        <v>358103.09</v>
      </c>
      <c r="Y829" s="315">
        <f>Dailies[[#This Row],[CIBC RRSP]]+Dailies[[#This Row],[CIBC RESP]]+Dailies[[#This Row],[QT RRSP]]+Dailies[[#This Row],[SunLife RRSP]]</f>
        <v>409739.83</v>
      </c>
      <c r="Z829" s="313">
        <f>Dailies[[#This Row],[Portfolio Total]]+Dailies[[#This Row],[Home Equity]]+Dailies[[#This Row],[Car Equity]]+Dailies[[#This Row],[Valuables Equity]]+Dailies[[#This Row],[GSK Pension]]+Dailies[[#This Row],[Home Loan]]</f>
        <v>1174467.83</v>
      </c>
      <c r="AA829" s="402">
        <f>IF(ISNUMBER(C828),Dailies[[#This Row],[CIBC RRSP]]-C828-Dailies[[#This Row],[CIBC RRSP Principal Delta]],0)</f>
        <v>0</v>
      </c>
      <c r="AB829" s="402">
        <f>IF(ISNUMBER(D828),Dailies[[#This Row],[CIBC RESP]]-D828-Dailies[[#This Row],[CIBC RESP Principal Delta]],0)</f>
        <v>0</v>
      </c>
      <c r="AC829" s="402">
        <f>IF(ISNUMBER(E828),Dailies[[#This Row],[QT RRSP]]-E828-Dailies[[#This Row],[QT RRSP Principal Delta]],0)</f>
        <v>0</v>
      </c>
      <c r="AD829" s="402">
        <f>IF(ISNUMBER(G828),Dailies[[#This Row],[SunLife RRSP]]-G828-Dailies[[#This Row],[SunLife RRSP Principal Delta]],0)</f>
        <v>0</v>
      </c>
      <c r="AE829" s="315">
        <f>Dailies[[#This Row],[CIBC RRSP Daily $]]+Dailies[[#This Row],[QT RRSP Daily $]]+Dailies[[#This Row],[SunLife RRSP Daily $]]</f>
        <v>0</v>
      </c>
      <c r="AF829" s="315">
        <f>Dailies[[#This Row],[RRSP Daily $]]+Dailies[[#This Row],[CIBC RESP Daily $]]</f>
        <v>0</v>
      </c>
      <c r="AG829" s="401">
        <f>IF(ISNUMBER(AJ828),Dailies[[#This Row],[VOO]]-AJ828,0)</f>
        <v>0</v>
      </c>
      <c r="AH829" s="362">
        <f>Dailies[[#This Row],[RRSP Daily $]]/Dailies[[#This Row],[RRSP Total]]</f>
        <v>0</v>
      </c>
      <c r="AI829" s="363">
        <f>IF(Dailies[[#This Row],[CIBC RESP]]&gt;0,Dailies[[#This Row],[CIBC RESP Daily $]]/Dailies[[#This Row],[CIBC RESP]],0)</f>
        <v>0</v>
      </c>
      <c r="AJ829" s="315">
        <f>VLOOKUP(Dailies[[#This Row],[Date]],Quotes[],MATCH("VOO",Quotes[#Headers],EXACT_MATCH))</f>
        <v>296.24</v>
      </c>
      <c r="AK829" s="314">
        <f>Dailies[[#This Row],[VOO Daily $]]/Dailies[[#This Row],[VOO]]</f>
        <v>0</v>
      </c>
      <c r="AL829" s="314">
        <f>Dailies[[#This Row],[RRSP Daily %]]-Dailies[[#This Row],[VOO Daily %]]</f>
        <v>0</v>
      </c>
      <c r="AM829" s="413">
        <f t="shared" si="12"/>
        <v>277.30646766169184</v>
      </c>
      <c r="AR829" s="333"/>
      <c r="AS829" s="333"/>
      <c r="AT829" s="333"/>
      <c r="AU829" s="333"/>
      <c r="AV829" s="333"/>
    </row>
    <row r="830" spans="2:48" s="330" customFormat="1" ht="28.15" customHeight="1" x14ac:dyDescent="0.25">
      <c r="B830" s="359">
        <v>43836</v>
      </c>
      <c r="C830" s="360">
        <v>0</v>
      </c>
      <c r="D830" s="360">
        <v>42110.32</v>
      </c>
      <c r="E830" s="329">
        <v>363172.53</v>
      </c>
      <c r="F830" s="329">
        <v>0</v>
      </c>
      <c r="G830" s="329">
        <v>4700.58</v>
      </c>
      <c r="H830" s="329"/>
      <c r="I830" s="329"/>
      <c r="J830" s="329"/>
      <c r="K830" s="329"/>
      <c r="L830" s="329"/>
      <c r="M830" s="329">
        <v>650000</v>
      </c>
      <c r="N830" s="329">
        <f t="shared" si="10"/>
        <v>21445</v>
      </c>
      <c r="O830" s="329">
        <f t="shared" si="11"/>
        <v>1600</v>
      </c>
      <c r="P830" s="329">
        <v>91683</v>
      </c>
      <c r="Q830" s="329">
        <v>0</v>
      </c>
      <c r="R830" s="315">
        <f>Dailies[[#This Row],[CIBC RRSP]]+Dailies[[#This Row],[QT RRSP]]+Dailies[[#This Row],[SunLife RRSP]]</f>
        <v>367873.11000000004</v>
      </c>
      <c r="S830" s="401">
        <f>S829+Dailies[[#This Row],[CIBC RRSP Principal Delta]]</f>
        <v>0</v>
      </c>
      <c r="T830" s="401">
        <f>T829+Dailies[[#This Row],[CIBC RESP Principal Delta]]</f>
        <v>37070.450000000004</v>
      </c>
      <c r="U830" s="402">
        <f>U829+Dailies[[#This Row],[QT RRSP Principal Delta]]</f>
        <v>316545.87</v>
      </c>
      <c r="V830" s="401">
        <f>V829+Dailies[[#This Row],[SunLife RRSP Principal Delta]]</f>
        <v>4486.7700000000004</v>
      </c>
      <c r="W830" s="315">
        <f>Dailies[[#This Row],[CIBC RRSP Principal]]+Dailies[[#This Row],[QT RRSP Principal]]+Dailies[[#This Row],[SunLife RRSP Principal]]</f>
        <v>321032.64</v>
      </c>
      <c r="X830" s="361">
        <f>Dailies[[#This Row],[CIBC RRSP Principal]]+Dailies[[#This Row],[CIBC RESP Principal]]+Dailies[[#This Row],[QT RRSP Principal]]+Dailies[[#This Row],[SunLife RRSP Principal]]</f>
        <v>358103.09</v>
      </c>
      <c r="Y830" s="315">
        <f>Dailies[[#This Row],[CIBC RRSP]]+Dailies[[#This Row],[CIBC RESP]]+Dailies[[#This Row],[QT RRSP]]+Dailies[[#This Row],[SunLife RRSP]]</f>
        <v>409983.43000000005</v>
      </c>
      <c r="Z830" s="313">
        <f>Dailies[[#This Row],[Portfolio Total]]+Dailies[[#This Row],[Home Equity]]+Dailies[[#This Row],[Car Equity]]+Dailies[[#This Row],[Valuables Equity]]+Dailies[[#This Row],[GSK Pension]]+Dailies[[#This Row],[Home Loan]]</f>
        <v>1174711.4300000002</v>
      </c>
      <c r="AA830" s="402">
        <f>IF(ISNUMBER(C829),Dailies[[#This Row],[CIBC RRSP]]-C829-Dailies[[#This Row],[CIBC RRSP Principal Delta]],0)</f>
        <v>0</v>
      </c>
      <c r="AB830" s="402">
        <f>IF(ISNUMBER(D829),Dailies[[#This Row],[CIBC RESP]]-D829-Dailies[[#This Row],[CIBC RESP Principal Delta]],0)</f>
        <v>243.59999999999854</v>
      </c>
      <c r="AC830" s="402">
        <f>IF(ISNUMBER(E829),Dailies[[#This Row],[QT RRSP]]-E829-Dailies[[#This Row],[QT RRSP Principal Delta]],0)</f>
        <v>0</v>
      </c>
      <c r="AD830" s="402">
        <f>IF(ISNUMBER(G829),Dailies[[#This Row],[SunLife RRSP]]-G829-Dailies[[#This Row],[SunLife RRSP Principal Delta]],0)</f>
        <v>0</v>
      </c>
      <c r="AE830" s="315">
        <f>Dailies[[#This Row],[CIBC RRSP Daily $]]+Dailies[[#This Row],[QT RRSP Daily $]]+Dailies[[#This Row],[SunLife RRSP Daily $]]</f>
        <v>0</v>
      </c>
      <c r="AF830" s="315">
        <f>Dailies[[#This Row],[RRSP Daily $]]+Dailies[[#This Row],[CIBC RESP Daily $]]</f>
        <v>243.59999999999854</v>
      </c>
      <c r="AG830" s="401">
        <f>IF(ISNUMBER(AJ829),Dailies[[#This Row],[VOO]]-AJ829,0)</f>
        <v>1.1100000000000136</v>
      </c>
      <c r="AH830" s="362">
        <f>Dailies[[#This Row],[RRSP Daily $]]/Dailies[[#This Row],[RRSP Total]]</f>
        <v>0</v>
      </c>
      <c r="AI830" s="363">
        <f>IF(Dailies[[#This Row],[CIBC RESP]]&gt;0,Dailies[[#This Row],[CIBC RESP Daily $]]/Dailies[[#This Row],[CIBC RESP]],0)</f>
        <v>5.7848052448900541E-3</v>
      </c>
      <c r="AJ830" s="315">
        <f>VLOOKUP(Dailies[[#This Row],[Date]],Quotes[],MATCH("VOO",Quotes[#Headers],EXACT_MATCH))</f>
        <v>297.35000000000002</v>
      </c>
      <c r="AK830" s="314">
        <f>Dailies[[#This Row],[VOO Daily $]]/Dailies[[#This Row],[VOO]]</f>
        <v>3.7329746090466239E-3</v>
      </c>
      <c r="AL830" s="314">
        <f>Dailies[[#This Row],[RRSP Daily %]]-Dailies[[#This Row],[VOO Daily %]]</f>
        <v>-3.7329746090466239E-3</v>
      </c>
      <c r="AM830" s="413">
        <f t="shared" si="12"/>
        <v>277.44442786069681</v>
      </c>
      <c r="AR830" s="333"/>
      <c r="AS830" s="333"/>
      <c r="AT830" s="333"/>
      <c r="AU830" s="333"/>
      <c r="AV830" s="333"/>
    </row>
    <row r="831" spans="2:48" s="330" customFormat="1" ht="28.15" customHeight="1" x14ac:dyDescent="0.25">
      <c r="B831" s="359">
        <v>43837</v>
      </c>
      <c r="C831" s="360">
        <v>0</v>
      </c>
      <c r="D831" s="360">
        <v>41939.800000000003</v>
      </c>
      <c r="E831" s="329">
        <v>359504.25</v>
      </c>
      <c r="F831" s="329">
        <v>0</v>
      </c>
      <c r="G831" s="329">
        <v>4700.58</v>
      </c>
      <c r="H831" s="329"/>
      <c r="I831" s="329"/>
      <c r="J831" s="329"/>
      <c r="K831" s="329"/>
      <c r="L831" s="329"/>
      <c r="M831" s="329">
        <v>650000</v>
      </c>
      <c r="N831" s="329">
        <f t="shared" si="10"/>
        <v>21445</v>
      </c>
      <c r="O831" s="329">
        <f t="shared" si="11"/>
        <v>1600</v>
      </c>
      <c r="P831" s="329">
        <v>91683</v>
      </c>
      <c r="Q831" s="329">
        <v>0</v>
      </c>
      <c r="R831" s="315">
        <f>Dailies[[#This Row],[CIBC RRSP]]+Dailies[[#This Row],[QT RRSP]]+Dailies[[#This Row],[SunLife RRSP]]</f>
        <v>364204.83</v>
      </c>
      <c r="S831" s="401">
        <f>S830+Dailies[[#This Row],[CIBC RRSP Principal Delta]]</f>
        <v>0</v>
      </c>
      <c r="T831" s="401">
        <f>T830+Dailies[[#This Row],[CIBC RESP Principal Delta]]</f>
        <v>37070.450000000004</v>
      </c>
      <c r="U831" s="402">
        <f>U830+Dailies[[#This Row],[QT RRSP Principal Delta]]</f>
        <v>316545.87</v>
      </c>
      <c r="V831" s="401">
        <f>V830+Dailies[[#This Row],[SunLife RRSP Principal Delta]]</f>
        <v>4486.7700000000004</v>
      </c>
      <c r="W831" s="315">
        <f>Dailies[[#This Row],[CIBC RRSP Principal]]+Dailies[[#This Row],[QT RRSP Principal]]+Dailies[[#This Row],[SunLife RRSP Principal]]</f>
        <v>321032.64</v>
      </c>
      <c r="X831" s="361">
        <f>Dailies[[#This Row],[CIBC RRSP Principal]]+Dailies[[#This Row],[CIBC RESP Principal]]+Dailies[[#This Row],[QT RRSP Principal]]+Dailies[[#This Row],[SunLife RRSP Principal]]</f>
        <v>358103.09</v>
      </c>
      <c r="Y831" s="315">
        <f>Dailies[[#This Row],[CIBC RRSP]]+Dailies[[#This Row],[CIBC RESP]]+Dailies[[#This Row],[QT RRSP]]+Dailies[[#This Row],[SunLife RRSP]]</f>
        <v>406144.63</v>
      </c>
      <c r="Z831" s="313">
        <f>Dailies[[#This Row],[Portfolio Total]]+Dailies[[#This Row],[Home Equity]]+Dailies[[#This Row],[Car Equity]]+Dailies[[#This Row],[Valuables Equity]]+Dailies[[#This Row],[GSK Pension]]+Dailies[[#This Row],[Home Loan]]</f>
        <v>1170872.6299999999</v>
      </c>
      <c r="AA831" s="402">
        <f>IF(ISNUMBER(C830),Dailies[[#This Row],[CIBC RRSP]]-C830-Dailies[[#This Row],[CIBC RRSP Principal Delta]],0)</f>
        <v>0</v>
      </c>
      <c r="AB831" s="402">
        <f>IF(ISNUMBER(D830),Dailies[[#This Row],[CIBC RESP]]-D830-Dailies[[#This Row],[CIBC RESP Principal Delta]],0)</f>
        <v>-170.5199999999968</v>
      </c>
      <c r="AC831" s="402">
        <f>IF(ISNUMBER(E830),Dailies[[#This Row],[QT RRSP]]-E830-Dailies[[#This Row],[QT RRSP Principal Delta]],0)</f>
        <v>-3668.2800000000279</v>
      </c>
      <c r="AD831" s="402">
        <f>IF(ISNUMBER(G830),Dailies[[#This Row],[SunLife RRSP]]-G830-Dailies[[#This Row],[SunLife RRSP Principal Delta]],0)</f>
        <v>0</v>
      </c>
      <c r="AE831" s="315">
        <f>Dailies[[#This Row],[CIBC RRSP Daily $]]+Dailies[[#This Row],[QT RRSP Daily $]]+Dailies[[#This Row],[SunLife RRSP Daily $]]</f>
        <v>-3668.2800000000279</v>
      </c>
      <c r="AF831" s="315">
        <f>Dailies[[#This Row],[RRSP Daily $]]+Dailies[[#This Row],[CIBC RESP Daily $]]</f>
        <v>-3838.8000000000247</v>
      </c>
      <c r="AG831" s="401">
        <f>IF(ISNUMBER(AJ830),Dailies[[#This Row],[VOO]]-AJ830,0)</f>
        <v>-0.82000000000005002</v>
      </c>
      <c r="AH831" s="362">
        <f>Dailies[[#This Row],[RRSP Daily $]]/Dailies[[#This Row],[RRSP Total]]</f>
        <v>-1.0072024580234226E-2</v>
      </c>
      <c r="AI831" s="363">
        <f>IF(Dailies[[#This Row],[CIBC RESP]]&gt;0,Dailies[[#This Row],[CIBC RESP Daily $]]/Dailies[[#This Row],[CIBC RESP]],0)</f>
        <v>-4.0658276863503586E-3</v>
      </c>
      <c r="AJ831" s="315">
        <f>VLOOKUP(Dailies[[#This Row],[Date]],Quotes[],MATCH("VOO",Quotes[#Headers],EXACT_MATCH))</f>
        <v>296.52999999999997</v>
      </c>
      <c r="AK831" s="314">
        <f>Dailies[[#This Row],[VOO Daily $]]/Dailies[[#This Row],[VOO]]</f>
        <v>-2.7653188547534821E-3</v>
      </c>
      <c r="AL831" s="314">
        <f>Dailies[[#This Row],[RRSP Daily %]]-Dailies[[#This Row],[VOO Daily %]]</f>
        <v>-7.3067057254807433E-3</v>
      </c>
      <c r="AM831" s="413">
        <f t="shared" si="12"/>
        <v>277.58437810945298</v>
      </c>
      <c r="AR831" s="333"/>
      <c r="AS831" s="333"/>
      <c r="AT831" s="333"/>
      <c r="AU831" s="333"/>
      <c r="AV831" s="333"/>
    </row>
    <row r="832" spans="2:48" s="330" customFormat="1" ht="28.15" customHeight="1" x14ac:dyDescent="0.25">
      <c r="B832" s="359">
        <v>43838</v>
      </c>
      <c r="C832" s="360">
        <v>0</v>
      </c>
      <c r="D832" s="360">
        <v>42248.36</v>
      </c>
      <c r="E832" s="329">
        <v>362111.36</v>
      </c>
      <c r="F832" s="329">
        <v>0</v>
      </c>
      <c r="G832" s="329">
        <v>4700.58</v>
      </c>
      <c r="H832" s="329"/>
      <c r="I832" s="329"/>
      <c r="J832" s="329"/>
      <c r="K832" s="329"/>
      <c r="L832" s="329"/>
      <c r="M832" s="329">
        <v>650000</v>
      </c>
      <c r="N832" s="329">
        <f t="shared" si="10"/>
        <v>21445</v>
      </c>
      <c r="O832" s="329">
        <f t="shared" si="11"/>
        <v>1600</v>
      </c>
      <c r="P832" s="329">
        <v>91683</v>
      </c>
      <c r="Q832" s="329">
        <v>0</v>
      </c>
      <c r="R832" s="315">
        <f>Dailies[[#This Row],[CIBC RRSP]]+Dailies[[#This Row],[QT RRSP]]+Dailies[[#This Row],[SunLife RRSP]]</f>
        <v>366811.94</v>
      </c>
      <c r="S832" s="401">
        <f>S831+Dailies[[#This Row],[CIBC RRSP Principal Delta]]</f>
        <v>0</v>
      </c>
      <c r="T832" s="401">
        <f>T831+Dailies[[#This Row],[CIBC RESP Principal Delta]]</f>
        <v>37070.450000000004</v>
      </c>
      <c r="U832" s="402">
        <f>U831+Dailies[[#This Row],[QT RRSP Principal Delta]]</f>
        <v>316545.87</v>
      </c>
      <c r="V832" s="401">
        <f>V831+Dailies[[#This Row],[SunLife RRSP Principal Delta]]</f>
        <v>4486.7700000000004</v>
      </c>
      <c r="W832" s="315">
        <f>Dailies[[#This Row],[CIBC RRSP Principal]]+Dailies[[#This Row],[QT RRSP Principal]]+Dailies[[#This Row],[SunLife RRSP Principal]]</f>
        <v>321032.64</v>
      </c>
      <c r="X832" s="361">
        <f>Dailies[[#This Row],[CIBC RRSP Principal]]+Dailies[[#This Row],[CIBC RESP Principal]]+Dailies[[#This Row],[QT RRSP Principal]]+Dailies[[#This Row],[SunLife RRSP Principal]]</f>
        <v>358103.09</v>
      </c>
      <c r="Y832" s="315">
        <f>Dailies[[#This Row],[CIBC RRSP]]+Dailies[[#This Row],[CIBC RESP]]+Dailies[[#This Row],[QT RRSP]]+Dailies[[#This Row],[SunLife RRSP]]</f>
        <v>409060.3</v>
      </c>
      <c r="Z832" s="313">
        <f>Dailies[[#This Row],[Portfolio Total]]+Dailies[[#This Row],[Home Equity]]+Dailies[[#This Row],[Car Equity]]+Dailies[[#This Row],[Valuables Equity]]+Dailies[[#This Row],[GSK Pension]]+Dailies[[#This Row],[Home Loan]]</f>
        <v>1173788.3</v>
      </c>
      <c r="AA832" s="402">
        <f>IF(ISNUMBER(C831),Dailies[[#This Row],[CIBC RRSP]]-C831-Dailies[[#This Row],[CIBC RRSP Principal Delta]],0)</f>
        <v>0</v>
      </c>
      <c r="AB832" s="402">
        <f>IF(ISNUMBER(D831),Dailies[[#This Row],[CIBC RESP]]-D831-Dailies[[#This Row],[CIBC RESP Principal Delta]],0)</f>
        <v>308.55999999999767</v>
      </c>
      <c r="AC832" s="402">
        <f>IF(ISNUMBER(E831),Dailies[[#This Row],[QT RRSP]]-E831-Dailies[[#This Row],[QT RRSP Principal Delta]],0)</f>
        <v>2607.109999999986</v>
      </c>
      <c r="AD832" s="402">
        <f>IF(ISNUMBER(G831),Dailies[[#This Row],[SunLife RRSP]]-G831-Dailies[[#This Row],[SunLife RRSP Principal Delta]],0)</f>
        <v>0</v>
      </c>
      <c r="AE832" s="315">
        <f>Dailies[[#This Row],[CIBC RRSP Daily $]]+Dailies[[#This Row],[QT RRSP Daily $]]+Dailies[[#This Row],[SunLife RRSP Daily $]]</f>
        <v>2607.109999999986</v>
      </c>
      <c r="AF832" s="315">
        <f>Dailies[[#This Row],[RRSP Daily $]]+Dailies[[#This Row],[CIBC RESP Daily $]]</f>
        <v>2915.6699999999837</v>
      </c>
      <c r="AG832" s="401">
        <f>IF(ISNUMBER(AJ831),Dailies[[#This Row],[VOO]]-AJ831,0)</f>
        <v>1.5300000000000296</v>
      </c>
      <c r="AH832" s="362">
        <f>Dailies[[#This Row],[RRSP Daily $]]/Dailies[[#This Row],[RRSP Total]]</f>
        <v>7.1074840148332846E-3</v>
      </c>
      <c r="AI832" s="363">
        <f>IF(Dailies[[#This Row],[CIBC RESP]]&gt;0,Dailies[[#This Row],[CIBC RESP Daily $]]/Dailies[[#This Row],[CIBC RESP]],0)</f>
        <v>7.3034787622524916E-3</v>
      </c>
      <c r="AJ832" s="315">
        <f>VLOOKUP(Dailies[[#This Row],[Date]],Quotes[],MATCH("VOO",Quotes[#Headers],EXACT_MATCH))</f>
        <v>298.06</v>
      </c>
      <c r="AK832" s="314">
        <f>Dailies[[#This Row],[VOO Daily $]]/Dailies[[#This Row],[VOO]]</f>
        <v>5.1331946587936305E-3</v>
      </c>
      <c r="AL832" s="314">
        <f>Dailies[[#This Row],[RRSP Daily %]]-Dailies[[#This Row],[VOO Daily %]]</f>
        <v>1.9742893560396541E-3</v>
      </c>
      <c r="AM832" s="413">
        <f t="shared" si="12"/>
        <v>277.70776119403007</v>
      </c>
      <c r="AR832" s="333"/>
      <c r="AS832" s="333"/>
      <c r="AT832" s="333"/>
      <c r="AU832" s="333"/>
      <c r="AV832" s="333"/>
    </row>
    <row r="833" spans="2:48" s="330" customFormat="1" ht="28.15" customHeight="1" x14ac:dyDescent="0.25">
      <c r="B833" s="359">
        <v>43839</v>
      </c>
      <c r="C833" s="360">
        <v>0</v>
      </c>
      <c r="D833" s="360">
        <v>42313.32</v>
      </c>
      <c r="E833" s="329">
        <v>362451</v>
      </c>
      <c r="F833" s="329">
        <v>0</v>
      </c>
      <c r="G833" s="329">
        <v>4700.58</v>
      </c>
      <c r="H833" s="329"/>
      <c r="I833" s="329"/>
      <c r="J833" s="329"/>
      <c r="K833" s="329"/>
      <c r="L833" s="329"/>
      <c r="M833" s="329">
        <v>650000</v>
      </c>
      <c r="N833" s="329">
        <f t="shared" si="10"/>
        <v>21445</v>
      </c>
      <c r="O833" s="329">
        <f t="shared" si="11"/>
        <v>1600</v>
      </c>
      <c r="P833" s="329">
        <v>91683</v>
      </c>
      <c r="Q833" s="329">
        <v>0</v>
      </c>
      <c r="R833" s="315">
        <f>Dailies[[#This Row],[CIBC RRSP]]+Dailies[[#This Row],[QT RRSP]]+Dailies[[#This Row],[SunLife RRSP]]</f>
        <v>367151.58</v>
      </c>
      <c r="S833" s="401">
        <f>S832+Dailies[[#This Row],[CIBC RRSP Principal Delta]]</f>
        <v>0</v>
      </c>
      <c r="T833" s="401">
        <f>T832+Dailies[[#This Row],[CIBC RESP Principal Delta]]</f>
        <v>37070.450000000004</v>
      </c>
      <c r="U833" s="402">
        <f>U832+Dailies[[#This Row],[QT RRSP Principal Delta]]</f>
        <v>316545.87</v>
      </c>
      <c r="V833" s="401">
        <f>V832+Dailies[[#This Row],[SunLife RRSP Principal Delta]]</f>
        <v>4486.7700000000004</v>
      </c>
      <c r="W833" s="315">
        <f>Dailies[[#This Row],[CIBC RRSP Principal]]+Dailies[[#This Row],[QT RRSP Principal]]+Dailies[[#This Row],[SunLife RRSP Principal]]</f>
        <v>321032.64</v>
      </c>
      <c r="X833" s="361">
        <f>Dailies[[#This Row],[CIBC RRSP Principal]]+Dailies[[#This Row],[CIBC RESP Principal]]+Dailies[[#This Row],[QT RRSP Principal]]+Dailies[[#This Row],[SunLife RRSP Principal]]</f>
        <v>358103.09</v>
      </c>
      <c r="Y833" s="315">
        <f>Dailies[[#This Row],[CIBC RRSP]]+Dailies[[#This Row],[CIBC RESP]]+Dailies[[#This Row],[QT RRSP]]+Dailies[[#This Row],[SunLife RRSP]]</f>
        <v>409464.9</v>
      </c>
      <c r="Z833" s="313">
        <f>Dailies[[#This Row],[Portfolio Total]]+Dailies[[#This Row],[Home Equity]]+Dailies[[#This Row],[Car Equity]]+Dailies[[#This Row],[Valuables Equity]]+Dailies[[#This Row],[GSK Pension]]+Dailies[[#This Row],[Home Loan]]</f>
        <v>1174192.8999999999</v>
      </c>
      <c r="AA833" s="402">
        <f>IF(ISNUMBER(C832),Dailies[[#This Row],[CIBC RRSP]]-C832-Dailies[[#This Row],[CIBC RRSP Principal Delta]],0)</f>
        <v>0</v>
      </c>
      <c r="AB833" s="402">
        <f>IF(ISNUMBER(D832),Dailies[[#This Row],[CIBC RESP]]-D832-Dailies[[#This Row],[CIBC RESP Principal Delta]],0)</f>
        <v>64.959999999999127</v>
      </c>
      <c r="AC833" s="402">
        <f>IF(ISNUMBER(E832),Dailies[[#This Row],[QT RRSP]]-E832-Dailies[[#This Row],[QT RRSP Principal Delta]],0)</f>
        <v>339.64000000001397</v>
      </c>
      <c r="AD833" s="402">
        <f>IF(ISNUMBER(G832),Dailies[[#This Row],[SunLife RRSP]]-G832-Dailies[[#This Row],[SunLife RRSP Principal Delta]],0)</f>
        <v>0</v>
      </c>
      <c r="AE833" s="315">
        <f>Dailies[[#This Row],[CIBC RRSP Daily $]]+Dailies[[#This Row],[QT RRSP Daily $]]+Dailies[[#This Row],[SunLife RRSP Daily $]]</f>
        <v>339.64000000001397</v>
      </c>
      <c r="AF833" s="315">
        <f>Dailies[[#This Row],[RRSP Daily $]]+Dailies[[#This Row],[CIBC RESP Daily $]]</f>
        <v>404.6000000000131</v>
      </c>
      <c r="AG833" s="401">
        <f>IF(ISNUMBER(AJ832),Dailies[[#This Row],[VOO]]-AJ832,0)</f>
        <v>2.0600000000000023</v>
      </c>
      <c r="AH833" s="362">
        <f>Dailies[[#This Row],[RRSP Daily $]]/Dailies[[#This Row],[RRSP Total]]</f>
        <v>9.2506751571112388E-4</v>
      </c>
      <c r="AI833" s="363">
        <f>IF(Dailies[[#This Row],[CIBC RESP]]&gt;0,Dailies[[#This Row],[CIBC RESP Daily $]]/Dailies[[#This Row],[CIBC RESP]],0)</f>
        <v>1.5352139704471104E-3</v>
      </c>
      <c r="AJ833" s="315">
        <f>VLOOKUP(Dailies[[#This Row],[Date]],Quotes[],MATCH("VOO",Quotes[#Headers],EXACT_MATCH))</f>
        <v>300.12</v>
      </c>
      <c r="AK833" s="314">
        <f>Dailies[[#This Row],[VOO Daily $]]/Dailies[[#This Row],[VOO]]</f>
        <v>6.8639210982273831E-3</v>
      </c>
      <c r="AL833" s="314">
        <f>Dailies[[#This Row],[RRSP Daily %]]-Dailies[[#This Row],[VOO Daily %]]</f>
        <v>-5.9388535825162592E-3</v>
      </c>
      <c r="AM833" s="413">
        <f t="shared" si="12"/>
        <v>277.84034825870663</v>
      </c>
      <c r="AR833" s="333"/>
      <c r="AS833" s="333"/>
      <c r="AT833" s="333"/>
      <c r="AU833" s="333"/>
      <c r="AV833" s="333"/>
    </row>
    <row r="834" spans="2:48" s="330" customFormat="1" ht="28.15" customHeight="1" x14ac:dyDescent="0.25">
      <c r="B834" s="359">
        <v>43840</v>
      </c>
      <c r="C834" s="360">
        <v>0</v>
      </c>
      <c r="D834" s="360">
        <v>42313.32</v>
      </c>
      <c r="E834" s="329">
        <v>362451</v>
      </c>
      <c r="F834" s="329">
        <v>0</v>
      </c>
      <c r="G834" s="329">
        <v>4700.58</v>
      </c>
      <c r="H834" s="329"/>
      <c r="I834" s="329"/>
      <c r="J834" s="329"/>
      <c r="K834" s="329"/>
      <c r="L834" s="329"/>
      <c r="M834" s="329">
        <v>650000</v>
      </c>
      <c r="N834" s="329">
        <f t="shared" si="10"/>
        <v>21445</v>
      </c>
      <c r="O834" s="329">
        <f t="shared" si="11"/>
        <v>1600</v>
      </c>
      <c r="P834" s="329">
        <v>91683</v>
      </c>
      <c r="Q834" s="329">
        <v>0</v>
      </c>
      <c r="R834" s="315">
        <f>Dailies[[#This Row],[CIBC RRSP]]+Dailies[[#This Row],[QT RRSP]]+Dailies[[#This Row],[SunLife RRSP]]</f>
        <v>367151.58</v>
      </c>
      <c r="S834" s="401">
        <f>S833+Dailies[[#This Row],[CIBC RRSP Principal Delta]]</f>
        <v>0</v>
      </c>
      <c r="T834" s="401">
        <f>T833+Dailies[[#This Row],[CIBC RESP Principal Delta]]</f>
        <v>37070.450000000004</v>
      </c>
      <c r="U834" s="402">
        <f>U833+Dailies[[#This Row],[QT RRSP Principal Delta]]</f>
        <v>316545.87</v>
      </c>
      <c r="V834" s="401">
        <f>V833+Dailies[[#This Row],[SunLife RRSP Principal Delta]]</f>
        <v>4486.7700000000004</v>
      </c>
      <c r="W834" s="315">
        <f>Dailies[[#This Row],[CIBC RRSP Principal]]+Dailies[[#This Row],[QT RRSP Principal]]+Dailies[[#This Row],[SunLife RRSP Principal]]</f>
        <v>321032.64</v>
      </c>
      <c r="X834" s="361">
        <f>Dailies[[#This Row],[CIBC RRSP Principal]]+Dailies[[#This Row],[CIBC RESP Principal]]+Dailies[[#This Row],[QT RRSP Principal]]+Dailies[[#This Row],[SunLife RRSP Principal]]</f>
        <v>358103.09</v>
      </c>
      <c r="Y834" s="315">
        <f>Dailies[[#This Row],[CIBC RRSP]]+Dailies[[#This Row],[CIBC RESP]]+Dailies[[#This Row],[QT RRSP]]+Dailies[[#This Row],[SunLife RRSP]]</f>
        <v>409464.9</v>
      </c>
      <c r="Z834" s="313">
        <f>Dailies[[#This Row],[Portfolio Total]]+Dailies[[#This Row],[Home Equity]]+Dailies[[#This Row],[Car Equity]]+Dailies[[#This Row],[Valuables Equity]]+Dailies[[#This Row],[GSK Pension]]+Dailies[[#This Row],[Home Loan]]</f>
        <v>1174192.8999999999</v>
      </c>
      <c r="AA834" s="402">
        <f>IF(ISNUMBER(C833),Dailies[[#This Row],[CIBC RRSP]]-C833-Dailies[[#This Row],[CIBC RRSP Principal Delta]],0)</f>
        <v>0</v>
      </c>
      <c r="AB834" s="402">
        <f>IF(ISNUMBER(D833),Dailies[[#This Row],[CIBC RESP]]-D833-Dailies[[#This Row],[CIBC RESP Principal Delta]],0)</f>
        <v>0</v>
      </c>
      <c r="AC834" s="402">
        <f>IF(ISNUMBER(E833),Dailies[[#This Row],[QT RRSP]]-E833-Dailies[[#This Row],[QT RRSP Principal Delta]],0)</f>
        <v>0</v>
      </c>
      <c r="AD834" s="402">
        <f>IF(ISNUMBER(G833),Dailies[[#This Row],[SunLife RRSP]]-G833-Dailies[[#This Row],[SunLife RRSP Principal Delta]],0)</f>
        <v>0</v>
      </c>
      <c r="AE834" s="315">
        <f>Dailies[[#This Row],[CIBC RRSP Daily $]]+Dailies[[#This Row],[QT RRSP Daily $]]+Dailies[[#This Row],[SunLife RRSP Daily $]]</f>
        <v>0</v>
      </c>
      <c r="AF834" s="315">
        <f>Dailies[[#This Row],[RRSP Daily $]]+Dailies[[#This Row],[CIBC RESP Daily $]]</f>
        <v>0</v>
      </c>
      <c r="AG834" s="401">
        <f>IF(ISNUMBER(AJ833),Dailies[[#This Row],[VOO]]-AJ833,0)</f>
        <v>-0.86000000000001364</v>
      </c>
      <c r="AH834" s="362">
        <f>Dailies[[#This Row],[RRSP Daily $]]/Dailies[[#This Row],[RRSP Total]]</f>
        <v>0</v>
      </c>
      <c r="AI834" s="363">
        <f>IF(Dailies[[#This Row],[CIBC RESP]]&gt;0,Dailies[[#This Row],[CIBC RESP Daily $]]/Dailies[[#This Row],[CIBC RESP]],0)</f>
        <v>0</v>
      </c>
      <c r="AJ834" s="315">
        <f>VLOOKUP(Dailies[[#This Row],[Date]],Quotes[],MATCH("VOO",Quotes[#Headers],EXACT_MATCH))</f>
        <v>299.26</v>
      </c>
      <c r="AK834" s="314">
        <f>Dailies[[#This Row],[VOO Daily $]]/Dailies[[#This Row],[VOO]]</f>
        <v>-2.873755262982068E-3</v>
      </c>
      <c r="AL834" s="314">
        <f>Dailies[[#This Row],[RRSP Daily %]]-Dailies[[#This Row],[VOO Daily %]]</f>
        <v>2.873755262982068E-3</v>
      </c>
      <c r="AM834" s="413">
        <f t="shared" si="12"/>
        <v>277.98318407960215</v>
      </c>
      <c r="AR834" s="333"/>
      <c r="AS834" s="333"/>
      <c r="AT834" s="333"/>
      <c r="AU834" s="333"/>
      <c r="AV834" s="333"/>
    </row>
    <row r="835" spans="2:48" s="330" customFormat="1" ht="28.15" customHeight="1" x14ac:dyDescent="0.25">
      <c r="B835" s="359">
        <v>43841</v>
      </c>
      <c r="C835" s="360">
        <v>0</v>
      </c>
      <c r="D835" s="360">
        <v>42313.32</v>
      </c>
      <c r="E835" s="329">
        <v>362451</v>
      </c>
      <c r="F835" s="329">
        <v>0</v>
      </c>
      <c r="G835" s="329">
        <v>4700.58</v>
      </c>
      <c r="H835" s="329"/>
      <c r="I835" s="329"/>
      <c r="J835" s="329"/>
      <c r="K835" s="329"/>
      <c r="L835" s="329"/>
      <c r="M835" s="329">
        <v>650000</v>
      </c>
      <c r="N835" s="329">
        <f t="shared" si="10"/>
        <v>21445</v>
      </c>
      <c r="O835" s="329">
        <f t="shared" si="11"/>
        <v>1600</v>
      </c>
      <c r="P835" s="329">
        <v>91683</v>
      </c>
      <c r="Q835" s="329">
        <v>0</v>
      </c>
      <c r="R835" s="315">
        <f>Dailies[[#This Row],[CIBC RRSP]]+Dailies[[#This Row],[QT RRSP]]+Dailies[[#This Row],[SunLife RRSP]]</f>
        <v>367151.58</v>
      </c>
      <c r="S835" s="401">
        <f>S834+Dailies[[#This Row],[CIBC RRSP Principal Delta]]</f>
        <v>0</v>
      </c>
      <c r="T835" s="401">
        <f>T834+Dailies[[#This Row],[CIBC RESP Principal Delta]]</f>
        <v>37070.450000000004</v>
      </c>
      <c r="U835" s="402">
        <f>U834+Dailies[[#This Row],[QT RRSP Principal Delta]]</f>
        <v>316545.87</v>
      </c>
      <c r="V835" s="401">
        <f>V834+Dailies[[#This Row],[SunLife RRSP Principal Delta]]</f>
        <v>4486.7700000000004</v>
      </c>
      <c r="W835" s="315">
        <f>Dailies[[#This Row],[CIBC RRSP Principal]]+Dailies[[#This Row],[QT RRSP Principal]]+Dailies[[#This Row],[SunLife RRSP Principal]]</f>
        <v>321032.64</v>
      </c>
      <c r="X835" s="361">
        <f>Dailies[[#This Row],[CIBC RRSP Principal]]+Dailies[[#This Row],[CIBC RESP Principal]]+Dailies[[#This Row],[QT RRSP Principal]]+Dailies[[#This Row],[SunLife RRSP Principal]]</f>
        <v>358103.09</v>
      </c>
      <c r="Y835" s="315">
        <f>Dailies[[#This Row],[CIBC RRSP]]+Dailies[[#This Row],[CIBC RESP]]+Dailies[[#This Row],[QT RRSP]]+Dailies[[#This Row],[SunLife RRSP]]</f>
        <v>409464.9</v>
      </c>
      <c r="Z835" s="313">
        <f>Dailies[[#This Row],[Portfolio Total]]+Dailies[[#This Row],[Home Equity]]+Dailies[[#This Row],[Car Equity]]+Dailies[[#This Row],[Valuables Equity]]+Dailies[[#This Row],[GSK Pension]]+Dailies[[#This Row],[Home Loan]]</f>
        <v>1174192.8999999999</v>
      </c>
      <c r="AA835" s="402">
        <f>IF(ISNUMBER(C834),Dailies[[#This Row],[CIBC RRSP]]-C834-Dailies[[#This Row],[CIBC RRSP Principal Delta]],0)</f>
        <v>0</v>
      </c>
      <c r="AB835" s="402">
        <f>IF(ISNUMBER(D834),Dailies[[#This Row],[CIBC RESP]]-D834-Dailies[[#This Row],[CIBC RESP Principal Delta]],0)</f>
        <v>0</v>
      </c>
      <c r="AC835" s="402">
        <f>IF(ISNUMBER(E834),Dailies[[#This Row],[QT RRSP]]-E834-Dailies[[#This Row],[QT RRSP Principal Delta]],0)</f>
        <v>0</v>
      </c>
      <c r="AD835" s="402">
        <f>IF(ISNUMBER(G834),Dailies[[#This Row],[SunLife RRSP]]-G834-Dailies[[#This Row],[SunLife RRSP Principal Delta]],0)</f>
        <v>0</v>
      </c>
      <c r="AE835" s="315">
        <f>Dailies[[#This Row],[CIBC RRSP Daily $]]+Dailies[[#This Row],[QT RRSP Daily $]]+Dailies[[#This Row],[SunLife RRSP Daily $]]</f>
        <v>0</v>
      </c>
      <c r="AF835" s="315">
        <f>Dailies[[#This Row],[RRSP Daily $]]+Dailies[[#This Row],[CIBC RESP Daily $]]</f>
        <v>0</v>
      </c>
      <c r="AG835" s="401">
        <f>IF(ISNUMBER(AJ834),Dailies[[#This Row],[VOO]]-AJ834,0)</f>
        <v>0</v>
      </c>
      <c r="AH835" s="362">
        <f>Dailies[[#This Row],[RRSP Daily $]]/Dailies[[#This Row],[RRSP Total]]</f>
        <v>0</v>
      </c>
      <c r="AI835" s="363">
        <f>IF(Dailies[[#This Row],[CIBC RESP]]&gt;0,Dailies[[#This Row],[CIBC RESP Daily $]]/Dailies[[#This Row],[CIBC RESP]],0)</f>
        <v>0</v>
      </c>
      <c r="AJ835" s="315">
        <f>VLOOKUP(Dailies[[#This Row],[Date]],Quotes[],MATCH("VOO",Quotes[#Headers],EXACT_MATCH))</f>
        <v>299.26</v>
      </c>
      <c r="AK835" s="314">
        <f>Dailies[[#This Row],[VOO Daily $]]/Dailies[[#This Row],[VOO]]</f>
        <v>0</v>
      </c>
      <c r="AL835" s="314">
        <f>Dailies[[#This Row],[RRSP Daily %]]-Dailies[[#This Row],[VOO Daily %]]</f>
        <v>0</v>
      </c>
      <c r="AM835" s="413">
        <f t="shared" ref="AM835:AM898" si="13">AVERAGE(AJ634:AJ834)</f>
        <v>278.12174129353252</v>
      </c>
      <c r="AR835" s="333"/>
      <c r="AS835" s="333"/>
      <c r="AT835" s="333"/>
      <c r="AU835" s="333"/>
      <c r="AV835" s="333"/>
    </row>
    <row r="836" spans="2:48" s="330" customFormat="1" ht="28.15" customHeight="1" x14ac:dyDescent="0.25">
      <c r="B836" s="359">
        <v>43842</v>
      </c>
      <c r="C836" s="360">
        <v>0</v>
      </c>
      <c r="D836" s="360">
        <v>42313.32</v>
      </c>
      <c r="E836" s="329">
        <v>362451</v>
      </c>
      <c r="F836" s="329">
        <v>0</v>
      </c>
      <c r="G836" s="329">
        <v>4700.58</v>
      </c>
      <c r="H836" s="329"/>
      <c r="I836" s="329"/>
      <c r="J836" s="329"/>
      <c r="K836" s="329"/>
      <c r="L836" s="329"/>
      <c r="M836" s="329">
        <v>650000</v>
      </c>
      <c r="N836" s="329">
        <f t="shared" si="10"/>
        <v>21445</v>
      </c>
      <c r="O836" s="329">
        <f t="shared" si="11"/>
        <v>1600</v>
      </c>
      <c r="P836" s="329">
        <v>91683</v>
      </c>
      <c r="Q836" s="329">
        <v>0</v>
      </c>
      <c r="R836" s="315">
        <f>Dailies[[#This Row],[CIBC RRSP]]+Dailies[[#This Row],[QT RRSP]]+Dailies[[#This Row],[SunLife RRSP]]</f>
        <v>367151.58</v>
      </c>
      <c r="S836" s="401">
        <f>S835+Dailies[[#This Row],[CIBC RRSP Principal Delta]]</f>
        <v>0</v>
      </c>
      <c r="T836" s="401">
        <f>T835+Dailies[[#This Row],[CIBC RESP Principal Delta]]</f>
        <v>37070.450000000004</v>
      </c>
      <c r="U836" s="402">
        <f>U835+Dailies[[#This Row],[QT RRSP Principal Delta]]</f>
        <v>316545.87</v>
      </c>
      <c r="V836" s="401">
        <f>V835+Dailies[[#This Row],[SunLife RRSP Principal Delta]]</f>
        <v>4486.7700000000004</v>
      </c>
      <c r="W836" s="315">
        <f>Dailies[[#This Row],[CIBC RRSP Principal]]+Dailies[[#This Row],[QT RRSP Principal]]+Dailies[[#This Row],[SunLife RRSP Principal]]</f>
        <v>321032.64</v>
      </c>
      <c r="X836" s="361">
        <f>Dailies[[#This Row],[CIBC RRSP Principal]]+Dailies[[#This Row],[CIBC RESP Principal]]+Dailies[[#This Row],[QT RRSP Principal]]+Dailies[[#This Row],[SunLife RRSP Principal]]</f>
        <v>358103.09</v>
      </c>
      <c r="Y836" s="315">
        <f>Dailies[[#This Row],[CIBC RRSP]]+Dailies[[#This Row],[CIBC RESP]]+Dailies[[#This Row],[QT RRSP]]+Dailies[[#This Row],[SunLife RRSP]]</f>
        <v>409464.9</v>
      </c>
      <c r="Z836" s="313">
        <f>Dailies[[#This Row],[Portfolio Total]]+Dailies[[#This Row],[Home Equity]]+Dailies[[#This Row],[Car Equity]]+Dailies[[#This Row],[Valuables Equity]]+Dailies[[#This Row],[GSK Pension]]+Dailies[[#This Row],[Home Loan]]</f>
        <v>1174192.8999999999</v>
      </c>
      <c r="AA836" s="402">
        <f>IF(ISNUMBER(C835),Dailies[[#This Row],[CIBC RRSP]]-C835-Dailies[[#This Row],[CIBC RRSP Principal Delta]],0)</f>
        <v>0</v>
      </c>
      <c r="AB836" s="402">
        <f>IF(ISNUMBER(D835),Dailies[[#This Row],[CIBC RESP]]-D835-Dailies[[#This Row],[CIBC RESP Principal Delta]],0)</f>
        <v>0</v>
      </c>
      <c r="AC836" s="402">
        <f>IF(ISNUMBER(E835),Dailies[[#This Row],[QT RRSP]]-E835-Dailies[[#This Row],[QT RRSP Principal Delta]],0)</f>
        <v>0</v>
      </c>
      <c r="AD836" s="402">
        <f>IF(ISNUMBER(G835),Dailies[[#This Row],[SunLife RRSP]]-G835-Dailies[[#This Row],[SunLife RRSP Principal Delta]],0)</f>
        <v>0</v>
      </c>
      <c r="AE836" s="315">
        <f>Dailies[[#This Row],[CIBC RRSP Daily $]]+Dailies[[#This Row],[QT RRSP Daily $]]+Dailies[[#This Row],[SunLife RRSP Daily $]]</f>
        <v>0</v>
      </c>
      <c r="AF836" s="315">
        <f>Dailies[[#This Row],[RRSP Daily $]]+Dailies[[#This Row],[CIBC RESP Daily $]]</f>
        <v>0</v>
      </c>
      <c r="AG836" s="401">
        <f>IF(ISNUMBER(AJ835),Dailies[[#This Row],[VOO]]-AJ835,0)</f>
        <v>0</v>
      </c>
      <c r="AH836" s="362">
        <f>Dailies[[#This Row],[RRSP Daily $]]/Dailies[[#This Row],[RRSP Total]]</f>
        <v>0</v>
      </c>
      <c r="AI836" s="363">
        <f>IF(Dailies[[#This Row],[CIBC RESP]]&gt;0,Dailies[[#This Row],[CIBC RESP Daily $]]/Dailies[[#This Row],[CIBC RESP]],0)</f>
        <v>0</v>
      </c>
      <c r="AJ836" s="315">
        <f>VLOOKUP(Dailies[[#This Row],[Date]],Quotes[],MATCH("VOO",Quotes[#Headers],EXACT_MATCH))</f>
        <v>299.26</v>
      </c>
      <c r="AK836" s="314">
        <f>Dailies[[#This Row],[VOO Daily $]]/Dailies[[#This Row],[VOO]]</f>
        <v>0</v>
      </c>
      <c r="AL836" s="314">
        <f>Dailies[[#This Row],[RRSP Daily %]]-Dailies[[#This Row],[VOO Daily %]]</f>
        <v>0</v>
      </c>
      <c r="AM836" s="413">
        <f t="shared" si="13"/>
        <v>278.26203980099518</v>
      </c>
      <c r="AR836" s="333"/>
      <c r="AS836" s="333"/>
      <c r="AT836" s="333"/>
      <c r="AU836" s="333"/>
      <c r="AV836" s="333"/>
    </row>
    <row r="837" spans="2:48" s="330" customFormat="1" ht="28.15" customHeight="1" x14ac:dyDescent="0.25">
      <c r="B837" s="359">
        <v>43843</v>
      </c>
      <c r="C837" s="360">
        <v>0</v>
      </c>
      <c r="D837" s="360">
        <v>42654.36</v>
      </c>
      <c r="E837" s="329">
        <v>364208.27</v>
      </c>
      <c r="F837" s="329">
        <v>0</v>
      </c>
      <c r="G837" s="329">
        <v>4700.58</v>
      </c>
      <c r="H837" s="329"/>
      <c r="I837" s="329"/>
      <c r="J837" s="329">
        <v>1075</v>
      </c>
      <c r="K837" s="329"/>
      <c r="L837" s="329"/>
      <c r="M837" s="329">
        <v>650000</v>
      </c>
      <c r="N837" s="329">
        <f t="shared" si="10"/>
        <v>21445</v>
      </c>
      <c r="O837" s="329">
        <f t="shared" si="11"/>
        <v>1600</v>
      </c>
      <c r="P837" s="329">
        <v>91683</v>
      </c>
      <c r="Q837" s="329">
        <v>0</v>
      </c>
      <c r="R837" s="315">
        <f>Dailies[[#This Row],[CIBC RRSP]]+Dailies[[#This Row],[QT RRSP]]+Dailies[[#This Row],[SunLife RRSP]]</f>
        <v>368908.85000000003</v>
      </c>
      <c r="S837" s="401">
        <f>S836+Dailies[[#This Row],[CIBC RRSP Principal Delta]]</f>
        <v>0</v>
      </c>
      <c r="T837" s="401">
        <f>T836+Dailies[[#This Row],[CIBC RESP Principal Delta]]</f>
        <v>37070.450000000004</v>
      </c>
      <c r="U837" s="402">
        <f>U836+Dailies[[#This Row],[QT RRSP Principal Delta]]</f>
        <v>317620.87</v>
      </c>
      <c r="V837" s="401">
        <f>V836+Dailies[[#This Row],[SunLife RRSP Principal Delta]]</f>
        <v>4486.7700000000004</v>
      </c>
      <c r="W837" s="315">
        <f>Dailies[[#This Row],[CIBC RRSP Principal]]+Dailies[[#This Row],[QT RRSP Principal]]+Dailies[[#This Row],[SunLife RRSP Principal]]</f>
        <v>322107.64</v>
      </c>
      <c r="X837" s="361">
        <f>Dailies[[#This Row],[CIBC RRSP Principal]]+Dailies[[#This Row],[CIBC RESP Principal]]+Dailies[[#This Row],[QT RRSP Principal]]+Dailies[[#This Row],[SunLife RRSP Principal]]</f>
        <v>359178.09</v>
      </c>
      <c r="Y837" s="315">
        <f>Dailies[[#This Row],[CIBC RRSP]]+Dailies[[#This Row],[CIBC RESP]]+Dailies[[#This Row],[QT RRSP]]+Dailies[[#This Row],[SunLife RRSP]]</f>
        <v>411563.21</v>
      </c>
      <c r="Z837" s="313">
        <f>Dailies[[#This Row],[Portfolio Total]]+Dailies[[#This Row],[Home Equity]]+Dailies[[#This Row],[Car Equity]]+Dailies[[#This Row],[Valuables Equity]]+Dailies[[#This Row],[GSK Pension]]+Dailies[[#This Row],[Home Loan]]</f>
        <v>1176291.21</v>
      </c>
      <c r="AA837" s="402">
        <f>IF(ISNUMBER(C836),Dailies[[#This Row],[CIBC RRSP]]-C836-Dailies[[#This Row],[CIBC RRSP Principal Delta]],0)</f>
        <v>0</v>
      </c>
      <c r="AB837" s="402">
        <f>IF(ISNUMBER(D836),Dailies[[#This Row],[CIBC RESP]]-D836-Dailies[[#This Row],[CIBC RESP Principal Delta]],0)</f>
        <v>341.04000000000087</v>
      </c>
      <c r="AC837" s="402">
        <f>IF(ISNUMBER(E836),Dailies[[#This Row],[QT RRSP]]-E836-Dailies[[#This Row],[QT RRSP Principal Delta]],0)</f>
        <v>682.27000000001863</v>
      </c>
      <c r="AD837" s="402">
        <f>IF(ISNUMBER(G836),Dailies[[#This Row],[SunLife RRSP]]-G836-Dailies[[#This Row],[SunLife RRSP Principal Delta]],0)</f>
        <v>0</v>
      </c>
      <c r="AE837" s="315">
        <f>Dailies[[#This Row],[CIBC RRSP Daily $]]+Dailies[[#This Row],[QT RRSP Daily $]]+Dailies[[#This Row],[SunLife RRSP Daily $]]</f>
        <v>682.27000000001863</v>
      </c>
      <c r="AF837" s="315">
        <f>Dailies[[#This Row],[RRSP Daily $]]+Dailies[[#This Row],[CIBC RESP Daily $]]</f>
        <v>1023.3100000000195</v>
      </c>
      <c r="AG837" s="401">
        <f>IF(ISNUMBER(AJ836),Dailies[[#This Row],[VOO]]-AJ836,0)</f>
        <v>1.9800000000000182</v>
      </c>
      <c r="AH837" s="362">
        <f>Dailies[[#This Row],[RRSP Daily $]]/Dailies[[#This Row],[RRSP Total]]</f>
        <v>1.8494270332631449E-3</v>
      </c>
      <c r="AI837" s="363">
        <f>IF(Dailies[[#This Row],[CIBC RESP]]&gt;0,Dailies[[#This Row],[CIBC RESP Daily $]]/Dailies[[#This Row],[CIBC RESP]],0)</f>
        <v>7.9954311821816317E-3</v>
      </c>
      <c r="AJ837" s="315">
        <f>VLOOKUP(Dailies[[#This Row],[Date]],Quotes[],MATCH("VOO",Quotes[#Headers],EXACT_MATCH))</f>
        <v>301.24</v>
      </c>
      <c r="AK837" s="314">
        <f>Dailies[[#This Row],[VOO Daily $]]/Dailies[[#This Row],[VOO]]</f>
        <v>6.5728322931882157E-3</v>
      </c>
      <c r="AL837" s="314">
        <f>Dailies[[#This Row],[RRSP Daily %]]-Dailies[[#This Row],[VOO Daily %]]</f>
        <v>-4.723405259925071E-3</v>
      </c>
      <c r="AM837" s="413">
        <f t="shared" si="13"/>
        <v>278.41567164179122</v>
      </c>
      <c r="AR837" s="333"/>
      <c r="AS837" s="333"/>
      <c r="AT837" s="333"/>
      <c r="AU837" s="333"/>
      <c r="AV837" s="333"/>
    </row>
    <row r="838" spans="2:48" s="330" customFormat="1" ht="28.15" customHeight="1" x14ac:dyDescent="0.25">
      <c r="B838" s="359">
        <v>43844</v>
      </c>
      <c r="C838" s="360">
        <v>0</v>
      </c>
      <c r="D838" s="360">
        <v>42678.720000000001</v>
      </c>
      <c r="E838" s="329">
        <v>367636</v>
      </c>
      <c r="F838" s="329">
        <v>0</v>
      </c>
      <c r="G838" s="329">
        <v>4700.58</v>
      </c>
      <c r="H838" s="329"/>
      <c r="I838" s="329"/>
      <c r="J838" s="329"/>
      <c r="K838" s="329"/>
      <c r="L838" s="329"/>
      <c r="M838" s="329">
        <v>650000</v>
      </c>
      <c r="N838" s="329">
        <f t="shared" si="10"/>
        <v>21445</v>
      </c>
      <c r="O838" s="329">
        <f t="shared" si="11"/>
        <v>1600</v>
      </c>
      <c r="P838" s="329">
        <v>91683</v>
      </c>
      <c r="Q838" s="329">
        <v>0</v>
      </c>
      <c r="R838" s="315">
        <f>Dailies[[#This Row],[CIBC RRSP]]+Dailies[[#This Row],[QT RRSP]]+Dailies[[#This Row],[SunLife RRSP]]</f>
        <v>372336.58</v>
      </c>
      <c r="S838" s="401">
        <f>S837+Dailies[[#This Row],[CIBC RRSP Principal Delta]]</f>
        <v>0</v>
      </c>
      <c r="T838" s="401">
        <f>T837+Dailies[[#This Row],[CIBC RESP Principal Delta]]</f>
        <v>37070.450000000004</v>
      </c>
      <c r="U838" s="402">
        <f>U837+Dailies[[#This Row],[QT RRSP Principal Delta]]</f>
        <v>317620.87</v>
      </c>
      <c r="V838" s="401">
        <f>V837+Dailies[[#This Row],[SunLife RRSP Principal Delta]]</f>
        <v>4486.7700000000004</v>
      </c>
      <c r="W838" s="315">
        <f>Dailies[[#This Row],[CIBC RRSP Principal]]+Dailies[[#This Row],[QT RRSP Principal]]+Dailies[[#This Row],[SunLife RRSP Principal]]</f>
        <v>322107.64</v>
      </c>
      <c r="X838" s="361">
        <f>Dailies[[#This Row],[CIBC RRSP Principal]]+Dailies[[#This Row],[CIBC RESP Principal]]+Dailies[[#This Row],[QT RRSP Principal]]+Dailies[[#This Row],[SunLife RRSP Principal]]</f>
        <v>359178.09</v>
      </c>
      <c r="Y838" s="315">
        <f>Dailies[[#This Row],[CIBC RRSP]]+Dailies[[#This Row],[CIBC RESP]]+Dailies[[#This Row],[QT RRSP]]+Dailies[[#This Row],[SunLife RRSP]]</f>
        <v>415015.3</v>
      </c>
      <c r="Z838" s="313">
        <f>Dailies[[#This Row],[Portfolio Total]]+Dailies[[#This Row],[Home Equity]]+Dailies[[#This Row],[Car Equity]]+Dailies[[#This Row],[Valuables Equity]]+Dailies[[#This Row],[GSK Pension]]+Dailies[[#This Row],[Home Loan]]</f>
        <v>1179743.3</v>
      </c>
      <c r="AA838" s="402">
        <f>IF(ISNUMBER(C837),Dailies[[#This Row],[CIBC RRSP]]-C837-Dailies[[#This Row],[CIBC RRSP Principal Delta]],0)</f>
        <v>0</v>
      </c>
      <c r="AB838" s="402">
        <f>IF(ISNUMBER(D837),Dailies[[#This Row],[CIBC RESP]]-D837-Dailies[[#This Row],[CIBC RESP Principal Delta]],0)</f>
        <v>24.360000000000582</v>
      </c>
      <c r="AC838" s="402">
        <f>IF(ISNUMBER(E837),Dailies[[#This Row],[QT RRSP]]-E837-Dailies[[#This Row],[QT RRSP Principal Delta]],0)</f>
        <v>3427.7299999999814</v>
      </c>
      <c r="AD838" s="402">
        <f>IF(ISNUMBER(G837),Dailies[[#This Row],[SunLife RRSP]]-G837-Dailies[[#This Row],[SunLife RRSP Principal Delta]],0)</f>
        <v>0</v>
      </c>
      <c r="AE838" s="315">
        <f>Dailies[[#This Row],[CIBC RRSP Daily $]]+Dailies[[#This Row],[QT RRSP Daily $]]+Dailies[[#This Row],[SunLife RRSP Daily $]]</f>
        <v>3427.7299999999814</v>
      </c>
      <c r="AF838" s="315">
        <f>Dailies[[#This Row],[RRSP Daily $]]+Dailies[[#This Row],[CIBC RESP Daily $]]</f>
        <v>3452.089999999982</v>
      </c>
      <c r="AG838" s="401">
        <f>IF(ISNUMBER(AJ837),Dailies[[#This Row],[VOO]]-AJ837,0)</f>
        <v>-0.40000000000003411</v>
      </c>
      <c r="AH838" s="362">
        <f>Dailies[[#This Row],[RRSP Daily $]]/Dailies[[#This Row],[RRSP Total]]</f>
        <v>9.2059985081239699E-3</v>
      </c>
      <c r="AI838" s="363">
        <f>IF(Dailies[[#This Row],[CIBC RESP]]&gt;0,Dailies[[#This Row],[CIBC RESP Daily $]]/Dailies[[#This Row],[CIBC RESP]],0)</f>
        <v>5.7077625570777619E-4</v>
      </c>
      <c r="AJ838" s="315">
        <f>VLOOKUP(Dailies[[#This Row],[Date]],Quotes[],MATCH("VOO",Quotes[#Headers],EXACT_MATCH))</f>
        <v>300.83999999999997</v>
      </c>
      <c r="AK838" s="314">
        <f>Dailies[[#This Row],[VOO Daily $]]/Dailies[[#This Row],[VOO]]</f>
        <v>-1.3296104241458388E-3</v>
      </c>
      <c r="AL838" s="314">
        <f>Dailies[[#This Row],[RRSP Daily %]]-Dailies[[#This Row],[VOO Daily %]]</f>
        <v>1.0535608932269808E-2</v>
      </c>
      <c r="AM838" s="413">
        <f t="shared" si="13"/>
        <v>278.58044776119419</v>
      </c>
      <c r="AR838" s="333"/>
      <c r="AS838" s="333"/>
      <c r="AT838" s="333"/>
      <c r="AU838" s="333"/>
      <c r="AV838" s="333"/>
    </row>
    <row r="839" spans="2:48" s="330" customFormat="1" ht="28.15" customHeight="1" x14ac:dyDescent="0.25">
      <c r="B839" s="359">
        <v>43845</v>
      </c>
      <c r="C839" s="360">
        <v>0</v>
      </c>
      <c r="D839" s="360">
        <v>42613.760000000002</v>
      </c>
      <c r="E839" s="329">
        <v>367588.56</v>
      </c>
      <c r="F839" s="329">
        <v>0</v>
      </c>
      <c r="G839" s="329">
        <v>4700.58</v>
      </c>
      <c r="H839" s="329"/>
      <c r="I839" s="329"/>
      <c r="J839" s="329"/>
      <c r="K839" s="329"/>
      <c r="L839" s="329"/>
      <c r="M839" s="329">
        <v>650000</v>
      </c>
      <c r="N839" s="329">
        <f t="shared" si="10"/>
        <v>21445</v>
      </c>
      <c r="O839" s="329">
        <f t="shared" si="11"/>
        <v>1600</v>
      </c>
      <c r="P839" s="329">
        <v>91683</v>
      </c>
      <c r="Q839" s="329">
        <v>0</v>
      </c>
      <c r="R839" s="315">
        <f>Dailies[[#This Row],[CIBC RRSP]]+Dailies[[#This Row],[QT RRSP]]+Dailies[[#This Row],[SunLife RRSP]]</f>
        <v>372289.14</v>
      </c>
      <c r="S839" s="401">
        <f>S838+Dailies[[#This Row],[CIBC RRSP Principal Delta]]</f>
        <v>0</v>
      </c>
      <c r="T839" s="401">
        <f>T838+Dailies[[#This Row],[CIBC RESP Principal Delta]]</f>
        <v>37070.450000000004</v>
      </c>
      <c r="U839" s="402">
        <f>U838+Dailies[[#This Row],[QT RRSP Principal Delta]]</f>
        <v>317620.87</v>
      </c>
      <c r="V839" s="401">
        <f>V838+Dailies[[#This Row],[SunLife RRSP Principal Delta]]</f>
        <v>4486.7700000000004</v>
      </c>
      <c r="W839" s="315">
        <f>Dailies[[#This Row],[CIBC RRSP Principal]]+Dailies[[#This Row],[QT RRSP Principal]]+Dailies[[#This Row],[SunLife RRSP Principal]]</f>
        <v>322107.64</v>
      </c>
      <c r="X839" s="361">
        <f>Dailies[[#This Row],[CIBC RRSP Principal]]+Dailies[[#This Row],[CIBC RESP Principal]]+Dailies[[#This Row],[QT RRSP Principal]]+Dailies[[#This Row],[SunLife RRSP Principal]]</f>
        <v>359178.09</v>
      </c>
      <c r="Y839" s="315">
        <f>Dailies[[#This Row],[CIBC RRSP]]+Dailies[[#This Row],[CIBC RESP]]+Dailies[[#This Row],[QT RRSP]]+Dailies[[#This Row],[SunLife RRSP]]</f>
        <v>414902.9</v>
      </c>
      <c r="Z839" s="313">
        <f>Dailies[[#This Row],[Portfolio Total]]+Dailies[[#This Row],[Home Equity]]+Dailies[[#This Row],[Car Equity]]+Dailies[[#This Row],[Valuables Equity]]+Dailies[[#This Row],[GSK Pension]]+Dailies[[#This Row],[Home Loan]]</f>
        <v>1179630.8999999999</v>
      </c>
      <c r="AA839" s="402">
        <f>IF(ISNUMBER(C838),Dailies[[#This Row],[CIBC RRSP]]-C838-Dailies[[#This Row],[CIBC RRSP Principal Delta]],0)</f>
        <v>0</v>
      </c>
      <c r="AB839" s="402">
        <f>IF(ISNUMBER(D838),Dailies[[#This Row],[CIBC RESP]]-D838-Dailies[[#This Row],[CIBC RESP Principal Delta]],0)</f>
        <v>-64.959999999999127</v>
      </c>
      <c r="AC839" s="402">
        <f>IF(ISNUMBER(E838),Dailies[[#This Row],[QT RRSP]]-E838-Dailies[[#This Row],[QT RRSP Principal Delta]],0)</f>
        <v>-47.440000000002328</v>
      </c>
      <c r="AD839" s="402">
        <f>IF(ISNUMBER(G838),Dailies[[#This Row],[SunLife RRSP]]-G838-Dailies[[#This Row],[SunLife RRSP Principal Delta]],0)</f>
        <v>0</v>
      </c>
      <c r="AE839" s="315">
        <f>Dailies[[#This Row],[CIBC RRSP Daily $]]+Dailies[[#This Row],[QT RRSP Daily $]]+Dailies[[#This Row],[SunLife RRSP Daily $]]</f>
        <v>-47.440000000002328</v>
      </c>
      <c r="AF839" s="315">
        <f>Dailies[[#This Row],[RRSP Daily $]]+Dailies[[#This Row],[CIBC RESP Daily $]]</f>
        <v>-112.40000000000146</v>
      </c>
      <c r="AG839" s="401">
        <f>IF(ISNUMBER(AJ838),Dailies[[#This Row],[VOO]]-AJ838,0)</f>
        <v>0.67000000000001592</v>
      </c>
      <c r="AH839" s="362">
        <f>Dailies[[#This Row],[RRSP Daily $]]/Dailies[[#This Row],[RRSP Total]]</f>
        <v>-1.2742783740616858E-4</v>
      </c>
      <c r="AI839" s="363">
        <f>IF(Dailies[[#This Row],[CIBC RESP]]&gt;0,Dailies[[#This Row],[CIBC RESP Daily $]]/Dailies[[#This Row],[CIBC RESP]],0)</f>
        <v>-1.5243902439024185E-3</v>
      </c>
      <c r="AJ839" s="315">
        <f>VLOOKUP(Dailies[[#This Row],[Date]],Quotes[],MATCH("VOO",Quotes[#Headers],EXACT_MATCH))</f>
        <v>301.51</v>
      </c>
      <c r="AK839" s="314">
        <f>Dailies[[#This Row],[VOO Daily $]]/Dailies[[#This Row],[VOO]]</f>
        <v>2.2221485191204799E-3</v>
      </c>
      <c r="AL839" s="314">
        <f>Dailies[[#This Row],[RRSP Daily %]]-Dailies[[#This Row],[VOO Daily %]]</f>
        <v>-2.3495763565266484E-3</v>
      </c>
      <c r="AM839" s="413">
        <f t="shared" si="13"/>
        <v>278.74547263681603</v>
      </c>
      <c r="AR839" s="333"/>
      <c r="AS839" s="333"/>
      <c r="AT839" s="333"/>
      <c r="AU839" s="333"/>
      <c r="AV839" s="333"/>
    </row>
    <row r="840" spans="2:48" s="330" customFormat="1" ht="28.15" customHeight="1" x14ac:dyDescent="0.25">
      <c r="B840" s="359">
        <v>43846</v>
      </c>
      <c r="C840" s="360">
        <v>0</v>
      </c>
      <c r="D840" s="360">
        <v>42865.48</v>
      </c>
      <c r="E840" s="329">
        <v>368716</v>
      </c>
      <c r="F840" s="329">
        <v>0</v>
      </c>
      <c r="G840" s="329">
        <v>4700.58</v>
      </c>
      <c r="H840" s="329"/>
      <c r="I840" s="329">
        <v>210</v>
      </c>
      <c r="J840" s="329"/>
      <c r="K840" s="329"/>
      <c r="L840" s="329">
        <v>805</v>
      </c>
      <c r="M840" s="329">
        <v>650000</v>
      </c>
      <c r="N840" s="329">
        <f t="shared" si="10"/>
        <v>21445</v>
      </c>
      <c r="O840" s="329">
        <f t="shared" si="11"/>
        <v>1600</v>
      </c>
      <c r="P840" s="329">
        <v>91683</v>
      </c>
      <c r="Q840" s="329">
        <v>0</v>
      </c>
      <c r="R840" s="315">
        <f>Dailies[[#This Row],[CIBC RRSP]]+Dailies[[#This Row],[QT RRSP]]+Dailies[[#This Row],[SunLife RRSP]]</f>
        <v>373416.58</v>
      </c>
      <c r="S840" s="401">
        <f>S839+Dailies[[#This Row],[CIBC RRSP Principal Delta]]</f>
        <v>0</v>
      </c>
      <c r="T840" s="401">
        <f>T839+Dailies[[#This Row],[CIBC RESP Principal Delta]]</f>
        <v>37280.450000000004</v>
      </c>
      <c r="U840" s="402">
        <f>U839+Dailies[[#This Row],[QT RRSP Principal Delta]]</f>
        <v>317620.87</v>
      </c>
      <c r="V840" s="401">
        <f>V839+Dailies[[#This Row],[SunLife RRSP Principal Delta]]</f>
        <v>5291.77</v>
      </c>
      <c r="W840" s="315">
        <f>Dailies[[#This Row],[CIBC RRSP Principal]]+Dailies[[#This Row],[QT RRSP Principal]]+Dailies[[#This Row],[SunLife RRSP Principal]]</f>
        <v>322912.64000000001</v>
      </c>
      <c r="X840" s="361">
        <f>Dailies[[#This Row],[CIBC RRSP Principal]]+Dailies[[#This Row],[CIBC RESP Principal]]+Dailies[[#This Row],[QT RRSP Principal]]+Dailies[[#This Row],[SunLife RRSP Principal]]</f>
        <v>360193.09</v>
      </c>
      <c r="Y840" s="315">
        <f>Dailies[[#This Row],[CIBC RRSP]]+Dailies[[#This Row],[CIBC RESP]]+Dailies[[#This Row],[QT RRSP]]+Dailies[[#This Row],[SunLife RRSP]]</f>
        <v>416282.06</v>
      </c>
      <c r="Z840" s="313">
        <f>Dailies[[#This Row],[Portfolio Total]]+Dailies[[#This Row],[Home Equity]]+Dailies[[#This Row],[Car Equity]]+Dailies[[#This Row],[Valuables Equity]]+Dailies[[#This Row],[GSK Pension]]+Dailies[[#This Row],[Home Loan]]</f>
        <v>1181010.06</v>
      </c>
      <c r="AA840" s="402">
        <f>IF(ISNUMBER(C839),Dailies[[#This Row],[CIBC RRSP]]-C839-Dailies[[#This Row],[CIBC RRSP Principal Delta]],0)</f>
        <v>0</v>
      </c>
      <c r="AB840" s="402">
        <f>IF(ISNUMBER(D839),Dailies[[#This Row],[CIBC RESP]]-D839-Dailies[[#This Row],[CIBC RESP Principal Delta]],0)</f>
        <v>41.720000000001164</v>
      </c>
      <c r="AC840" s="402">
        <f>IF(ISNUMBER(E839),Dailies[[#This Row],[QT RRSP]]-E839-Dailies[[#This Row],[QT RRSP Principal Delta]],0)</f>
        <v>1127.4400000000023</v>
      </c>
      <c r="AD840" s="402">
        <f>IF(ISNUMBER(G839),Dailies[[#This Row],[SunLife RRSP]]-G839-Dailies[[#This Row],[SunLife RRSP Principal Delta]],0)</f>
        <v>-805</v>
      </c>
      <c r="AE840" s="315">
        <f>Dailies[[#This Row],[CIBC RRSP Daily $]]+Dailies[[#This Row],[QT RRSP Daily $]]+Dailies[[#This Row],[SunLife RRSP Daily $]]</f>
        <v>322.44000000000233</v>
      </c>
      <c r="AF840" s="315">
        <f>Dailies[[#This Row],[RRSP Daily $]]+Dailies[[#This Row],[CIBC RESP Daily $]]</f>
        <v>364.16000000000349</v>
      </c>
      <c r="AG840" s="401">
        <f>IF(ISNUMBER(AJ839),Dailies[[#This Row],[VOO]]-AJ839,0)</f>
        <v>2.5199999999999818</v>
      </c>
      <c r="AH840" s="362">
        <f>Dailies[[#This Row],[RRSP Daily $]]/Dailies[[#This Row],[RRSP Total]]</f>
        <v>8.6348602946340069E-4</v>
      </c>
      <c r="AI840" s="363">
        <f>IF(Dailies[[#This Row],[CIBC RESP]]&gt;0,Dailies[[#This Row],[CIBC RESP Daily $]]/Dailies[[#This Row],[CIBC RESP]],0)</f>
        <v>9.7327733178308423E-4</v>
      </c>
      <c r="AJ840" s="315">
        <f>VLOOKUP(Dailies[[#This Row],[Date]],Quotes[],MATCH("VOO",Quotes[#Headers],EXACT_MATCH))</f>
        <v>304.02999999999997</v>
      </c>
      <c r="AK840" s="314">
        <f>Dailies[[#This Row],[VOO Daily $]]/Dailies[[#This Row],[VOO]]</f>
        <v>8.288655724763944E-3</v>
      </c>
      <c r="AL840" s="314">
        <f>Dailies[[#This Row],[RRSP Daily %]]-Dailies[[#This Row],[VOO Daily %]]</f>
        <v>-7.4251696953005434E-3</v>
      </c>
      <c r="AM840" s="413">
        <f t="shared" si="13"/>
        <v>278.90646766169169</v>
      </c>
      <c r="AR840" s="333"/>
      <c r="AS840" s="333"/>
      <c r="AT840" s="333"/>
      <c r="AU840" s="333"/>
      <c r="AV840" s="333"/>
    </row>
    <row r="841" spans="2:48" s="330" customFormat="1" ht="28.15" customHeight="1" x14ac:dyDescent="0.25">
      <c r="B841" s="359">
        <v>43847</v>
      </c>
      <c r="C841" s="360">
        <v>0</v>
      </c>
      <c r="D841" s="360">
        <v>43011.64</v>
      </c>
      <c r="E841" s="329">
        <v>367289.14</v>
      </c>
      <c r="F841" s="329">
        <v>0</v>
      </c>
      <c r="G841" s="329">
        <v>5549.73</v>
      </c>
      <c r="H841" s="329"/>
      <c r="I841" s="329"/>
      <c r="J841" s="329"/>
      <c r="K841" s="329"/>
      <c r="L841" s="329"/>
      <c r="M841" s="329">
        <v>650000</v>
      </c>
      <c r="N841" s="329">
        <f>44000+1000-22282</f>
        <v>22718</v>
      </c>
      <c r="O841" s="329">
        <f t="shared" si="11"/>
        <v>1600</v>
      </c>
      <c r="P841" s="329">
        <v>91683</v>
      </c>
      <c r="Q841" s="329">
        <v>0</v>
      </c>
      <c r="R841" s="315">
        <f>Dailies[[#This Row],[CIBC RRSP]]+Dailies[[#This Row],[QT RRSP]]+Dailies[[#This Row],[SunLife RRSP]]</f>
        <v>372838.87</v>
      </c>
      <c r="S841" s="401">
        <f>S840+Dailies[[#This Row],[CIBC RRSP Principal Delta]]</f>
        <v>0</v>
      </c>
      <c r="T841" s="401">
        <f>T840+Dailies[[#This Row],[CIBC RESP Principal Delta]]</f>
        <v>37280.450000000004</v>
      </c>
      <c r="U841" s="402">
        <f>U840+Dailies[[#This Row],[QT RRSP Principal Delta]]</f>
        <v>317620.87</v>
      </c>
      <c r="V841" s="401">
        <f>V840+Dailies[[#This Row],[SunLife RRSP Principal Delta]]</f>
        <v>5291.77</v>
      </c>
      <c r="W841" s="315">
        <f>Dailies[[#This Row],[CIBC RRSP Principal]]+Dailies[[#This Row],[QT RRSP Principal]]+Dailies[[#This Row],[SunLife RRSP Principal]]</f>
        <v>322912.64000000001</v>
      </c>
      <c r="X841" s="361">
        <f>Dailies[[#This Row],[CIBC RRSP Principal]]+Dailies[[#This Row],[CIBC RESP Principal]]+Dailies[[#This Row],[QT RRSP Principal]]+Dailies[[#This Row],[SunLife RRSP Principal]]</f>
        <v>360193.09</v>
      </c>
      <c r="Y841" s="315">
        <f>Dailies[[#This Row],[CIBC RRSP]]+Dailies[[#This Row],[CIBC RESP]]+Dailies[[#This Row],[QT RRSP]]+Dailies[[#This Row],[SunLife RRSP]]</f>
        <v>415850.51</v>
      </c>
      <c r="Z841" s="313">
        <f>Dailies[[#This Row],[Portfolio Total]]+Dailies[[#This Row],[Home Equity]]+Dailies[[#This Row],[Car Equity]]+Dailies[[#This Row],[Valuables Equity]]+Dailies[[#This Row],[GSK Pension]]+Dailies[[#This Row],[Home Loan]]</f>
        <v>1181851.51</v>
      </c>
      <c r="AA841" s="402">
        <f>IF(ISNUMBER(C840),Dailies[[#This Row],[CIBC RRSP]]-C840-Dailies[[#This Row],[CIBC RRSP Principal Delta]],0)</f>
        <v>0</v>
      </c>
      <c r="AB841" s="402">
        <f>IF(ISNUMBER(D840),Dailies[[#This Row],[CIBC RESP]]-D840-Dailies[[#This Row],[CIBC RESP Principal Delta]],0)</f>
        <v>146.15999999999622</v>
      </c>
      <c r="AC841" s="402">
        <f>IF(ISNUMBER(E840),Dailies[[#This Row],[QT RRSP]]-E840-Dailies[[#This Row],[QT RRSP Principal Delta]],0)</f>
        <v>-1426.859999999986</v>
      </c>
      <c r="AD841" s="402">
        <f>IF(ISNUMBER(G840),Dailies[[#This Row],[SunLife RRSP]]-G840-Dailies[[#This Row],[SunLife RRSP Principal Delta]],0)</f>
        <v>849.14999999999964</v>
      </c>
      <c r="AE841" s="315">
        <f>Dailies[[#This Row],[CIBC RRSP Daily $]]+Dailies[[#This Row],[QT RRSP Daily $]]+Dailies[[#This Row],[SunLife RRSP Daily $]]</f>
        <v>-577.70999999998639</v>
      </c>
      <c r="AF841" s="315">
        <f>Dailies[[#This Row],[RRSP Daily $]]+Dailies[[#This Row],[CIBC RESP Daily $]]</f>
        <v>-431.54999999999018</v>
      </c>
      <c r="AG841" s="401">
        <f>IF(ISNUMBER(AJ840),Dailies[[#This Row],[VOO]]-AJ840,0)</f>
        <v>1.0300000000000296</v>
      </c>
      <c r="AH841" s="362">
        <f>Dailies[[#This Row],[RRSP Daily $]]/Dailies[[#This Row],[RRSP Total]]</f>
        <v>-1.5494897299736651E-3</v>
      </c>
      <c r="AI841" s="363">
        <f>IF(Dailies[[#This Row],[CIBC RESP]]&gt;0,Dailies[[#This Row],[CIBC RESP Daily $]]/Dailies[[#This Row],[CIBC RESP]],0)</f>
        <v>3.3981498961675543E-3</v>
      </c>
      <c r="AJ841" s="315">
        <f>VLOOKUP(Dailies[[#This Row],[Date]],Quotes[],MATCH("VOO",Quotes[#Headers],EXACT_MATCH))</f>
        <v>305.06</v>
      </c>
      <c r="AK841" s="314">
        <f>Dailies[[#This Row],[VOO Daily $]]/Dailies[[#This Row],[VOO]]</f>
        <v>3.376384973447943E-3</v>
      </c>
      <c r="AL841" s="314">
        <f>Dailies[[#This Row],[RRSP Daily %]]-Dailies[[#This Row],[VOO Daily %]]</f>
        <v>-4.9258747034216076E-3</v>
      </c>
      <c r="AM841" s="413">
        <f t="shared" si="13"/>
        <v>279.08000000000021</v>
      </c>
      <c r="AR841" s="333"/>
      <c r="AS841" s="333"/>
      <c r="AT841" s="333"/>
      <c r="AU841" s="333"/>
      <c r="AV841" s="333"/>
    </row>
    <row r="842" spans="2:48" s="330" customFormat="1" ht="28.15" customHeight="1" x14ac:dyDescent="0.25">
      <c r="B842" s="359">
        <v>43848</v>
      </c>
      <c r="C842" s="360">
        <v>0</v>
      </c>
      <c r="D842" s="360">
        <v>43011.64</v>
      </c>
      <c r="E842" s="329">
        <v>367289.14</v>
      </c>
      <c r="F842" s="329">
        <v>0</v>
      </c>
      <c r="G842" s="329">
        <v>5549.73</v>
      </c>
      <c r="H842" s="329"/>
      <c r="I842" s="329"/>
      <c r="J842" s="329"/>
      <c r="K842" s="329"/>
      <c r="L842" s="329"/>
      <c r="M842" s="329">
        <v>650000</v>
      </c>
      <c r="N842" s="329">
        <f t="shared" ref="N842:N868" si="14">44000+1000-22282</f>
        <v>22718</v>
      </c>
      <c r="O842" s="329">
        <f t="shared" si="11"/>
        <v>1600</v>
      </c>
      <c r="P842" s="329">
        <v>91683</v>
      </c>
      <c r="Q842" s="329">
        <v>0</v>
      </c>
      <c r="R842" s="315">
        <f>Dailies[[#This Row],[CIBC RRSP]]+Dailies[[#This Row],[QT RRSP]]+Dailies[[#This Row],[SunLife RRSP]]</f>
        <v>372838.87</v>
      </c>
      <c r="S842" s="401">
        <f>S841+Dailies[[#This Row],[CIBC RRSP Principal Delta]]</f>
        <v>0</v>
      </c>
      <c r="T842" s="401">
        <f>T841+Dailies[[#This Row],[CIBC RESP Principal Delta]]</f>
        <v>37280.450000000004</v>
      </c>
      <c r="U842" s="402">
        <f>U841+Dailies[[#This Row],[QT RRSP Principal Delta]]</f>
        <v>317620.87</v>
      </c>
      <c r="V842" s="401">
        <f>V841+Dailies[[#This Row],[SunLife RRSP Principal Delta]]</f>
        <v>5291.77</v>
      </c>
      <c r="W842" s="315">
        <f>Dailies[[#This Row],[CIBC RRSP Principal]]+Dailies[[#This Row],[QT RRSP Principal]]+Dailies[[#This Row],[SunLife RRSP Principal]]</f>
        <v>322912.64000000001</v>
      </c>
      <c r="X842" s="361">
        <f>Dailies[[#This Row],[CIBC RRSP Principal]]+Dailies[[#This Row],[CIBC RESP Principal]]+Dailies[[#This Row],[QT RRSP Principal]]+Dailies[[#This Row],[SunLife RRSP Principal]]</f>
        <v>360193.09</v>
      </c>
      <c r="Y842" s="315">
        <f>Dailies[[#This Row],[CIBC RRSP]]+Dailies[[#This Row],[CIBC RESP]]+Dailies[[#This Row],[QT RRSP]]+Dailies[[#This Row],[SunLife RRSP]]</f>
        <v>415850.51</v>
      </c>
      <c r="Z842" s="313">
        <f>Dailies[[#This Row],[Portfolio Total]]+Dailies[[#This Row],[Home Equity]]+Dailies[[#This Row],[Car Equity]]+Dailies[[#This Row],[Valuables Equity]]+Dailies[[#This Row],[GSK Pension]]+Dailies[[#This Row],[Home Loan]]</f>
        <v>1181851.51</v>
      </c>
      <c r="AA842" s="402">
        <f>IF(ISNUMBER(C841),Dailies[[#This Row],[CIBC RRSP]]-C841-Dailies[[#This Row],[CIBC RRSP Principal Delta]],0)</f>
        <v>0</v>
      </c>
      <c r="AB842" s="402">
        <f>IF(ISNUMBER(D841),Dailies[[#This Row],[CIBC RESP]]-D841-Dailies[[#This Row],[CIBC RESP Principal Delta]],0)</f>
        <v>0</v>
      </c>
      <c r="AC842" s="402">
        <f>IF(ISNUMBER(E841),Dailies[[#This Row],[QT RRSP]]-E841-Dailies[[#This Row],[QT RRSP Principal Delta]],0)</f>
        <v>0</v>
      </c>
      <c r="AD842" s="402">
        <f>IF(ISNUMBER(G841),Dailies[[#This Row],[SunLife RRSP]]-G841-Dailies[[#This Row],[SunLife RRSP Principal Delta]],0)</f>
        <v>0</v>
      </c>
      <c r="AE842" s="315">
        <f>Dailies[[#This Row],[CIBC RRSP Daily $]]+Dailies[[#This Row],[QT RRSP Daily $]]+Dailies[[#This Row],[SunLife RRSP Daily $]]</f>
        <v>0</v>
      </c>
      <c r="AF842" s="315">
        <f>Dailies[[#This Row],[RRSP Daily $]]+Dailies[[#This Row],[CIBC RESP Daily $]]</f>
        <v>0</v>
      </c>
      <c r="AG842" s="401">
        <f>IF(ISNUMBER(AJ841),Dailies[[#This Row],[VOO]]-AJ841,0)</f>
        <v>0</v>
      </c>
      <c r="AH842" s="362">
        <f>Dailies[[#This Row],[RRSP Daily $]]/Dailies[[#This Row],[RRSP Total]]</f>
        <v>0</v>
      </c>
      <c r="AI842" s="363">
        <f>IF(Dailies[[#This Row],[CIBC RESP]]&gt;0,Dailies[[#This Row],[CIBC RESP Daily $]]/Dailies[[#This Row],[CIBC RESP]],0)</f>
        <v>0</v>
      </c>
      <c r="AJ842" s="315">
        <f>VLOOKUP(Dailies[[#This Row],[Date]],Quotes[],MATCH("VOO",Quotes[#Headers],EXACT_MATCH))</f>
        <v>305.06</v>
      </c>
      <c r="AK842" s="314">
        <f>Dailies[[#This Row],[VOO Daily $]]/Dailies[[#This Row],[VOO]]</f>
        <v>0</v>
      </c>
      <c r="AL842" s="314">
        <f>Dailies[[#This Row],[RRSP Daily %]]-Dailies[[#This Row],[VOO Daily %]]</f>
        <v>0</v>
      </c>
      <c r="AM842" s="413">
        <f t="shared" si="13"/>
        <v>279.2586567164181</v>
      </c>
      <c r="AR842" s="333"/>
      <c r="AS842" s="333"/>
      <c r="AT842" s="333"/>
      <c r="AU842" s="333"/>
      <c r="AV842" s="333"/>
    </row>
    <row r="843" spans="2:48" s="330" customFormat="1" ht="28.15" customHeight="1" x14ac:dyDescent="0.25">
      <c r="B843" s="359">
        <v>43849</v>
      </c>
      <c r="C843" s="360">
        <v>0</v>
      </c>
      <c r="D843" s="360">
        <v>43011.64</v>
      </c>
      <c r="E843" s="329">
        <v>367289.14</v>
      </c>
      <c r="F843" s="329">
        <v>0</v>
      </c>
      <c r="G843" s="329">
        <v>5549.73</v>
      </c>
      <c r="H843" s="329"/>
      <c r="I843" s="329"/>
      <c r="J843" s="329"/>
      <c r="K843" s="329"/>
      <c r="L843" s="329"/>
      <c r="M843" s="329">
        <v>650000</v>
      </c>
      <c r="N843" s="329">
        <f t="shared" si="14"/>
        <v>22718</v>
      </c>
      <c r="O843" s="329">
        <f t="shared" si="11"/>
        <v>1600</v>
      </c>
      <c r="P843" s="329">
        <v>91683</v>
      </c>
      <c r="Q843" s="329">
        <v>0</v>
      </c>
      <c r="R843" s="315">
        <f>Dailies[[#This Row],[CIBC RRSP]]+Dailies[[#This Row],[QT RRSP]]+Dailies[[#This Row],[SunLife RRSP]]</f>
        <v>372838.87</v>
      </c>
      <c r="S843" s="401">
        <f>S842+Dailies[[#This Row],[CIBC RRSP Principal Delta]]</f>
        <v>0</v>
      </c>
      <c r="T843" s="401">
        <f>T842+Dailies[[#This Row],[CIBC RESP Principal Delta]]</f>
        <v>37280.450000000004</v>
      </c>
      <c r="U843" s="402">
        <f>U842+Dailies[[#This Row],[QT RRSP Principal Delta]]</f>
        <v>317620.87</v>
      </c>
      <c r="V843" s="401">
        <f>V842+Dailies[[#This Row],[SunLife RRSP Principal Delta]]</f>
        <v>5291.77</v>
      </c>
      <c r="W843" s="315">
        <f>Dailies[[#This Row],[CIBC RRSP Principal]]+Dailies[[#This Row],[QT RRSP Principal]]+Dailies[[#This Row],[SunLife RRSP Principal]]</f>
        <v>322912.64000000001</v>
      </c>
      <c r="X843" s="361">
        <f>Dailies[[#This Row],[CIBC RRSP Principal]]+Dailies[[#This Row],[CIBC RESP Principal]]+Dailies[[#This Row],[QT RRSP Principal]]+Dailies[[#This Row],[SunLife RRSP Principal]]</f>
        <v>360193.09</v>
      </c>
      <c r="Y843" s="315">
        <f>Dailies[[#This Row],[CIBC RRSP]]+Dailies[[#This Row],[CIBC RESP]]+Dailies[[#This Row],[QT RRSP]]+Dailies[[#This Row],[SunLife RRSP]]</f>
        <v>415850.51</v>
      </c>
      <c r="Z843" s="313">
        <f>Dailies[[#This Row],[Portfolio Total]]+Dailies[[#This Row],[Home Equity]]+Dailies[[#This Row],[Car Equity]]+Dailies[[#This Row],[Valuables Equity]]+Dailies[[#This Row],[GSK Pension]]+Dailies[[#This Row],[Home Loan]]</f>
        <v>1181851.51</v>
      </c>
      <c r="AA843" s="402">
        <f>IF(ISNUMBER(C842),Dailies[[#This Row],[CIBC RRSP]]-C842-Dailies[[#This Row],[CIBC RRSP Principal Delta]],0)</f>
        <v>0</v>
      </c>
      <c r="AB843" s="402">
        <f>IF(ISNUMBER(D842),Dailies[[#This Row],[CIBC RESP]]-D842-Dailies[[#This Row],[CIBC RESP Principal Delta]],0)</f>
        <v>0</v>
      </c>
      <c r="AC843" s="402">
        <f>IF(ISNUMBER(E842),Dailies[[#This Row],[QT RRSP]]-E842-Dailies[[#This Row],[QT RRSP Principal Delta]],0)</f>
        <v>0</v>
      </c>
      <c r="AD843" s="402">
        <f>IF(ISNUMBER(G842),Dailies[[#This Row],[SunLife RRSP]]-G842-Dailies[[#This Row],[SunLife RRSP Principal Delta]],0)</f>
        <v>0</v>
      </c>
      <c r="AE843" s="315">
        <f>Dailies[[#This Row],[CIBC RRSP Daily $]]+Dailies[[#This Row],[QT RRSP Daily $]]+Dailies[[#This Row],[SunLife RRSP Daily $]]</f>
        <v>0</v>
      </c>
      <c r="AF843" s="315">
        <f>Dailies[[#This Row],[RRSP Daily $]]+Dailies[[#This Row],[CIBC RESP Daily $]]</f>
        <v>0</v>
      </c>
      <c r="AG843" s="401">
        <f>IF(ISNUMBER(AJ842),Dailies[[#This Row],[VOO]]-AJ842,0)</f>
        <v>0</v>
      </c>
      <c r="AH843" s="362">
        <f>Dailies[[#This Row],[RRSP Daily $]]/Dailies[[#This Row],[RRSP Total]]</f>
        <v>0</v>
      </c>
      <c r="AI843" s="363">
        <f>IF(Dailies[[#This Row],[CIBC RESP]]&gt;0,Dailies[[#This Row],[CIBC RESP Daily $]]/Dailies[[#This Row],[CIBC RESP]],0)</f>
        <v>0</v>
      </c>
      <c r="AJ843" s="315">
        <f>VLOOKUP(Dailies[[#This Row],[Date]],Quotes[],MATCH("VOO",Quotes[#Headers],EXACT_MATCH))</f>
        <v>305.06</v>
      </c>
      <c r="AK843" s="314">
        <f>Dailies[[#This Row],[VOO Daily $]]/Dailies[[#This Row],[VOO]]</f>
        <v>0</v>
      </c>
      <c r="AL843" s="314">
        <f>Dailies[[#This Row],[RRSP Daily %]]-Dailies[[#This Row],[VOO Daily %]]</f>
        <v>0</v>
      </c>
      <c r="AM843" s="413">
        <f t="shared" si="13"/>
        <v>279.42592039801008</v>
      </c>
      <c r="AR843" s="333"/>
      <c r="AS843" s="333"/>
      <c r="AT843" s="333"/>
      <c r="AU843" s="333"/>
      <c r="AV843" s="333"/>
    </row>
    <row r="844" spans="2:48" s="330" customFormat="1" ht="28.15" customHeight="1" x14ac:dyDescent="0.25">
      <c r="B844" s="359">
        <v>43850</v>
      </c>
      <c r="C844" s="360">
        <v>0</v>
      </c>
      <c r="D844" s="360">
        <v>43092.84</v>
      </c>
      <c r="E844" s="329">
        <v>367289.14</v>
      </c>
      <c r="F844" s="329">
        <v>0</v>
      </c>
      <c r="G844" s="329">
        <v>5549.73</v>
      </c>
      <c r="H844" s="329"/>
      <c r="I844" s="329"/>
      <c r="J844" s="329"/>
      <c r="K844" s="329"/>
      <c r="L844" s="329"/>
      <c r="M844" s="329">
        <v>650000</v>
      </c>
      <c r="N844" s="329">
        <f t="shared" si="14"/>
        <v>22718</v>
      </c>
      <c r="O844" s="329">
        <f t="shared" si="11"/>
        <v>1600</v>
      </c>
      <c r="P844" s="329">
        <v>91683</v>
      </c>
      <c r="Q844" s="329">
        <v>0</v>
      </c>
      <c r="R844" s="315">
        <f>Dailies[[#This Row],[CIBC RRSP]]+Dailies[[#This Row],[QT RRSP]]+Dailies[[#This Row],[SunLife RRSP]]</f>
        <v>372838.87</v>
      </c>
      <c r="S844" s="401">
        <f>S843+Dailies[[#This Row],[CIBC RRSP Principal Delta]]</f>
        <v>0</v>
      </c>
      <c r="T844" s="401">
        <f>T843+Dailies[[#This Row],[CIBC RESP Principal Delta]]</f>
        <v>37280.450000000004</v>
      </c>
      <c r="U844" s="402">
        <f>U843+Dailies[[#This Row],[QT RRSP Principal Delta]]</f>
        <v>317620.87</v>
      </c>
      <c r="V844" s="401">
        <f>V843+Dailies[[#This Row],[SunLife RRSP Principal Delta]]</f>
        <v>5291.77</v>
      </c>
      <c r="W844" s="315">
        <f>Dailies[[#This Row],[CIBC RRSP Principal]]+Dailies[[#This Row],[QT RRSP Principal]]+Dailies[[#This Row],[SunLife RRSP Principal]]</f>
        <v>322912.64000000001</v>
      </c>
      <c r="X844" s="361">
        <f>Dailies[[#This Row],[CIBC RRSP Principal]]+Dailies[[#This Row],[CIBC RESP Principal]]+Dailies[[#This Row],[QT RRSP Principal]]+Dailies[[#This Row],[SunLife RRSP Principal]]</f>
        <v>360193.09</v>
      </c>
      <c r="Y844" s="315">
        <f>Dailies[[#This Row],[CIBC RRSP]]+Dailies[[#This Row],[CIBC RESP]]+Dailies[[#This Row],[QT RRSP]]+Dailies[[#This Row],[SunLife RRSP]]</f>
        <v>415931.70999999996</v>
      </c>
      <c r="Z844" s="313">
        <f>Dailies[[#This Row],[Portfolio Total]]+Dailies[[#This Row],[Home Equity]]+Dailies[[#This Row],[Car Equity]]+Dailies[[#This Row],[Valuables Equity]]+Dailies[[#This Row],[GSK Pension]]+Dailies[[#This Row],[Home Loan]]</f>
        <v>1181932.71</v>
      </c>
      <c r="AA844" s="402">
        <f>IF(ISNUMBER(C843),Dailies[[#This Row],[CIBC RRSP]]-C843-Dailies[[#This Row],[CIBC RRSP Principal Delta]],0)</f>
        <v>0</v>
      </c>
      <c r="AB844" s="402">
        <f>IF(ISNUMBER(D843),Dailies[[#This Row],[CIBC RESP]]-D843-Dailies[[#This Row],[CIBC RESP Principal Delta]],0)</f>
        <v>81.19999999999709</v>
      </c>
      <c r="AC844" s="402">
        <f>IF(ISNUMBER(E843),Dailies[[#This Row],[QT RRSP]]-E843-Dailies[[#This Row],[QT RRSP Principal Delta]],0)</f>
        <v>0</v>
      </c>
      <c r="AD844" s="402">
        <f>IF(ISNUMBER(G843),Dailies[[#This Row],[SunLife RRSP]]-G843-Dailies[[#This Row],[SunLife RRSP Principal Delta]],0)</f>
        <v>0</v>
      </c>
      <c r="AE844" s="315">
        <f>Dailies[[#This Row],[CIBC RRSP Daily $]]+Dailies[[#This Row],[QT RRSP Daily $]]+Dailies[[#This Row],[SunLife RRSP Daily $]]</f>
        <v>0</v>
      </c>
      <c r="AF844" s="315">
        <f>Dailies[[#This Row],[RRSP Daily $]]+Dailies[[#This Row],[CIBC RESP Daily $]]</f>
        <v>81.19999999999709</v>
      </c>
      <c r="AG844" s="401">
        <f>IF(ISNUMBER(AJ843),Dailies[[#This Row],[VOO]]-AJ843,0)</f>
        <v>0</v>
      </c>
      <c r="AH844" s="362">
        <f>Dailies[[#This Row],[RRSP Daily $]]/Dailies[[#This Row],[RRSP Total]]</f>
        <v>0</v>
      </c>
      <c r="AI844" s="363">
        <f>IF(Dailies[[#This Row],[CIBC RESP]]&gt;0,Dailies[[#This Row],[CIBC RESP Daily $]]/Dailies[[#This Row],[CIBC RESP]],0)</f>
        <v>1.8843037497643946E-3</v>
      </c>
      <c r="AJ844" s="315">
        <f>VLOOKUP(Dailies[[#This Row],[Date]],Quotes[],MATCH("VOO",Quotes[#Headers],EXACT_MATCH))</f>
        <v>305.06</v>
      </c>
      <c r="AK844" s="314">
        <f>Dailies[[#This Row],[VOO Daily $]]/Dailies[[#This Row],[VOO]]</f>
        <v>0</v>
      </c>
      <c r="AL844" s="314">
        <f>Dailies[[#This Row],[RRSP Daily %]]-Dailies[[#This Row],[VOO Daily %]]</f>
        <v>0</v>
      </c>
      <c r="AM844" s="413">
        <f t="shared" si="13"/>
        <v>279.58925373134338</v>
      </c>
      <c r="AR844" s="333"/>
      <c r="AS844" s="333"/>
      <c r="AT844" s="333"/>
      <c r="AU844" s="333"/>
      <c r="AV844" s="333"/>
    </row>
    <row r="845" spans="2:48" s="330" customFormat="1" ht="28.15" customHeight="1" x14ac:dyDescent="0.25">
      <c r="B845" s="359">
        <v>43851</v>
      </c>
      <c r="C845" s="360">
        <v>0</v>
      </c>
      <c r="D845" s="360">
        <v>43279.6</v>
      </c>
      <c r="E845" s="329">
        <v>368229</v>
      </c>
      <c r="F845" s="329">
        <v>0</v>
      </c>
      <c r="G845" s="329">
        <v>5549.73</v>
      </c>
      <c r="H845" s="329"/>
      <c r="I845" s="329"/>
      <c r="J845" s="329"/>
      <c r="K845" s="329"/>
      <c r="L845" s="329"/>
      <c r="M845" s="329">
        <v>650000</v>
      </c>
      <c r="N845" s="329">
        <f t="shared" si="14"/>
        <v>22718</v>
      </c>
      <c r="O845" s="329">
        <f t="shared" si="11"/>
        <v>1600</v>
      </c>
      <c r="P845" s="329">
        <v>91683</v>
      </c>
      <c r="Q845" s="329">
        <v>0</v>
      </c>
      <c r="R845" s="315">
        <f>Dailies[[#This Row],[CIBC RRSP]]+Dailies[[#This Row],[QT RRSP]]+Dailies[[#This Row],[SunLife RRSP]]</f>
        <v>373778.73</v>
      </c>
      <c r="S845" s="401">
        <f>S844+Dailies[[#This Row],[CIBC RRSP Principal Delta]]</f>
        <v>0</v>
      </c>
      <c r="T845" s="401">
        <f>T844+Dailies[[#This Row],[CIBC RESP Principal Delta]]</f>
        <v>37280.450000000004</v>
      </c>
      <c r="U845" s="402">
        <f>U844+Dailies[[#This Row],[QT RRSP Principal Delta]]</f>
        <v>317620.87</v>
      </c>
      <c r="V845" s="401">
        <f>V844+Dailies[[#This Row],[SunLife RRSP Principal Delta]]</f>
        <v>5291.77</v>
      </c>
      <c r="W845" s="315">
        <f>Dailies[[#This Row],[CIBC RRSP Principal]]+Dailies[[#This Row],[QT RRSP Principal]]+Dailies[[#This Row],[SunLife RRSP Principal]]</f>
        <v>322912.64000000001</v>
      </c>
      <c r="X845" s="361">
        <f>Dailies[[#This Row],[CIBC RRSP Principal]]+Dailies[[#This Row],[CIBC RESP Principal]]+Dailies[[#This Row],[QT RRSP Principal]]+Dailies[[#This Row],[SunLife RRSP Principal]]</f>
        <v>360193.09</v>
      </c>
      <c r="Y845" s="315">
        <f>Dailies[[#This Row],[CIBC RRSP]]+Dailies[[#This Row],[CIBC RESP]]+Dailies[[#This Row],[QT RRSP]]+Dailies[[#This Row],[SunLife RRSP]]</f>
        <v>417058.32999999996</v>
      </c>
      <c r="Z845" s="313">
        <f>Dailies[[#This Row],[Portfolio Total]]+Dailies[[#This Row],[Home Equity]]+Dailies[[#This Row],[Car Equity]]+Dailies[[#This Row],[Valuables Equity]]+Dailies[[#This Row],[GSK Pension]]+Dailies[[#This Row],[Home Loan]]</f>
        <v>1183059.33</v>
      </c>
      <c r="AA845" s="402">
        <f>IF(ISNUMBER(C844),Dailies[[#This Row],[CIBC RRSP]]-C844-Dailies[[#This Row],[CIBC RRSP Principal Delta]],0)</f>
        <v>0</v>
      </c>
      <c r="AB845" s="402">
        <f>IF(ISNUMBER(D844),Dailies[[#This Row],[CIBC RESP]]-D844-Dailies[[#This Row],[CIBC RESP Principal Delta]],0)</f>
        <v>186.76000000000204</v>
      </c>
      <c r="AC845" s="402">
        <f>IF(ISNUMBER(E844),Dailies[[#This Row],[QT RRSP]]-E844-Dailies[[#This Row],[QT RRSP Principal Delta]],0)</f>
        <v>939.85999999998603</v>
      </c>
      <c r="AD845" s="402">
        <f>IF(ISNUMBER(G844),Dailies[[#This Row],[SunLife RRSP]]-G844-Dailies[[#This Row],[SunLife RRSP Principal Delta]],0)</f>
        <v>0</v>
      </c>
      <c r="AE845" s="315">
        <f>Dailies[[#This Row],[CIBC RRSP Daily $]]+Dailies[[#This Row],[QT RRSP Daily $]]+Dailies[[#This Row],[SunLife RRSP Daily $]]</f>
        <v>939.85999999998603</v>
      </c>
      <c r="AF845" s="315">
        <f>Dailies[[#This Row],[RRSP Daily $]]+Dailies[[#This Row],[CIBC RESP Daily $]]</f>
        <v>1126.6199999999881</v>
      </c>
      <c r="AG845" s="401">
        <f>IF(ISNUMBER(AJ844),Dailies[[#This Row],[VOO]]-AJ844,0)</f>
        <v>-0.62999999999999545</v>
      </c>
      <c r="AH845" s="362">
        <f>Dailies[[#This Row],[RRSP Daily $]]/Dailies[[#This Row],[RRSP Total]]</f>
        <v>2.5144822981232402E-3</v>
      </c>
      <c r="AI845" s="363">
        <f>IF(Dailies[[#This Row],[CIBC RESP]]&gt;0,Dailies[[#This Row],[CIBC RESP Daily $]]/Dailies[[#This Row],[CIBC RESP]],0)</f>
        <v>4.3151969981238747E-3</v>
      </c>
      <c r="AJ845" s="315">
        <f>VLOOKUP(Dailies[[#This Row],[Date]],Quotes[],MATCH("VOO",Quotes[#Headers],EXACT_MATCH))</f>
        <v>304.43</v>
      </c>
      <c r="AK845" s="314">
        <f>Dailies[[#This Row],[VOO Daily $]]/Dailies[[#This Row],[VOO]]</f>
        <v>-2.0694412508622524E-3</v>
      </c>
      <c r="AL845" s="314">
        <f>Dailies[[#This Row],[RRSP Daily %]]-Dailies[[#This Row],[VOO Daily %]]</f>
        <v>4.5839235489854926E-3</v>
      </c>
      <c r="AM845" s="413">
        <f t="shared" si="13"/>
        <v>279.74218905472645</v>
      </c>
      <c r="AR845" s="333"/>
      <c r="AS845" s="333"/>
      <c r="AT845" s="333"/>
      <c r="AU845" s="333"/>
      <c r="AV845" s="333"/>
    </row>
    <row r="846" spans="2:48" s="330" customFormat="1" ht="28.15" customHeight="1" x14ac:dyDescent="0.25">
      <c r="B846" s="359">
        <v>43852</v>
      </c>
      <c r="C846" s="360">
        <v>0</v>
      </c>
      <c r="D846" s="360">
        <v>43580.04</v>
      </c>
      <c r="E846" s="329">
        <v>365589</v>
      </c>
      <c r="F846" s="329">
        <v>0</v>
      </c>
      <c r="G846" s="329">
        <v>5549.73</v>
      </c>
      <c r="H846" s="329"/>
      <c r="I846" s="329"/>
      <c r="J846" s="329"/>
      <c r="K846" s="329"/>
      <c r="L846" s="329"/>
      <c r="M846" s="329">
        <v>650000</v>
      </c>
      <c r="N846" s="329">
        <f t="shared" si="14"/>
        <v>22718</v>
      </c>
      <c r="O846" s="329">
        <f t="shared" si="11"/>
        <v>1600</v>
      </c>
      <c r="P846" s="329">
        <v>91683</v>
      </c>
      <c r="Q846" s="329">
        <v>0</v>
      </c>
      <c r="R846" s="315">
        <f>Dailies[[#This Row],[CIBC RRSP]]+Dailies[[#This Row],[QT RRSP]]+Dailies[[#This Row],[SunLife RRSP]]</f>
        <v>371138.73</v>
      </c>
      <c r="S846" s="401">
        <f>S845+Dailies[[#This Row],[CIBC RRSP Principal Delta]]</f>
        <v>0</v>
      </c>
      <c r="T846" s="401">
        <f>T845+Dailies[[#This Row],[CIBC RESP Principal Delta]]</f>
        <v>37280.450000000004</v>
      </c>
      <c r="U846" s="402">
        <f>U845+Dailies[[#This Row],[QT RRSP Principal Delta]]</f>
        <v>317620.87</v>
      </c>
      <c r="V846" s="401">
        <f>V845+Dailies[[#This Row],[SunLife RRSP Principal Delta]]</f>
        <v>5291.77</v>
      </c>
      <c r="W846" s="315">
        <f>Dailies[[#This Row],[CIBC RRSP Principal]]+Dailies[[#This Row],[QT RRSP Principal]]+Dailies[[#This Row],[SunLife RRSP Principal]]</f>
        <v>322912.64000000001</v>
      </c>
      <c r="X846" s="361">
        <f>Dailies[[#This Row],[CIBC RRSP Principal]]+Dailies[[#This Row],[CIBC RESP Principal]]+Dailies[[#This Row],[QT RRSP Principal]]+Dailies[[#This Row],[SunLife RRSP Principal]]</f>
        <v>360193.09</v>
      </c>
      <c r="Y846" s="315">
        <f>Dailies[[#This Row],[CIBC RRSP]]+Dailies[[#This Row],[CIBC RESP]]+Dailies[[#This Row],[QT RRSP]]+Dailies[[#This Row],[SunLife RRSP]]</f>
        <v>414718.76999999996</v>
      </c>
      <c r="Z846" s="313">
        <f>Dailies[[#This Row],[Portfolio Total]]+Dailies[[#This Row],[Home Equity]]+Dailies[[#This Row],[Car Equity]]+Dailies[[#This Row],[Valuables Equity]]+Dailies[[#This Row],[GSK Pension]]+Dailies[[#This Row],[Home Loan]]</f>
        <v>1180719.77</v>
      </c>
      <c r="AA846" s="402">
        <f>IF(ISNUMBER(C845),Dailies[[#This Row],[CIBC RRSP]]-C845-Dailies[[#This Row],[CIBC RRSP Principal Delta]],0)</f>
        <v>0</v>
      </c>
      <c r="AB846" s="402">
        <f>IF(ISNUMBER(D845),Dailies[[#This Row],[CIBC RESP]]-D845-Dailies[[#This Row],[CIBC RESP Principal Delta]],0)</f>
        <v>300.44000000000233</v>
      </c>
      <c r="AC846" s="402">
        <f>IF(ISNUMBER(E845),Dailies[[#This Row],[QT RRSP]]-E845-Dailies[[#This Row],[QT RRSP Principal Delta]],0)</f>
        <v>-2640</v>
      </c>
      <c r="AD846" s="402">
        <f>IF(ISNUMBER(G845),Dailies[[#This Row],[SunLife RRSP]]-G845-Dailies[[#This Row],[SunLife RRSP Principal Delta]],0)</f>
        <v>0</v>
      </c>
      <c r="AE846" s="315">
        <f>Dailies[[#This Row],[CIBC RRSP Daily $]]+Dailies[[#This Row],[QT RRSP Daily $]]+Dailies[[#This Row],[SunLife RRSP Daily $]]</f>
        <v>-2640</v>
      </c>
      <c r="AF846" s="315">
        <f>Dailies[[#This Row],[RRSP Daily $]]+Dailies[[#This Row],[CIBC RESP Daily $]]</f>
        <v>-2339.5599999999977</v>
      </c>
      <c r="AG846" s="401">
        <f>IF(ISNUMBER(AJ845),Dailies[[#This Row],[VOO]]-AJ845,0)</f>
        <v>7.9999999999984084E-2</v>
      </c>
      <c r="AH846" s="362">
        <f>Dailies[[#This Row],[RRSP Daily $]]/Dailies[[#This Row],[RRSP Total]]</f>
        <v>-7.11324307220645E-3</v>
      </c>
      <c r="AI846" s="363">
        <f>IF(Dailies[[#This Row],[CIBC RESP]]&gt;0,Dailies[[#This Row],[CIBC RESP Daily $]]/Dailies[[#This Row],[CIBC RESP]],0)</f>
        <v>6.893981740264633E-3</v>
      </c>
      <c r="AJ846" s="315">
        <f>VLOOKUP(Dailies[[#This Row],[Date]],Quotes[],MATCH("VOO",Quotes[#Headers],EXACT_MATCH))</f>
        <v>304.51</v>
      </c>
      <c r="AK846" s="314">
        <f>Dailies[[#This Row],[VOO Daily $]]/Dailies[[#This Row],[VOO]]</f>
        <v>2.6271715214601848E-4</v>
      </c>
      <c r="AL846" s="314">
        <f>Dailies[[#This Row],[RRSP Daily %]]-Dailies[[#This Row],[VOO Daily %]]</f>
        <v>-7.3759602243524689E-3</v>
      </c>
      <c r="AM846" s="413">
        <f t="shared" si="13"/>
        <v>279.89199004975137</v>
      </c>
      <c r="AR846" s="333"/>
      <c r="AS846" s="333"/>
      <c r="AT846" s="333"/>
      <c r="AU846" s="333"/>
      <c r="AV846" s="333"/>
    </row>
    <row r="847" spans="2:48" s="330" customFormat="1" ht="28.15" customHeight="1" x14ac:dyDescent="0.25">
      <c r="B847" s="359">
        <v>43853</v>
      </c>
      <c r="C847" s="360">
        <v>0</v>
      </c>
      <c r="D847" s="360">
        <v>43726.2</v>
      </c>
      <c r="E847" s="329">
        <v>370314.14</v>
      </c>
      <c r="F847" s="329">
        <v>0</v>
      </c>
      <c r="G847" s="329">
        <v>5549.73</v>
      </c>
      <c r="H847" s="329"/>
      <c r="I847" s="329"/>
      <c r="J847" s="329"/>
      <c r="K847" s="329"/>
      <c r="L847" s="329"/>
      <c r="M847" s="329">
        <v>650000</v>
      </c>
      <c r="N847" s="329">
        <f t="shared" si="14"/>
        <v>22718</v>
      </c>
      <c r="O847" s="329">
        <f t="shared" si="11"/>
        <v>1600</v>
      </c>
      <c r="P847" s="329">
        <v>91683</v>
      </c>
      <c r="Q847" s="329">
        <v>0</v>
      </c>
      <c r="R847" s="315">
        <f>Dailies[[#This Row],[CIBC RRSP]]+Dailies[[#This Row],[QT RRSP]]+Dailies[[#This Row],[SunLife RRSP]]</f>
        <v>375863.87</v>
      </c>
      <c r="S847" s="401">
        <f>S846+Dailies[[#This Row],[CIBC RRSP Principal Delta]]</f>
        <v>0</v>
      </c>
      <c r="T847" s="401">
        <f>T846+Dailies[[#This Row],[CIBC RESP Principal Delta]]</f>
        <v>37280.450000000004</v>
      </c>
      <c r="U847" s="402">
        <f>U846+Dailies[[#This Row],[QT RRSP Principal Delta]]</f>
        <v>317620.87</v>
      </c>
      <c r="V847" s="401">
        <f>V846+Dailies[[#This Row],[SunLife RRSP Principal Delta]]</f>
        <v>5291.77</v>
      </c>
      <c r="W847" s="315">
        <f>Dailies[[#This Row],[CIBC RRSP Principal]]+Dailies[[#This Row],[QT RRSP Principal]]+Dailies[[#This Row],[SunLife RRSP Principal]]</f>
        <v>322912.64000000001</v>
      </c>
      <c r="X847" s="361">
        <f>Dailies[[#This Row],[CIBC RRSP Principal]]+Dailies[[#This Row],[CIBC RESP Principal]]+Dailies[[#This Row],[QT RRSP Principal]]+Dailies[[#This Row],[SunLife RRSP Principal]]</f>
        <v>360193.09</v>
      </c>
      <c r="Y847" s="315">
        <f>Dailies[[#This Row],[CIBC RRSP]]+Dailies[[#This Row],[CIBC RESP]]+Dailies[[#This Row],[QT RRSP]]+Dailies[[#This Row],[SunLife RRSP]]</f>
        <v>419590.07</v>
      </c>
      <c r="Z847" s="313">
        <f>Dailies[[#This Row],[Portfolio Total]]+Dailies[[#This Row],[Home Equity]]+Dailies[[#This Row],[Car Equity]]+Dailies[[#This Row],[Valuables Equity]]+Dailies[[#This Row],[GSK Pension]]+Dailies[[#This Row],[Home Loan]]</f>
        <v>1185591.07</v>
      </c>
      <c r="AA847" s="402">
        <f>IF(ISNUMBER(C846),Dailies[[#This Row],[CIBC RRSP]]-C846-Dailies[[#This Row],[CIBC RRSP Principal Delta]],0)</f>
        <v>0</v>
      </c>
      <c r="AB847" s="402">
        <f>IF(ISNUMBER(D846),Dailies[[#This Row],[CIBC RESP]]-D846-Dailies[[#This Row],[CIBC RESP Principal Delta]],0)</f>
        <v>146.15999999999622</v>
      </c>
      <c r="AC847" s="402">
        <f>IF(ISNUMBER(E846),Dailies[[#This Row],[QT RRSP]]-E846-Dailies[[#This Row],[QT RRSP Principal Delta]],0)</f>
        <v>4725.140000000014</v>
      </c>
      <c r="AD847" s="402">
        <f>IF(ISNUMBER(G846),Dailies[[#This Row],[SunLife RRSP]]-G846-Dailies[[#This Row],[SunLife RRSP Principal Delta]],0)</f>
        <v>0</v>
      </c>
      <c r="AE847" s="315">
        <f>Dailies[[#This Row],[CIBC RRSP Daily $]]+Dailies[[#This Row],[QT RRSP Daily $]]+Dailies[[#This Row],[SunLife RRSP Daily $]]</f>
        <v>4725.140000000014</v>
      </c>
      <c r="AF847" s="315">
        <f>Dailies[[#This Row],[RRSP Daily $]]+Dailies[[#This Row],[CIBC RESP Daily $]]</f>
        <v>4871.3000000000102</v>
      </c>
      <c r="AG847" s="401">
        <f>IF(ISNUMBER(AJ846),Dailies[[#This Row],[VOO]]-AJ846,0)</f>
        <v>0.30000000000001137</v>
      </c>
      <c r="AH847" s="362">
        <f>Dailies[[#This Row],[RRSP Daily $]]/Dailies[[#This Row],[RRSP Total]]</f>
        <v>1.2571413155512964E-2</v>
      </c>
      <c r="AI847" s="363">
        <f>IF(Dailies[[#This Row],[CIBC RESP]]&gt;0,Dailies[[#This Row],[CIBC RESP Daily $]]/Dailies[[#This Row],[CIBC RESP]],0)</f>
        <v>3.3426183844010278E-3</v>
      </c>
      <c r="AJ847" s="315">
        <f>VLOOKUP(Dailies[[#This Row],[Date]],Quotes[],MATCH("VOO",Quotes[#Headers],EXACT_MATCH))</f>
        <v>304.81</v>
      </c>
      <c r="AK847" s="314">
        <f>Dailies[[#This Row],[VOO Daily $]]/Dailies[[#This Row],[VOO]]</f>
        <v>9.8421967783212934E-4</v>
      </c>
      <c r="AL847" s="314">
        <f>Dailies[[#This Row],[RRSP Daily %]]-Dailies[[#This Row],[VOO Daily %]]</f>
        <v>1.1587193477680835E-2</v>
      </c>
      <c r="AM847" s="413">
        <f t="shared" si="13"/>
        <v>280.04393034825887</v>
      </c>
      <c r="AR847" s="333"/>
      <c r="AS847" s="333"/>
      <c r="AT847" s="333"/>
      <c r="AU847" s="333"/>
      <c r="AV847" s="333"/>
    </row>
    <row r="848" spans="2:48" s="330" customFormat="1" ht="28.15" customHeight="1" x14ac:dyDescent="0.25">
      <c r="B848" s="359">
        <v>43854</v>
      </c>
      <c r="C848" s="360">
        <v>0</v>
      </c>
      <c r="D848" s="360">
        <v>43815.519999999997</v>
      </c>
      <c r="E848" s="329">
        <v>367668.73</v>
      </c>
      <c r="F848" s="329">
        <v>0</v>
      </c>
      <c r="G848" s="329">
        <v>5549.73</v>
      </c>
      <c r="H848" s="329"/>
      <c r="I848" s="329"/>
      <c r="J848" s="329"/>
      <c r="K848" s="329"/>
      <c r="L848" s="329"/>
      <c r="M848" s="329">
        <v>650000</v>
      </c>
      <c r="N848" s="329">
        <f t="shared" si="14"/>
        <v>22718</v>
      </c>
      <c r="O848" s="329">
        <f t="shared" si="11"/>
        <v>1600</v>
      </c>
      <c r="P848" s="329">
        <v>91683</v>
      </c>
      <c r="Q848" s="329">
        <v>0</v>
      </c>
      <c r="R848" s="315">
        <f>Dailies[[#This Row],[CIBC RRSP]]+Dailies[[#This Row],[QT RRSP]]+Dailies[[#This Row],[SunLife RRSP]]</f>
        <v>373218.45999999996</v>
      </c>
      <c r="S848" s="401">
        <f>S847+Dailies[[#This Row],[CIBC RRSP Principal Delta]]</f>
        <v>0</v>
      </c>
      <c r="T848" s="401">
        <f>T847+Dailies[[#This Row],[CIBC RESP Principal Delta]]</f>
        <v>37280.450000000004</v>
      </c>
      <c r="U848" s="402">
        <f>U847+Dailies[[#This Row],[QT RRSP Principal Delta]]</f>
        <v>317620.87</v>
      </c>
      <c r="V848" s="401">
        <f>V847+Dailies[[#This Row],[SunLife RRSP Principal Delta]]</f>
        <v>5291.77</v>
      </c>
      <c r="W848" s="315">
        <f>Dailies[[#This Row],[CIBC RRSP Principal]]+Dailies[[#This Row],[QT RRSP Principal]]+Dailies[[#This Row],[SunLife RRSP Principal]]</f>
        <v>322912.64000000001</v>
      </c>
      <c r="X848" s="361">
        <f>Dailies[[#This Row],[CIBC RRSP Principal]]+Dailies[[#This Row],[CIBC RESP Principal]]+Dailies[[#This Row],[QT RRSP Principal]]+Dailies[[#This Row],[SunLife RRSP Principal]]</f>
        <v>360193.09</v>
      </c>
      <c r="Y848" s="315">
        <f>Dailies[[#This Row],[CIBC RRSP]]+Dailies[[#This Row],[CIBC RESP]]+Dailies[[#This Row],[QT RRSP]]+Dailies[[#This Row],[SunLife RRSP]]</f>
        <v>417033.98</v>
      </c>
      <c r="Z848" s="313">
        <f>Dailies[[#This Row],[Portfolio Total]]+Dailies[[#This Row],[Home Equity]]+Dailies[[#This Row],[Car Equity]]+Dailies[[#This Row],[Valuables Equity]]+Dailies[[#This Row],[GSK Pension]]+Dailies[[#This Row],[Home Loan]]</f>
        <v>1183034.98</v>
      </c>
      <c r="AA848" s="402">
        <f>IF(ISNUMBER(C847),Dailies[[#This Row],[CIBC RRSP]]-C847-Dailies[[#This Row],[CIBC RRSP Principal Delta]],0)</f>
        <v>0</v>
      </c>
      <c r="AB848" s="402">
        <f>IF(ISNUMBER(D847),Dailies[[#This Row],[CIBC RESP]]-D847-Dailies[[#This Row],[CIBC RESP Principal Delta]],0)</f>
        <v>89.319999999999709</v>
      </c>
      <c r="AC848" s="402">
        <f>IF(ISNUMBER(E847),Dailies[[#This Row],[QT RRSP]]-E847-Dailies[[#This Row],[QT RRSP Principal Delta]],0)</f>
        <v>-2645.4100000000326</v>
      </c>
      <c r="AD848" s="402">
        <f>IF(ISNUMBER(G847),Dailies[[#This Row],[SunLife RRSP]]-G847-Dailies[[#This Row],[SunLife RRSP Principal Delta]],0)</f>
        <v>0</v>
      </c>
      <c r="AE848" s="315">
        <f>Dailies[[#This Row],[CIBC RRSP Daily $]]+Dailies[[#This Row],[QT RRSP Daily $]]+Dailies[[#This Row],[SunLife RRSP Daily $]]</f>
        <v>-2645.4100000000326</v>
      </c>
      <c r="AF848" s="315">
        <f>Dailies[[#This Row],[RRSP Daily $]]+Dailies[[#This Row],[CIBC RESP Daily $]]</f>
        <v>-2556.0900000000329</v>
      </c>
      <c r="AG848" s="401">
        <f>IF(ISNUMBER(AJ847),Dailies[[#This Row],[VOO]]-AJ847,0)</f>
        <v>-2.7800000000000296</v>
      </c>
      <c r="AH848" s="362">
        <f>Dailies[[#This Row],[RRSP Daily $]]/Dailies[[#This Row],[RRSP Total]]</f>
        <v>-7.0881006261052388E-3</v>
      </c>
      <c r="AI848" s="363">
        <f>IF(Dailies[[#This Row],[CIBC RESP]]&gt;0,Dailies[[#This Row],[CIBC RESP Daily $]]/Dailies[[#This Row],[CIBC RESP]],0)</f>
        <v>2.0385470719051085E-3</v>
      </c>
      <c r="AJ848" s="315">
        <f>VLOOKUP(Dailies[[#This Row],[Date]],Quotes[],MATCH("VOO",Quotes[#Headers],EXACT_MATCH))</f>
        <v>302.02999999999997</v>
      </c>
      <c r="AK848" s="314">
        <f>Dailies[[#This Row],[VOO Daily $]]/Dailies[[#This Row],[VOO]]</f>
        <v>-9.2043836704964067E-3</v>
      </c>
      <c r="AL848" s="314">
        <f>Dailies[[#This Row],[RRSP Daily %]]-Dailies[[#This Row],[VOO Daily %]]</f>
        <v>2.1162830443911679E-3</v>
      </c>
      <c r="AM848" s="413">
        <f t="shared" si="13"/>
        <v>280.19736318407979</v>
      </c>
      <c r="AR848" s="333"/>
      <c r="AS848" s="333"/>
      <c r="AT848" s="333"/>
      <c r="AU848" s="333"/>
      <c r="AV848" s="333"/>
    </row>
    <row r="849" spans="2:48" s="330" customFormat="1" ht="28.15" customHeight="1" x14ac:dyDescent="0.25">
      <c r="B849" s="359">
        <v>43855</v>
      </c>
      <c r="C849" s="360">
        <v>0</v>
      </c>
      <c r="D849" s="360">
        <v>43815.519999999997</v>
      </c>
      <c r="E849" s="329">
        <v>367668.73</v>
      </c>
      <c r="F849" s="329">
        <v>0</v>
      </c>
      <c r="G849" s="329">
        <v>5549.73</v>
      </c>
      <c r="H849" s="329"/>
      <c r="I849" s="329"/>
      <c r="J849" s="329"/>
      <c r="K849" s="329"/>
      <c r="L849" s="329"/>
      <c r="M849" s="329">
        <v>650000</v>
      </c>
      <c r="N849" s="329">
        <f t="shared" si="14"/>
        <v>22718</v>
      </c>
      <c r="O849" s="329">
        <f t="shared" si="11"/>
        <v>1600</v>
      </c>
      <c r="P849" s="329">
        <v>91683</v>
      </c>
      <c r="Q849" s="329">
        <v>0</v>
      </c>
      <c r="R849" s="315">
        <f>Dailies[[#This Row],[CIBC RRSP]]+Dailies[[#This Row],[QT RRSP]]+Dailies[[#This Row],[SunLife RRSP]]</f>
        <v>373218.45999999996</v>
      </c>
      <c r="S849" s="401">
        <f>S848+Dailies[[#This Row],[CIBC RRSP Principal Delta]]</f>
        <v>0</v>
      </c>
      <c r="T849" s="401">
        <f>T848+Dailies[[#This Row],[CIBC RESP Principal Delta]]</f>
        <v>37280.450000000004</v>
      </c>
      <c r="U849" s="402">
        <f>U848+Dailies[[#This Row],[QT RRSP Principal Delta]]</f>
        <v>317620.87</v>
      </c>
      <c r="V849" s="401">
        <f>V848+Dailies[[#This Row],[SunLife RRSP Principal Delta]]</f>
        <v>5291.77</v>
      </c>
      <c r="W849" s="315">
        <f>Dailies[[#This Row],[CIBC RRSP Principal]]+Dailies[[#This Row],[QT RRSP Principal]]+Dailies[[#This Row],[SunLife RRSP Principal]]</f>
        <v>322912.64000000001</v>
      </c>
      <c r="X849" s="361">
        <f>Dailies[[#This Row],[CIBC RRSP Principal]]+Dailies[[#This Row],[CIBC RESP Principal]]+Dailies[[#This Row],[QT RRSP Principal]]+Dailies[[#This Row],[SunLife RRSP Principal]]</f>
        <v>360193.09</v>
      </c>
      <c r="Y849" s="315">
        <f>Dailies[[#This Row],[CIBC RRSP]]+Dailies[[#This Row],[CIBC RESP]]+Dailies[[#This Row],[QT RRSP]]+Dailies[[#This Row],[SunLife RRSP]]</f>
        <v>417033.98</v>
      </c>
      <c r="Z849" s="313">
        <f>Dailies[[#This Row],[Portfolio Total]]+Dailies[[#This Row],[Home Equity]]+Dailies[[#This Row],[Car Equity]]+Dailies[[#This Row],[Valuables Equity]]+Dailies[[#This Row],[GSK Pension]]+Dailies[[#This Row],[Home Loan]]</f>
        <v>1183034.98</v>
      </c>
      <c r="AA849" s="402">
        <f>IF(ISNUMBER(C848),Dailies[[#This Row],[CIBC RRSP]]-C848-Dailies[[#This Row],[CIBC RRSP Principal Delta]],0)</f>
        <v>0</v>
      </c>
      <c r="AB849" s="402">
        <f>IF(ISNUMBER(D848),Dailies[[#This Row],[CIBC RESP]]-D848-Dailies[[#This Row],[CIBC RESP Principal Delta]],0)</f>
        <v>0</v>
      </c>
      <c r="AC849" s="402">
        <f>IF(ISNUMBER(E848),Dailies[[#This Row],[QT RRSP]]-E848-Dailies[[#This Row],[QT RRSP Principal Delta]],0)</f>
        <v>0</v>
      </c>
      <c r="AD849" s="402">
        <f>IF(ISNUMBER(G848),Dailies[[#This Row],[SunLife RRSP]]-G848-Dailies[[#This Row],[SunLife RRSP Principal Delta]],0)</f>
        <v>0</v>
      </c>
      <c r="AE849" s="315">
        <f>Dailies[[#This Row],[CIBC RRSP Daily $]]+Dailies[[#This Row],[QT RRSP Daily $]]+Dailies[[#This Row],[SunLife RRSP Daily $]]</f>
        <v>0</v>
      </c>
      <c r="AF849" s="315">
        <f>Dailies[[#This Row],[RRSP Daily $]]+Dailies[[#This Row],[CIBC RESP Daily $]]</f>
        <v>0</v>
      </c>
      <c r="AG849" s="401">
        <f>IF(ISNUMBER(AJ848),Dailies[[#This Row],[VOO]]-AJ848,0)</f>
        <v>0</v>
      </c>
      <c r="AH849" s="362">
        <f>Dailies[[#This Row],[RRSP Daily $]]/Dailies[[#This Row],[RRSP Total]]</f>
        <v>0</v>
      </c>
      <c r="AI849" s="363">
        <f>IF(Dailies[[#This Row],[CIBC RESP]]&gt;0,Dailies[[#This Row],[CIBC RESP Daily $]]/Dailies[[#This Row],[CIBC RESP]],0)</f>
        <v>0</v>
      </c>
      <c r="AJ849" s="315">
        <f>VLOOKUP(Dailies[[#This Row],[Date]],Quotes[],MATCH("VOO",Quotes[#Headers],EXACT_MATCH))</f>
        <v>302.02999999999997</v>
      </c>
      <c r="AK849" s="314">
        <f>Dailies[[#This Row],[VOO Daily $]]/Dailies[[#This Row],[VOO]]</f>
        <v>0</v>
      </c>
      <c r="AL849" s="314">
        <f>Dailies[[#This Row],[RRSP Daily %]]-Dailies[[#This Row],[VOO Daily %]]</f>
        <v>0</v>
      </c>
      <c r="AM849" s="413">
        <f t="shared" si="13"/>
        <v>280.33696517412949</v>
      </c>
      <c r="AR849" s="333"/>
      <c r="AS849" s="333"/>
      <c r="AT849" s="333"/>
      <c r="AU849" s="333"/>
      <c r="AV849" s="333"/>
    </row>
    <row r="850" spans="2:48" s="330" customFormat="1" ht="28.15" customHeight="1" x14ac:dyDescent="0.25">
      <c r="B850" s="359">
        <v>43856</v>
      </c>
      <c r="C850" s="360">
        <v>0</v>
      </c>
      <c r="D850" s="360">
        <v>43815.519999999997</v>
      </c>
      <c r="E850" s="329">
        <v>367668.73</v>
      </c>
      <c r="F850" s="329">
        <v>0</v>
      </c>
      <c r="G850" s="329">
        <v>5549.73</v>
      </c>
      <c r="H850" s="329"/>
      <c r="I850" s="329"/>
      <c r="J850" s="329"/>
      <c r="K850" s="329"/>
      <c r="L850" s="329"/>
      <c r="M850" s="329">
        <v>650000</v>
      </c>
      <c r="N850" s="329">
        <f t="shared" si="14"/>
        <v>22718</v>
      </c>
      <c r="O850" s="329">
        <f t="shared" si="11"/>
        <v>1600</v>
      </c>
      <c r="P850" s="329">
        <v>91683</v>
      </c>
      <c r="Q850" s="329">
        <v>0</v>
      </c>
      <c r="R850" s="315">
        <f>Dailies[[#This Row],[CIBC RRSP]]+Dailies[[#This Row],[QT RRSP]]+Dailies[[#This Row],[SunLife RRSP]]</f>
        <v>373218.45999999996</v>
      </c>
      <c r="S850" s="401">
        <f>S849+Dailies[[#This Row],[CIBC RRSP Principal Delta]]</f>
        <v>0</v>
      </c>
      <c r="T850" s="401">
        <f>T849+Dailies[[#This Row],[CIBC RESP Principal Delta]]</f>
        <v>37280.450000000004</v>
      </c>
      <c r="U850" s="402">
        <f>U849+Dailies[[#This Row],[QT RRSP Principal Delta]]</f>
        <v>317620.87</v>
      </c>
      <c r="V850" s="401">
        <f>V849+Dailies[[#This Row],[SunLife RRSP Principal Delta]]</f>
        <v>5291.77</v>
      </c>
      <c r="W850" s="315">
        <f>Dailies[[#This Row],[CIBC RRSP Principal]]+Dailies[[#This Row],[QT RRSP Principal]]+Dailies[[#This Row],[SunLife RRSP Principal]]</f>
        <v>322912.64000000001</v>
      </c>
      <c r="X850" s="361">
        <f>Dailies[[#This Row],[CIBC RRSP Principal]]+Dailies[[#This Row],[CIBC RESP Principal]]+Dailies[[#This Row],[QT RRSP Principal]]+Dailies[[#This Row],[SunLife RRSP Principal]]</f>
        <v>360193.09</v>
      </c>
      <c r="Y850" s="315">
        <f>Dailies[[#This Row],[CIBC RRSP]]+Dailies[[#This Row],[CIBC RESP]]+Dailies[[#This Row],[QT RRSP]]+Dailies[[#This Row],[SunLife RRSP]]</f>
        <v>417033.98</v>
      </c>
      <c r="Z850" s="313">
        <f>Dailies[[#This Row],[Portfolio Total]]+Dailies[[#This Row],[Home Equity]]+Dailies[[#This Row],[Car Equity]]+Dailies[[#This Row],[Valuables Equity]]+Dailies[[#This Row],[GSK Pension]]+Dailies[[#This Row],[Home Loan]]</f>
        <v>1183034.98</v>
      </c>
      <c r="AA850" s="402">
        <f>IF(ISNUMBER(C849),Dailies[[#This Row],[CIBC RRSP]]-C849-Dailies[[#This Row],[CIBC RRSP Principal Delta]],0)</f>
        <v>0</v>
      </c>
      <c r="AB850" s="402">
        <f>IF(ISNUMBER(D849),Dailies[[#This Row],[CIBC RESP]]-D849-Dailies[[#This Row],[CIBC RESP Principal Delta]],0)</f>
        <v>0</v>
      </c>
      <c r="AC850" s="402">
        <f>IF(ISNUMBER(E849),Dailies[[#This Row],[QT RRSP]]-E849-Dailies[[#This Row],[QT RRSP Principal Delta]],0)</f>
        <v>0</v>
      </c>
      <c r="AD850" s="402">
        <f>IF(ISNUMBER(G849),Dailies[[#This Row],[SunLife RRSP]]-G849-Dailies[[#This Row],[SunLife RRSP Principal Delta]],0)</f>
        <v>0</v>
      </c>
      <c r="AE850" s="315">
        <f>Dailies[[#This Row],[CIBC RRSP Daily $]]+Dailies[[#This Row],[QT RRSP Daily $]]+Dailies[[#This Row],[SunLife RRSP Daily $]]</f>
        <v>0</v>
      </c>
      <c r="AF850" s="315">
        <f>Dailies[[#This Row],[RRSP Daily $]]+Dailies[[#This Row],[CIBC RESP Daily $]]</f>
        <v>0</v>
      </c>
      <c r="AG850" s="401">
        <f>IF(ISNUMBER(AJ849),Dailies[[#This Row],[VOO]]-AJ849,0)</f>
        <v>0</v>
      </c>
      <c r="AH850" s="362">
        <f>Dailies[[#This Row],[RRSP Daily $]]/Dailies[[#This Row],[RRSP Total]]</f>
        <v>0</v>
      </c>
      <c r="AI850" s="363">
        <f>IF(Dailies[[#This Row],[CIBC RESP]]&gt;0,Dailies[[#This Row],[CIBC RESP Daily $]]/Dailies[[#This Row],[CIBC RESP]],0)</f>
        <v>0</v>
      </c>
      <c r="AJ850" s="315">
        <f>VLOOKUP(Dailies[[#This Row],[Date]],Quotes[],MATCH("VOO",Quotes[#Headers],EXACT_MATCH))</f>
        <v>302.02999999999997</v>
      </c>
      <c r="AK850" s="314">
        <f>Dailies[[#This Row],[VOO Daily $]]/Dailies[[#This Row],[VOO]]</f>
        <v>0</v>
      </c>
      <c r="AL850" s="314">
        <f>Dailies[[#This Row],[RRSP Daily %]]-Dailies[[#This Row],[VOO Daily %]]</f>
        <v>0</v>
      </c>
      <c r="AM850" s="413">
        <f t="shared" si="13"/>
        <v>280.48338308457721</v>
      </c>
      <c r="AR850" s="333"/>
      <c r="AS850" s="333"/>
      <c r="AT850" s="333"/>
      <c r="AU850" s="333"/>
      <c r="AV850" s="333"/>
    </row>
    <row r="851" spans="2:48" s="330" customFormat="1" ht="28.15" customHeight="1" x14ac:dyDescent="0.25">
      <c r="B851" s="359">
        <v>43857</v>
      </c>
      <c r="C851" s="360">
        <v>0</v>
      </c>
      <c r="D851" s="360">
        <v>43693.72</v>
      </c>
      <c r="E851" s="329">
        <v>366666.68</v>
      </c>
      <c r="F851" s="329">
        <v>0</v>
      </c>
      <c r="G851" s="329">
        <v>5549.73</v>
      </c>
      <c r="H851" s="329"/>
      <c r="I851" s="329"/>
      <c r="J851" s="329">
        <v>1075</v>
      </c>
      <c r="K851" s="329"/>
      <c r="L851" s="329"/>
      <c r="M851" s="329">
        <v>650000</v>
      </c>
      <c r="N851" s="329">
        <f t="shared" si="14"/>
        <v>22718</v>
      </c>
      <c r="O851" s="329">
        <f t="shared" si="11"/>
        <v>1600</v>
      </c>
      <c r="P851" s="329">
        <v>91683</v>
      </c>
      <c r="Q851" s="329">
        <v>0</v>
      </c>
      <c r="R851" s="315">
        <f>Dailies[[#This Row],[CIBC RRSP]]+Dailies[[#This Row],[QT RRSP]]+Dailies[[#This Row],[SunLife RRSP]]</f>
        <v>372216.41</v>
      </c>
      <c r="S851" s="401">
        <f>S850+Dailies[[#This Row],[CIBC RRSP Principal Delta]]</f>
        <v>0</v>
      </c>
      <c r="T851" s="401">
        <f>T850+Dailies[[#This Row],[CIBC RESP Principal Delta]]</f>
        <v>37280.450000000004</v>
      </c>
      <c r="U851" s="402">
        <f>U850+Dailies[[#This Row],[QT RRSP Principal Delta]]</f>
        <v>318695.87</v>
      </c>
      <c r="V851" s="401">
        <f>V850+Dailies[[#This Row],[SunLife RRSP Principal Delta]]</f>
        <v>5291.77</v>
      </c>
      <c r="W851" s="315">
        <f>Dailies[[#This Row],[CIBC RRSP Principal]]+Dailies[[#This Row],[QT RRSP Principal]]+Dailies[[#This Row],[SunLife RRSP Principal]]</f>
        <v>323987.64</v>
      </c>
      <c r="X851" s="361">
        <f>Dailies[[#This Row],[CIBC RRSP Principal]]+Dailies[[#This Row],[CIBC RESP Principal]]+Dailies[[#This Row],[QT RRSP Principal]]+Dailies[[#This Row],[SunLife RRSP Principal]]</f>
        <v>361268.09</v>
      </c>
      <c r="Y851" s="315">
        <f>Dailies[[#This Row],[CIBC RRSP]]+Dailies[[#This Row],[CIBC RESP]]+Dailies[[#This Row],[QT RRSP]]+Dailies[[#This Row],[SunLife RRSP]]</f>
        <v>415910.13</v>
      </c>
      <c r="Z851" s="313">
        <f>Dailies[[#This Row],[Portfolio Total]]+Dailies[[#This Row],[Home Equity]]+Dailies[[#This Row],[Car Equity]]+Dailies[[#This Row],[Valuables Equity]]+Dailies[[#This Row],[GSK Pension]]+Dailies[[#This Row],[Home Loan]]</f>
        <v>1181911.1299999999</v>
      </c>
      <c r="AA851" s="402">
        <f>IF(ISNUMBER(C850),Dailies[[#This Row],[CIBC RRSP]]-C850-Dailies[[#This Row],[CIBC RRSP Principal Delta]],0)</f>
        <v>0</v>
      </c>
      <c r="AB851" s="402">
        <f>IF(ISNUMBER(D850),Dailies[[#This Row],[CIBC RESP]]-D850-Dailies[[#This Row],[CIBC RESP Principal Delta]],0)</f>
        <v>-121.79999999999563</v>
      </c>
      <c r="AC851" s="402">
        <f>IF(ISNUMBER(E850),Dailies[[#This Row],[QT RRSP]]-E850-Dailies[[#This Row],[QT RRSP Principal Delta]],0)</f>
        <v>-2077.0499999999884</v>
      </c>
      <c r="AD851" s="402">
        <f>IF(ISNUMBER(G850),Dailies[[#This Row],[SunLife RRSP]]-G850-Dailies[[#This Row],[SunLife RRSP Principal Delta]],0)</f>
        <v>0</v>
      </c>
      <c r="AE851" s="315">
        <f>Dailies[[#This Row],[CIBC RRSP Daily $]]+Dailies[[#This Row],[QT RRSP Daily $]]+Dailies[[#This Row],[SunLife RRSP Daily $]]</f>
        <v>-2077.0499999999884</v>
      </c>
      <c r="AF851" s="315">
        <f>Dailies[[#This Row],[RRSP Daily $]]+Dailies[[#This Row],[CIBC RESP Daily $]]</f>
        <v>-2198.849999999984</v>
      </c>
      <c r="AG851" s="401">
        <f>IF(ISNUMBER(AJ850),Dailies[[#This Row],[VOO]]-AJ850,0)</f>
        <v>-4.7999999999999545</v>
      </c>
      <c r="AH851" s="362">
        <f>Dailies[[#This Row],[RRSP Daily $]]/Dailies[[#This Row],[RRSP Total]]</f>
        <v>-5.5802214630998898E-3</v>
      </c>
      <c r="AI851" s="363">
        <f>IF(Dailies[[#This Row],[CIBC RESP]]&gt;0,Dailies[[#This Row],[CIBC RESP Daily $]]/Dailies[[#This Row],[CIBC RESP]],0)</f>
        <v>-2.7875859505667091E-3</v>
      </c>
      <c r="AJ851" s="315">
        <f>VLOOKUP(Dailies[[#This Row],[Date]],Quotes[],MATCH("VOO",Quotes[#Headers],EXACT_MATCH))</f>
        <v>297.23</v>
      </c>
      <c r="AK851" s="314">
        <f>Dailies[[#This Row],[VOO Daily $]]/Dailies[[#This Row],[VOO]]</f>
        <v>-1.6149110116744456E-2</v>
      </c>
      <c r="AL851" s="314">
        <f>Dailies[[#This Row],[RRSP Daily %]]-Dailies[[#This Row],[VOO Daily %]]</f>
        <v>1.0568888653644566E-2</v>
      </c>
      <c r="AM851" s="413">
        <f t="shared" si="13"/>
        <v>280.62810945273645</v>
      </c>
      <c r="AR851" s="333"/>
      <c r="AS851" s="333"/>
      <c r="AT851" s="333"/>
      <c r="AU851" s="333"/>
      <c r="AV851" s="333"/>
    </row>
    <row r="852" spans="2:48" s="330" customFormat="1" ht="28.15" customHeight="1" x14ac:dyDescent="0.25">
      <c r="B852" s="359">
        <v>43858</v>
      </c>
      <c r="C852" s="360">
        <v>0</v>
      </c>
      <c r="D852" s="360">
        <v>43929.2</v>
      </c>
      <c r="E852" s="329">
        <v>366327</v>
      </c>
      <c r="F852" s="329">
        <v>0</v>
      </c>
      <c r="G852" s="329">
        <v>5549.73</v>
      </c>
      <c r="H852" s="329"/>
      <c r="I852" s="329"/>
      <c r="J852" s="329"/>
      <c r="K852" s="329"/>
      <c r="L852" s="329"/>
      <c r="M852" s="329">
        <v>650000</v>
      </c>
      <c r="N852" s="329">
        <f t="shared" si="14"/>
        <v>22718</v>
      </c>
      <c r="O852" s="329">
        <f t="shared" si="11"/>
        <v>1600</v>
      </c>
      <c r="P852" s="329">
        <v>91683</v>
      </c>
      <c r="Q852" s="329">
        <v>0</v>
      </c>
      <c r="R852" s="315">
        <f>Dailies[[#This Row],[CIBC RRSP]]+Dailies[[#This Row],[QT RRSP]]+Dailies[[#This Row],[SunLife RRSP]]</f>
        <v>371876.73</v>
      </c>
      <c r="S852" s="401">
        <f>S851+Dailies[[#This Row],[CIBC RRSP Principal Delta]]</f>
        <v>0</v>
      </c>
      <c r="T852" s="401">
        <f>T851+Dailies[[#This Row],[CIBC RESP Principal Delta]]</f>
        <v>37280.450000000004</v>
      </c>
      <c r="U852" s="402">
        <f>U851+Dailies[[#This Row],[QT RRSP Principal Delta]]</f>
        <v>318695.87</v>
      </c>
      <c r="V852" s="401">
        <f>V851+Dailies[[#This Row],[SunLife RRSP Principal Delta]]</f>
        <v>5291.77</v>
      </c>
      <c r="W852" s="315">
        <f>Dailies[[#This Row],[CIBC RRSP Principal]]+Dailies[[#This Row],[QT RRSP Principal]]+Dailies[[#This Row],[SunLife RRSP Principal]]</f>
        <v>323987.64</v>
      </c>
      <c r="X852" s="361">
        <f>Dailies[[#This Row],[CIBC RRSP Principal]]+Dailies[[#This Row],[CIBC RESP Principal]]+Dailies[[#This Row],[QT RRSP Principal]]+Dailies[[#This Row],[SunLife RRSP Principal]]</f>
        <v>361268.09</v>
      </c>
      <c r="Y852" s="315">
        <f>Dailies[[#This Row],[CIBC RRSP]]+Dailies[[#This Row],[CIBC RESP]]+Dailies[[#This Row],[QT RRSP]]+Dailies[[#This Row],[SunLife RRSP]]</f>
        <v>415805.93</v>
      </c>
      <c r="Z852" s="313">
        <f>Dailies[[#This Row],[Portfolio Total]]+Dailies[[#This Row],[Home Equity]]+Dailies[[#This Row],[Car Equity]]+Dailies[[#This Row],[Valuables Equity]]+Dailies[[#This Row],[GSK Pension]]+Dailies[[#This Row],[Home Loan]]</f>
        <v>1181806.93</v>
      </c>
      <c r="AA852" s="402">
        <f>IF(ISNUMBER(C851),Dailies[[#This Row],[CIBC RRSP]]-C851-Dailies[[#This Row],[CIBC RRSP Principal Delta]],0)</f>
        <v>0</v>
      </c>
      <c r="AB852" s="402">
        <f>IF(ISNUMBER(D851),Dailies[[#This Row],[CIBC RESP]]-D851-Dailies[[#This Row],[CIBC RESP Principal Delta]],0)</f>
        <v>235.47999999999593</v>
      </c>
      <c r="AC852" s="402">
        <f>IF(ISNUMBER(E851),Dailies[[#This Row],[QT RRSP]]-E851-Dailies[[#This Row],[QT RRSP Principal Delta]],0)</f>
        <v>-339.67999999999302</v>
      </c>
      <c r="AD852" s="402">
        <f>IF(ISNUMBER(G851),Dailies[[#This Row],[SunLife RRSP]]-G851-Dailies[[#This Row],[SunLife RRSP Principal Delta]],0)</f>
        <v>0</v>
      </c>
      <c r="AE852" s="315">
        <f>Dailies[[#This Row],[CIBC RRSP Daily $]]+Dailies[[#This Row],[QT RRSP Daily $]]+Dailies[[#This Row],[SunLife RRSP Daily $]]</f>
        <v>-339.67999999999302</v>
      </c>
      <c r="AF852" s="315">
        <f>Dailies[[#This Row],[RRSP Daily $]]+Dailies[[#This Row],[CIBC RESP Daily $]]</f>
        <v>-104.19999999999709</v>
      </c>
      <c r="AG852" s="401">
        <f>IF(ISNUMBER(AJ851),Dailies[[#This Row],[VOO]]-AJ851,0)</f>
        <v>3.2199999999999704</v>
      </c>
      <c r="AH852" s="362">
        <f>Dailies[[#This Row],[RRSP Daily $]]/Dailies[[#This Row],[RRSP Total]]</f>
        <v>-9.1342096075759573E-4</v>
      </c>
      <c r="AI852" s="363">
        <f>IF(Dailies[[#This Row],[CIBC RESP]]&gt;0,Dailies[[#This Row],[CIBC RESP Daily $]]/Dailies[[#This Row],[CIBC RESP]],0)</f>
        <v>5.3604436229204248E-3</v>
      </c>
      <c r="AJ852" s="315">
        <f>VLOOKUP(Dailies[[#This Row],[Date]],Quotes[],MATCH("VOO",Quotes[#Headers],EXACT_MATCH))</f>
        <v>300.45</v>
      </c>
      <c r="AK852" s="314">
        <f>Dailies[[#This Row],[VOO Daily $]]/Dailies[[#This Row],[VOO]]</f>
        <v>1.0717257447162492E-2</v>
      </c>
      <c r="AL852" s="314">
        <f>Dailies[[#This Row],[RRSP Daily %]]-Dailies[[#This Row],[VOO Daily %]]</f>
        <v>-1.1630678407920089E-2</v>
      </c>
      <c r="AM852" s="413">
        <f t="shared" si="13"/>
        <v>280.74263681592055</v>
      </c>
      <c r="AR852" s="333"/>
      <c r="AS852" s="333"/>
      <c r="AT852" s="333"/>
      <c r="AU852" s="333"/>
      <c r="AV852" s="333"/>
    </row>
    <row r="853" spans="2:48" s="330" customFormat="1" ht="28.15" customHeight="1" x14ac:dyDescent="0.25">
      <c r="B853" s="359">
        <v>43859</v>
      </c>
      <c r="C853" s="360">
        <v>0</v>
      </c>
      <c r="D853" s="360">
        <v>44115.96</v>
      </c>
      <c r="E853" s="329">
        <v>362952</v>
      </c>
      <c r="F853" s="329">
        <v>0</v>
      </c>
      <c r="G853" s="329">
        <v>5549.73</v>
      </c>
      <c r="H853" s="329"/>
      <c r="I853" s="329"/>
      <c r="J853" s="329"/>
      <c r="K853" s="329"/>
      <c r="L853" s="329"/>
      <c r="M853" s="329">
        <v>650000</v>
      </c>
      <c r="N853" s="329">
        <f t="shared" si="14"/>
        <v>22718</v>
      </c>
      <c r="O853" s="329">
        <f t="shared" si="11"/>
        <v>1600</v>
      </c>
      <c r="P853" s="329">
        <v>91683</v>
      </c>
      <c r="Q853" s="329">
        <v>0</v>
      </c>
      <c r="R853" s="315">
        <f>Dailies[[#This Row],[CIBC RRSP]]+Dailies[[#This Row],[QT RRSP]]+Dailies[[#This Row],[SunLife RRSP]]</f>
        <v>368501.73</v>
      </c>
      <c r="S853" s="401">
        <f>S852+Dailies[[#This Row],[CIBC RRSP Principal Delta]]</f>
        <v>0</v>
      </c>
      <c r="T853" s="401">
        <f>T852+Dailies[[#This Row],[CIBC RESP Principal Delta]]</f>
        <v>37280.450000000004</v>
      </c>
      <c r="U853" s="402">
        <f>U852+Dailies[[#This Row],[QT RRSP Principal Delta]]</f>
        <v>318695.87</v>
      </c>
      <c r="V853" s="401">
        <f>V852+Dailies[[#This Row],[SunLife RRSP Principal Delta]]</f>
        <v>5291.77</v>
      </c>
      <c r="W853" s="315">
        <f>Dailies[[#This Row],[CIBC RRSP Principal]]+Dailies[[#This Row],[QT RRSP Principal]]+Dailies[[#This Row],[SunLife RRSP Principal]]</f>
        <v>323987.64</v>
      </c>
      <c r="X853" s="361">
        <f>Dailies[[#This Row],[CIBC RRSP Principal]]+Dailies[[#This Row],[CIBC RESP Principal]]+Dailies[[#This Row],[QT RRSP Principal]]+Dailies[[#This Row],[SunLife RRSP Principal]]</f>
        <v>361268.09</v>
      </c>
      <c r="Y853" s="315">
        <f>Dailies[[#This Row],[CIBC RRSP]]+Dailies[[#This Row],[CIBC RESP]]+Dailies[[#This Row],[QT RRSP]]+Dailies[[#This Row],[SunLife RRSP]]</f>
        <v>412617.69</v>
      </c>
      <c r="Z853" s="313">
        <f>Dailies[[#This Row],[Portfolio Total]]+Dailies[[#This Row],[Home Equity]]+Dailies[[#This Row],[Car Equity]]+Dailies[[#This Row],[Valuables Equity]]+Dailies[[#This Row],[GSK Pension]]+Dailies[[#This Row],[Home Loan]]</f>
        <v>1178618.69</v>
      </c>
      <c r="AA853" s="402">
        <f>IF(ISNUMBER(C852),Dailies[[#This Row],[CIBC RRSP]]-C852-Dailies[[#This Row],[CIBC RRSP Principal Delta]],0)</f>
        <v>0</v>
      </c>
      <c r="AB853" s="402">
        <f>IF(ISNUMBER(D852),Dailies[[#This Row],[CIBC RESP]]-D852-Dailies[[#This Row],[CIBC RESP Principal Delta]],0)</f>
        <v>186.76000000000204</v>
      </c>
      <c r="AC853" s="402">
        <f>IF(ISNUMBER(E852),Dailies[[#This Row],[QT RRSP]]-E852-Dailies[[#This Row],[QT RRSP Principal Delta]],0)</f>
        <v>-3375</v>
      </c>
      <c r="AD853" s="402">
        <f>IF(ISNUMBER(G852),Dailies[[#This Row],[SunLife RRSP]]-G852-Dailies[[#This Row],[SunLife RRSP Principal Delta]],0)</f>
        <v>0</v>
      </c>
      <c r="AE853" s="315">
        <f>Dailies[[#This Row],[CIBC RRSP Daily $]]+Dailies[[#This Row],[QT RRSP Daily $]]+Dailies[[#This Row],[SunLife RRSP Daily $]]</f>
        <v>-3375</v>
      </c>
      <c r="AF853" s="315">
        <f>Dailies[[#This Row],[RRSP Daily $]]+Dailies[[#This Row],[CIBC RESP Daily $]]</f>
        <v>-3188.239999999998</v>
      </c>
      <c r="AG853" s="401">
        <f>IF(ISNUMBER(AJ852),Dailies[[#This Row],[VOO]]-AJ852,0)</f>
        <v>-0.30000000000001137</v>
      </c>
      <c r="AH853" s="362">
        <f>Dailies[[#This Row],[RRSP Daily $]]/Dailies[[#This Row],[RRSP Total]]</f>
        <v>-9.1587086985995981E-3</v>
      </c>
      <c r="AI853" s="363">
        <f>IF(Dailies[[#This Row],[CIBC RESP]]&gt;0,Dailies[[#This Row],[CIBC RESP Daily $]]/Dailies[[#This Row],[CIBC RESP]],0)</f>
        <v>4.2333885514449204E-3</v>
      </c>
      <c r="AJ853" s="315">
        <f>VLOOKUP(Dailies[[#This Row],[Date]],Quotes[],MATCH("VOO",Quotes[#Headers],EXACT_MATCH))</f>
        <v>300.14999999999998</v>
      </c>
      <c r="AK853" s="314">
        <f>Dailies[[#This Row],[VOO Daily $]]/Dailies[[#This Row],[VOO]]</f>
        <v>-9.9950024987510038E-4</v>
      </c>
      <c r="AL853" s="314">
        <f>Dailies[[#This Row],[RRSP Daily %]]-Dailies[[#This Row],[VOO Daily %]]</f>
        <v>-8.1592084487244979E-3</v>
      </c>
      <c r="AM853" s="413">
        <f t="shared" si="13"/>
        <v>280.8704477611941</v>
      </c>
      <c r="AR853" s="333"/>
      <c r="AS853" s="333"/>
      <c r="AT853" s="333"/>
      <c r="AU853" s="333"/>
      <c r="AV853" s="333"/>
    </row>
    <row r="854" spans="2:48" s="330" customFormat="1" ht="28.15" customHeight="1" x14ac:dyDescent="0.25">
      <c r="B854" s="359">
        <v>43860</v>
      </c>
      <c r="C854" s="360">
        <v>0</v>
      </c>
      <c r="D854" s="360">
        <v>44148.44</v>
      </c>
      <c r="E854" s="329">
        <v>364795</v>
      </c>
      <c r="F854" s="329">
        <v>0</v>
      </c>
      <c r="G854" s="329">
        <v>5549.73</v>
      </c>
      <c r="H854" s="329"/>
      <c r="I854" s="329"/>
      <c r="J854" s="329"/>
      <c r="K854" s="329"/>
      <c r="L854" s="329"/>
      <c r="M854" s="329">
        <v>650000</v>
      </c>
      <c r="N854" s="329">
        <f t="shared" si="14"/>
        <v>22718</v>
      </c>
      <c r="O854" s="329">
        <f>900+700</f>
        <v>1600</v>
      </c>
      <c r="P854" s="329">
        <v>91683</v>
      </c>
      <c r="Q854" s="329">
        <v>0</v>
      </c>
      <c r="R854" s="315">
        <f>Dailies[[#This Row],[CIBC RRSP]]+Dailies[[#This Row],[QT RRSP]]+Dailies[[#This Row],[SunLife RRSP]]</f>
        <v>370344.73</v>
      </c>
      <c r="S854" s="401">
        <f>S853+Dailies[[#This Row],[CIBC RRSP Principal Delta]]</f>
        <v>0</v>
      </c>
      <c r="T854" s="401">
        <f>T853+Dailies[[#This Row],[CIBC RESP Principal Delta]]</f>
        <v>37280.450000000004</v>
      </c>
      <c r="U854" s="402">
        <f>U853+Dailies[[#This Row],[QT RRSP Principal Delta]]</f>
        <v>318695.87</v>
      </c>
      <c r="V854" s="401">
        <f>V853+Dailies[[#This Row],[SunLife RRSP Principal Delta]]</f>
        <v>5291.77</v>
      </c>
      <c r="W854" s="315">
        <f>Dailies[[#This Row],[CIBC RRSP Principal]]+Dailies[[#This Row],[QT RRSP Principal]]+Dailies[[#This Row],[SunLife RRSP Principal]]</f>
        <v>323987.64</v>
      </c>
      <c r="X854" s="361">
        <f>Dailies[[#This Row],[CIBC RRSP Principal]]+Dailies[[#This Row],[CIBC RESP Principal]]+Dailies[[#This Row],[QT RRSP Principal]]+Dailies[[#This Row],[SunLife RRSP Principal]]</f>
        <v>361268.09</v>
      </c>
      <c r="Y854" s="315">
        <f>Dailies[[#This Row],[CIBC RRSP]]+Dailies[[#This Row],[CIBC RESP]]+Dailies[[#This Row],[QT RRSP]]+Dailies[[#This Row],[SunLife RRSP]]</f>
        <v>414493.17</v>
      </c>
      <c r="Z854" s="313">
        <f>Dailies[[#This Row],[Portfolio Total]]+Dailies[[#This Row],[Home Equity]]+Dailies[[#This Row],[Car Equity]]+Dailies[[#This Row],[Valuables Equity]]+Dailies[[#This Row],[GSK Pension]]+Dailies[[#This Row],[Home Loan]]</f>
        <v>1180494.17</v>
      </c>
      <c r="AA854" s="402">
        <f>IF(ISNUMBER(C853),Dailies[[#This Row],[CIBC RRSP]]-C853-Dailies[[#This Row],[CIBC RRSP Principal Delta]],0)</f>
        <v>0</v>
      </c>
      <c r="AB854" s="402">
        <f>IF(ISNUMBER(D853),Dailies[[#This Row],[CIBC RESP]]-D853-Dailies[[#This Row],[CIBC RESP Principal Delta]],0)</f>
        <v>32.480000000003201</v>
      </c>
      <c r="AC854" s="402">
        <f>IF(ISNUMBER(E853),Dailies[[#This Row],[QT RRSP]]-E853-Dailies[[#This Row],[QT RRSP Principal Delta]],0)</f>
        <v>1843</v>
      </c>
      <c r="AD854" s="402">
        <f>IF(ISNUMBER(G853),Dailies[[#This Row],[SunLife RRSP]]-G853-Dailies[[#This Row],[SunLife RRSP Principal Delta]],0)</f>
        <v>0</v>
      </c>
      <c r="AE854" s="315">
        <f>Dailies[[#This Row],[CIBC RRSP Daily $]]+Dailies[[#This Row],[QT RRSP Daily $]]+Dailies[[#This Row],[SunLife RRSP Daily $]]</f>
        <v>1843</v>
      </c>
      <c r="AF854" s="315">
        <f>Dailies[[#This Row],[RRSP Daily $]]+Dailies[[#This Row],[CIBC RESP Daily $]]</f>
        <v>1875.4800000000032</v>
      </c>
      <c r="AG854" s="401">
        <f>IF(ISNUMBER(AJ853),Dailies[[#This Row],[VOO]]-AJ853,0)</f>
        <v>0.93999999999999773</v>
      </c>
      <c r="AH854" s="362">
        <f>Dailies[[#This Row],[RRSP Daily $]]/Dailies[[#This Row],[RRSP Total]]</f>
        <v>4.9764445142772788E-3</v>
      </c>
      <c r="AI854" s="363">
        <f>IF(Dailies[[#This Row],[CIBC RESP]]&gt;0,Dailies[[#This Row],[CIBC RESP Daily $]]/Dailies[[#This Row],[CIBC RESP]],0)</f>
        <v>7.3569983446760974E-4</v>
      </c>
      <c r="AJ854" s="315">
        <f>VLOOKUP(Dailies[[#This Row],[Date]],Quotes[],MATCH("VOO",Quotes[#Headers],EXACT_MATCH))</f>
        <v>301.08999999999997</v>
      </c>
      <c r="AK854" s="314">
        <f>Dailies[[#This Row],[VOO Daily $]]/Dailies[[#This Row],[VOO]]</f>
        <v>3.1219901026271141E-3</v>
      </c>
      <c r="AL854" s="314">
        <f>Dailies[[#This Row],[RRSP Daily %]]-Dailies[[#This Row],[VOO Daily %]]</f>
        <v>1.8544544116501646E-3</v>
      </c>
      <c r="AM854" s="413">
        <f t="shared" si="13"/>
        <v>280.99004975124387</v>
      </c>
      <c r="AR854" s="333"/>
      <c r="AS854" s="333"/>
      <c r="AT854" s="333"/>
      <c r="AU854" s="333"/>
      <c r="AV854" s="333"/>
    </row>
    <row r="855" spans="2:48" s="330" customFormat="1" ht="28.15" customHeight="1" x14ac:dyDescent="0.25">
      <c r="B855" s="359">
        <v>43861</v>
      </c>
      <c r="C855" s="360">
        <v>0</v>
      </c>
      <c r="D855" s="360">
        <v>43693.72</v>
      </c>
      <c r="E855" s="329">
        <v>360617.23</v>
      </c>
      <c r="F855" s="329">
        <v>0</v>
      </c>
      <c r="G855" s="329">
        <v>5549.73</v>
      </c>
      <c r="H855" s="329"/>
      <c r="I855" s="329"/>
      <c r="J855" s="329"/>
      <c r="K855" s="329"/>
      <c r="L855" s="329"/>
      <c r="M855" s="329">
        <v>650000</v>
      </c>
      <c r="N855" s="329">
        <f t="shared" si="14"/>
        <v>22718</v>
      </c>
      <c r="O855" s="329">
        <f>900+700</f>
        <v>1600</v>
      </c>
      <c r="P855" s="329">
        <v>91683</v>
      </c>
      <c r="Q855" s="329">
        <v>0</v>
      </c>
      <c r="R855" s="315">
        <f>Dailies[[#This Row],[CIBC RRSP]]+Dailies[[#This Row],[QT RRSP]]+Dailies[[#This Row],[SunLife RRSP]]</f>
        <v>366166.95999999996</v>
      </c>
      <c r="S855" s="401">
        <f>S854+Dailies[[#This Row],[CIBC RRSP Principal Delta]]</f>
        <v>0</v>
      </c>
      <c r="T855" s="401">
        <f>T854+Dailies[[#This Row],[CIBC RESP Principal Delta]]</f>
        <v>37280.450000000004</v>
      </c>
      <c r="U855" s="402">
        <f>U854+Dailies[[#This Row],[QT RRSP Principal Delta]]</f>
        <v>318695.87</v>
      </c>
      <c r="V855" s="401">
        <f>V854+Dailies[[#This Row],[SunLife RRSP Principal Delta]]</f>
        <v>5291.77</v>
      </c>
      <c r="W855" s="315">
        <f>Dailies[[#This Row],[CIBC RRSP Principal]]+Dailies[[#This Row],[QT RRSP Principal]]+Dailies[[#This Row],[SunLife RRSP Principal]]</f>
        <v>323987.64</v>
      </c>
      <c r="X855" s="361">
        <f>Dailies[[#This Row],[CIBC RRSP Principal]]+Dailies[[#This Row],[CIBC RESP Principal]]+Dailies[[#This Row],[QT RRSP Principal]]+Dailies[[#This Row],[SunLife RRSP Principal]]</f>
        <v>361268.09</v>
      </c>
      <c r="Y855" s="315">
        <f>Dailies[[#This Row],[CIBC RRSP]]+Dailies[[#This Row],[CIBC RESP]]+Dailies[[#This Row],[QT RRSP]]+Dailies[[#This Row],[SunLife RRSP]]</f>
        <v>409860.67999999993</v>
      </c>
      <c r="Z855" s="313">
        <f>Dailies[[#This Row],[Portfolio Total]]+Dailies[[#This Row],[Home Equity]]+Dailies[[#This Row],[Car Equity]]+Dailies[[#This Row],[Valuables Equity]]+Dailies[[#This Row],[GSK Pension]]+Dailies[[#This Row],[Home Loan]]</f>
        <v>1175861.68</v>
      </c>
      <c r="AA855" s="402">
        <f>IF(ISNUMBER(C854),Dailies[[#This Row],[CIBC RRSP]]-C854-Dailies[[#This Row],[CIBC RRSP Principal Delta]],0)</f>
        <v>0</v>
      </c>
      <c r="AB855" s="402">
        <f>IF(ISNUMBER(D854),Dailies[[#This Row],[CIBC RESP]]-D854-Dailies[[#This Row],[CIBC RESP Principal Delta]],0)</f>
        <v>-454.72000000000116</v>
      </c>
      <c r="AC855" s="402">
        <f>IF(ISNUMBER(E854),Dailies[[#This Row],[QT RRSP]]-E854-Dailies[[#This Row],[QT RRSP Principal Delta]],0)</f>
        <v>-4177.7700000000186</v>
      </c>
      <c r="AD855" s="402">
        <f>IF(ISNUMBER(G854),Dailies[[#This Row],[SunLife RRSP]]-G854-Dailies[[#This Row],[SunLife RRSP Principal Delta]],0)</f>
        <v>0</v>
      </c>
      <c r="AE855" s="315">
        <f>Dailies[[#This Row],[CIBC RRSP Daily $]]+Dailies[[#This Row],[QT RRSP Daily $]]+Dailies[[#This Row],[SunLife RRSP Daily $]]</f>
        <v>-4177.7700000000186</v>
      </c>
      <c r="AF855" s="315">
        <f>Dailies[[#This Row],[RRSP Daily $]]+Dailies[[#This Row],[CIBC RESP Daily $]]</f>
        <v>-4632.4900000000198</v>
      </c>
      <c r="AG855" s="401">
        <f>IF(ISNUMBER(AJ854),Dailies[[#This Row],[VOO]]-AJ854,0)</f>
        <v>-5.3999999999999773</v>
      </c>
      <c r="AH855" s="362">
        <f>Dailies[[#This Row],[RRSP Daily $]]/Dailies[[#This Row],[RRSP Total]]</f>
        <v>-1.1409467418906444E-2</v>
      </c>
      <c r="AI855" s="363">
        <f>IF(Dailies[[#This Row],[CIBC RESP]]&gt;0,Dailies[[#This Row],[CIBC RESP Daily $]]/Dailies[[#This Row],[CIBC RESP]],0)</f>
        <v>-1.0406987548782781E-2</v>
      </c>
      <c r="AJ855" s="315">
        <f>VLOOKUP(Dailies[[#This Row],[Date]],Quotes[],MATCH("VOO",Quotes[#Headers],EXACT_MATCH))</f>
        <v>295.69</v>
      </c>
      <c r="AK855" s="314">
        <f>Dailies[[#This Row],[VOO Daily $]]/Dailies[[#This Row],[VOO]]</f>
        <v>-1.82623693733301E-2</v>
      </c>
      <c r="AL855" s="314">
        <f>Dailies[[#This Row],[RRSP Daily %]]-Dailies[[#This Row],[VOO Daily %]]</f>
        <v>6.8529019544236562E-3</v>
      </c>
      <c r="AM855" s="413">
        <f t="shared" si="13"/>
        <v>281.11432835820898</v>
      </c>
      <c r="AR855" s="333"/>
      <c r="AS855" s="333"/>
      <c r="AT855" s="333"/>
      <c r="AU855" s="333"/>
      <c r="AV855" s="333"/>
    </row>
    <row r="856" spans="2:48" s="330" customFormat="1" ht="28.15" customHeight="1" x14ac:dyDescent="0.25">
      <c r="B856" s="359">
        <v>43862</v>
      </c>
      <c r="C856" s="360">
        <v>0</v>
      </c>
      <c r="D856" s="360">
        <v>43693.72</v>
      </c>
      <c r="E856" s="329">
        <v>360617.23</v>
      </c>
      <c r="F856" s="329">
        <v>0</v>
      </c>
      <c r="G856" s="329">
        <v>5549.73</v>
      </c>
      <c r="H856" s="329"/>
      <c r="I856" s="329"/>
      <c r="J856" s="329"/>
      <c r="K856" s="329"/>
      <c r="L856" s="329"/>
      <c r="M856" s="329">
        <v>650000</v>
      </c>
      <c r="N856" s="329">
        <f t="shared" si="14"/>
        <v>22718</v>
      </c>
      <c r="O856" s="329">
        <f t="shared" ref="O856:O919" si="15">900+700</f>
        <v>1600</v>
      </c>
      <c r="P856" s="329">
        <v>91683</v>
      </c>
      <c r="Q856" s="329">
        <v>0</v>
      </c>
      <c r="R856" s="315">
        <f>Dailies[[#This Row],[CIBC RRSP]]+Dailies[[#This Row],[QT RRSP]]+Dailies[[#This Row],[SunLife RRSP]]</f>
        <v>366166.95999999996</v>
      </c>
      <c r="S856" s="401">
        <f>S855+Dailies[[#This Row],[CIBC RRSP Principal Delta]]</f>
        <v>0</v>
      </c>
      <c r="T856" s="401">
        <f>T855+Dailies[[#This Row],[CIBC RESP Principal Delta]]</f>
        <v>37280.450000000004</v>
      </c>
      <c r="U856" s="402">
        <f>U855+Dailies[[#This Row],[QT RRSP Principal Delta]]</f>
        <v>318695.87</v>
      </c>
      <c r="V856" s="401">
        <f>V855+Dailies[[#This Row],[SunLife RRSP Principal Delta]]</f>
        <v>5291.77</v>
      </c>
      <c r="W856" s="315">
        <f>Dailies[[#This Row],[CIBC RRSP Principal]]+Dailies[[#This Row],[QT RRSP Principal]]+Dailies[[#This Row],[SunLife RRSP Principal]]</f>
        <v>323987.64</v>
      </c>
      <c r="X856" s="361">
        <f>Dailies[[#This Row],[CIBC RRSP Principal]]+Dailies[[#This Row],[CIBC RESP Principal]]+Dailies[[#This Row],[QT RRSP Principal]]+Dailies[[#This Row],[SunLife RRSP Principal]]</f>
        <v>361268.09</v>
      </c>
      <c r="Y856" s="315">
        <f>Dailies[[#This Row],[CIBC RRSP]]+Dailies[[#This Row],[CIBC RESP]]+Dailies[[#This Row],[QT RRSP]]+Dailies[[#This Row],[SunLife RRSP]]</f>
        <v>409860.67999999993</v>
      </c>
      <c r="Z856" s="313">
        <f>Dailies[[#This Row],[Portfolio Total]]+Dailies[[#This Row],[Home Equity]]+Dailies[[#This Row],[Car Equity]]+Dailies[[#This Row],[Valuables Equity]]+Dailies[[#This Row],[GSK Pension]]+Dailies[[#This Row],[Home Loan]]</f>
        <v>1175861.68</v>
      </c>
      <c r="AA856" s="402">
        <f>IF(ISNUMBER(C855),Dailies[[#This Row],[CIBC RRSP]]-C855-Dailies[[#This Row],[CIBC RRSP Principal Delta]],0)</f>
        <v>0</v>
      </c>
      <c r="AB856" s="402">
        <f>IF(ISNUMBER(D855),Dailies[[#This Row],[CIBC RESP]]-D855-Dailies[[#This Row],[CIBC RESP Principal Delta]],0)</f>
        <v>0</v>
      </c>
      <c r="AC856" s="402">
        <f>IF(ISNUMBER(E855),Dailies[[#This Row],[QT RRSP]]-E855-Dailies[[#This Row],[QT RRSP Principal Delta]],0)</f>
        <v>0</v>
      </c>
      <c r="AD856" s="402">
        <f>IF(ISNUMBER(G855),Dailies[[#This Row],[SunLife RRSP]]-G855-Dailies[[#This Row],[SunLife RRSP Principal Delta]],0)</f>
        <v>0</v>
      </c>
      <c r="AE856" s="315">
        <f>Dailies[[#This Row],[CIBC RRSP Daily $]]+Dailies[[#This Row],[QT RRSP Daily $]]+Dailies[[#This Row],[SunLife RRSP Daily $]]</f>
        <v>0</v>
      </c>
      <c r="AF856" s="315">
        <f>Dailies[[#This Row],[RRSP Daily $]]+Dailies[[#This Row],[CIBC RESP Daily $]]</f>
        <v>0</v>
      </c>
      <c r="AG856" s="401">
        <f>IF(ISNUMBER(AJ855),Dailies[[#This Row],[VOO]]-AJ855,0)</f>
        <v>0</v>
      </c>
      <c r="AH856" s="362">
        <f>Dailies[[#This Row],[RRSP Daily $]]/Dailies[[#This Row],[RRSP Total]]</f>
        <v>0</v>
      </c>
      <c r="AI856" s="363">
        <f>IF(Dailies[[#This Row],[CIBC RESP]]&gt;0,Dailies[[#This Row],[CIBC RESP Daily $]]/Dailies[[#This Row],[CIBC RESP]],0)</f>
        <v>0</v>
      </c>
      <c r="AJ856" s="315">
        <f>VLOOKUP(Dailies[[#This Row],[Date]],Quotes[],MATCH("VOO",Quotes[#Headers],EXACT_MATCH))</f>
        <v>295.69</v>
      </c>
      <c r="AK856" s="314">
        <f>Dailies[[#This Row],[VOO Daily $]]/Dailies[[#This Row],[VOO]]</f>
        <v>0</v>
      </c>
      <c r="AL856" s="314">
        <f>Dailies[[#This Row],[RRSP Daily %]]-Dailies[[#This Row],[VOO Daily %]]</f>
        <v>0</v>
      </c>
      <c r="AM856" s="413">
        <f t="shared" si="13"/>
        <v>281.21174129353238</v>
      </c>
      <c r="AR856" s="333"/>
      <c r="AS856" s="333"/>
      <c r="AT856" s="333"/>
      <c r="AU856" s="333"/>
      <c r="AV856" s="333"/>
    </row>
    <row r="857" spans="2:48" s="330" customFormat="1" ht="28.15" customHeight="1" x14ac:dyDescent="0.25">
      <c r="B857" s="359">
        <v>43863</v>
      </c>
      <c r="C857" s="360">
        <v>0</v>
      </c>
      <c r="D857" s="360">
        <v>43693.72</v>
      </c>
      <c r="E857" s="329">
        <v>360617.23</v>
      </c>
      <c r="F857" s="329">
        <v>0</v>
      </c>
      <c r="G857" s="329">
        <v>5549.73</v>
      </c>
      <c r="H857" s="329"/>
      <c r="I857" s="329"/>
      <c r="J857" s="329"/>
      <c r="K857" s="329"/>
      <c r="L857" s="329"/>
      <c r="M857" s="329">
        <v>650000</v>
      </c>
      <c r="N857" s="329">
        <f t="shared" si="14"/>
        <v>22718</v>
      </c>
      <c r="O857" s="329">
        <f t="shared" si="15"/>
        <v>1600</v>
      </c>
      <c r="P857" s="329">
        <v>91683</v>
      </c>
      <c r="Q857" s="329">
        <v>0</v>
      </c>
      <c r="R857" s="315">
        <f>Dailies[[#This Row],[CIBC RRSP]]+Dailies[[#This Row],[QT RRSP]]+Dailies[[#This Row],[SunLife RRSP]]</f>
        <v>366166.95999999996</v>
      </c>
      <c r="S857" s="401">
        <f>S856+Dailies[[#This Row],[CIBC RRSP Principal Delta]]</f>
        <v>0</v>
      </c>
      <c r="T857" s="401">
        <f>T856+Dailies[[#This Row],[CIBC RESP Principal Delta]]</f>
        <v>37280.450000000004</v>
      </c>
      <c r="U857" s="402">
        <f>U856+Dailies[[#This Row],[QT RRSP Principal Delta]]</f>
        <v>318695.87</v>
      </c>
      <c r="V857" s="401">
        <f>V856+Dailies[[#This Row],[SunLife RRSP Principal Delta]]</f>
        <v>5291.77</v>
      </c>
      <c r="W857" s="315">
        <f>Dailies[[#This Row],[CIBC RRSP Principal]]+Dailies[[#This Row],[QT RRSP Principal]]+Dailies[[#This Row],[SunLife RRSP Principal]]</f>
        <v>323987.64</v>
      </c>
      <c r="X857" s="361">
        <f>Dailies[[#This Row],[CIBC RRSP Principal]]+Dailies[[#This Row],[CIBC RESP Principal]]+Dailies[[#This Row],[QT RRSP Principal]]+Dailies[[#This Row],[SunLife RRSP Principal]]</f>
        <v>361268.09</v>
      </c>
      <c r="Y857" s="315">
        <f>Dailies[[#This Row],[CIBC RRSP]]+Dailies[[#This Row],[CIBC RESP]]+Dailies[[#This Row],[QT RRSP]]+Dailies[[#This Row],[SunLife RRSP]]</f>
        <v>409860.67999999993</v>
      </c>
      <c r="Z857" s="313">
        <f>Dailies[[#This Row],[Portfolio Total]]+Dailies[[#This Row],[Home Equity]]+Dailies[[#This Row],[Car Equity]]+Dailies[[#This Row],[Valuables Equity]]+Dailies[[#This Row],[GSK Pension]]+Dailies[[#This Row],[Home Loan]]</f>
        <v>1175861.68</v>
      </c>
      <c r="AA857" s="402">
        <f>IF(ISNUMBER(C856),Dailies[[#This Row],[CIBC RRSP]]-C856-Dailies[[#This Row],[CIBC RRSP Principal Delta]],0)</f>
        <v>0</v>
      </c>
      <c r="AB857" s="402">
        <f>IF(ISNUMBER(D856),Dailies[[#This Row],[CIBC RESP]]-D856-Dailies[[#This Row],[CIBC RESP Principal Delta]],0)</f>
        <v>0</v>
      </c>
      <c r="AC857" s="402">
        <f>IF(ISNUMBER(E856),Dailies[[#This Row],[QT RRSP]]-E856-Dailies[[#This Row],[QT RRSP Principal Delta]],0)</f>
        <v>0</v>
      </c>
      <c r="AD857" s="402">
        <f>IF(ISNUMBER(G856),Dailies[[#This Row],[SunLife RRSP]]-G856-Dailies[[#This Row],[SunLife RRSP Principal Delta]],0)</f>
        <v>0</v>
      </c>
      <c r="AE857" s="315">
        <f>Dailies[[#This Row],[CIBC RRSP Daily $]]+Dailies[[#This Row],[QT RRSP Daily $]]+Dailies[[#This Row],[SunLife RRSP Daily $]]</f>
        <v>0</v>
      </c>
      <c r="AF857" s="315">
        <f>Dailies[[#This Row],[RRSP Daily $]]+Dailies[[#This Row],[CIBC RESP Daily $]]</f>
        <v>0</v>
      </c>
      <c r="AG857" s="401">
        <f>IF(ISNUMBER(AJ856),Dailies[[#This Row],[VOO]]-AJ856,0)</f>
        <v>0</v>
      </c>
      <c r="AH857" s="362">
        <f>Dailies[[#This Row],[RRSP Daily $]]/Dailies[[#This Row],[RRSP Total]]</f>
        <v>0</v>
      </c>
      <c r="AI857" s="363">
        <f>IF(Dailies[[#This Row],[CIBC RESP]]&gt;0,Dailies[[#This Row],[CIBC RESP Daily $]]/Dailies[[#This Row],[CIBC RESP]],0)</f>
        <v>0</v>
      </c>
      <c r="AJ857" s="315">
        <f>VLOOKUP(Dailies[[#This Row],[Date]],Quotes[],MATCH("VOO",Quotes[#Headers],EXACT_MATCH))</f>
        <v>295.69</v>
      </c>
      <c r="AK857" s="314">
        <f>Dailies[[#This Row],[VOO Daily $]]/Dailies[[#This Row],[VOO]]</f>
        <v>0</v>
      </c>
      <c r="AL857" s="314">
        <f>Dailies[[#This Row],[RRSP Daily %]]-Dailies[[#This Row],[VOO Daily %]]</f>
        <v>0</v>
      </c>
      <c r="AM857" s="413">
        <f t="shared" si="13"/>
        <v>281.30880597014931</v>
      </c>
      <c r="AR857" s="333"/>
      <c r="AS857" s="333"/>
      <c r="AT857" s="333"/>
      <c r="AU857" s="333"/>
      <c r="AV857" s="333"/>
    </row>
    <row r="858" spans="2:48" s="330" customFormat="1" ht="28.15" customHeight="1" x14ac:dyDescent="0.25">
      <c r="B858" s="359">
        <v>43864</v>
      </c>
      <c r="C858" s="360">
        <v>0</v>
      </c>
      <c r="D858" s="360">
        <v>44327.08</v>
      </c>
      <c r="E858" s="329">
        <v>362985</v>
      </c>
      <c r="F858" s="329">
        <v>0</v>
      </c>
      <c r="G858" s="329">
        <v>5549.73</v>
      </c>
      <c r="H858" s="329"/>
      <c r="I858" s="329"/>
      <c r="J858" s="329"/>
      <c r="K858" s="329"/>
      <c r="L858" s="329"/>
      <c r="M858" s="329">
        <v>650000</v>
      </c>
      <c r="N858" s="329">
        <f t="shared" si="14"/>
        <v>22718</v>
      </c>
      <c r="O858" s="329">
        <f t="shared" si="15"/>
        <v>1600</v>
      </c>
      <c r="P858" s="329">
        <v>91683</v>
      </c>
      <c r="Q858" s="329">
        <v>0</v>
      </c>
      <c r="R858" s="315">
        <f>Dailies[[#This Row],[CIBC RRSP]]+Dailies[[#This Row],[QT RRSP]]+Dailies[[#This Row],[SunLife RRSP]]</f>
        <v>368534.73</v>
      </c>
      <c r="S858" s="401">
        <f>S857+Dailies[[#This Row],[CIBC RRSP Principal Delta]]</f>
        <v>0</v>
      </c>
      <c r="T858" s="401">
        <f>T857+Dailies[[#This Row],[CIBC RESP Principal Delta]]</f>
        <v>37280.450000000004</v>
      </c>
      <c r="U858" s="402">
        <f>U857+Dailies[[#This Row],[QT RRSP Principal Delta]]</f>
        <v>318695.87</v>
      </c>
      <c r="V858" s="401">
        <f>V857+Dailies[[#This Row],[SunLife RRSP Principal Delta]]</f>
        <v>5291.77</v>
      </c>
      <c r="W858" s="315">
        <f>Dailies[[#This Row],[CIBC RRSP Principal]]+Dailies[[#This Row],[QT RRSP Principal]]+Dailies[[#This Row],[SunLife RRSP Principal]]</f>
        <v>323987.64</v>
      </c>
      <c r="X858" s="361">
        <f>Dailies[[#This Row],[CIBC RRSP Principal]]+Dailies[[#This Row],[CIBC RESP Principal]]+Dailies[[#This Row],[QT RRSP Principal]]+Dailies[[#This Row],[SunLife RRSP Principal]]</f>
        <v>361268.09</v>
      </c>
      <c r="Y858" s="315">
        <f>Dailies[[#This Row],[CIBC RRSP]]+Dailies[[#This Row],[CIBC RESP]]+Dailies[[#This Row],[QT RRSP]]+Dailies[[#This Row],[SunLife RRSP]]</f>
        <v>412861.81</v>
      </c>
      <c r="Z858" s="313">
        <f>Dailies[[#This Row],[Portfolio Total]]+Dailies[[#This Row],[Home Equity]]+Dailies[[#This Row],[Car Equity]]+Dailies[[#This Row],[Valuables Equity]]+Dailies[[#This Row],[GSK Pension]]+Dailies[[#This Row],[Home Loan]]</f>
        <v>1178862.81</v>
      </c>
      <c r="AA858" s="402">
        <f>IF(ISNUMBER(C857),Dailies[[#This Row],[CIBC RRSP]]-C857-Dailies[[#This Row],[CIBC RRSP Principal Delta]],0)</f>
        <v>0</v>
      </c>
      <c r="AB858" s="402">
        <f>IF(ISNUMBER(D857),Dailies[[#This Row],[CIBC RESP]]-D857-Dailies[[#This Row],[CIBC RESP Principal Delta]],0)</f>
        <v>633.36000000000058</v>
      </c>
      <c r="AC858" s="402">
        <f>IF(ISNUMBER(E857),Dailies[[#This Row],[QT RRSP]]-E857-Dailies[[#This Row],[QT RRSP Principal Delta]],0)</f>
        <v>2367.7700000000186</v>
      </c>
      <c r="AD858" s="402">
        <f>IF(ISNUMBER(G857),Dailies[[#This Row],[SunLife RRSP]]-G857-Dailies[[#This Row],[SunLife RRSP Principal Delta]],0)</f>
        <v>0</v>
      </c>
      <c r="AE858" s="315">
        <f>Dailies[[#This Row],[CIBC RRSP Daily $]]+Dailies[[#This Row],[QT RRSP Daily $]]+Dailies[[#This Row],[SunLife RRSP Daily $]]</f>
        <v>2367.7700000000186</v>
      </c>
      <c r="AF858" s="315">
        <f>Dailies[[#This Row],[RRSP Daily $]]+Dailies[[#This Row],[CIBC RESP Daily $]]</f>
        <v>3001.1300000000192</v>
      </c>
      <c r="AG858" s="401">
        <f>IF(ISNUMBER(AJ857),Dailies[[#This Row],[VOO]]-AJ857,0)</f>
        <v>2.1499999999999773</v>
      </c>
      <c r="AH858" s="362">
        <f>Dailies[[#This Row],[RRSP Daily $]]/Dailies[[#This Row],[RRSP Total]]</f>
        <v>6.4248218885639861E-3</v>
      </c>
      <c r="AI858" s="363">
        <f>IF(Dailies[[#This Row],[CIBC RESP]]&gt;0,Dailies[[#This Row],[CIBC RESP Daily $]]/Dailies[[#This Row],[CIBC RESP]],0)</f>
        <v>1.4288331196189791E-2</v>
      </c>
      <c r="AJ858" s="315">
        <f>VLOOKUP(Dailies[[#This Row],[Date]],Quotes[],MATCH("VOO",Quotes[#Headers],EXACT_MATCH))</f>
        <v>297.83999999999997</v>
      </c>
      <c r="AK858" s="314">
        <f>Dailies[[#This Row],[VOO Daily $]]/Dailies[[#This Row],[VOO]]</f>
        <v>7.2186408810098624E-3</v>
      </c>
      <c r="AL858" s="314">
        <f>Dailies[[#This Row],[RRSP Daily %]]-Dailies[[#This Row],[VOO Daily %]]</f>
        <v>-7.938189924458763E-4</v>
      </c>
      <c r="AM858" s="413">
        <f t="shared" si="13"/>
        <v>281.41034825870656</v>
      </c>
      <c r="AR858" s="333"/>
      <c r="AS858" s="333"/>
      <c r="AT858" s="333"/>
      <c r="AU858" s="333"/>
      <c r="AV858" s="333"/>
    </row>
    <row r="859" spans="2:48" s="330" customFormat="1" ht="28.15" customHeight="1" x14ac:dyDescent="0.25">
      <c r="B859" s="359">
        <v>43865</v>
      </c>
      <c r="C859" s="360">
        <v>0</v>
      </c>
      <c r="D859" s="360">
        <v>44481.36</v>
      </c>
      <c r="E859" s="329">
        <v>365874.55</v>
      </c>
      <c r="F859" s="329">
        <v>0</v>
      </c>
      <c r="G859" s="329">
        <v>5549.73</v>
      </c>
      <c r="H859" s="329"/>
      <c r="I859" s="329"/>
      <c r="J859" s="329"/>
      <c r="K859" s="329"/>
      <c r="L859" s="329"/>
      <c r="M859" s="329">
        <v>650000</v>
      </c>
      <c r="N859" s="329">
        <f t="shared" si="14"/>
        <v>22718</v>
      </c>
      <c r="O859" s="329">
        <f t="shared" si="15"/>
        <v>1600</v>
      </c>
      <c r="P859" s="329">
        <v>91683</v>
      </c>
      <c r="Q859" s="329">
        <v>0</v>
      </c>
      <c r="R859" s="315">
        <f>Dailies[[#This Row],[CIBC RRSP]]+Dailies[[#This Row],[QT RRSP]]+Dailies[[#This Row],[SunLife RRSP]]</f>
        <v>371424.27999999997</v>
      </c>
      <c r="S859" s="401">
        <f>S858+Dailies[[#This Row],[CIBC RRSP Principal Delta]]</f>
        <v>0</v>
      </c>
      <c r="T859" s="401">
        <f>T858+Dailies[[#This Row],[CIBC RESP Principal Delta]]</f>
        <v>37280.450000000004</v>
      </c>
      <c r="U859" s="402">
        <f>U858+Dailies[[#This Row],[QT RRSP Principal Delta]]</f>
        <v>318695.87</v>
      </c>
      <c r="V859" s="401">
        <f>V858+Dailies[[#This Row],[SunLife RRSP Principal Delta]]</f>
        <v>5291.77</v>
      </c>
      <c r="W859" s="315">
        <f>Dailies[[#This Row],[CIBC RRSP Principal]]+Dailies[[#This Row],[QT RRSP Principal]]+Dailies[[#This Row],[SunLife RRSP Principal]]</f>
        <v>323987.64</v>
      </c>
      <c r="X859" s="361">
        <f>Dailies[[#This Row],[CIBC RRSP Principal]]+Dailies[[#This Row],[CIBC RESP Principal]]+Dailies[[#This Row],[QT RRSP Principal]]+Dailies[[#This Row],[SunLife RRSP Principal]]</f>
        <v>361268.09</v>
      </c>
      <c r="Y859" s="315">
        <f>Dailies[[#This Row],[CIBC RRSP]]+Dailies[[#This Row],[CIBC RESP]]+Dailies[[#This Row],[QT RRSP]]+Dailies[[#This Row],[SunLife RRSP]]</f>
        <v>415905.63999999996</v>
      </c>
      <c r="Z859" s="313">
        <f>Dailies[[#This Row],[Portfolio Total]]+Dailies[[#This Row],[Home Equity]]+Dailies[[#This Row],[Car Equity]]+Dailies[[#This Row],[Valuables Equity]]+Dailies[[#This Row],[GSK Pension]]+Dailies[[#This Row],[Home Loan]]</f>
        <v>1181906.6399999999</v>
      </c>
      <c r="AA859" s="402">
        <f>IF(ISNUMBER(C858),Dailies[[#This Row],[CIBC RRSP]]-C858-Dailies[[#This Row],[CIBC RRSP Principal Delta]],0)</f>
        <v>0</v>
      </c>
      <c r="AB859" s="402">
        <f>IF(ISNUMBER(D858),Dailies[[#This Row],[CIBC RESP]]-D858-Dailies[[#This Row],[CIBC RESP Principal Delta]],0)</f>
        <v>154.27999999999884</v>
      </c>
      <c r="AC859" s="402">
        <f>IF(ISNUMBER(E858),Dailies[[#This Row],[QT RRSP]]-E858-Dailies[[#This Row],[QT RRSP Principal Delta]],0)</f>
        <v>2889.5499999999884</v>
      </c>
      <c r="AD859" s="402">
        <f>IF(ISNUMBER(G858),Dailies[[#This Row],[SunLife RRSP]]-G858-Dailies[[#This Row],[SunLife RRSP Principal Delta]],0)</f>
        <v>0</v>
      </c>
      <c r="AE859" s="315">
        <f>Dailies[[#This Row],[CIBC RRSP Daily $]]+Dailies[[#This Row],[QT RRSP Daily $]]+Dailies[[#This Row],[SunLife RRSP Daily $]]</f>
        <v>2889.5499999999884</v>
      </c>
      <c r="AF859" s="315">
        <f>Dailies[[#This Row],[RRSP Daily $]]+Dailies[[#This Row],[CIBC RESP Daily $]]</f>
        <v>3043.8299999999872</v>
      </c>
      <c r="AG859" s="401">
        <f>IF(ISNUMBER(AJ858),Dailies[[#This Row],[VOO]]-AJ858,0)</f>
        <v>4.5900000000000318</v>
      </c>
      <c r="AH859" s="362">
        <f>Dailies[[#This Row],[RRSP Daily $]]/Dailies[[#This Row],[RRSP Total]]</f>
        <v>7.7796475771588994E-3</v>
      </c>
      <c r="AI859" s="363">
        <f>IF(Dailies[[#This Row],[CIBC RESP]]&gt;0,Dailies[[#This Row],[CIBC RESP Daily $]]/Dailies[[#This Row],[CIBC RESP]],0)</f>
        <v>3.4684191310697071E-3</v>
      </c>
      <c r="AJ859" s="315">
        <f>VLOOKUP(Dailies[[#This Row],[Date]],Quotes[],MATCH("VOO",Quotes[#Headers],EXACT_MATCH))</f>
        <v>302.43</v>
      </c>
      <c r="AK859" s="314">
        <f>Dailies[[#This Row],[VOO Daily $]]/Dailies[[#This Row],[VOO]]</f>
        <v>1.5177065767285097E-2</v>
      </c>
      <c r="AL859" s="314">
        <f>Dailies[[#This Row],[RRSP Daily %]]-Dailies[[#This Row],[VOO Daily %]]</f>
        <v>-7.3974181901261971E-3</v>
      </c>
      <c r="AM859" s="413">
        <f t="shared" si="13"/>
        <v>281.53184079601999</v>
      </c>
      <c r="AR859" s="333"/>
      <c r="AS859" s="333"/>
      <c r="AT859" s="333"/>
      <c r="AU859" s="333"/>
      <c r="AV859" s="333"/>
    </row>
    <row r="860" spans="2:48" s="330" customFormat="1" ht="28.15" customHeight="1" x14ac:dyDescent="0.25">
      <c r="B860" s="359">
        <v>43866</v>
      </c>
      <c r="C860" s="360">
        <v>0</v>
      </c>
      <c r="D860" s="360">
        <v>45130.96</v>
      </c>
      <c r="E860" s="329">
        <v>369174.29</v>
      </c>
      <c r="F860" s="329">
        <v>0</v>
      </c>
      <c r="G860" s="329">
        <v>5549.73</v>
      </c>
      <c r="H860" s="329"/>
      <c r="I860" s="329"/>
      <c r="J860" s="329"/>
      <c r="K860" s="329"/>
      <c r="L860" s="329"/>
      <c r="M860" s="329">
        <v>650000</v>
      </c>
      <c r="N860" s="329">
        <f t="shared" si="14"/>
        <v>22718</v>
      </c>
      <c r="O860" s="329">
        <f t="shared" si="15"/>
        <v>1600</v>
      </c>
      <c r="P860" s="329">
        <v>91683</v>
      </c>
      <c r="Q860" s="329">
        <v>0</v>
      </c>
      <c r="R860" s="315">
        <f>Dailies[[#This Row],[CIBC RRSP]]+Dailies[[#This Row],[QT RRSP]]+Dailies[[#This Row],[SunLife RRSP]]</f>
        <v>374724.01999999996</v>
      </c>
      <c r="S860" s="401">
        <f>S859+Dailies[[#This Row],[CIBC RRSP Principal Delta]]</f>
        <v>0</v>
      </c>
      <c r="T860" s="401">
        <f>T859+Dailies[[#This Row],[CIBC RESP Principal Delta]]</f>
        <v>37280.450000000004</v>
      </c>
      <c r="U860" s="402">
        <f>U859+Dailies[[#This Row],[QT RRSP Principal Delta]]</f>
        <v>318695.87</v>
      </c>
      <c r="V860" s="401">
        <f>V859+Dailies[[#This Row],[SunLife RRSP Principal Delta]]</f>
        <v>5291.77</v>
      </c>
      <c r="W860" s="315">
        <f>Dailies[[#This Row],[CIBC RRSP Principal]]+Dailies[[#This Row],[QT RRSP Principal]]+Dailies[[#This Row],[SunLife RRSP Principal]]</f>
        <v>323987.64</v>
      </c>
      <c r="X860" s="361">
        <f>Dailies[[#This Row],[CIBC RRSP Principal]]+Dailies[[#This Row],[CIBC RESP Principal]]+Dailies[[#This Row],[QT RRSP Principal]]+Dailies[[#This Row],[SunLife RRSP Principal]]</f>
        <v>361268.09</v>
      </c>
      <c r="Y860" s="315">
        <f>Dailies[[#This Row],[CIBC RRSP]]+Dailies[[#This Row],[CIBC RESP]]+Dailies[[#This Row],[QT RRSP]]+Dailies[[#This Row],[SunLife RRSP]]</f>
        <v>419854.98</v>
      </c>
      <c r="Z860" s="313">
        <f>Dailies[[#This Row],[Portfolio Total]]+Dailies[[#This Row],[Home Equity]]+Dailies[[#This Row],[Car Equity]]+Dailies[[#This Row],[Valuables Equity]]+Dailies[[#This Row],[GSK Pension]]+Dailies[[#This Row],[Home Loan]]</f>
        <v>1185855.98</v>
      </c>
      <c r="AA860" s="402">
        <f>IF(ISNUMBER(C859),Dailies[[#This Row],[CIBC RRSP]]-C859-Dailies[[#This Row],[CIBC RRSP Principal Delta]],0)</f>
        <v>0</v>
      </c>
      <c r="AB860" s="402">
        <f>IF(ISNUMBER(D859),Dailies[[#This Row],[CIBC RESP]]-D859-Dailies[[#This Row],[CIBC RESP Principal Delta]],0)</f>
        <v>649.59999999999854</v>
      </c>
      <c r="AC860" s="402">
        <f>IF(ISNUMBER(E859),Dailies[[#This Row],[QT RRSP]]-E859-Dailies[[#This Row],[QT RRSP Principal Delta]],0)</f>
        <v>3299.7399999999907</v>
      </c>
      <c r="AD860" s="402">
        <f>IF(ISNUMBER(G859),Dailies[[#This Row],[SunLife RRSP]]-G859-Dailies[[#This Row],[SunLife RRSP Principal Delta]],0)</f>
        <v>0</v>
      </c>
      <c r="AE860" s="315">
        <f>Dailies[[#This Row],[CIBC RRSP Daily $]]+Dailies[[#This Row],[QT RRSP Daily $]]+Dailies[[#This Row],[SunLife RRSP Daily $]]</f>
        <v>3299.7399999999907</v>
      </c>
      <c r="AF860" s="315">
        <f>Dailies[[#This Row],[RRSP Daily $]]+Dailies[[#This Row],[CIBC RESP Daily $]]</f>
        <v>3949.3399999999892</v>
      </c>
      <c r="AG860" s="401">
        <f>IF(ISNUMBER(AJ859),Dailies[[#This Row],[VOO]]-AJ859,0)</f>
        <v>3.4200000000000159</v>
      </c>
      <c r="AH860" s="362">
        <f>Dailies[[#This Row],[RRSP Daily $]]/Dailies[[#This Row],[RRSP Total]]</f>
        <v>8.8057872564454003E-3</v>
      </c>
      <c r="AI860" s="363">
        <f>IF(Dailies[[#This Row],[CIBC RESP]]&gt;0,Dailies[[#This Row],[CIBC RESP Daily $]]/Dailies[[#This Row],[CIBC RESP]],0)</f>
        <v>1.4393666786613859E-2</v>
      </c>
      <c r="AJ860" s="315">
        <f>VLOOKUP(Dailies[[#This Row],[Date]],Quotes[],MATCH("VOO",Quotes[#Headers],EXACT_MATCH))</f>
        <v>305.85000000000002</v>
      </c>
      <c r="AK860" s="314">
        <f>Dailies[[#This Row],[VOO Daily $]]/Dailies[[#This Row],[VOO]]</f>
        <v>1.1181951937224181E-2</v>
      </c>
      <c r="AL860" s="314">
        <f>Dailies[[#This Row],[RRSP Daily %]]-Dailies[[#This Row],[VOO Daily %]]</f>
        <v>-2.3761646807787806E-3</v>
      </c>
      <c r="AM860" s="413">
        <f t="shared" si="13"/>
        <v>281.67119402985082</v>
      </c>
      <c r="AR860" s="333"/>
      <c r="AS860" s="333"/>
      <c r="AT860" s="333"/>
      <c r="AU860" s="333"/>
      <c r="AV860" s="333"/>
    </row>
    <row r="861" spans="2:48" s="330" customFormat="1" ht="28.15" customHeight="1" x14ac:dyDescent="0.25">
      <c r="B861" s="359">
        <v>43867</v>
      </c>
      <c r="C861" s="360">
        <v>0</v>
      </c>
      <c r="D861" s="360">
        <v>45455.76</v>
      </c>
      <c r="E861" s="329">
        <v>372327</v>
      </c>
      <c r="F861" s="329">
        <v>0</v>
      </c>
      <c r="G861" s="329">
        <v>5549.73</v>
      </c>
      <c r="H861" s="329"/>
      <c r="I861" s="329"/>
      <c r="J861" s="329"/>
      <c r="K861" s="329"/>
      <c r="L861" s="329"/>
      <c r="M861" s="329">
        <v>650000</v>
      </c>
      <c r="N861" s="329">
        <f t="shared" si="14"/>
        <v>22718</v>
      </c>
      <c r="O861" s="329">
        <f t="shared" si="15"/>
        <v>1600</v>
      </c>
      <c r="P861" s="329">
        <v>91683</v>
      </c>
      <c r="Q861" s="329">
        <v>0</v>
      </c>
      <c r="R861" s="315">
        <f>Dailies[[#This Row],[CIBC RRSP]]+Dailies[[#This Row],[QT RRSP]]+Dailies[[#This Row],[SunLife RRSP]]</f>
        <v>377876.73</v>
      </c>
      <c r="S861" s="401">
        <f>S860+Dailies[[#This Row],[CIBC RRSP Principal Delta]]</f>
        <v>0</v>
      </c>
      <c r="T861" s="401">
        <f>T860+Dailies[[#This Row],[CIBC RESP Principal Delta]]</f>
        <v>37280.450000000004</v>
      </c>
      <c r="U861" s="402">
        <f>U860+Dailies[[#This Row],[QT RRSP Principal Delta]]</f>
        <v>318695.87</v>
      </c>
      <c r="V861" s="401">
        <f>V860+Dailies[[#This Row],[SunLife RRSP Principal Delta]]</f>
        <v>5291.77</v>
      </c>
      <c r="W861" s="315">
        <f>Dailies[[#This Row],[CIBC RRSP Principal]]+Dailies[[#This Row],[QT RRSP Principal]]+Dailies[[#This Row],[SunLife RRSP Principal]]</f>
        <v>323987.64</v>
      </c>
      <c r="X861" s="361">
        <f>Dailies[[#This Row],[CIBC RRSP Principal]]+Dailies[[#This Row],[CIBC RESP Principal]]+Dailies[[#This Row],[QT RRSP Principal]]+Dailies[[#This Row],[SunLife RRSP Principal]]</f>
        <v>361268.09</v>
      </c>
      <c r="Y861" s="315">
        <f>Dailies[[#This Row],[CIBC RRSP]]+Dailies[[#This Row],[CIBC RESP]]+Dailies[[#This Row],[QT RRSP]]+Dailies[[#This Row],[SunLife RRSP]]</f>
        <v>423332.49</v>
      </c>
      <c r="Z861" s="313">
        <f>Dailies[[#This Row],[Portfolio Total]]+Dailies[[#This Row],[Home Equity]]+Dailies[[#This Row],[Car Equity]]+Dailies[[#This Row],[Valuables Equity]]+Dailies[[#This Row],[GSK Pension]]+Dailies[[#This Row],[Home Loan]]</f>
        <v>1189333.49</v>
      </c>
      <c r="AA861" s="402">
        <f>IF(ISNUMBER(C860),Dailies[[#This Row],[CIBC RRSP]]-C860-Dailies[[#This Row],[CIBC RRSP Principal Delta]],0)</f>
        <v>0</v>
      </c>
      <c r="AB861" s="402">
        <f>IF(ISNUMBER(D860),Dailies[[#This Row],[CIBC RESP]]-D860-Dailies[[#This Row],[CIBC RESP Principal Delta]],0)</f>
        <v>324.80000000000291</v>
      </c>
      <c r="AC861" s="402">
        <f>IF(ISNUMBER(E860),Dailies[[#This Row],[QT RRSP]]-E860-Dailies[[#This Row],[QT RRSP Principal Delta]],0)</f>
        <v>3152.710000000021</v>
      </c>
      <c r="AD861" s="402">
        <f>IF(ISNUMBER(G860),Dailies[[#This Row],[SunLife RRSP]]-G860-Dailies[[#This Row],[SunLife RRSP Principal Delta]],0)</f>
        <v>0</v>
      </c>
      <c r="AE861" s="315">
        <f>Dailies[[#This Row],[CIBC RRSP Daily $]]+Dailies[[#This Row],[QT RRSP Daily $]]+Dailies[[#This Row],[SunLife RRSP Daily $]]</f>
        <v>3152.710000000021</v>
      </c>
      <c r="AF861" s="315">
        <f>Dailies[[#This Row],[RRSP Daily $]]+Dailies[[#This Row],[CIBC RESP Daily $]]</f>
        <v>3477.5100000000239</v>
      </c>
      <c r="AG861" s="401">
        <f>IF(ISNUMBER(AJ860),Dailies[[#This Row],[VOO]]-AJ860,0)</f>
        <v>1.0399999999999636</v>
      </c>
      <c r="AH861" s="362">
        <f>Dailies[[#This Row],[RRSP Daily $]]/Dailies[[#This Row],[RRSP Total]]</f>
        <v>8.3432234633765909E-3</v>
      </c>
      <c r="AI861" s="363">
        <f>IF(Dailies[[#This Row],[CIBC RESP]]&gt;0,Dailies[[#This Row],[CIBC RESP Daily $]]/Dailies[[#This Row],[CIBC RESP]],0)</f>
        <v>7.1454090746695884E-3</v>
      </c>
      <c r="AJ861" s="315">
        <f>VLOOKUP(Dailies[[#This Row],[Date]],Quotes[],MATCH("VOO",Quotes[#Headers],EXACT_MATCH))</f>
        <v>306.89</v>
      </c>
      <c r="AK861" s="314">
        <f>Dailies[[#This Row],[VOO Daily $]]/Dailies[[#This Row],[VOO]]</f>
        <v>3.3888363908891254E-3</v>
      </c>
      <c r="AL861" s="314">
        <f>Dailies[[#This Row],[RRSP Daily %]]-Dailies[[#This Row],[VOO Daily %]]</f>
        <v>4.954387072487465E-3</v>
      </c>
      <c r="AM861" s="413">
        <f t="shared" si="13"/>
        <v>281.8348756218906</v>
      </c>
      <c r="AR861" s="333"/>
      <c r="AS861" s="333"/>
      <c r="AT861" s="333"/>
      <c r="AU861" s="333"/>
      <c r="AV861" s="333"/>
    </row>
    <row r="862" spans="2:48" s="330" customFormat="1" ht="28.15" customHeight="1" x14ac:dyDescent="0.25">
      <c r="B862" s="359">
        <v>43868</v>
      </c>
      <c r="C862" s="360">
        <v>0</v>
      </c>
      <c r="D862" s="360">
        <v>45577.56</v>
      </c>
      <c r="E862" s="329">
        <v>373330</v>
      </c>
      <c r="F862" s="329">
        <v>0</v>
      </c>
      <c r="G862" s="329">
        <v>5549.73</v>
      </c>
      <c r="H862" s="329"/>
      <c r="I862" s="329"/>
      <c r="J862" s="329"/>
      <c r="K862" s="329"/>
      <c r="L862" s="329"/>
      <c r="M862" s="329">
        <v>650000</v>
      </c>
      <c r="N862" s="329">
        <f t="shared" si="14"/>
        <v>22718</v>
      </c>
      <c r="O862" s="329">
        <f t="shared" si="15"/>
        <v>1600</v>
      </c>
      <c r="P862" s="329">
        <v>91683</v>
      </c>
      <c r="Q862" s="329">
        <v>0</v>
      </c>
      <c r="R862" s="315">
        <f>Dailies[[#This Row],[CIBC RRSP]]+Dailies[[#This Row],[QT RRSP]]+Dailies[[#This Row],[SunLife RRSP]]</f>
        <v>378879.73</v>
      </c>
      <c r="S862" s="401">
        <f>S861+Dailies[[#This Row],[CIBC RRSP Principal Delta]]</f>
        <v>0</v>
      </c>
      <c r="T862" s="401">
        <f>T861+Dailies[[#This Row],[CIBC RESP Principal Delta]]</f>
        <v>37280.450000000004</v>
      </c>
      <c r="U862" s="402">
        <f>U861+Dailies[[#This Row],[QT RRSP Principal Delta]]</f>
        <v>318695.87</v>
      </c>
      <c r="V862" s="401">
        <f>V861+Dailies[[#This Row],[SunLife RRSP Principal Delta]]</f>
        <v>5291.77</v>
      </c>
      <c r="W862" s="315">
        <f>Dailies[[#This Row],[CIBC RRSP Principal]]+Dailies[[#This Row],[QT RRSP Principal]]+Dailies[[#This Row],[SunLife RRSP Principal]]</f>
        <v>323987.64</v>
      </c>
      <c r="X862" s="361">
        <f>Dailies[[#This Row],[CIBC RRSP Principal]]+Dailies[[#This Row],[CIBC RESP Principal]]+Dailies[[#This Row],[QT RRSP Principal]]+Dailies[[#This Row],[SunLife RRSP Principal]]</f>
        <v>361268.09</v>
      </c>
      <c r="Y862" s="315">
        <f>Dailies[[#This Row],[CIBC RRSP]]+Dailies[[#This Row],[CIBC RESP]]+Dailies[[#This Row],[QT RRSP]]+Dailies[[#This Row],[SunLife RRSP]]</f>
        <v>424457.29</v>
      </c>
      <c r="Z862" s="313">
        <f>Dailies[[#This Row],[Portfolio Total]]+Dailies[[#This Row],[Home Equity]]+Dailies[[#This Row],[Car Equity]]+Dailies[[#This Row],[Valuables Equity]]+Dailies[[#This Row],[GSK Pension]]+Dailies[[#This Row],[Home Loan]]</f>
        <v>1190458.29</v>
      </c>
      <c r="AA862" s="402">
        <f>IF(ISNUMBER(C861),Dailies[[#This Row],[CIBC RRSP]]-C861-Dailies[[#This Row],[CIBC RRSP Principal Delta]],0)</f>
        <v>0</v>
      </c>
      <c r="AB862" s="402">
        <f>IF(ISNUMBER(D861),Dailies[[#This Row],[CIBC RESP]]-D861-Dailies[[#This Row],[CIBC RESP Principal Delta]],0)</f>
        <v>121.79999999999563</v>
      </c>
      <c r="AC862" s="402">
        <f>IF(ISNUMBER(E861),Dailies[[#This Row],[QT RRSP]]-E861-Dailies[[#This Row],[QT RRSP Principal Delta]],0)</f>
        <v>1003</v>
      </c>
      <c r="AD862" s="402">
        <f>IF(ISNUMBER(G861),Dailies[[#This Row],[SunLife RRSP]]-G861-Dailies[[#This Row],[SunLife RRSP Principal Delta]],0)</f>
        <v>0</v>
      </c>
      <c r="AE862" s="315">
        <f>Dailies[[#This Row],[CIBC RRSP Daily $]]+Dailies[[#This Row],[QT RRSP Daily $]]+Dailies[[#This Row],[SunLife RRSP Daily $]]</f>
        <v>1003</v>
      </c>
      <c r="AF862" s="315">
        <f>Dailies[[#This Row],[RRSP Daily $]]+Dailies[[#This Row],[CIBC RESP Daily $]]</f>
        <v>1124.7999999999956</v>
      </c>
      <c r="AG862" s="401">
        <f>IF(ISNUMBER(AJ861),Dailies[[#This Row],[VOO]]-AJ861,0)</f>
        <v>-1.5600000000000023</v>
      </c>
      <c r="AH862" s="362">
        <f>Dailies[[#This Row],[RRSP Daily $]]/Dailies[[#This Row],[RRSP Total]]</f>
        <v>2.6472780689534383E-3</v>
      </c>
      <c r="AI862" s="363">
        <f>IF(Dailies[[#This Row],[CIBC RESP]]&gt;0,Dailies[[#This Row],[CIBC RESP Daily $]]/Dailies[[#This Row],[CIBC RESP]],0)</f>
        <v>2.6723677177978734E-3</v>
      </c>
      <c r="AJ862" s="315">
        <f>VLOOKUP(Dailies[[#This Row],[Date]],Quotes[],MATCH("VOO",Quotes[#Headers],EXACT_MATCH))</f>
        <v>305.33</v>
      </c>
      <c r="AK862" s="314">
        <f>Dailies[[#This Row],[VOO Daily $]]/Dailies[[#This Row],[VOO]]</f>
        <v>-5.1092260832541914E-3</v>
      </c>
      <c r="AL862" s="314">
        <f>Dailies[[#This Row],[RRSP Daily %]]-Dailies[[#This Row],[VOO Daily %]]</f>
        <v>7.7565041522076293E-3</v>
      </c>
      <c r="AM862" s="413">
        <f t="shared" si="13"/>
        <v>282.00373134328368</v>
      </c>
      <c r="AR862" s="333"/>
      <c r="AS862" s="333"/>
      <c r="AT862" s="333"/>
      <c r="AU862" s="333"/>
      <c r="AV862" s="333"/>
    </row>
    <row r="863" spans="2:48" s="330" customFormat="1" ht="28.15" customHeight="1" x14ac:dyDescent="0.25">
      <c r="B863" s="359">
        <v>43869</v>
      </c>
      <c r="C863" s="360">
        <v>0</v>
      </c>
      <c r="D863" s="360">
        <v>45577.56</v>
      </c>
      <c r="E863" s="329">
        <v>373330</v>
      </c>
      <c r="F863" s="329">
        <v>0</v>
      </c>
      <c r="G863" s="329">
        <v>5549.73</v>
      </c>
      <c r="H863" s="329"/>
      <c r="I863" s="329"/>
      <c r="J863" s="329"/>
      <c r="K863" s="329"/>
      <c r="L863" s="329"/>
      <c r="M863" s="329">
        <v>650000</v>
      </c>
      <c r="N863" s="329">
        <f t="shared" si="14"/>
        <v>22718</v>
      </c>
      <c r="O863" s="329">
        <f t="shared" si="15"/>
        <v>1600</v>
      </c>
      <c r="P863" s="329">
        <v>91683</v>
      </c>
      <c r="Q863" s="329">
        <v>0</v>
      </c>
      <c r="R863" s="315">
        <f>Dailies[[#This Row],[CIBC RRSP]]+Dailies[[#This Row],[QT RRSP]]+Dailies[[#This Row],[SunLife RRSP]]</f>
        <v>378879.73</v>
      </c>
      <c r="S863" s="401">
        <f>S862+Dailies[[#This Row],[CIBC RRSP Principal Delta]]</f>
        <v>0</v>
      </c>
      <c r="T863" s="401">
        <f>T862+Dailies[[#This Row],[CIBC RESP Principal Delta]]</f>
        <v>37280.450000000004</v>
      </c>
      <c r="U863" s="402">
        <f>U862+Dailies[[#This Row],[QT RRSP Principal Delta]]</f>
        <v>318695.87</v>
      </c>
      <c r="V863" s="401">
        <f>V862+Dailies[[#This Row],[SunLife RRSP Principal Delta]]</f>
        <v>5291.77</v>
      </c>
      <c r="W863" s="315">
        <f>Dailies[[#This Row],[CIBC RRSP Principal]]+Dailies[[#This Row],[QT RRSP Principal]]+Dailies[[#This Row],[SunLife RRSP Principal]]</f>
        <v>323987.64</v>
      </c>
      <c r="X863" s="361">
        <f>Dailies[[#This Row],[CIBC RRSP Principal]]+Dailies[[#This Row],[CIBC RESP Principal]]+Dailies[[#This Row],[QT RRSP Principal]]+Dailies[[#This Row],[SunLife RRSP Principal]]</f>
        <v>361268.09</v>
      </c>
      <c r="Y863" s="315">
        <f>Dailies[[#This Row],[CIBC RRSP]]+Dailies[[#This Row],[CIBC RESP]]+Dailies[[#This Row],[QT RRSP]]+Dailies[[#This Row],[SunLife RRSP]]</f>
        <v>424457.29</v>
      </c>
      <c r="Z863" s="313">
        <f>Dailies[[#This Row],[Portfolio Total]]+Dailies[[#This Row],[Home Equity]]+Dailies[[#This Row],[Car Equity]]+Dailies[[#This Row],[Valuables Equity]]+Dailies[[#This Row],[GSK Pension]]+Dailies[[#This Row],[Home Loan]]</f>
        <v>1190458.29</v>
      </c>
      <c r="AA863" s="402">
        <f>IF(ISNUMBER(C862),Dailies[[#This Row],[CIBC RRSP]]-C862-Dailies[[#This Row],[CIBC RRSP Principal Delta]],0)</f>
        <v>0</v>
      </c>
      <c r="AB863" s="402">
        <f>IF(ISNUMBER(D862),Dailies[[#This Row],[CIBC RESP]]-D862-Dailies[[#This Row],[CIBC RESP Principal Delta]],0)</f>
        <v>0</v>
      </c>
      <c r="AC863" s="402">
        <f>IF(ISNUMBER(E862),Dailies[[#This Row],[QT RRSP]]-E862-Dailies[[#This Row],[QT RRSP Principal Delta]],0)</f>
        <v>0</v>
      </c>
      <c r="AD863" s="402">
        <f>IF(ISNUMBER(G862),Dailies[[#This Row],[SunLife RRSP]]-G862-Dailies[[#This Row],[SunLife RRSP Principal Delta]],0)</f>
        <v>0</v>
      </c>
      <c r="AE863" s="315">
        <f>Dailies[[#This Row],[CIBC RRSP Daily $]]+Dailies[[#This Row],[QT RRSP Daily $]]+Dailies[[#This Row],[SunLife RRSP Daily $]]</f>
        <v>0</v>
      </c>
      <c r="AF863" s="315">
        <f>Dailies[[#This Row],[RRSP Daily $]]+Dailies[[#This Row],[CIBC RESP Daily $]]</f>
        <v>0</v>
      </c>
      <c r="AG863" s="401">
        <f>IF(ISNUMBER(AJ862),Dailies[[#This Row],[VOO]]-AJ862,0)</f>
        <v>0</v>
      </c>
      <c r="AH863" s="362">
        <f>Dailies[[#This Row],[RRSP Daily $]]/Dailies[[#This Row],[RRSP Total]]</f>
        <v>0</v>
      </c>
      <c r="AI863" s="363">
        <f>IF(Dailies[[#This Row],[CIBC RESP]]&gt;0,Dailies[[#This Row],[CIBC RESP Daily $]]/Dailies[[#This Row],[CIBC RESP]],0)</f>
        <v>0</v>
      </c>
      <c r="AJ863" s="315">
        <f>VLOOKUP(Dailies[[#This Row],[Date]],Quotes[],MATCH("VOO",Quotes[#Headers],EXACT_MATCH))</f>
        <v>305.33</v>
      </c>
      <c r="AK863" s="314">
        <f>Dailies[[#This Row],[VOO Daily $]]/Dailies[[#This Row],[VOO]]</f>
        <v>0</v>
      </c>
      <c r="AL863" s="314">
        <f>Dailies[[#This Row],[RRSP Daily %]]-Dailies[[#This Row],[VOO Daily %]]</f>
        <v>0</v>
      </c>
      <c r="AM863" s="413">
        <f t="shared" si="13"/>
        <v>282.16482587064684</v>
      </c>
      <c r="AR863" s="333"/>
      <c r="AS863" s="333"/>
      <c r="AT863" s="333"/>
      <c r="AU863" s="333"/>
      <c r="AV863" s="333"/>
    </row>
    <row r="864" spans="2:48" s="330" customFormat="1" ht="28.15" customHeight="1" x14ac:dyDescent="0.25">
      <c r="B864" s="359">
        <v>43870</v>
      </c>
      <c r="C864" s="360">
        <v>0</v>
      </c>
      <c r="D864" s="360">
        <v>45577.56</v>
      </c>
      <c r="E864" s="329">
        <v>373330</v>
      </c>
      <c r="F864" s="329">
        <v>0</v>
      </c>
      <c r="G864" s="329">
        <v>5549.73</v>
      </c>
      <c r="H864" s="329"/>
      <c r="I864" s="329"/>
      <c r="J864" s="329"/>
      <c r="K864" s="329"/>
      <c r="L864" s="329"/>
      <c r="M864" s="329">
        <v>650000</v>
      </c>
      <c r="N864" s="329">
        <f t="shared" si="14"/>
        <v>22718</v>
      </c>
      <c r="O864" s="329">
        <f t="shared" si="15"/>
        <v>1600</v>
      </c>
      <c r="P864" s="329">
        <v>91683</v>
      </c>
      <c r="Q864" s="329">
        <v>0</v>
      </c>
      <c r="R864" s="315">
        <f>Dailies[[#This Row],[CIBC RRSP]]+Dailies[[#This Row],[QT RRSP]]+Dailies[[#This Row],[SunLife RRSP]]</f>
        <v>378879.73</v>
      </c>
      <c r="S864" s="401">
        <f>S863+Dailies[[#This Row],[CIBC RRSP Principal Delta]]</f>
        <v>0</v>
      </c>
      <c r="T864" s="401">
        <f>T863+Dailies[[#This Row],[CIBC RESP Principal Delta]]</f>
        <v>37280.450000000004</v>
      </c>
      <c r="U864" s="402">
        <f>U863+Dailies[[#This Row],[QT RRSP Principal Delta]]</f>
        <v>318695.87</v>
      </c>
      <c r="V864" s="401">
        <f>V863+Dailies[[#This Row],[SunLife RRSP Principal Delta]]</f>
        <v>5291.77</v>
      </c>
      <c r="W864" s="315">
        <f>Dailies[[#This Row],[CIBC RRSP Principal]]+Dailies[[#This Row],[QT RRSP Principal]]+Dailies[[#This Row],[SunLife RRSP Principal]]</f>
        <v>323987.64</v>
      </c>
      <c r="X864" s="361">
        <f>Dailies[[#This Row],[CIBC RRSP Principal]]+Dailies[[#This Row],[CIBC RESP Principal]]+Dailies[[#This Row],[QT RRSP Principal]]+Dailies[[#This Row],[SunLife RRSP Principal]]</f>
        <v>361268.09</v>
      </c>
      <c r="Y864" s="315">
        <f>Dailies[[#This Row],[CIBC RRSP]]+Dailies[[#This Row],[CIBC RESP]]+Dailies[[#This Row],[QT RRSP]]+Dailies[[#This Row],[SunLife RRSP]]</f>
        <v>424457.29</v>
      </c>
      <c r="Z864" s="313">
        <f>Dailies[[#This Row],[Portfolio Total]]+Dailies[[#This Row],[Home Equity]]+Dailies[[#This Row],[Car Equity]]+Dailies[[#This Row],[Valuables Equity]]+Dailies[[#This Row],[GSK Pension]]+Dailies[[#This Row],[Home Loan]]</f>
        <v>1190458.29</v>
      </c>
      <c r="AA864" s="402">
        <f>IF(ISNUMBER(C863),Dailies[[#This Row],[CIBC RRSP]]-C863-Dailies[[#This Row],[CIBC RRSP Principal Delta]],0)</f>
        <v>0</v>
      </c>
      <c r="AB864" s="402">
        <f>IF(ISNUMBER(D863),Dailies[[#This Row],[CIBC RESP]]-D863-Dailies[[#This Row],[CIBC RESP Principal Delta]],0)</f>
        <v>0</v>
      </c>
      <c r="AC864" s="402">
        <f>IF(ISNUMBER(E863),Dailies[[#This Row],[QT RRSP]]-E863-Dailies[[#This Row],[QT RRSP Principal Delta]],0)</f>
        <v>0</v>
      </c>
      <c r="AD864" s="402">
        <f>IF(ISNUMBER(G863),Dailies[[#This Row],[SunLife RRSP]]-G863-Dailies[[#This Row],[SunLife RRSP Principal Delta]],0)</f>
        <v>0</v>
      </c>
      <c r="AE864" s="315">
        <f>Dailies[[#This Row],[CIBC RRSP Daily $]]+Dailies[[#This Row],[QT RRSP Daily $]]+Dailies[[#This Row],[SunLife RRSP Daily $]]</f>
        <v>0</v>
      </c>
      <c r="AF864" s="315">
        <f>Dailies[[#This Row],[RRSP Daily $]]+Dailies[[#This Row],[CIBC RESP Daily $]]</f>
        <v>0</v>
      </c>
      <c r="AG864" s="401">
        <f>IF(ISNUMBER(AJ863),Dailies[[#This Row],[VOO]]-AJ863,0)</f>
        <v>0</v>
      </c>
      <c r="AH864" s="362">
        <f>Dailies[[#This Row],[RRSP Daily $]]/Dailies[[#This Row],[RRSP Total]]</f>
        <v>0</v>
      </c>
      <c r="AI864" s="363">
        <f>IF(Dailies[[#This Row],[CIBC RESP]]&gt;0,Dailies[[#This Row],[CIBC RESP Daily $]]/Dailies[[#This Row],[CIBC RESP]],0)</f>
        <v>0</v>
      </c>
      <c r="AJ864" s="315">
        <f>VLOOKUP(Dailies[[#This Row],[Date]],Quotes[],MATCH("VOO",Quotes[#Headers],EXACT_MATCH))</f>
        <v>305.33</v>
      </c>
      <c r="AK864" s="314">
        <f>Dailies[[#This Row],[VOO Daily $]]/Dailies[[#This Row],[VOO]]</f>
        <v>0</v>
      </c>
      <c r="AL864" s="314">
        <f>Dailies[[#This Row],[RRSP Daily %]]-Dailies[[#This Row],[VOO Daily %]]</f>
        <v>0</v>
      </c>
      <c r="AM864" s="413">
        <f t="shared" si="13"/>
        <v>282.32263681592048</v>
      </c>
      <c r="AR864" s="333"/>
      <c r="AS864" s="333"/>
      <c r="AT864" s="333"/>
      <c r="AU864" s="333"/>
      <c r="AV864" s="333"/>
    </row>
    <row r="865" spans="2:48" s="330" customFormat="1" ht="28.15" customHeight="1" x14ac:dyDescent="0.25">
      <c r="B865" s="359">
        <v>43871</v>
      </c>
      <c r="C865" s="360">
        <v>0</v>
      </c>
      <c r="D865" s="360">
        <v>46072.88</v>
      </c>
      <c r="E865" s="329">
        <v>376073</v>
      </c>
      <c r="F865" s="329">
        <v>0</v>
      </c>
      <c r="G865" s="329">
        <v>5549.73</v>
      </c>
      <c r="H865" s="329"/>
      <c r="I865" s="329"/>
      <c r="J865" s="329"/>
      <c r="K865" s="329"/>
      <c r="L865" s="329"/>
      <c r="M865" s="329">
        <v>650000</v>
      </c>
      <c r="N865" s="329">
        <f t="shared" si="14"/>
        <v>22718</v>
      </c>
      <c r="O865" s="329">
        <f t="shared" si="15"/>
        <v>1600</v>
      </c>
      <c r="P865" s="329">
        <v>91683</v>
      </c>
      <c r="Q865" s="329">
        <v>0</v>
      </c>
      <c r="R865" s="315">
        <f>Dailies[[#This Row],[CIBC RRSP]]+Dailies[[#This Row],[QT RRSP]]+Dailies[[#This Row],[SunLife RRSP]]</f>
        <v>381622.73</v>
      </c>
      <c r="S865" s="401">
        <f>S864+Dailies[[#This Row],[CIBC RRSP Principal Delta]]</f>
        <v>0</v>
      </c>
      <c r="T865" s="401">
        <f>T864+Dailies[[#This Row],[CIBC RESP Principal Delta]]</f>
        <v>37280.450000000004</v>
      </c>
      <c r="U865" s="402">
        <f>U864+Dailies[[#This Row],[QT RRSP Principal Delta]]</f>
        <v>318695.87</v>
      </c>
      <c r="V865" s="401">
        <f>V864+Dailies[[#This Row],[SunLife RRSP Principal Delta]]</f>
        <v>5291.77</v>
      </c>
      <c r="W865" s="315">
        <f>Dailies[[#This Row],[CIBC RRSP Principal]]+Dailies[[#This Row],[QT RRSP Principal]]+Dailies[[#This Row],[SunLife RRSP Principal]]</f>
        <v>323987.64</v>
      </c>
      <c r="X865" s="361">
        <f>Dailies[[#This Row],[CIBC RRSP Principal]]+Dailies[[#This Row],[CIBC RESP Principal]]+Dailies[[#This Row],[QT RRSP Principal]]+Dailies[[#This Row],[SunLife RRSP Principal]]</f>
        <v>361268.09</v>
      </c>
      <c r="Y865" s="315">
        <f>Dailies[[#This Row],[CIBC RRSP]]+Dailies[[#This Row],[CIBC RESP]]+Dailies[[#This Row],[QT RRSP]]+Dailies[[#This Row],[SunLife RRSP]]</f>
        <v>427695.61</v>
      </c>
      <c r="Z865" s="313">
        <f>Dailies[[#This Row],[Portfolio Total]]+Dailies[[#This Row],[Home Equity]]+Dailies[[#This Row],[Car Equity]]+Dailies[[#This Row],[Valuables Equity]]+Dailies[[#This Row],[GSK Pension]]+Dailies[[#This Row],[Home Loan]]</f>
        <v>1193696.6099999999</v>
      </c>
      <c r="AA865" s="402">
        <f>IF(ISNUMBER(C864),Dailies[[#This Row],[CIBC RRSP]]-C864-Dailies[[#This Row],[CIBC RRSP Principal Delta]],0)</f>
        <v>0</v>
      </c>
      <c r="AB865" s="402">
        <f>IF(ISNUMBER(D864),Dailies[[#This Row],[CIBC RESP]]-D864-Dailies[[#This Row],[CIBC RESP Principal Delta]],0)</f>
        <v>495.31999999999971</v>
      </c>
      <c r="AC865" s="402">
        <f>IF(ISNUMBER(E864),Dailies[[#This Row],[QT RRSP]]-E864-Dailies[[#This Row],[QT RRSP Principal Delta]],0)</f>
        <v>2743</v>
      </c>
      <c r="AD865" s="402">
        <f>IF(ISNUMBER(G864),Dailies[[#This Row],[SunLife RRSP]]-G864-Dailies[[#This Row],[SunLife RRSP Principal Delta]],0)</f>
        <v>0</v>
      </c>
      <c r="AE865" s="315">
        <f>Dailies[[#This Row],[CIBC RRSP Daily $]]+Dailies[[#This Row],[QT RRSP Daily $]]+Dailies[[#This Row],[SunLife RRSP Daily $]]</f>
        <v>2743</v>
      </c>
      <c r="AF865" s="315">
        <f>Dailies[[#This Row],[RRSP Daily $]]+Dailies[[#This Row],[CIBC RESP Daily $]]</f>
        <v>3238.3199999999997</v>
      </c>
      <c r="AG865" s="401">
        <f>IF(ISNUMBER(AJ864),Dailies[[#This Row],[VOO]]-AJ864,0)</f>
        <v>2.1899999999999977</v>
      </c>
      <c r="AH865" s="362">
        <f>Dailies[[#This Row],[RRSP Daily $]]/Dailies[[#This Row],[RRSP Total]]</f>
        <v>7.1877269993849691E-3</v>
      </c>
      <c r="AI865" s="363">
        <f>IF(Dailies[[#This Row],[CIBC RESP]]&gt;0,Dailies[[#This Row],[CIBC RESP Daily $]]/Dailies[[#This Row],[CIBC RESP]],0)</f>
        <v>1.0750793091293615E-2</v>
      </c>
      <c r="AJ865" s="315">
        <f>VLOOKUP(Dailies[[#This Row],[Date]],Quotes[],MATCH("VOO",Quotes[#Headers],EXACT_MATCH))</f>
        <v>307.52</v>
      </c>
      <c r="AK865" s="314">
        <f>Dailies[[#This Row],[VOO Daily $]]/Dailies[[#This Row],[VOO]]</f>
        <v>7.1214880332986404E-3</v>
      </c>
      <c r="AL865" s="314">
        <f>Dailies[[#This Row],[RRSP Daily %]]-Dailies[[#This Row],[VOO Daily %]]</f>
        <v>6.6238966086328704E-5</v>
      </c>
      <c r="AM865" s="413">
        <f t="shared" si="13"/>
        <v>282.47109452736333</v>
      </c>
      <c r="AR865" s="333"/>
      <c r="AS865" s="333"/>
      <c r="AT865" s="333"/>
      <c r="AU865" s="333"/>
      <c r="AV865" s="333"/>
    </row>
    <row r="866" spans="2:48" s="330" customFormat="1" ht="28.15" customHeight="1" x14ac:dyDescent="0.25">
      <c r="B866" s="359">
        <v>43872</v>
      </c>
      <c r="C866" s="360">
        <v>0</v>
      </c>
      <c r="D866" s="360">
        <v>46194.68</v>
      </c>
      <c r="E866" s="329">
        <v>379941</v>
      </c>
      <c r="F866" s="329">
        <v>0</v>
      </c>
      <c r="G866" s="329">
        <v>7253</v>
      </c>
      <c r="H866" s="329"/>
      <c r="I866" s="329"/>
      <c r="J866" s="329">
        <v>1075</v>
      </c>
      <c r="K866" s="329"/>
      <c r="L866" s="329">
        <v>1610</v>
      </c>
      <c r="M866" s="329">
        <v>650000</v>
      </c>
      <c r="N866" s="329">
        <f t="shared" si="14"/>
        <v>22718</v>
      </c>
      <c r="O866" s="329">
        <f t="shared" si="15"/>
        <v>1600</v>
      </c>
      <c r="P866" s="329">
        <v>91683</v>
      </c>
      <c r="Q866" s="329">
        <v>0</v>
      </c>
      <c r="R866" s="315">
        <f>Dailies[[#This Row],[CIBC RRSP]]+Dailies[[#This Row],[QT RRSP]]+Dailies[[#This Row],[SunLife RRSP]]</f>
        <v>387194</v>
      </c>
      <c r="S866" s="401">
        <f>S865+Dailies[[#This Row],[CIBC RRSP Principal Delta]]</f>
        <v>0</v>
      </c>
      <c r="T866" s="401">
        <f>T865+Dailies[[#This Row],[CIBC RESP Principal Delta]]</f>
        <v>37280.450000000004</v>
      </c>
      <c r="U866" s="402">
        <f>U865+Dailies[[#This Row],[QT RRSP Principal Delta]]</f>
        <v>319770.87</v>
      </c>
      <c r="V866" s="401">
        <f>V865+Dailies[[#This Row],[SunLife RRSP Principal Delta]]</f>
        <v>6901.77</v>
      </c>
      <c r="W866" s="315">
        <f>Dailies[[#This Row],[CIBC RRSP Principal]]+Dailies[[#This Row],[QT RRSP Principal]]+Dailies[[#This Row],[SunLife RRSP Principal]]</f>
        <v>326672.64000000001</v>
      </c>
      <c r="X866" s="361">
        <f>Dailies[[#This Row],[CIBC RRSP Principal]]+Dailies[[#This Row],[CIBC RESP Principal]]+Dailies[[#This Row],[QT RRSP Principal]]+Dailies[[#This Row],[SunLife RRSP Principal]]</f>
        <v>363953.09</v>
      </c>
      <c r="Y866" s="315">
        <f>Dailies[[#This Row],[CIBC RRSP]]+Dailies[[#This Row],[CIBC RESP]]+Dailies[[#This Row],[QT RRSP]]+Dailies[[#This Row],[SunLife RRSP]]</f>
        <v>433388.68</v>
      </c>
      <c r="Z866" s="313">
        <f>Dailies[[#This Row],[Portfolio Total]]+Dailies[[#This Row],[Home Equity]]+Dailies[[#This Row],[Car Equity]]+Dailies[[#This Row],[Valuables Equity]]+Dailies[[#This Row],[GSK Pension]]+Dailies[[#This Row],[Home Loan]]</f>
        <v>1199389.68</v>
      </c>
      <c r="AA866" s="402">
        <f>IF(ISNUMBER(C865),Dailies[[#This Row],[CIBC RRSP]]-C865-Dailies[[#This Row],[CIBC RRSP Principal Delta]],0)</f>
        <v>0</v>
      </c>
      <c r="AB866" s="402">
        <f>IF(ISNUMBER(D865),Dailies[[#This Row],[CIBC RESP]]-D865-Dailies[[#This Row],[CIBC RESP Principal Delta]],0)</f>
        <v>121.80000000000291</v>
      </c>
      <c r="AC866" s="402">
        <f>IF(ISNUMBER(E865),Dailies[[#This Row],[QT RRSP]]-E865-Dailies[[#This Row],[QT RRSP Principal Delta]],0)</f>
        <v>2793</v>
      </c>
      <c r="AD866" s="402">
        <f>IF(ISNUMBER(G865),Dailies[[#This Row],[SunLife RRSP]]-G865-Dailies[[#This Row],[SunLife RRSP Principal Delta]],0)</f>
        <v>93.270000000000437</v>
      </c>
      <c r="AE866" s="315">
        <f>Dailies[[#This Row],[CIBC RRSP Daily $]]+Dailies[[#This Row],[QT RRSP Daily $]]+Dailies[[#This Row],[SunLife RRSP Daily $]]</f>
        <v>2886.2700000000004</v>
      </c>
      <c r="AF866" s="315">
        <f>Dailies[[#This Row],[RRSP Daily $]]+Dailies[[#This Row],[CIBC RESP Daily $]]</f>
        <v>3008.0700000000033</v>
      </c>
      <c r="AG866" s="401">
        <f>IF(ISNUMBER(AJ865),Dailies[[#This Row],[VOO]]-AJ865,0)</f>
        <v>0.56000000000000227</v>
      </c>
      <c r="AH866" s="362">
        <f>Dailies[[#This Row],[RRSP Daily $]]/Dailies[[#This Row],[RRSP Total]]</f>
        <v>7.4543252219817467E-3</v>
      </c>
      <c r="AI866" s="363">
        <f>IF(Dailies[[#This Row],[CIBC RESP]]&gt;0,Dailies[[#This Row],[CIBC RESP Daily $]]/Dailies[[#This Row],[CIBC RESP]],0)</f>
        <v>2.6366672525927858E-3</v>
      </c>
      <c r="AJ866" s="315">
        <f>VLOOKUP(Dailies[[#This Row],[Date]],Quotes[],MATCH("VOO",Quotes[#Headers],EXACT_MATCH))</f>
        <v>308.08</v>
      </c>
      <c r="AK866" s="314">
        <f>Dailies[[#This Row],[VOO Daily $]]/Dailies[[#This Row],[VOO]]</f>
        <v>1.8177096857959047E-3</v>
      </c>
      <c r="AL866" s="314">
        <f>Dailies[[#This Row],[RRSP Daily %]]-Dailies[[#This Row],[VOO Daily %]]</f>
        <v>5.6366155361858416E-3</v>
      </c>
      <c r="AM866" s="413">
        <f t="shared" si="13"/>
        <v>282.62412935323397</v>
      </c>
      <c r="AR866" s="333"/>
      <c r="AS866" s="333"/>
      <c r="AT866" s="333"/>
      <c r="AU866" s="333"/>
      <c r="AV866" s="333"/>
    </row>
    <row r="867" spans="2:48" s="330" customFormat="1" ht="28.15" customHeight="1" x14ac:dyDescent="0.25">
      <c r="B867" s="359">
        <v>43873</v>
      </c>
      <c r="C867" s="360">
        <v>0</v>
      </c>
      <c r="D867" s="360">
        <v>46389.56</v>
      </c>
      <c r="E867" s="329">
        <v>378629</v>
      </c>
      <c r="F867" s="329">
        <v>0</v>
      </c>
      <c r="G867" s="329">
        <v>7253</v>
      </c>
      <c r="H867" s="329"/>
      <c r="I867" s="329"/>
      <c r="J867" s="329"/>
      <c r="K867" s="329"/>
      <c r="L867" s="329"/>
      <c r="M867" s="329">
        <v>650000</v>
      </c>
      <c r="N867" s="329">
        <f t="shared" si="14"/>
        <v>22718</v>
      </c>
      <c r="O867" s="329">
        <f t="shared" si="15"/>
        <v>1600</v>
      </c>
      <c r="P867" s="329">
        <v>91683</v>
      </c>
      <c r="Q867" s="329">
        <v>0</v>
      </c>
      <c r="R867" s="315">
        <f>Dailies[[#This Row],[CIBC RRSP]]+Dailies[[#This Row],[QT RRSP]]+Dailies[[#This Row],[SunLife RRSP]]</f>
        <v>385882</v>
      </c>
      <c r="S867" s="401">
        <f>S866+Dailies[[#This Row],[CIBC RRSP Principal Delta]]</f>
        <v>0</v>
      </c>
      <c r="T867" s="401">
        <f>T866+Dailies[[#This Row],[CIBC RESP Principal Delta]]</f>
        <v>37280.450000000004</v>
      </c>
      <c r="U867" s="402">
        <f>U866+Dailies[[#This Row],[QT RRSP Principal Delta]]</f>
        <v>319770.87</v>
      </c>
      <c r="V867" s="401">
        <f>V866+Dailies[[#This Row],[SunLife RRSP Principal Delta]]</f>
        <v>6901.77</v>
      </c>
      <c r="W867" s="315">
        <f>Dailies[[#This Row],[CIBC RRSP Principal]]+Dailies[[#This Row],[QT RRSP Principal]]+Dailies[[#This Row],[SunLife RRSP Principal]]</f>
        <v>326672.64000000001</v>
      </c>
      <c r="X867" s="361">
        <f>Dailies[[#This Row],[CIBC RRSP Principal]]+Dailies[[#This Row],[CIBC RESP Principal]]+Dailies[[#This Row],[QT RRSP Principal]]+Dailies[[#This Row],[SunLife RRSP Principal]]</f>
        <v>363953.09</v>
      </c>
      <c r="Y867" s="315">
        <f>Dailies[[#This Row],[CIBC RRSP]]+Dailies[[#This Row],[CIBC RESP]]+Dailies[[#This Row],[QT RRSP]]+Dailies[[#This Row],[SunLife RRSP]]</f>
        <v>432271.56</v>
      </c>
      <c r="Z867" s="313">
        <f>Dailies[[#This Row],[Portfolio Total]]+Dailies[[#This Row],[Home Equity]]+Dailies[[#This Row],[Car Equity]]+Dailies[[#This Row],[Valuables Equity]]+Dailies[[#This Row],[GSK Pension]]+Dailies[[#This Row],[Home Loan]]</f>
        <v>1198272.56</v>
      </c>
      <c r="AA867" s="402">
        <f>IF(ISNUMBER(C866),Dailies[[#This Row],[CIBC RRSP]]-C866-Dailies[[#This Row],[CIBC RRSP Principal Delta]],0)</f>
        <v>0</v>
      </c>
      <c r="AB867" s="402">
        <f>IF(ISNUMBER(D866),Dailies[[#This Row],[CIBC RESP]]-D866-Dailies[[#This Row],[CIBC RESP Principal Delta]],0)</f>
        <v>194.87999999999738</v>
      </c>
      <c r="AC867" s="402">
        <f>IF(ISNUMBER(E866),Dailies[[#This Row],[QT RRSP]]-E866-Dailies[[#This Row],[QT RRSP Principal Delta]],0)</f>
        <v>-1312</v>
      </c>
      <c r="AD867" s="402">
        <f>IF(ISNUMBER(G866),Dailies[[#This Row],[SunLife RRSP]]-G866-Dailies[[#This Row],[SunLife RRSP Principal Delta]],0)</f>
        <v>0</v>
      </c>
      <c r="AE867" s="315">
        <f>Dailies[[#This Row],[CIBC RRSP Daily $]]+Dailies[[#This Row],[QT RRSP Daily $]]+Dailies[[#This Row],[SunLife RRSP Daily $]]</f>
        <v>-1312</v>
      </c>
      <c r="AF867" s="315">
        <f>Dailies[[#This Row],[RRSP Daily $]]+Dailies[[#This Row],[CIBC RESP Daily $]]</f>
        <v>-1117.1200000000026</v>
      </c>
      <c r="AG867" s="401">
        <f>IF(ISNUMBER(AJ866),Dailies[[#This Row],[VOO]]-AJ866,0)</f>
        <v>1.9800000000000182</v>
      </c>
      <c r="AH867" s="362">
        <f>Dailies[[#This Row],[RRSP Daily $]]/Dailies[[#This Row],[RRSP Total]]</f>
        <v>-3.4000031097589419E-3</v>
      </c>
      <c r="AI867" s="363">
        <f>IF(Dailies[[#This Row],[CIBC RESP]]&gt;0,Dailies[[#This Row],[CIBC RESP Daily $]]/Dailies[[#This Row],[CIBC RESP]],0)</f>
        <v>4.2009452126727954E-3</v>
      </c>
      <c r="AJ867" s="315">
        <f>VLOOKUP(Dailies[[#This Row],[Date]],Quotes[],MATCH("VOO",Quotes[#Headers],EXACT_MATCH))</f>
        <v>310.06</v>
      </c>
      <c r="AK867" s="314">
        <f>Dailies[[#This Row],[VOO Daily $]]/Dailies[[#This Row],[VOO]]</f>
        <v>6.3858608011353232E-3</v>
      </c>
      <c r="AL867" s="314">
        <f>Dailies[[#This Row],[RRSP Daily %]]-Dailies[[#This Row],[VOO Daily %]]</f>
        <v>-9.7858639108942651E-3</v>
      </c>
      <c r="AM867" s="413">
        <f t="shared" si="13"/>
        <v>282.7866666666668</v>
      </c>
      <c r="AR867" s="333"/>
      <c r="AS867" s="333"/>
      <c r="AT867" s="333"/>
      <c r="AU867" s="333"/>
      <c r="AV867" s="333"/>
    </row>
    <row r="868" spans="2:48" s="330" customFormat="1" ht="28.15" customHeight="1" x14ac:dyDescent="0.25">
      <c r="B868" s="359">
        <v>43874</v>
      </c>
      <c r="C868" s="360">
        <v>0</v>
      </c>
      <c r="D868" s="360">
        <v>45269</v>
      </c>
      <c r="E868" s="329">
        <v>367870</v>
      </c>
      <c r="F868" s="329">
        <v>0</v>
      </c>
      <c r="G868" s="329">
        <v>7253</v>
      </c>
      <c r="H868" s="329"/>
      <c r="I868" s="329"/>
      <c r="J868" s="329"/>
      <c r="K868" s="329"/>
      <c r="L868" s="329"/>
      <c r="M868" s="329">
        <v>650000</v>
      </c>
      <c r="N868" s="329">
        <f t="shared" si="14"/>
        <v>22718</v>
      </c>
      <c r="O868" s="329">
        <f t="shared" si="15"/>
        <v>1600</v>
      </c>
      <c r="P868" s="329">
        <v>91683</v>
      </c>
      <c r="Q868" s="329">
        <v>0</v>
      </c>
      <c r="R868" s="315">
        <f>Dailies[[#This Row],[CIBC RRSP]]+Dailies[[#This Row],[QT RRSP]]+Dailies[[#This Row],[SunLife RRSP]]</f>
        <v>375123</v>
      </c>
      <c r="S868" s="401">
        <f>S867+Dailies[[#This Row],[CIBC RRSP Principal Delta]]</f>
        <v>0</v>
      </c>
      <c r="T868" s="401">
        <f>T867+Dailies[[#This Row],[CIBC RESP Principal Delta]]</f>
        <v>37280.450000000004</v>
      </c>
      <c r="U868" s="402">
        <f>U867+Dailies[[#This Row],[QT RRSP Principal Delta]]</f>
        <v>319770.87</v>
      </c>
      <c r="V868" s="401">
        <f>V867+Dailies[[#This Row],[SunLife RRSP Principal Delta]]</f>
        <v>6901.77</v>
      </c>
      <c r="W868" s="315">
        <f>Dailies[[#This Row],[CIBC RRSP Principal]]+Dailies[[#This Row],[QT RRSP Principal]]+Dailies[[#This Row],[SunLife RRSP Principal]]</f>
        <v>326672.64000000001</v>
      </c>
      <c r="X868" s="361">
        <f>Dailies[[#This Row],[CIBC RRSP Principal]]+Dailies[[#This Row],[CIBC RESP Principal]]+Dailies[[#This Row],[QT RRSP Principal]]+Dailies[[#This Row],[SunLife RRSP Principal]]</f>
        <v>363953.09</v>
      </c>
      <c r="Y868" s="315">
        <f>Dailies[[#This Row],[CIBC RRSP]]+Dailies[[#This Row],[CIBC RESP]]+Dailies[[#This Row],[QT RRSP]]+Dailies[[#This Row],[SunLife RRSP]]</f>
        <v>420392</v>
      </c>
      <c r="Z868" s="313">
        <f>Dailies[[#This Row],[Portfolio Total]]+Dailies[[#This Row],[Home Equity]]+Dailies[[#This Row],[Car Equity]]+Dailies[[#This Row],[Valuables Equity]]+Dailies[[#This Row],[GSK Pension]]+Dailies[[#This Row],[Home Loan]]</f>
        <v>1186393</v>
      </c>
      <c r="AA868" s="402">
        <f>IF(ISNUMBER(C867),Dailies[[#This Row],[CIBC RRSP]]-C867-Dailies[[#This Row],[CIBC RRSP Principal Delta]],0)</f>
        <v>0</v>
      </c>
      <c r="AB868" s="402">
        <f>IF(ISNUMBER(D867),Dailies[[#This Row],[CIBC RESP]]-D867-Dailies[[#This Row],[CIBC RESP Principal Delta]],0)</f>
        <v>-1120.5599999999977</v>
      </c>
      <c r="AC868" s="402">
        <f>IF(ISNUMBER(E867),Dailies[[#This Row],[QT RRSP]]-E867-Dailies[[#This Row],[QT RRSP Principal Delta]],0)</f>
        <v>-10759</v>
      </c>
      <c r="AD868" s="402">
        <f>IF(ISNUMBER(G867),Dailies[[#This Row],[SunLife RRSP]]-G867-Dailies[[#This Row],[SunLife RRSP Principal Delta]],0)</f>
        <v>0</v>
      </c>
      <c r="AE868" s="315">
        <f>Dailies[[#This Row],[CIBC RRSP Daily $]]+Dailies[[#This Row],[QT RRSP Daily $]]+Dailies[[#This Row],[SunLife RRSP Daily $]]</f>
        <v>-10759</v>
      </c>
      <c r="AF868" s="315">
        <f>Dailies[[#This Row],[RRSP Daily $]]+Dailies[[#This Row],[CIBC RESP Daily $]]</f>
        <v>-11879.559999999998</v>
      </c>
      <c r="AG868" s="401">
        <f>IF(ISNUMBER(AJ867),Dailies[[#This Row],[VOO]]-AJ867,0)</f>
        <v>-0.30000000000001137</v>
      </c>
      <c r="AH868" s="362">
        <f>Dailies[[#This Row],[RRSP Daily $]]/Dailies[[#This Row],[RRSP Total]]</f>
        <v>-2.8681259213644592E-2</v>
      </c>
      <c r="AI868" s="363">
        <f>IF(Dailies[[#This Row],[CIBC RESP]]&gt;0,Dailies[[#This Row],[CIBC RESP Daily $]]/Dailies[[#This Row],[CIBC RESP]],0)</f>
        <v>-2.4753363228699501E-2</v>
      </c>
      <c r="AJ868" s="315">
        <f>VLOOKUP(Dailies[[#This Row],[Date]],Quotes[],MATCH("VOO",Quotes[#Headers],EXACT_MATCH))</f>
        <v>309.76</v>
      </c>
      <c r="AK868" s="314">
        <f>Dailies[[#This Row],[VOO Daily $]]/Dailies[[#This Row],[VOO]]</f>
        <v>-9.6849173553722686E-4</v>
      </c>
      <c r="AL868" s="314">
        <f>Dailies[[#This Row],[RRSP Daily %]]-Dailies[[#This Row],[VOO Daily %]]</f>
        <v>-2.7712767478107365E-2</v>
      </c>
      <c r="AM868" s="413">
        <f t="shared" si="13"/>
        <v>282.94925373134339</v>
      </c>
      <c r="AR868" s="333"/>
      <c r="AS868" s="333"/>
      <c r="AT868" s="333"/>
      <c r="AU868" s="333"/>
      <c r="AV868" s="333"/>
    </row>
    <row r="869" spans="2:48" s="330" customFormat="1" ht="28.15" customHeight="1" x14ac:dyDescent="0.25">
      <c r="B869" s="359">
        <v>43875</v>
      </c>
      <c r="C869" s="360">
        <v>0</v>
      </c>
      <c r="D869" s="360">
        <v>45496.36</v>
      </c>
      <c r="E869" s="329">
        <v>365925</v>
      </c>
      <c r="F869" s="329">
        <v>0</v>
      </c>
      <c r="G869" s="329">
        <v>7253</v>
      </c>
      <c r="H869" s="329"/>
      <c r="I869" s="329"/>
      <c r="J869" s="329"/>
      <c r="K869" s="329"/>
      <c r="L869" s="329"/>
      <c r="M869" s="329">
        <v>650000</v>
      </c>
      <c r="N869" s="329">
        <f t="shared" ref="N869:N927" si="16">44000+1000-21921</f>
        <v>23079</v>
      </c>
      <c r="O869" s="329">
        <f t="shared" si="15"/>
        <v>1600</v>
      </c>
      <c r="P869" s="329">
        <v>91683</v>
      </c>
      <c r="Q869" s="329">
        <v>0</v>
      </c>
      <c r="R869" s="315">
        <f>Dailies[[#This Row],[CIBC RRSP]]+Dailies[[#This Row],[QT RRSP]]+Dailies[[#This Row],[SunLife RRSP]]</f>
        <v>373178</v>
      </c>
      <c r="S869" s="401">
        <f>S868+Dailies[[#This Row],[CIBC RRSP Principal Delta]]</f>
        <v>0</v>
      </c>
      <c r="T869" s="401">
        <f>T868+Dailies[[#This Row],[CIBC RESP Principal Delta]]</f>
        <v>37280.450000000004</v>
      </c>
      <c r="U869" s="402">
        <f>U868+Dailies[[#This Row],[QT RRSP Principal Delta]]</f>
        <v>319770.87</v>
      </c>
      <c r="V869" s="401">
        <f>V868+Dailies[[#This Row],[SunLife RRSP Principal Delta]]</f>
        <v>6901.77</v>
      </c>
      <c r="W869" s="315">
        <f>Dailies[[#This Row],[CIBC RRSP Principal]]+Dailies[[#This Row],[QT RRSP Principal]]+Dailies[[#This Row],[SunLife RRSP Principal]]</f>
        <v>326672.64000000001</v>
      </c>
      <c r="X869" s="361">
        <f>Dailies[[#This Row],[CIBC RRSP Principal]]+Dailies[[#This Row],[CIBC RESP Principal]]+Dailies[[#This Row],[QT RRSP Principal]]+Dailies[[#This Row],[SunLife RRSP Principal]]</f>
        <v>363953.09</v>
      </c>
      <c r="Y869" s="315">
        <f>Dailies[[#This Row],[CIBC RRSP]]+Dailies[[#This Row],[CIBC RESP]]+Dailies[[#This Row],[QT RRSP]]+Dailies[[#This Row],[SunLife RRSP]]</f>
        <v>418674.36</v>
      </c>
      <c r="Z869" s="313">
        <f>Dailies[[#This Row],[Portfolio Total]]+Dailies[[#This Row],[Home Equity]]+Dailies[[#This Row],[Car Equity]]+Dailies[[#This Row],[Valuables Equity]]+Dailies[[#This Row],[GSK Pension]]+Dailies[[#This Row],[Home Loan]]</f>
        <v>1185036.3599999999</v>
      </c>
      <c r="AA869" s="402">
        <f>IF(ISNUMBER(C868),Dailies[[#This Row],[CIBC RRSP]]-C868-Dailies[[#This Row],[CIBC RRSP Principal Delta]],0)</f>
        <v>0</v>
      </c>
      <c r="AB869" s="402">
        <f>IF(ISNUMBER(D868),Dailies[[#This Row],[CIBC RESP]]-D868-Dailies[[#This Row],[CIBC RESP Principal Delta]],0)</f>
        <v>227.36000000000058</v>
      </c>
      <c r="AC869" s="402">
        <f>IF(ISNUMBER(E868),Dailies[[#This Row],[QT RRSP]]-E868-Dailies[[#This Row],[QT RRSP Principal Delta]],0)</f>
        <v>-1945</v>
      </c>
      <c r="AD869" s="402">
        <f>IF(ISNUMBER(G868),Dailies[[#This Row],[SunLife RRSP]]-G868-Dailies[[#This Row],[SunLife RRSP Principal Delta]],0)</f>
        <v>0</v>
      </c>
      <c r="AE869" s="315">
        <f>Dailies[[#This Row],[CIBC RRSP Daily $]]+Dailies[[#This Row],[QT RRSP Daily $]]+Dailies[[#This Row],[SunLife RRSP Daily $]]</f>
        <v>-1945</v>
      </c>
      <c r="AF869" s="315">
        <f>Dailies[[#This Row],[RRSP Daily $]]+Dailies[[#This Row],[CIBC RESP Daily $]]</f>
        <v>-1717.6399999999994</v>
      </c>
      <c r="AG869" s="401">
        <f>IF(ISNUMBER(AJ868),Dailies[[#This Row],[VOO]]-AJ868,0)</f>
        <v>0.51999999999998181</v>
      </c>
      <c r="AH869" s="362">
        <f>Dailies[[#This Row],[RRSP Daily $]]/Dailies[[#This Row],[RRSP Total]]</f>
        <v>-5.2119899886917233E-3</v>
      </c>
      <c r="AI869" s="363">
        <f>IF(Dailies[[#This Row],[CIBC RESP]]&gt;0,Dailies[[#This Row],[CIBC RESP Daily $]]/Dailies[[#This Row],[CIBC RESP]],0)</f>
        <v>4.9973228627521096E-3</v>
      </c>
      <c r="AJ869" s="315">
        <f>VLOOKUP(Dailies[[#This Row],[Date]],Quotes[],MATCH("VOO",Quotes[#Headers],EXACT_MATCH))</f>
        <v>310.27999999999997</v>
      </c>
      <c r="AK869" s="314">
        <f>Dailies[[#This Row],[VOO Daily $]]/Dailies[[#This Row],[VOO]]</f>
        <v>1.6759056336211869E-3</v>
      </c>
      <c r="AL869" s="314">
        <f>Dailies[[#This Row],[RRSP Daily %]]-Dailies[[#This Row],[VOO Daily %]]</f>
        <v>-6.8878956223129102E-3</v>
      </c>
      <c r="AM869" s="413">
        <f t="shared" si="13"/>
        <v>283.11034825870655</v>
      </c>
      <c r="AR869" s="333"/>
      <c r="AS869" s="333"/>
      <c r="AT869" s="333"/>
      <c r="AU869" s="333"/>
      <c r="AV869" s="333"/>
    </row>
    <row r="870" spans="2:48" s="330" customFormat="1" ht="28.15" customHeight="1" x14ac:dyDescent="0.25">
      <c r="B870" s="359">
        <v>43876</v>
      </c>
      <c r="C870" s="360">
        <v>0</v>
      </c>
      <c r="D870" s="360">
        <v>45496.36</v>
      </c>
      <c r="E870" s="329">
        <v>365925</v>
      </c>
      <c r="F870" s="329">
        <v>0</v>
      </c>
      <c r="G870" s="329">
        <v>7253</v>
      </c>
      <c r="H870" s="329"/>
      <c r="I870" s="329"/>
      <c r="J870" s="329"/>
      <c r="K870" s="329"/>
      <c r="L870" s="329"/>
      <c r="M870" s="329">
        <v>650000</v>
      </c>
      <c r="N870" s="329">
        <f t="shared" si="16"/>
        <v>23079</v>
      </c>
      <c r="O870" s="329">
        <f t="shared" si="15"/>
        <v>1600</v>
      </c>
      <c r="P870" s="329">
        <v>91683</v>
      </c>
      <c r="Q870" s="329">
        <v>0</v>
      </c>
      <c r="R870" s="315">
        <f>Dailies[[#This Row],[CIBC RRSP]]+Dailies[[#This Row],[QT RRSP]]+Dailies[[#This Row],[SunLife RRSP]]</f>
        <v>373178</v>
      </c>
      <c r="S870" s="401">
        <f>S869+Dailies[[#This Row],[CIBC RRSP Principal Delta]]</f>
        <v>0</v>
      </c>
      <c r="T870" s="401">
        <f>T869+Dailies[[#This Row],[CIBC RESP Principal Delta]]</f>
        <v>37280.450000000004</v>
      </c>
      <c r="U870" s="402">
        <f>U869+Dailies[[#This Row],[QT RRSP Principal Delta]]</f>
        <v>319770.87</v>
      </c>
      <c r="V870" s="401">
        <f>V869+Dailies[[#This Row],[SunLife RRSP Principal Delta]]</f>
        <v>6901.77</v>
      </c>
      <c r="W870" s="315">
        <f>Dailies[[#This Row],[CIBC RRSP Principal]]+Dailies[[#This Row],[QT RRSP Principal]]+Dailies[[#This Row],[SunLife RRSP Principal]]</f>
        <v>326672.64000000001</v>
      </c>
      <c r="X870" s="361">
        <f>Dailies[[#This Row],[CIBC RRSP Principal]]+Dailies[[#This Row],[CIBC RESP Principal]]+Dailies[[#This Row],[QT RRSP Principal]]+Dailies[[#This Row],[SunLife RRSP Principal]]</f>
        <v>363953.09</v>
      </c>
      <c r="Y870" s="315">
        <f>Dailies[[#This Row],[CIBC RRSP]]+Dailies[[#This Row],[CIBC RESP]]+Dailies[[#This Row],[QT RRSP]]+Dailies[[#This Row],[SunLife RRSP]]</f>
        <v>418674.36</v>
      </c>
      <c r="Z870" s="313">
        <f>Dailies[[#This Row],[Portfolio Total]]+Dailies[[#This Row],[Home Equity]]+Dailies[[#This Row],[Car Equity]]+Dailies[[#This Row],[Valuables Equity]]+Dailies[[#This Row],[GSK Pension]]+Dailies[[#This Row],[Home Loan]]</f>
        <v>1185036.3599999999</v>
      </c>
      <c r="AA870" s="402">
        <f>IF(ISNUMBER(C869),Dailies[[#This Row],[CIBC RRSP]]-C869-Dailies[[#This Row],[CIBC RRSP Principal Delta]],0)</f>
        <v>0</v>
      </c>
      <c r="AB870" s="402">
        <f>IF(ISNUMBER(D869),Dailies[[#This Row],[CIBC RESP]]-D869-Dailies[[#This Row],[CIBC RESP Principal Delta]],0)</f>
        <v>0</v>
      </c>
      <c r="AC870" s="402">
        <f>IF(ISNUMBER(E869),Dailies[[#This Row],[QT RRSP]]-E869-Dailies[[#This Row],[QT RRSP Principal Delta]],0)</f>
        <v>0</v>
      </c>
      <c r="AD870" s="402">
        <f>IF(ISNUMBER(G869),Dailies[[#This Row],[SunLife RRSP]]-G869-Dailies[[#This Row],[SunLife RRSP Principal Delta]],0)</f>
        <v>0</v>
      </c>
      <c r="AE870" s="315">
        <f>Dailies[[#This Row],[CIBC RRSP Daily $]]+Dailies[[#This Row],[QT RRSP Daily $]]+Dailies[[#This Row],[SunLife RRSP Daily $]]</f>
        <v>0</v>
      </c>
      <c r="AF870" s="315">
        <f>Dailies[[#This Row],[RRSP Daily $]]+Dailies[[#This Row],[CIBC RESP Daily $]]</f>
        <v>0</v>
      </c>
      <c r="AG870" s="401">
        <f>IF(ISNUMBER(AJ869),Dailies[[#This Row],[VOO]]-AJ869,0)</f>
        <v>0</v>
      </c>
      <c r="AH870" s="362">
        <f>Dailies[[#This Row],[RRSP Daily $]]/Dailies[[#This Row],[RRSP Total]]</f>
        <v>0</v>
      </c>
      <c r="AI870" s="363">
        <f>IF(Dailies[[#This Row],[CIBC RESP]]&gt;0,Dailies[[#This Row],[CIBC RESP Daily $]]/Dailies[[#This Row],[CIBC RESP]],0)</f>
        <v>0</v>
      </c>
      <c r="AJ870" s="315">
        <f>VLOOKUP(Dailies[[#This Row],[Date]],Quotes[],MATCH("VOO",Quotes[#Headers],EXACT_MATCH))</f>
        <v>310.27999999999997</v>
      </c>
      <c r="AK870" s="314">
        <f>Dailies[[#This Row],[VOO Daily $]]/Dailies[[#This Row],[VOO]]</f>
        <v>0</v>
      </c>
      <c r="AL870" s="314">
        <f>Dailies[[#This Row],[RRSP Daily %]]-Dailies[[#This Row],[VOO Daily %]]</f>
        <v>0</v>
      </c>
      <c r="AM870" s="413">
        <f t="shared" si="13"/>
        <v>283.27402985074639</v>
      </c>
      <c r="AR870" s="333"/>
      <c r="AS870" s="333"/>
      <c r="AT870" s="333"/>
      <c r="AU870" s="333"/>
      <c r="AV870" s="333"/>
    </row>
    <row r="871" spans="2:48" s="330" customFormat="1" ht="28.15" customHeight="1" x14ac:dyDescent="0.25">
      <c r="B871" s="359">
        <v>43877</v>
      </c>
      <c r="C871" s="360">
        <v>0</v>
      </c>
      <c r="D871" s="360">
        <v>45496.36</v>
      </c>
      <c r="E871" s="329">
        <v>365925</v>
      </c>
      <c r="F871" s="329">
        <v>0</v>
      </c>
      <c r="G871" s="329">
        <v>7253</v>
      </c>
      <c r="H871" s="329"/>
      <c r="I871" s="329"/>
      <c r="J871" s="329"/>
      <c r="K871" s="329"/>
      <c r="L871" s="329"/>
      <c r="M871" s="329">
        <v>650000</v>
      </c>
      <c r="N871" s="329">
        <f t="shared" si="16"/>
        <v>23079</v>
      </c>
      <c r="O871" s="329">
        <f t="shared" si="15"/>
        <v>1600</v>
      </c>
      <c r="P871" s="329">
        <v>91683</v>
      </c>
      <c r="Q871" s="329">
        <v>0</v>
      </c>
      <c r="R871" s="315">
        <f>Dailies[[#This Row],[CIBC RRSP]]+Dailies[[#This Row],[QT RRSP]]+Dailies[[#This Row],[SunLife RRSP]]</f>
        <v>373178</v>
      </c>
      <c r="S871" s="401">
        <f>S870+Dailies[[#This Row],[CIBC RRSP Principal Delta]]</f>
        <v>0</v>
      </c>
      <c r="T871" s="401">
        <f>T870+Dailies[[#This Row],[CIBC RESP Principal Delta]]</f>
        <v>37280.450000000004</v>
      </c>
      <c r="U871" s="402">
        <f>U870+Dailies[[#This Row],[QT RRSP Principal Delta]]</f>
        <v>319770.87</v>
      </c>
      <c r="V871" s="401">
        <f>V870+Dailies[[#This Row],[SunLife RRSP Principal Delta]]</f>
        <v>6901.77</v>
      </c>
      <c r="W871" s="315">
        <f>Dailies[[#This Row],[CIBC RRSP Principal]]+Dailies[[#This Row],[QT RRSP Principal]]+Dailies[[#This Row],[SunLife RRSP Principal]]</f>
        <v>326672.64000000001</v>
      </c>
      <c r="X871" s="361">
        <f>Dailies[[#This Row],[CIBC RRSP Principal]]+Dailies[[#This Row],[CIBC RESP Principal]]+Dailies[[#This Row],[QT RRSP Principal]]+Dailies[[#This Row],[SunLife RRSP Principal]]</f>
        <v>363953.09</v>
      </c>
      <c r="Y871" s="315">
        <f>Dailies[[#This Row],[CIBC RRSP]]+Dailies[[#This Row],[CIBC RESP]]+Dailies[[#This Row],[QT RRSP]]+Dailies[[#This Row],[SunLife RRSP]]</f>
        <v>418674.36</v>
      </c>
      <c r="Z871" s="313">
        <f>Dailies[[#This Row],[Portfolio Total]]+Dailies[[#This Row],[Home Equity]]+Dailies[[#This Row],[Car Equity]]+Dailies[[#This Row],[Valuables Equity]]+Dailies[[#This Row],[GSK Pension]]+Dailies[[#This Row],[Home Loan]]</f>
        <v>1185036.3599999999</v>
      </c>
      <c r="AA871" s="402">
        <f>IF(ISNUMBER(C870),Dailies[[#This Row],[CIBC RRSP]]-C870-Dailies[[#This Row],[CIBC RRSP Principal Delta]],0)</f>
        <v>0</v>
      </c>
      <c r="AB871" s="402">
        <f>IF(ISNUMBER(D870),Dailies[[#This Row],[CIBC RESP]]-D870-Dailies[[#This Row],[CIBC RESP Principal Delta]],0)</f>
        <v>0</v>
      </c>
      <c r="AC871" s="402">
        <f>IF(ISNUMBER(E870),Dailies[[#This Row],[QT RRSP]]-E870-Dailies[[#This Row],[QT RRSP Principal Delta]],0)</f>
        <v>0</v>
      </c>
      <c r="AD871" s="402">
        <f>IF(ISNUMBER(G870),Dailies[[#This Row],[SunLife RRSP]]-G870-Dailies[[#This Row],[SunLife RRSP Principal Delta]],0)</f>
        <v>0</v>
      </c>
      <c r="AE871" s="315">
        <f>Dailies[[#This Row],[CIBC RRSP Daily $]]+Dailies[[#This Row],[QT RRSP Daily $]]+Dailies[[#This Row],[SunLife RRSP Daily $]]</f>
        <v>0</v>
      </c>
      <c r="AF871" s="315">
        <f>Dailies[[#This Row],[RRSP Daily $]]+Dailies[[#This Row],[CIBC RESP Daily $]]</f>
        <v>0</v>
      </c>
      <c r="AG871" s="401">
        <f>IF(ISNUMBER(AJ870),Dailies[[#This Row],[VOO]]-AJ870,0)</f>
        <v>0</v>
      </c>
      <c r="AH871" s="362">
        <f>Dailies[[#This Row],[RRSP Daily $]]/Dailies[[#This Row],[RRSP Total]]</f>
        <v>0</v>
      </c>
      <c r="AI871" s="363">
        <f>IF(Dailies[[#This Row],[CIBC RESP]]&gt;0,Dailies[[#This Row],[CIBC RESP Daily $]]/Dailies[[#This Row],[CIBC RESP]],0)</f>
        <v>0</v>
      </c>
      <c r="AJ871" s="315">
        <f>VLOOKUP(Dailies[[#This Row],[Date]],Quotes[],MATCH("VOO",Quotes[#Headers],EXACT_MATCH))</f>
        <v>310.27999999999997</v>
      </c>
      <c r="AK871" s="314">
        <f>Dailies[[#This Row],[VOO Daily $]]/Dailies[[#This Row],[VOO]]</f>
        <v>0</v>
      </c>
      <c r="AL871" s="314">
        <f>Dailies[[#This Row],[RRSP Daily %]]-Dailies[[#This Row],[VOO Daily %]]</f>
        <v>0</v>
      </c>
      <c r="AM871" s="413">
        <f t="shared" si="13"/>
        <v>283.44019900497523</v>
      </c>
      <c r="AR871" s="333"/>
      <c r="AS871" s="333"/>
      <c r="AT871" s="333"/>
      <c r="AU871" s="333"/>
      <c r="AV871" s="333"/>
    </row>
    <row r="872" spans="2:48" s="330" customFormat="1" ht="28.15" customHeight="1" x14ac:dyDescent="0.25">
      <c r="B872" s="359">
        <v>43878</v>
      </c>
      <c r="C872" s="360">
        <v>0</v>
      </c>
      <c r="D872" s="360">
        <v>45496.36</v>
      </c>
      <c r="E872" s="329">
        <v>365925</v>
      </c>
      <c r="F872" s="329">
        <v>0</v>
      </c>
      <c r="G872" s="329">
        <v>7253</v>
      </c>
      <c r="H872" s="329"/>
      <c r="I872" s="329"/>
      <c r="J872" s="329"/>
      <c r="K872" s="329"/>
      <c r="L872" s="329"/>
      <c r="M872" s="329">
        <v>650000</v>
      </c>
      <c r="N872" s="329">
        <f t="shared" si="16"/>
        <v>23079</v>
      </c>
      <c r="O872" s="329">
        <f t="shared" si="15"/>
        <v>1600</v>
      </c>
      <c r="P872" s="329">
        <v>91683</v>
      </c>
      <c r="Q872" s="329">
        <v>0</v>
      </c>
      <c r="R872" s="315">
        <f>Dailies[[#This Row],[CIBC RRSP]]+Dailies[[#This Row],[QT RRSP]]+Dailies[[#This Row],[SunLife RRSP]]</f>
        <v>373178</v>
      </c>
      <c r="S872" s="401">
        <f>S871+Dailies[[#This Row],[CIBC RRSP Principal Delta]]</f>
        <v>0</v>
      </c>
      <c r="T872" s="401">
        <f>T871+Dailies[[#This Row],[CIBC RESP Principal Delta]]</f>
        <v>37280.450000000004</v>
      </c>
      <c r="U872" s="402">
        <f>U871+Dailies[[#This Row],[QT RRSP Principal Delta]]</f>
        <v>319770.87</v>
      </c>
      <c r="V872" s="401">
        <f>V871+Dailies[[#This Row],[SunLife RRSP Principal Delta]]</f>
        <v>6901.77</v>
      </c>
      <c r="W872" s="315">
        <f>Dailies[[#This Row],[CIBC RRSP Principal]]+Dailies[[#This Row],[QT RRSP Principal]]+Dailies[[#This Row],[SunLife RRSP Principal]]</f>
        <v>326672.64000000001</v>
      </c>
      <c r="X872" s="361">
        <f>Dailies[[#This Row],[CIBC RRSP Principal]]+Dailies[[#This Row],[CIBC RESP Principal]]+Dailies[[#This Row],[QT RRSP Principal]]+Dailies[[#This Row],[SunLife RRSP Principal]]</f>
        <v>363953.09</v>
      </c>
      <c r="Y872" s="315">
        <f>Dailies[[#This Row],[CIBC RRSP]]+Dailies[[#This Row],[CIBC RESP]]+Dailies[[#This Row],[QT RRSP]]+Dailies[[#This Row],[SunLife RRSP]]</f>
        <v>418674.36</v>
      </c>
      <c r="Z872" s="313">
        <f>Dailies[[#This Row],[Portfolio Total]]+Dailies[[#This Row],[Home Equity]]+Dailies[[#This Row],[Car Equity]]+Dailies[[#This Row],[Valuables Equity]]+Dailies[[#This Row],[GSK Pension]]+Dailies[[#This Row],[Home Loan]]</f>
        <v>1185036.3599999999</v>
      </c>
      <c r="AA872" s="402">
        <f>IF(ISNUMBER(C871),Dailies[[#This Row],[CIBC RRSP]]-C871-Dailies[[#This Row],[CIBC RRSP Principal Delta]],0)</f>
        <v>0</v>
      </c>
      <c r="AB872" s="402">
        <f>IF(ISNUMBER(D871),Dailies[[#This Row],[CIBC RESP]]-D871-Dailies[[#This Row],[CIBC RESP Principal Delta]],0)</f>
        <v>0</v>
      </c>
      <c r="AC872" s="402">
        <f>IF(ISNUMBER(E871),Dailies[[#This Row],[QT RRSP]]-E871-Dailies[[#This Row],[QT RRSP Principal Delta]],0)</f>
        <v>0</v>
      </c>
      <c r="AD872" s="402">
        <f>IF(ISNUMBER(G871),Dailies[[#This Row],[SunLife RRSP]]-G871-Dailies[[#This Row],[SunLife RRSP Principal Delta]],0)</f>
        <v>0</v>
      </c>
      <c r="AE872" s="315">
        <f>Dailies[[#This Row],[CIBC RRSP Daily $]]+Dailies[[#This Row],[QT RRSP Daily $]]+Dailies[[#This Row],[SunLife RRSP Daily $]]</f>
        <v>0</v>
      </c>
      <c r="AF872" s="315">
        <f>Dailies[[#This Row],[RRSP Daily $]]+Dailies[[#This Row],[CIBC RESP Daily $]]</f>
        <v>0</v>
      </c>
      <c r="AG872" s="401">
        <f>IF(ISNUMBER(AJ871),Dailies[[#This Row],[VOO]]-AJ871,0)</f>
        <v>0</v>
      </c>
      <c r="AH872" s="362">
        <f>Dailies[[#This Row],[RRSP Daily $]]/Dailies[[#This Row],[RRSP Total]]</f>
        <v>0</v>
      </c>
      <c r="AI872" s="363">
        <f>IF(Dailies[[#This Row],[CIBC RESP]]&gt;0,Dailies[[#This Row],[CIBC RESP Daily $]]/Dailies[[#This Row],[CIBC RESP]],0)</f>
        <v>0</v>
      </c>
      <c r="AJ872" s="315">
        <f>VLOOKUP(Dailies[[#This Row],[Date]],Quotes[],MATCH("VOO",Quotes[#Headers],EXACT_MATCH))</f>
        <v>310.27999999999997</v>
      </c>
      <c r="AK872" s="314">
        <f>Dailies[[#This Row],[VOO Daily $]]/Dailies[[#This Row],[VOO]]</f>
        <v>0</v>
      </c>
      <c r="AL872" s="314">
        <f>Dailies[[#This Row],[RRSP Daily %]]-Dailies[[#This Row],[VOO Daily %]]</f>
        <v>0</v>
      </c>
      <c r="AM872" s="413">
        <f t="shared" si="13"/>
        <v>283.60970149253745</v>
      </c>
      <c r="AR872" s="333"/>
      <c r="AS872" s="333"/>
      <c r="AT872" s="333"/>
      <c r="AU872" s="333"/>
      <c r="AV872" s="333"/>
    </row>
    <row r="873" spans="2:48" s="330" customFormat="1" ht="28.15" customHeight="1" x14ac:dyDescent="0.25">
      <c r="B873" s="359">
        <v>43879</v>
      </c>
      <c r="C873" s="360">
        <v>0</v>
      </c>
      <c r="D873" s="360">
        <v>44611.28</v>
      </c>
      <c r="E873" s="329">
        <v>363009</v>
      </c>
      <c r="F873" s="329">
        <v>0</v>
      </c>
      <c r="G873" s="329">
        <v>7253</v>
      </c>
      <c r="H873" s="329"/>
      <c r="I873" s="329"/>
      <c r="J873" s="329"/>
      <c r="K873" s="329"/>
      <c r="L873" s="329"/>
      <c r="M873" s="329">
        <v>650000</v>
      </c>
      <c r="N873" s="329">
        <f t="shared" si="16"/>
        <v>23079</v>
      </c>
      <c r="O873" s="329">
        <f t="shared" si="15"/>
        <v>1600</v>
      </c>
      <c r="P873" s="329">
        <v>91683</v>
      </c>
      <c r="Q873" s="329">
        <v>0</v>
      </c>
      <c r="R873" s="315">
        <f>Dailies[[#This Row],[CIBC RRSP]]+Dailies[[#This Row],[QT RRSP]]+Dailies[[#This Row],[SunLife RRSP]]</f>
        <v>370262</v>
      </c>
      <c r="S873" s="401">
        <f>S872+Dailies[[#This Row],[CIBC RRSP Principal Delta]]</f>
        <v>0</v>
      </c>
      <c r="T873" s="401">
        <f>T872+Dailies[[#This Row],[CIBC RESP Principal Delta]]</f>
        <v>37280.450000000004</v>
      </c>
      <c r="U873" s="402">
        <f>U872+Dailies[[#This Row],[QT RRSP Principal Delta]]</f>
        <v>319770.87</v>
      </c>
      <c r="V873" s="401">
        <f>V872+Dailies[[#This Row],[SunLife RRSP Principal Delta]]</f>
        <v>6901.77</v>
      </c>
      <c r="W873" s="315">
        <f>Dailies[[#This Row],[CIBC RRSP Principal]]+Dailies[[#This Row],[QT RRSP Principal]]+Dailies[[#This Row],[SunLife RRSP Principal]]</f>
        <v>326672.64000000001</v>
      </c>
      <c r="X873" s="361">
        <f>Dailies[[#This Row],[CIBC RRSP Principal]]+Dailies[[#This Row],[CIBC RESP Principal]]+Dailies[[#This Row],[QT RRSP Principal]]+Dailies[[#This Row],[SunLife RRSP Principal]]</f>
        <v>363953.09</v>
      </c>
      <c r="Y873" s="315">
        <f>Dailies[[#This Row],[CIBC RRSP]]+Dailies[[#This Row],[CIBC RESP]]+Dailies[[#This Row],[QT RRSP]]+Dailies[[#This Row],[SunLife RRSP]]</f>
        <v>414873.28</v>
      </c>
      <c r="Z873" s="313">
        <f>Dailies[[#This Row],[Portfolio Total]]+Dailies[[#This Row],[Home Equity]]+Dailies[[#This Row],[Car Equity]]+Dailies[[#This Row],[Valuables Equity]]+Dailies[[#This Row],[GSK Pension]]+Dailies[[#This Row],[Home Loan]]</f>
        <v>1181235.28</v>
      </c>
      <c r="AA873" s="402">
        <f>IF(ISNUMBER(C872),Dailies[[#This Row],[CIBC RRSP]]-C872-Dailies[[#This Row],[CIBC RRSP Principal Delta]],0)</f>
        <v>0</v>
      </c>
      <c r="AB873" s="402">
        <f>IF(ISNUMBER(D872),Dailies[[#This Row],[CIBC RESP]]-D872-Dailies[[#This Row],[CIBC RESP Principal Delta]],0)</f>
        <v>-885.08000000000175</v>
      </c>
      <c r="AC873" s="402">
        <f>IF(ISNUMBER(E872),Dailies[[#This Row],[QT RRSP]]-E872-Dailies[[#This Row],[QT RRSP Principal Delta]],0)</f>
        <v>-2916</v>
      </c>
      <c r="AD873" s="402">
        <f>IF(ISNUMBER(G872),Dailies[[#This Row],[SunLife RRSP]]-G872-Dailies[[#This Row],[SunLife RRSP Principal Delta]],0)</f>
        <v>0</v>
      </c>
      <c r="AE873" s="315">
        <f>Dailies[[#This Row],[CIBC RRSP Daily $]]+Dailies[[#This Row],[QT RRSP Daily $]]+Dailies[[#This Row],[SunLife RRSP Daily $]]</f>
        <v>-2916</v>
      </c>
      <c r="AF873" s="315">
        <f>Dailies[[#This Row],[RRSP Daily $]]+Dailies[[#This Row],[CIBC RESP Daily $]]</f>
        <v>-3801.0800000000017</v>
      </c>
      <c r="AG873" s="401">
        <f>IF(ISNUMBER(AJ872),Dailies[[#This Row],[VOO]]-AJ872,0)</f>
        <v>-0.84999999999996589</v>
      </c>
      <c r="AH873" s="362">
        <f>Dailies[[#This Row],[RRSP Daily $]]/Dailies[[#This Row],[RRSP Total]]</f>
        <v>-7.8755043725794172E-3</v>
      </c>
      <c r="AI873" s="363">
        <f>IF(Dailies[[#This Row],[CIBC RESP]]&gt;0,Dailies[[#This Row],[CIBC RESP Daily $]]/Dailies[[#This Row],[CIBC RESP]],0)</f>
        <v>-1.9839825263924322E-2</v>
      </c>
      <c r="AJ873" s="315">
        <f>VLOOKUP(Dailies[[#This Row],[Date]],Quotes[],MATCH("VOO",Quotes[#Headers],EXACT_MATCH))</f>
        <v>309.43</v>
      </c>
      <c r="AK873" s="314">
        <f>Dailies[[#This Row],[VOO Daily $]]/Dailies[[#This Row],[VOO]]</f>
        <v>-2.7469863943378661E-3</v>
      </c>
      <c r="AL873" s="314">
        <f>Dailies[[#This Row],[RRSP Daily %]]-Dailies[[#This Row],[VOO Daily %]]</f>
        <v>-5.1285179782415511E-3</v>
      </c>
      <c r="AM873" s="413">
        <f t="shared" si="13"/>
        <v>283.79477611940308</v>
      </c>
      <c r="AR873" s="333"/>
      <c r="AS873" s="333"/>
      <c r="AT873" s="333"/>
      <c r="AU873" s="333"/>
      <c r="AV873" s="333"/>
    </row>
    <row r="874" spans="2:48" s="330" customFormat="1" ht="28.15" customHeight="1" x14ac:dyDescent="0.25">
      <c r="B874" s="359">
        <v>43880</v>
      </c>
      <c r="C874" s="360">
        <v>0</v>
      </c>
      <c r="D874" s="360">
        <v>45098.48</v>
      </c>
      <c r="E874" s="329">
        <v>365107</v>
      </c>
      <c r="F874" s="329">
        <v>0</v>
      </c>
      <c r="G874" s="329">
        <v>7253</v>
      </c>
      <c r="H874" s="329"/>
      <c r="I874" s="329">
        <v>210</v>
      </c>
      <c r="J874" s="329"/>
      <c r="K874" s="329"/>
      <c r="L874" s="329"/>
      <c r="M874" s="329">
        <v>650000</v>
      </c>
      <c r="N874" s="329">
        <f t="shared" si="16"/>
        <v>23079</v>
      </c>
      <c r="O874" s="329">
        <f t="shared" si="15"/>
        <v>1600</v>
      </c>
      <c r="P874" s="329">
        <v>91683</v>
      </c>
      <c r="Q874" s="329">
        <v>0</v>
      </c>
      <c r="R874" s="315">
        <f>Dailies[[#This Row],[CIBC RRSP]]+Dailies[[#This Row],[QT RRSP]]+Dailies[[#This Row],[SunLife RRSP]]</f>
        <v>372360</v>
      </c>
      <c r="S874" s="401">
        <f>S873+Dailies[[#This Row],[CIBC RRSP Principal Delta]]</f>
        <v>0</v>
      </c>
      <c r="T874" s="401">
        <f>T873+Dailies[[#This Row],[CIBC RESP Principal Delta]]</f>
        <v>37490.450000000004</v>
      </c>
      <c r="U874" s="402">
        <f>U873+Dailies[[#This Row],[QT RRSP Principal Delta]]</f>
        <v>319770.87</v>
      </c>
      <c r="V874" s="401">
        <f>V873+Dailies[[#This Row],[SunLife RRSP Principal Delta]]</f>
        <v>6901.77</v>
      </c>
      <c r="W874" s="315">
        <f>Dailies[[#This Row],[CIBC RRSP Principal]]+Dailies[[#This Row],[QT RRSP Principal]]+Dailies[[#This Row],[SunLife RRSP Principal]]</f>
        <v>326672.64000000001</v>
      </c>
      <c r="X874" s="361">
        <f>Dailies[[#This Row],[CIBC RRSP Principal]]+Dailies[[#This Row],[CIBC RESP Principal]]+Dailies[[#This Row],[QT RRSP Principal]]+Dailies[[#This Row],[SunLife RRSP Principal]]</f>
        <v>364163.09</v>
      </c>
      <c r="Y874" s="315">
        <f>Dailies[[#This Row],[CIBC RRSP]]+Dailies[[#This Row],[CIBC RESP]]+Dailies[[#This Row],[QT RRSP]]+Dailies[[#This Row],[SunLife RRSP]]</f>
        <v>417458.48</v>
      </c>
      <c r="Z874" s="313">
        <f>Dailies[[#This Row],[Portfolio Total]]+Dailies[[#This Row],[Home Equity]]+Dailies[[#This Row],[Car Equity]]+Dailies[[#This Row],[Valuables Equity]]+Dailies[[#This Row],[GSK Pension]]+Dailies[[#This Row],[Home Loan]]</f>
        <v>1183820.48</v>
      </c>
      <c r="AA874" s="402">
        <f>IF(ISNUMBER(C873),Dailies[[#This Row],[CIBC RRSP]]-C873-Dailies[[#This Row],[CIBC RRSP Principal Delta]],0)</f>
        <v>0</v>
      </c>
      <c r="AB874" s="402">
        <f>IF(ISNUMBER(D873),Dailies[[#This Row],[CIBC RESP]]-D873-Dailies[[#This Row],[CIBC RESP Principal Delta]],0)</f>
        <v>277.20000000000437</v>
      </c>
      <c r="AC874" s="402">
        <f>IF(ISNUMBER(E873),Dailies[[#This Row],[QT RRSP]]-E873-Dailies[[#This Row],[QT RRSP Principal Delta]],0)</f>
        <v>2098</v>
      </c>
      <c r="AD874" s="402">
        <f>IF(ISNUMBER(G873),Dailies[[#This Row],[SunLife RRSP]]-G873-Dailies[[#This Row],[SunLife RRSP Principal Delta]],0)</f>
        <v>0</v>
      </c>
      <c r="AE874" s="315">
        <f>Dailies[[#This Row],[CIBC RRSP Daily $]]+Dailies[[#This Row],[QT RRSP Daily $]]+Dailies[[#This Row],[SunLife RRSP Daily $]]</f>
        <v>2098</v>
      </c>
      <c r="AF874" s="315">
        <f>Dailies[[#This Row],[RRSP Daily $]]+Dailies[[#This Row],[CIBC RESP Daily $]]</f>
        <v>2375.2000000000044</v>
      </c>
      <c r="AG874" s="401">
        <f>IF(ISNUMBER(AJ873),Dailies[[#This Row],[VOO]]-AJ873,0)</f>
        <v>1.4900000000000091</v>
      </c>
      <c r="AH874" s="362">
        <f>Dailies[[#This Row],[RRSP Daily $]]/Dailies[[#This Row],[RRSP Total]]</f>
        <v>5.6343323665270168E-3</v>
      </c>
      <c r="AI874" s="363">
        <f>IF(Dailies[[#This Row],[CIBC RESP]]&gt;0,Dailies[[#This Row],[CIBC RESP Daily $]]/Dailies[[#This Row],[CIBC RESP]],0)</f>
        <v>6.1465486198205429E-3</v>
      </c>
      <c r="AJ874" s="315">
        <f>VLOOKUP(Dailies[[#This Row],[Date]],Quotes[],MATCH("VOO",Quotes[#Headers],EXACT_MATCH))</f>
        <v>310.92</v>
      </c>
      <c r="AK874" s="314">
        <f>Dailies[[#This Row],[VOO Daily $]]/Dailies[[#This Row],[VOO]]</f>
        <v>4.7922295124147984E-3</v>
      </c>
      <c r="AL874" s="314">
        <f>Dailies[[#This Row],[RRSP Daily %]]-Dailies[[#This Row],[VOO Daily %]]</f>
        <v>8.4210285411221841E-4</v>
      </c>
      <c r="AM874" s="413">
        <f t="shared" si="13"/>
        <v>283.98701492537322</v>
      </c>
      <c r="AR874" s="333"/>
      <c r="AS874" s="333"/>
      <c r="AT874" s="333"/>
      <c r="AU874" s="333"/>
      <c r="AV874" s="333"/>
    </row>
    <row r="875" spans="2:48" s="330" customFormat="1" ht="28.15" customHeight="1" x14ac:dyDescent="0.25">
      <c r="B875" s="359">
        <v>43881</v>
      </c>
      <c r="C875" s="360">
        <v>0</v>
      </c>
      <c r="D875" s="360">
        <v>44992.92</v>
      </c>
      <c r="E875" s="329">
        <v>362442.87</v>
      </c>
      <c r="F875" s="329">
        <v>0</v>
      </c>
      <c r="G875" s="329">
        <v>7253</v>
      </c>
      <c r="H875" s="329"/>
      <c r="I875" s="329"/>
      <c r="J875" s="329"/>
      <c r="K875" s="329"/>
      <c r="L875" s="329"/>
      <c r="M875" s="329">
        <v>650000</v>
      </c>
      <c r="N875" s="329">
        <f t="shared" si="16"/>
        <v>23079</v>
      </c>
      <c r="O875" s="329">
        <f t="shared" si="15"/>
        <v>1600</v>
      </c>
      <c r="P875" s="329">
        <v>91683</v>
      </c>
      <c r="Q875" s="329">
        <v>0</v>
      </c>
      <c r="R875" s="315">
        <f>Dailies[[#This Row],[CIBC RRSP]]+Dailies[[#This Row],[QT RRSP]]+Dailies[[#This Row],[SunLife RRSP]]</f>
        <v>369695.87</v>
      </c>
      <c r="S875" s="401">
        <f>S874+Dailies[[#This Row],[CIBC RRSP Principal Delta]]</f>
        <v>0</v>
      </c>
      <c r="T875" s="401">
        <f>T874+Dailies[[#This Row],[CIBC RESP Principal Delta]]</f>
        <v>37490.450000000004</v>
      </c>
      <c r="U875" s="402">
        <f>U874+Dailies[[#This Row],[QT RRSP Principal Delta]]</f>
        <v>319770.87</v>
      </c>
      <c r="V875" s="401">
        <f>V874+Dailies[[#This Row],[SunLife RRSP Principal Delta]]</f>
        <v>6901.77</v>
      </c>
      <c r="W875" s="315">
        <f>Dailies[[#This Row],[CIBC RRSP Principal]]+Dailies[[#This Row],[QT RRSP Principal]]+Dailies[[#This Row],[SunLife RRSP Principal]]</f>
        <v>326672.64000000001</v>
      </c>
      <c r="X875" s="361">
        <f>Dailies[[#This Row],[CIBC RRSP Principal]]+Dailies[[#This Row],[CIBC RESP Principal]]+Dailies[[#This Row],[QT RRSP Principal]]+Dailies[[#This Row],[SunLife RRSP Principal]]</f>
        <v>364163.09</v>
      </c>
      <c r="Y875" s="315">
        <f>Dailies[[#This Row],[CIBC RRSP]]+Dailies[[#This Row],[CIBC RESP]]+Dailies[[#This Row],[QT RRSP]]+Dailies[[#This Row],[SunLife RRSP]]</f>
        <v>414688.79</v>
      </c>
      <c r="Z875" s="313">
        <f>Dailies[[#This Row],[Portfolio Total]]+Dailies[[#This Row],[Home Equity]]+Dailies[[#This Row],[Car Equity]]+Dailies[[#This Row],[Valuables Equity]]+Dailies[[#This Row],[GSK Pension]]+Dailies[[#This Row],[Home Loan]]</f>
        <v>1181050.79</v>
      </c>
      <c r="AA875" s="402">
        <f>IF(ISNUMBER(C874),Dailies[[#This Row],[CIBC RRSP]]-C874-Dailies[[#This Row],[CIBC RRSP Principal Delta]],0)</f>
        <v>0</v>
      </c>
      <c r="AB875" s="402">
        <f>IF(ISNUMBER(D874),Dailies[[#This Row],[CIBC RESP]]-D874-Dailies[[#This Row],[CIBC RESP Principal Delta]],0)</f>
        <v>-105.56000000000495</v>
      </c>
      <c r="AC875" s="402">
        <f>IF(ISNUMBER(E874),Dailies[[#This Row],[QT RRSP]]-E874-Dailies[[#This Row],[QT RRSP Principal Delta]],0)</f>
        <v>-2664.1300000000047</v>
      </c>
      <c r="AD875" s="402">
        <f>IF(ISNUMBER(G874),Dailies[[#This Row],[SunLife RRSP]]-G874-Dailies[[#This Row],[SunLife RRSP Principal Delta]],0)</f>
        <v>0</v>
      </c>
      <c r="AE875" s="315">
        <f>Dailies[[#This Row],[CIBC RRSP Daily $]]+Dailies[[#This Row],[QT RRSP Daily $]]+Dailies[[#This Row],[SunLife RRSP Daily $]]</f>
        <v>-2664.1300000000047</v>
      </c>
      <c r="AF875" s="315">
        <f>Dailies[[#This Row],[RRSP Daily $]]+Dailies[[#This Row],[CIBC RESP Daily $]]</f>
        <v>-2769.6900000000096</v>
      </c>
      <c r="AG875" s="401">
        <f>IF(ISNUMBER(AJ874),Dailies[[#This Row],[VOO]]-AJ874,0)</f>
        <v>-1.2200000000000273</v>
      </c>
      <c r="AH875" s="362">
        <f>Dailies[[#This Row],[RRSP Daily $]]/Dailies[[#This Row],[RRSP Total]]</f>
        <v>-7.2062747144024213E-3</v>
      </c>
      <c r="AI875" s="363">
        <f>IF(Dailies[[#This Row],[CIBC RESP]]&gt;0,Dailies[[#This Row],[CIBC RESP Daily $]]/Dailies[[#This Row],[CIBC RESP]],0)</f>
        <v>-2.3461469048909238E-3</v>
      </c>
      <c r="AJ875" s="315">
        <f>VLOOKUP(Dailies[[#This Row],[Date]],Quotes[],MATCH("VOO",Quotes[#Headers],EXACT_MATCH))</f>
        <v>309.7</v>
      </c>
      <c r="AK875" s="314">
        <f>Dailies[[#This Row],[VOO Daily $]]/Dailies[[#This Row],[VOO]]</f>
        <v>-3.9392960929933076E-3</v>
      </c>
      <c r="AL875" s="314">
        <f>Dailies[[#This Row],[RRSP Daily %]]-Dailies[[#This Row],[VOO Daily %]]</f>
        <v>-3.2669786214091136E-3</v>
      </c>
      <c r="AM875" s="413">
        <f t="shared" si="13"/>
        <v>284.19651741293541</v>
      </c>
      <c r="AR875" s="333"/>
      <c r="AS875" s="333"/>
      <c r="AT875" s="333"/>
      <c r="AU875" s="333"/>
      <c r="AV875" s="333"/>
    </row>
    <row r="876" spans="2:48" s="330" customFormat="1" ht="28.15" customHeight="1" x14ac:dyDescent="0.25">
      <c r="B876" s="359">
        <v>43882</v>
      </c>
      <c r="C876" s="360">
        <v>0</v>
      </c>
      <c r="D876" s="360">
        <v>44911.72</v>
      </c>
      <c r="E876" s="329">
        <v>365093</v>
      </c>
      <c r="F876" s="329">
        <v>0</v>
      </c>
      <c r="G876" s="329">
        <v>7253</v>
      </c>
      <c r="H876" s="329"/>
      <c r="I876" s="329"/>
      <c r="J876" s="329"/>
      <c r="K876" s="329"/>
      <c r="L876" s="329"/>
      <c r="M876" s="329">
        <v>650000</v>
      </c>
      <c r="N876" s="329">
        <f t="shared" si="16"/>
        <v>23079</v>
      </c>
      <c r="O876" s="329">
        <f t="shared" si="15"/>
        <v>1600</v>
      </c>
      <c r="P876" s="329">
        <v>91683</v>
      </c>
      <c r="Q876" s="329">
        <v>0</v>
      </c>
      <c r="R876" s="315">
        <f>Dailies[[#This Row],[CIBC RRSP]]+Dailies[[#This Row],[QT RRSP]]+Dailies[[#This Row],[SunLife RRSP]]</f>
        <v>372346</v>
      </c>
      <c r="S876" s="401">
        <f>S875+Dailies[[#This Row],[CIBC RRSP Principal Delta]]</f>
        <v>0</v>
      </c>
      <c r="T876" s="401">
        <f>T875+Dailies[[#This Row],[CIBC RESP Principal Delta]]</f>
        <v>37490.450000000004</v>
      </c>
      <c r="U876" s="402">
        <f>U875+Dailies[[#This Row],[QT RRSP Principal Delta]]</f>
        <v>319770.87</v>
      </c>
      <c r="V876" s="401">
        <f>V875+Dailies[[#This Row],[SunLife RRSP Principal Delta]]</f>
        <v>6901.77</v>
      </c>
      <c r="W876" s="315">
        <f>Dailies[[#This Row],[CIBC RRSP Principal]]+Dailies[[#This Row],[QT RRSP Principal]]+Dailies[[#This Row],[SunLife RRSP Principal]]</f>
        <v>326672.64000000001</v>
      </c>
      <c r="X876" s="361">
        <f>Dailies[[#This Row],[CIBC RRSP Principal]]+Dailies[[#This Row],[CIBC RESP Principal]]+Dailies[[#This Row],[QT RRSP Principal]]+Dailies[[#This Row],[SunLife RRSP Principal]]</f>
        <v>364163.09</v>
      </c>
      <c r="Y876" s="315">
        <f>Dailies[[#This Row],[CIBC RRSP]]+Dailies[[#This Row],[CIBC RESP]]+Dailies[[#This Row],[QT RRSP]]+Dailies[[#This Row],[SunLife RRSP]]</f>
        <v>417257.72</v>
      </c>
      <c r="Z876" s="313">
        <f>Dailies[[#This Row],[Portfolio Total]]+Dailies[[#This Row],[Home Equity]]+Dailies[[#This Row],[Car Equity]]+Dailies[[#This Row],[Valuables Equity]]+Dailies[[#This Row],[GSK Pension]]+Dailies[[#This Row],[Home Loan]]</f>
        <v>1183619.72</v>
      </c>
      <c r="AA876" s="402">
        <f>IF(ISNUMBER(C875),Dailies[[#This Row],[CIBC RRSP]]-C875-Dailies[[#This Row],[CIBC RRSP Principal Delta]],0)</f>
        <v>0</v>
      </c>
      <c r="AB876" s="402">
        <f>IF(ISNUMBER(D875),Dailies[[#This Row],[CIBC RESP]]-D875-Dailies[[#This Row],[CIBC RESP Principal Delta]],0)</f>
        <v>-81.19999999999709</v>
      </c>
      <c r="AC876" s="402">
        <f>IF(ISNUMBER(E875),Dailies[[#This Row],[QT RRSP]]-E875-Dailies[[#This Row],[QT RRSP Principal Delta]],0)</f>
        <v>2650.1300000000047</v>
      </c>
      <c r="AD876" s="402">
        <f>IF(ISNUMBER(G875),Dailies[[#This Row],[SunLife RRSP]]-G875-Dailies[[#This Row],[SunLife RRSP Principal Delta]],0)</f>
        <v>0</v>
      </c>
      <c r="AE876" s="315">
        <f>Dailies[[#This Row],[CIBC RRSP Daily $]]+Dailies[[#This Row],[QT RRSP Daily $]]+Dailies[[#This Row],[SunLife RRSP Daily $]]</f>
        <v>2650.1300000000047</v>
      </c>
      <c r="AF876" s="315">
        <f>Dailies[[#This Row],[RRSP Daily $]]+Dailies[[#This Row],[CIBC RESP Daily $]]</f>
        <v>2568.9300000000076</v>
      </c>
      <c r="AG876" s="401">
        <f>IF(ISNUMBER(AJ875),Dailies[[#This Row],[VOO]]-AJ875,0)</f>
        <v>-3.2099999999999795</v>
      </c>
      <c r="AH876" s="362">
        <f>Dailies[[#This Row],[RRSP Daily $]]/Dailies[[#This Row],[RRSP Total]]</f>
        <v>7.117385442572244E-3</v>
      </c>
      <c r="AI876" s="363">
        <f>IF(Dailies[[#This Row],[CIBC RESP]]&gt;0,Dailies[[#This Row],[CIBC RESP Daily $]]/Dailies[[#This Row],[CIBC RESP]],0)</f>
        <v>-1.8079913216415913E-3</v>
      </c>
      <c r="AJ876" s="315">
        <f>VLOOKUP(Dailies[[#This Row],[Date]],Quotes[],MATCH("VOO",Quotes[#Headers],EXACT_MATCH))</f>
        <v>306.49</v>
      </c>
      <c r="AK876" s="314">
        <f>Dailies[[#This Row],[VOO Daily $]]/Dailies[[#This Row],[VOO]]</f>
        <v>-1.0473424907827268E-2</v>
      </c>
      <c r="AL876" s="314">
        <f>Dailies[[#This Row],[RRSP Daily %]]-Dailies[[#This Row],[VOO Daily %]]</f>
        <v>1.7590810350399513E-2</v>
      </c>
      <c r="AM876" s="413">
        <f t="shared" si="13"/>
        <v>284.39995024875634</v>
      </c>
      <c r="AR876" s="333"/>
      <c r="AS876" s="333"/>
      <c r="AT876" s="333"/>
      <c r="AU876" s="333"/>
      <c r="AV876" s="333"/>
    </row>
    <row r="877" spans="2:48" s="330" customFormat="1" ht="28.15" customHeight="1" x14ac:dyDescent="0.25">
      <c r="B877" s="359">
        <v>43883</v>
      </c>
      <c r="C877" s="360">
        <v>0</v>
      </c>
      <c r="D877" s="360">
        <v>44911.72</v>
      </c>
      <c r="E877" s="329">
        <v>365093</v>
      </c>
      <c r="F877" s="329">
        <v>0</v>
      </c>
      <c r="G877" s="329">
        <v>7253</v>
      </c>
      <c r="H877" s="329"/>
      <c r="I877" s="329"/>
      <c r="J877" s="329"/>
      <c r="K877" s="329"/>
      <c r="L877" s="329"/>
      <c r="M877" s="329">
        <v>650000</v>
      </c>
      <c r="N877" s="329">
        <f t="shared" si="16"/>
        <v>23079</v>
      </c>
      <c r="O877" s="329">
        <f t="shared" si="15"/>
        <v>1600</v>
      </c>
      <c r="P877" s="329">
        <v>91683</v>
      </c>
      <c r="Q877" s="329">
        <v>0</v>
      </c>
      <c r="R877" s="315">
        <f>Dailies[[#This Row],[CIBC RRSP]]+Dailies[[#This Row],[QT RRSP]]+Dailies[[#This Row],[SunLife RRSP]]</f>
        <v>372346</v>
      </c>
      <c r="S877" s="401">
        <f>S876+Dailies[[#This Row],[CIBC RRSP Principal Delta]]</f>
        <v>0</v>
      </c>
      <c r="T877" s="401">
        <f>T876+Dailies[[#This Row],[CIBC RESP Principal Delta]]</f>
        <v>37490.450000000004</v>
      </c>
      <c r="U877" s="402">
        <f>U876+Dailies[[#This Row],[QT RRSP Principal Delta]]</f>
        <v>319770.87</v>
      </c>
      <c r="V877" s="401">
        <f>V876+Dailies[[#This Row],[SunLife RRSP Principal Delta]]</f>
        <v>6901.77</v>
      </c>
      <c r="W877" s="315">
        <f>Dailies[[#This Row],[CIBC RRSP Principal]]+Dailies[[#This Row],[QT RRSP Principal]]+Dailies[[#This Row],[SunLife RRSP Principal]]</f>
        <v>326672.64000000001</v>
      </c>
      <c r="X877" s="361">
        <f>Dailies[[#This Row],[CIBC RRSP Principal]]+Dailies[[#This Row],[CIBC RESP Principal]]+Dailies[[#This Row],[QT RRSP Principal]]+Dailies[[#This Row],[SunLife RRSP Principal]]</f>
        <v>364163.09</v>
      </c>
      <c r="Y877" s="315">
        <f>Dailies[[#This Row],[CIBC RRSP]]+Dailies[[#This Row],[CIBC RESP]]+Dailies[[#This Row],[QT RRSP]]+Dailies[[#This Row],[SunLife RRSP]]</f>
        <v>417257.72</v>
      </c>
      <c r="Z877" s="313">
        <f>Dailies[[#This Row],[Portfolio Total]]+Dailies[[#This Row],[Home Equity]]+Dailies[[#This Row],[Car Equity]]+Dailies[[#This Row],[Valuables Equity]]+Dailies[[#This Row],[GSK Pension]]+Dailies[[#This Row],[Home Loan]]</f>
        <v>1183619.72</v>
      </c>
      <c r="AA877" s="402">
        <f>IF(ISNUMBER(C876),Dailies[[#This Row],[CIBC RRSP]]-C876-Dailies[[#This Row],[CIBC RRSP Principal Delta]],0)</f>
        <v>0</v>
      </c>
      <c r="AB877" s="402">
        <f>IF(ISNUMBER(D876),Dailies[[#This Row],[CIBC RESP]]-D876-Dailies[[#This Row],[CIBC RESP Principal Delta]],0)</f>
        <v>0</v>
      </c>
      <c r="AC877" s="402">
        <f>IF(ISNUMBER(E876),Dailies[[#This Row],[QT RRSP]]-E876-Dailies[[#This Row],[QT RRSP Principal Delta]],0)</f>
        <v>0</v>
      </c>
      <c r="AD877" s="402">
        <f>IF(ISNUMBER(G876),Dailies[[#This Row],[SunLife RRSP]]-G876-Dailies[[#This Row],[SunLife RRSP Principal Delta]],0)</f>
        <v>0</v>
      </c>
      <c r="AE877" s="315">
        <f>Dailies[[#This Row],[CIBC RRSP Daily $]]+Dailies[[#This Row],[QT RRSP Daily $]]+Dailies[[#This Row],[SunLife RRSP Daily $]]</f>
        <v>0</v>
      </c>
      <c r="AF877" s="315">
        <f>Dailies[[#This Row],[RRSP Daily $]]+Dailies[[#This Row],[CIBC RESP Daily $]]</f>
        <v>0</v>
      </c>
      <c r="AG877" s="401">
        <f>IF(ISNUMBER(AJ876),Dailies[[#This Row],[VOO]]-AJ876,0)</f>
        <v>0</v>
      </c>
      <c r="AH877" s="362">
        <f>Dailies[[#This Row],[RRSP Daily $]]/Dailies[[#This Row],[RRSP Total]]</f>
        <v>0</v>
      </c>
      <c r="AI877" s="363">
        <f>IF(Dailies[[#This Row],[CIBC RESP]]&gt;0,Dailies[[#This Row],[CIBC RESP Daily $]]/Dailies[[#This Row],[CIBC RESP]],0)</f>
        <v>0</v>
      </c>
      <c r="AJ877" s="315">
        <f>VLOOKUP(Dailies[[#This Row],[Date]],Quotes[],MATCH("VOO",Quotes[#Headers],EXACT_MATCH))</f>
        <v>306.49</v>
      </c>
      <c r="AK877" s="314">
        <f>Dailies[[#This Row],[VOO Daily $]]/Dailies[[#This Row],[VOO]]</f>
        <v>0</v>
      </c>
      <c r="AL877" s="314">
        <f>Dailies[[#This Row],[RRSP Daily %]]-Dailies[[#This Row],[VOO Daily %]]</f>
        <v>0</v>
      </c>
      <c r="AM877" s="413">
        <f t="shared" si="13"/>
        <v>284.58741293532347</v>
      </c>
      <c r="AR877" s="333"/>
      <c r="AS877" s="333"/>
      <c r="AT877" s="333"/>
      <c r="AU877" s="333"/>
      <c r="AV877" s="333"/>
    </row>
    <row r="878" spans="2:48" s="330" customFormat="1" ht="28.15" customHeight="1" x14ac:dyDescent="0.25">
      <c r="B878" s="359">
        <v>43884</v>
      </c>
      <c r="C878" s="360">
        <v>0</v>
      </c>
      <c r="D878" s="360">
        <v>44911.72</v>
      </c>
      <c r="E878" s="329">
        <v>365093</v>
      </c>
      <c r="F878" s="329">
        <v>0</v>
      </c>
      <c r="G878" s="329">
        <v>7253</v>
      </c>
      <c r="H878" s="329"/>
      <c r="I878" s="329"/>
      <c r="J878" s="329"/>
      <c r="K878" s="329"/>
      <c r="L878" s="329"/>
      <c r="M878" s="329">
        <v>650000</v>
      </c>
      <c r="N878" s="329">
        <f t="shared" si="16"/>
        <v>23079</v>
      </c>
      <c r="O878" s="329">
        <f t="shared" si="15"/>
        <v>1600</v>
      </c>
      <c r="P878" s="329">
        <v>91683</v>
      </c>
      <c r="Q878" s="329">
        <v>0</v>
      </c>
      <c r="R878" s="315">
        <f>Dailies[[#This Row],[CIBC RRSP]]+Dailies[[#This Row],[QT RRSP]]+Dailies[[#This Row],[SunLife RRSP]]</f>
        <v>372346</v>
      </c>
      <c r="S878" s="401">
        <f>S877+Dailies[[#This Row],[CIBC RRSP Principal Delta]]</f>
        <v>0</v>
      </c>
      <c r="T878" s="401">
        <f>T877+Dailies[[#This Row],[CIBC RESP Principal Delta]]</f>
        <v>37490.450000000004</v>
      </c>
      <c r="U878" s="402">
        <f>U877+Dailies[[#This Row],[QT RRSP Principal Delta]]</f>
        <v>319770.87</v>
      </c>
      <c r="V878" s="401">
        <f>V877+Dailies[[#This Row],[SunLife RRSP Principal Delta]]</f>
        <v>6901.77</v>
      </c>
      <c r="W878" s="315">
        <f>Dailies[[#This Row],[CIBC RRSP Principal]]+Dailies[[#This Row],[QT RRSP Principal]]+Dailies[[#This Row],[SunLife RRSP Principal]]</f>
        <v>326672.64000000001</v>
      </c>
      <c r="X878" s="361">
        <f>Dailies[[#This Row],[CIBC RRSP Principal]]+Dailies[[#This Row],[CIBC RESP Principal]]+Dailies[[#This Row],[QT RRSP Principal]]+Dailies[[#This Row],[SunLife RRSP Principal]]</f>
        <v>364163.09</v>
      </c>
      <c r="Y878" s="315">
        <f>Dailies[[#This Row],[CIBC RRSP]]+Dailies[[#This Row],[CIBC RESP]]+Dailies[[#This Row],[QT RRSP]]+Dailies[[#This Row],[SunLife RRSP]]</f>
        <v>417257.72</v>
      </c>
      <c r="Z878" s="313">
        <f>Dailies[[#This Row],[Portfolio Total]]+Dailies[[#This Row],[Home Equity]]+Dailies[[#This Row],[Car Equity]]+Dailies[[#This Row],[Valuables Equity]]+Dailies[[#This Row],[GSK Pension]]+Dailies[[#This Row],[Home Loan]]</f>
        <v>1183619.72</v>
      </c>
      <c r="AA878" s="402">
        <f>IF(ISNUMBER(C877),Dailies[[#This Row],[CIBC RRSP]]-C877-Dailies[[#This Row],[CIBC RRSP Principal Delta]],0)</f>
        <v>0</v>
      </c>
      <c r="AB878" s="402">
        <f>IF(ISNUMBER(D877),Dailies[[#This Row],[CIBC RESP]]-D877-Dailies[[#This Row],[CIBC RESP Principal Delta]],0)</f>
        <v>0</v>
      </c>
      <c r="AC878" s="402">
        <f>IF(ISNUMBER(E877),Dailies[[#This Row],[QT RRSP]]-E877-Dailies[[#This Row],[QT RRSP Principal Delta]],0)</f>
        <v>0</v>
      </c>
      <c r="AD878" s="402">
        <f>IF(ISNUMBER(G877),Dailies[[#This Row],[SunLife RRSP]]-G877-Dailies[[#This Row],[SunLife RRSP Principal Delta]],0)</f>
        <v>0</v>
      </c>
      <c r="AE878" s="315">
        <f>Dailies[[#This Row],[CIBC RRSP Daily $]]+Dailies[[#This Row],[QT RRSP Daily $]]+Dailies[[#This Row],[SunLife RRSP Daily $]]</f>
        <v>0</v>
      </c>
      <c r="AF878" s="315">
        <f>Dailies[[#This Row],[RRSP Daily $]]+Dailies[[#This Row],[CIBC RESP Daily $]]</f>
        <v>0</v>
      </c>
      <c r="AG878" s="401">
        <f>IF(ISNUMBER(AJ877),Dailies[[#This Row],[VOO]]-AJ877,0)</f>
        <v>0</v>
      </c>
      <c r="AH878" s="362">
        <f>Dailies[[#This Row],[RRSP Daily $]]/Dailies[[#This Row],[RRSP Total]]</f>
        <v>0</v>
      </c>
      <c r="AI878" s="363">
        <f>IF(Dailies[[#This Row],[CIBC RESP]]&gt;0,Dailies[[#This Row],[CIBC RESP Daily $]]/Dailies[[#This Row],[CIBC RESP]],0)</f>
        <v>0</v>
      </c>
      <c r="AJ878" s="315">
        <f>VLOOKUP(Dailies[[#This Row],[Date]],Quotes[],MATCH("VOO",Quotes[#Headers],EXACT_MATCH))</f>
        <v>306.49</v>
      </c>
      <c r="AK878" s="314">
        <f>Dailies[[#This Row],[VOO Daily $]]/Dailies[[#This Row],[VOO]]</f>
        <v>0</v>
      </c>
      <c r="AL878" s="314">
        <f>Dailies[[#This Row],[RRSP Daily %]]-Dailies[[#This Row],[VOO Daily %]]</f>
        <v>0</v>
      </c>
      <c r="AM878" s="413">
        <f t="shared" si="13"/>
        <v>284.81432835820902</v>
      </c>
      <c r="AR878" s="333"/>
      <c r="AS878" s="333"/>
      <c r="AT878" s="333"/>
      <c r="AU878" s="333"/>
      <c r="AV878" s="333"/>
    </row>
    <row r="879" spans="2:48" s="330" customFormat="1" ht="28.15" customHeight="1" x14ac:dyDescent="0.25">
      <c r="B879" s="359">
        <v>43885</v>
      </c>
      <c r="C879" s="360">
        <v>0</v>
      </c>
      <c r="D879" s="360">
        <v>44026.64</v>
      </c>
      <c r="E879" s="329">
        <v>353729</v>
      </c>
      <c r="F879" s="329">
        <v>0</v>
      </c>
      <c r="G879" s="329">
        <v>7960</v>
      </c>
      <c r="H879" s="329"/>
      <c r="I879" s="328"/>
      <c r="J879" s="329">
        <v>1075</v>
      </c>
      <c r="K879" s="329"/>
      <c r="L879" s="329">
        <v>940.84</v>
      </c>
      <c r="M879" s="329">
        <v>650000</v>
      </c>
      <c r="N879" s="329">
        <f t="shared" si="16"/>
        <v>23079</v>
      </c>
      <c r="O879" s="329">
        <f t="shared" si="15"/>
        <v>1600</v>
      </c>
      <c r="P879" s="329">
        <v>91683</v>
      </c>
      <c r="Q879" s="329">
        <v>0</v>
      </c>
      <c r="R879" s="315">
        <f>Dailies[[#This Row],[CIBC RRSP]]+Dailies[[#This Row],[QT RRSP]]+Dailies[[#This Row],[SunLife RRSP]]</f>
        <v>361689</v>
      </c>
      <c r="S879" s="401">
        <f>S878+Dailies[[#This Row],[CIBC RRSP Principal Delta]]</f>
        <v>0</v>
      </c>
      <c r="T879" s="401">
        <f>T878+Dailies[[#This Row],[CIBC RESP Principal Delta]]</f>
        <v>37490.450000000004</v>
      </c>
      <c r="U879" s="402">
        <f>U878+Dailies[[#This Row],[QT RRSP Principal Delta]]</f>
        <v>320845.87</v>
      </c>
      <c r="V879" s="401">
        <f>V878+Dailies[[#This Row],[SunLife RRSP Principal Delta]]</f>
        <v>7842.6100000000006</v>
      </c>
      <c r="W879" s="315">
        <f>Dailies[[#This Row],[CIBC RRSP Principal]]+Dailies[[#This Row],[QT RRSP Principal]]+Dailies[[#This Row],[SunLife RRSP Principal]]</f>
        <v>328688.48</v>
      </c>
      <c r="X879" s="361">
        <f>Dailies[[#This Row],[CIBC RRSP Principal]]+Dailies[[#This Row],[CIBC RESP Principal]]+Dailies[[#This Row],[QT RRSP Principal]]+Dailies[[#This Row],[SunLife RRSP Principal]]</f>
        <v>366178.93</v>
      </c>
      <c r="Y879" s="315">
        <f>Dailies[[#This Row],[CIBC RRSP]]+Dailies[[#This Row],[CIBC RESP]]+Dailies[[#This Row],[QT RRSP]]+Dailies[[#This Row],[SunLife RRSP]]</f>
        <v>405715.64</v>
      </c>
      <c r="Z879" s="313">
        <f>Dailies[[#This Row],[Portfolio Total]]+Dailies[[#This Row],[Home Equity]]+Dailies[[#This Row],[Car Equity]]+Dailies[[#This Row],[Valuables Equity]]+Dailies[[#This Row],[GSK Pension]]+Dailies[[#This Row],[Home Loan]]</f>
        <v>1172077.6400000001</v>
      </c>
      <c r="AA879" s="402">
        <f>IF(ISNUMBER(C878),Dailies[[#This Row],[CIBC RRSP]]-C878-Dailies[[#This Row],[CIBC RRSP Principal Delta]],0)</f>
        <v>0</v>
      </c>
      <c r="AB879" s="402">
        <f>IF(ISNUMBER(D878),Dailies[[#This Row],[CIBC RESP]]-D878-Dailies[[#This Row],[CIBC RESP Principal Delta]],0)</f>
        <v>-885.08000000000175</v>
      </c>
      <c r="AC879" s="402">
        <f>IF(ISNUMBER(E878),Dailies[[#This Row],[QT RRSP]]-E878-Dailies[[#This Row],[QT RRSP Principal Delta]],0)</f>
        <v>-12439</v>
      </c>
      <c r="AD879" s="402">
        <f>IF(ISNUMBER(G878),Dailies[[#This Row],[SunLife RRSP]]-G878-Dailies[[#This Row],[SunLife RRSP Principal Delta]],0)</f>
        <v>-233.84000000000003</v>
      </c>
      <c r="AE879" s="315">
        <f>Dailies[[#This Row],[CIBC RRSP Daily $]]+Dailies[[#This Row],[QT RRSP Daily $]]+Dailies[[#This Row],[SunLife RRSP Daily $]]</f>
        <v>-12672.84</v>
      </c>
      <c r="AF879" s="315">
        <f>Dailies[[#This Row],[RRSP Daily $]]+Dailies[[#This Row],[CIBC RESP Daily $]]</f>
        <v>-13557.920000000002</v>
      </c>
      <c r="AG879" s="401">
        <f>IF(ISNUMBER(AJ878),Dailies[[#This Row],[VOO]]-AJ878,0)</f>
        <v>-10.25</v>
      </c>
      <c r="AH879" s="362">
        <f>Dailies[[#This Row],[RRSP Daily $]]/Dailies[[#This Row],[RRSP Total]]</f>
        <v>-3.5037946965486927E-2</v>
      </c>
      <c r="AI879" s="363">
        <f>IF(Dailies[[#This Row],[CIBC RESP]]&gt;0,Dailies[[#This Row],[CIBC RESP Daily $]]/Dailies[[#This Row],[CIBC RESP]],0)</f>
        <v>-2.0103282921431247E-2</v>
      </c>
      <c r="AJ879" s="315">
        <f>VLOOKUP(Dailies[[#This Row],[Date]],Quotes[],MATCH("VOO",Quotes[#Headers],EXACT_MATCH))</f>
        <v>296.24</v>
      </c>
      <c r="AK879" s="314">
        <f>Dailies[[#This Row],[VOO Daily $]]/Dailies[[#This Row],[VOO]]</f>
        <v>-3.4600324061571701E-2</v>
      </c>
      <c r="AL879" s="314">
        <f>Dailies[[#This Row],[RRSP Daily %]]-Dailies[[#This Row],[VOO Daily %]]</f>
        <v>-4.3762290391522601E-4</v>
      </c>
      <c r="AM879" s="413">
        <f t="shared" si="13"/>
        <v>285.02452736318418</v>
      </c>
      <c r="AR879" s="333"/>
      <c r="AS879" s="333"/>
      <c r="AT879" s="333"/>
      <c r="AU879" s="333"/>
      <c r="AV879" s="333"/>
    </row>
    <row r="880" spans="2:48" s="330" customFormat="1" ht="28.15" customHeight="1" x14ac:dyDescent="0.25">
      <c r="B880" s="359">
        <v>43886</v>
      </c>
      <c r="C880" s="360">
        <v>0</v>
      </c>
      <c r="D880" s="360">
        <v>43068.480000000003</v>
      </c>
      <c r="E880" s="329">
        <v>349618</v>
      </c>
      <c r="F880" s="329">
        <v>0</v>
      </c>
      <c r="G880" s="329">
        <v>7960</v>
      </c>
      <c r="H880" s="329"/>
      <c r="I880" s="329"/>
      <c r="J880" s="329"/>
      <c r="K880" s="329"/>
      <c r="L880" s="329"/>
      <c r="M880" s="329">
        <v>650000</v>
      </c>
      <c r="N880" s="329">
        <f t="shared" si="16"/>
        <v>23079</v>
      </c>
      <c r="O880" s="329">
        <f t="shared" si="15"/>
        <v>1600</v>
      </c>
      <c r="P880" s="329">
        <v>91683</v>
      </c>
      <c r="Q880" s="329">
        <v>0</v>
      </c>
      <c r="R880" s="315">
        <f>Dailies[[#This Row],[CIBC RRSP]]+Dailies[[#This Row],[QT RRSP]]+Dailies[[#This Row],[SunLife RRSP]]</f>
        <v>357578</v>
      </c>
      <c r="S880" s="401">
        <f>S879+Dailies[[#This Row],[CIBC RRSP Principal Delta]]</f>
        <v>0</v>
      </c>
      <c r="T880" s="401">
        <f>T879+Dailies[[#This Row],[CIBC RESP Principal Delta]]</f>
        <v>37490.450000000004</v>
      </c>
      <c r="U880" s="402">
        <f>U879+Dailies[[#This Row],[QT RRSP Principal Delta]]</f>
        <v>320845.87</v>
      </c>
      <c r="V880" s="401">
        <f>V879+Dailies[[#This Row],[SunLife RRSP Principal Delta]]</f>
        <v>7842.6100000000006</v>
      </c>
      <c r="W880" s="315">
        <f>Dailies[[#This Row],[CIBC RRSP Principal]]+Dailies[[#This Row],[QT RRSP Principal]]+Dailies[[#This Row],[SunLife RRSP Principal]]</f>
        <v>328688.48</v>
      </c>
      <c r="X880" s="361">
        <f>Dailies[[#This Row],[CIBC RRSP Principal]]+Dailies[[#This Row],[CIBC RESP Principal]]+Dailies[[#This Row],[QT RRSP Principal]]+Dailies[[#This Row],[SunLife RRSP Principal]]</f>
        <v>366178.93</v>
      </c>
      <c r="Y880" s="315">
        <f>Dailies[[#This Row],[CIBC RRSP]]+Dailies[[#This Row],[CIBC RESP]]+Dailies[[#This Row],[QT RRSP]]+Dailies[[#This Row],[SunLife RRSP]]</f>
        <v>400646.48</v>
      </c>
      <c r="Z880" s="313">
        <f>Dailies[[#This Row],[Portfolio Total]]+Dailies[[#This Row],[Home Equity]]+Dailies[[#This Row],[Car Equity]]+Dailies[[#This Row],[Valuables Equity]]+Dailies[[#This Row],[GSK Pension]]+Dailies[[#This Row],[Home Loan]]</f>
        <v>1167008.48</v>
      </c>
      <c r="AA880" s="402">
        <f>IF(ISNUMBER(C879),Dailies[[#This Row],[CIBC RRSP]]-C879-Dailies[[#This Row],[CIBC RRSP Principal Delta]],0)</f>
        <v>0</v>
      </c>
      <c r="AB880" s="402">
        <f>IF(ISNUMBER(D879),Dailies[[#This Row],[CIBC RESP]]-D879-Dailies[[#This Row],[CIBC RESP Principal Delta]],0)</f>
        <v>-958.15999999999622</v>
      </c>
      <c r="AC880" s="402">
        <f>IF(ISNUMBER(E879),Dailies[[#This Row],[QT RRSP]]-E879-Dailies[[#This Row],[QT RRSP Principal Delta]],0)</f>
        <v>-4111</v>
      </c>
      <c r="AD880" s="402">
        <f>IF(ISNUMBER(G879),Dailies[[#This Row],[SunLife RRSP]]-G879-Dailies[[#This Row],[SunLife RRSP Principal Delta]],0)</f>
        <v>0</v>
      </c>
      <c r="AE880" s="315">
        <f>Dailies[[#This Row],[CIBC RRSP Daily $]]+Dailies[[#This Row],[QT RRSP Daily $]]+Dailies[[#This Row],[SunLife RRSP Daily $]]</f>
        <v>-4111</v>
      </c>
      <c r="AF880" s="315">
        <f>Dailies[[#This Row],[RRSP Daily $]]+Dailies[[#This Row],[CIBC RESP Daily $]]</f>
        <v>-5069.1599999999962</v>
      </c>
      <c r="AG880" s="401">
        <f>IF(ISNUMBER(AJ879),Dailies[[#This Row],[VOO]]-AJ879,0)</f>
        <v>-8.9000000000000341</v>
      </c>
      <c r="AH880" s="362">
        <f>Dailies[[#This Row],[RRSP Daily $]]/Dailies[[#This Row],[RRSP Total]]</f>
        <v>-1.1496792308251626E-2</v>
      </c>
      <c r="AI880" s="363">
        <f>IF(Dailies[[#This Row],[CIBC RESP]]&gt;0,Dailies[[#This Row],[CIBC RESP Daily $]]/Dailies[[#This Row],[CIBC RESP]],0)</f>
        <v>-2.2247360482654511E-2</v>
      </c>
      <c r="AJ880" s="315">
        <f>VLOOKUP(Dailies[[#This Row],[Date]],Quotes[],MATCH("VOO",Quotes[#Headers],EXACT_MATCH))</f>
        <v>287.33999999999997</v>
      </c>
      <c r="AK880" s="314">
        <f>Dailies[[#This Row],[VOO Daily $]]/Dailies[[#This Row],[VOO]]</f>
        <v>-3.0973759309528903E-2</v>
      </c>
      <c r="AL880" s="314">
        <f>Dailies[[#This Row],[RRSP Daily %]]-Dailies[[#This Row],[VOO Daily %]]</f>
        <v>1.9476967001277275E-2</v>
      </c>
      <c r="AM880" s="413">
        <f t="shared" si="13"/>
        <v>285.1828358208956</v>
      </c>
      <c r="AR880" s="333"/>
      <c r="AS880" s="333"/>
      <c r="AT880" s="333"/>
      <c r="AU880" s="333"/>
      <c r="AV880" s="333"/>
    </row>
    <row r="881" spans="2:48" s="330" customFormat="1" ht="28.15" customHeight="1" x14ac:dyDescent="0.25">
      <c r="B881" s="359">
        <v>43887</v>
      </c>
      <c r="C881" s="360">
        <v>0</v>
      </c>
      <c r="D881" s="360">
        <v>42378.28</v>
      </c>
      <c r="E881" s="329">
        <v>347856.11</v>
      </c>
      <c r="F881" s="329">
        <v>0</v>
      </c>
      <c r="G881" s="329">
        <v>7960</v>
      </c>
      <c r="H881" s="329"/>
      <c r="I881" s="329"/>
      <c r="J881" s="329"/>
      <c r="K881" s="329"/>
      <c r="L881" s="329"/>
      <c r="M881" s="329">
        <v>650000</v>
      </c>
      <c r="N881" s="329">
        <f t="shared" si="16"/>
        <v>23079</v>
      </c>
      <c r="O881" s="329">
        <f t="shared" si="15"/>
        <v>1600</v>
      </c>
      <c r="P881" s="329">
        <v>91683</v>
      </c>
      <c r="Q881" s="329">
        <v>0</v>
      </c>
      <c r="R881" s="315">
        <f>Dailies[[#This Row],[CIBC RRSP]]+Dailies[[#This Row],[QT RRSP]]+Dailies[[#This Row],[SunLife RRSP]]</f>
        <v>355816.11</v>
      </c>
      <c r="S881" s="401">
        <f>S880+Dailies[[#This Row],[CIBC RRSP Principal Delta]]</f>
        <v>0</v>
      </c>
      <c r="T881" s="401">
        <f>T880+Dailies[[#This Row],[CIBC RESP Principal Delta]]</f>
        <v>37490.450000000004</v>
      </c>
      <c r="U881" s="402">
        <f>U880+Dailies[[#This Row],[QT RRSP Principal Delta]]</f>
        <v>320845.87</v>
      </c>
      <c r="V881" s="401">
        <f>V880+Dailies[[#This Row],[SunLife RRSP Principal Delta]]</f>
        <v>7842.6100000000006</v>
      </c>
      <c r="W881" s="315">
        <f>Dailies[[#This Row],[CIBC RRSP Principal]]+Dailies[[#This Row],[QT RRSP Principal]]+Dailies[[#This Row],[SunLife RRSP Principal]]</f>
        <v>328688.48</v>
      </c>
      <c r="X881" s="361">
        <f>Dailies[[#This Row],[CIBC RRSP Principal]]+Dailies[[#This Row],[CIBC RESP Principal]]+Dailies[[#This Row],[QT RRSP Principal]]+Dailies[[#This Row],[SunLife RRSP Principal]]</f>
        <v>366178.93</v>
      </c>
      <c r="Y881" s="315">
        <f>Dailies[[#This Row],[CIBC RRSP]]+Dailies[[#This Row],[CIBC RESP]]+Dailies[[#This Row],[QT RRSP]]+Dailies[[#This Row],[SunLife RRSP]]</f>
        <v>398194.39</v>
      </c>
      <c r="Z881" s="313">
        <f>Dailies[[#This Row],[Portfolio Total]]+Dailies[[#This Row],[Home Equity]]+Dailies[[#This Row],[Car Equity]]+Dailies[[#This Row],[Valuables Equity]]+Dailies[[#This Row],[GSK Pension]]+Dailies[[#This Row],[Home Loan]]</f>
        <v>1164556.3900000001</v>
      </c>
      <c r="AA881" s="402">
        <f>IF(ISNUMBER(C880),Dailies[[#This Row],[CIBC RRSP]]-C880-Dailies[[#This Row],[CIBC RRSP Principal Delta]],0)</f>
        <v>0</v>
      </c>
      <c r="AB881" s="402">
        <f>IF(ISNUMBER(D880),Dailies[[#This Row],[CIBC RESP]]-D880-Dailies[[#This Row],[CIBC RESP Principal Delta]],0)</f>
        <v>-690.20000000000437</v>
      </c>
      <c r="AC881" s="402">
        <f>IF(ISNUMBER(E880),Dailies[[#This Row],[QT RRSP]]-E880-Dailies[[#This Row],[QT RRSP Principal Delta]],0)</f>
        <v>-1761.890000000014</v>
      </c>
      <c r="AD881" s="402">
        <f>IF(ISNUMBER(G880),Dailies[[#This Row],[SunLife RRSP]]-G880-Dailies[[#This Row],[SunLife RRSP Principal Delta]],0)</f>
        <v>0</v>
      </c>
      <c r="AE881" s="315">
        <f>Dailies[[#This Row],[CIBC RRSP Daily $]]+Dailies[[#This Row],[QT RRSP Daily $]]+Dailies[[#This Row],[SunLife RRSP Daily $]]</f>
        <v>-1761.890000000014</v>
      </c>
      <c r="AF881" s="315">
        <f>Dailies[[#This Row],[RRSP Daily $]]+Dailies[[#This Row],[CIBC RESP Daily $]]</f>
        <v>-2452.0900000000183</v>
      </c>
      <c r="AG881" s="401">
        <f>IF(ISNUMBER(AJ880),Dailies[[#This Row],[VOO]]-AJ880,0)</f>
        <v>-1.2699999999999818</v>
      </c>
      <c r="AH881" s="362">
        <f>Dailies[[#This Row],[RRSP Daily $]]/Dailies[[#This Row],[RRSP Total]]</f>
        <v>-4.9516869823573026E-3</v>
      </c>
      <c r="AI881" s="363">
        <f>IF(Dailies[[#This Row],[CIBC RESP]]&gt;0,Dailies[[#This Row],[CIBC RESP Daily $]]/Dailies[[#This Row],[CIBC RESP]],0)</f>
        <v>-1.628664495114017E-2</v>
      </c>
      <c r="AJ881" s="315">
        <f>VLOOKUP(Dailies[[#This Row],[Date]],Quotes[],MATCH("VOO",Quotes[#Headers],EXACT_MATCH))</f>
        <v>286.07</v>
      </c>
      <c r="AK881" s="314">
        <f>Dailies[[#This Row],[VOO Daily $]]/Dailies[[#This Row],[VOO]]</f>
        <v>-4.4394728562938508E-3</v>
      </c>
      <c r="AL881" s="314">
        <f>Dailies[[#This Row],[RRSP Daily %]]-Dailies[[#This Row],[VOO Daily %]]</f>
        <v>-5.1221412606345176E-4</v>
      </c>
      <c r="AM881" s="413">
        <f t="shared" si="13"/>
        <v>285.27119402985085</v>
      </c>
      <c r="AR881" s="333"/>
      <c r="AS881" s="333"/>
      <c r="AT881" s="333"/>
      <c r="AU881" s="333"/>
      <c r="AV881" s="333"/>
    </row>
    <row r="882" spans="2:48" s="330" customFormat="1" ht="28.15" customHeight="1" x14ac:dyDescent="0.25">
      <c r="B882" s="359">
        <v>43888</v>
      </c>
      <c r="C882" s="360">
        <v>0</v>
      </c>
      <c r="D882" s="360">
        <v>41282.080000000002</v>
      </c>
      <c r="E882" s="329">
        <v>337748</v>
      </c>
      <c r="F882" s="329">
        <v>0</v>
      </c>
      <c r="G882" s="329">
        <v>7960</v>
      </c>
      <c r="H882" s="329"/>
      <c r="I882" s="329"/>
      <c r="J882" s="329"/>
      <c r="K882" s="329"/>
      <c r="L882" s="329"/>
      <c r="M882" s="329">
        <v>650000</v>
      </c>
      <c r="N882" s="329">
        <f t="shared" si="16"/>
        <v>23079</v>
      </c>
      <c r="O882" s="329">
        <f t="shared" si="15"/>
        <v>1600</v>
      </c>
      <c r="P882" s="329">
        <v>91683</v>
      </c>
      <c r="Q882" s="329">
        <v>0</v>
      </c>
      <c r="R882" s="315">
        <f>Dailies[[#This Row],[CIBC RRSP]]+Dailies[[#This Row],[QT RRSP]]+Dailies[[#This Row],[SunLife RRSP]]</f>
        <v>345708</v>
      </c>
      <c r="S882" s="401">
        <f>S881+Dailies[[#This Row],[CIBC RRSP Principal Delta]]</f>
        <v>0</v>
      </c>
      <c r="T882" s="401">
        <f>T881+Dailies[[#This Row],[CIBC RESP Principal Delta]]</f>
        <v>37490.450000000004</v>
      </c>
      <c r="U882" s="402">
        <f>U881+Dailies[[#This Row],[QT RRSP Principal Delta]]</f>
        <v>320845.87</v>
      </c>
      <c r="V882" s="401">
        <f>V881+Dailies[[#This Row],[SunLife RRSP Principal Delta]]</f>
        <v>7842.6100000000006</v>
      </c>
      <c r="W882" s="315">
        <f>Dailies[[#This Row],[CIBC RRSP Principal]]+Dailies[[#This Row],[QT RRSP Principal]]+Dailies[[#This Row],[SunLife RRSP Principal]]</f>
        <v>328688.48</v>
      </c>
      <c r="X882" s="361">
        <f>Dailies[[#This Row],[CIBC RRSP Principal]]+Dailies[[#This Row],[CIBC RESP Principal]]+Dailies[[#This Row],[QT RRSP Principal]]+Dailies[[#This Row],[SunLife RRSP Principal]]</f>
        <v>366178.93</v>
      </c>
      <c r="Y882" s="315">
        <f>Dailies[[#This Row],[CIBC RRSP]]+Dailies[[#This Row],[CIBC RESP]]+Dailies[[#This Row],[QT RRSP]]+Dailies[[#This Row],[SunLife RRSP]]</f>
        <v>386990.08000000002</v>
      </c>
      <c r="Z882" s="313">
        <f>Dailies[[#This Row],[Portfolio Total]]+Dailies[[#This Row],[Home Equity]]+Dailies[[#This Row],[Car Equity]]+Dailies[[#This Row],[Valuables Equity]]+Dailies[[#This Row],[GSK Pension]]+Dailies[[#This Row],[Home Loan]]</f>
        <v>1153352.08</v>
      </c>
      <c r="AA882" s="402">
        <f>IF(ISNUMBER(C881),Dailies[[#This Row],[CIBC RRSP]]-C881-Dailies[[#This Row],[CIBC RRSP Principal Delta]],0)</f>
        <v>0</v>
      </c>
      <c r="AB882" s="402">
        <f>IF(ISNUMBER(D881),Dailies[[#This Row],[CIBC RESP]]-D881-Dailies[[#This Row],[CIBC RESP Principal Delta]],0)</f>
        <v>-1096.1999999999971</v>
      </c>
      <c r="AC882" s="402">
        <f>IF(ISNUMBER(E881),Dailies[[#This Row],[QT RRSP]]-E881-Dailies[[#This Row],[QT RRSP Principal Delta]],0)</f>
        <v>-10108.109999999986</v>
      </c>
      <c r="AD882" s="402">
        <f>IF(ISNUMBER(G881),Dailies[[#This Row],[SunLife RRSP]]-G881-Dailies[[#This Row],[SunLife RRSP Principal Delta]],0)</f>
        <v>0</v>
      </c>
      <c r="AE882" s="315">
        <f>Dailies[[#This Row],[CIBC RRSP Daily $]]+Dailies[[#This Row],[QT RRSP Daily $]]+Dailies[[#This Row],[SunLife RRSP Daily $]]</f>
        <v>-10108.109999999986</v>
      </c>
      <c r="AF882" s="315">
        <f>Dailies[[#This Row],[RRSP Daily $]]+Dailies[[#This Row],[CIBC RESP Daily $]]</f>
        <v>-11204.309999999983</v>
      </c>
      <c r="AG882" s="401">
        <f>IF(ISNUMBER(AJ881),Dailies[[#This Row],[VOO]]-AJ881,0)</f>
        <v>-12.680000000000007</v>
      </c>
      <c r="AH882" s="362">
        <f>Dailies[[#This Row],[RRSP Daily $]]/Dailies[[#This Row],[RRSP Total]]</f>
        <v>-2.9238866326495153E-2</v>
      </c>
      <c r="AI882" s="363">
        <f>IF(Dailies[[#This Row],[CIBC RESP]]&gt;0,Dailies[[#This Row],[CIBC RESP Daily $]]/Dailies[[#This Row],[CIBC RESP]],0)</f>
        <v>-2.6553894571203704E-2</v>
      </c>
      <c r="AJ882" s="315">
        <f>VLOOKUP(Dailies[[#This Row],[Date]],Quotes[],MATCH("VOO",Quotes[#Headers],EXACT_MATCH))</f>
        <v>273.39</v>
      </c>
      <c r="AK882" s="314">
        <f>Dailies[[#This Row],[VOO Daily $]]/Dailies[[#This Row],[VOO]]</f>
        <v>-4.6380628406306038E-2</v>
      </c>
      <c r="AL882" s="314">
        <f>Dailies[[#This Row],[RRSP Daily %]]-Dailies[[#This Row],[VOO Daily %]]</f>
        <v>1.7141762079810885E-2</v>
      </c>
      <c r="AM882" s="413">
        <f t="shared" si="13"/>
        <v>285.36258706467669</v>
      </c>
      <c r="AR882" s="333"/>
      <c r="AS882" s="333"/>
      <c r="AT882" s="333"/>
      <c r="AU882" s="333"/>
      <c r="AV882" s="333"/>
    </row>
    <row r="883" spans="2:48" s="330" customFormat="1" ht="28.15" customHeight="1" x14ac:dyDescent="0.25">
      <c r="B883" s="359">
        <v>43889</v>
      </c>
      <c r="C883" s="360">
        <v>0</v>
      </c>
      <c r="D883" s="360">
        <v>40567.519999999997</v>
      </c>
      <c r="E883" s="329">
        <v>335813</v>
      </c>
      <c r="F883" s="329">
        <v>0</v>
      </c>
      <c r="G883" s="329">
        <v>7960</v>
      </c>
      <c r="H883" s="329"/>
      <c r="I883" s="329"/>
      <c r="J883" s="329"/>
      <c r="K883" s="329"/>
      <c r="L883" s="329"/>
      <c r="M883" s="329">
        <v>650000</v>
      </c>
      <c r="N883" s="329">
        <f t="shared" si="16"/>
        <v>23079</v>
      </c>
      <c r="O883" s="329">
        <f t="shared" si="15"/>
        <v>1600</v>
      </c>
      <c r="P883" s="329">
        <v>91683</v>
      </c>
      <c r="Q883" s="329">
        <v>0</v>
      </c>
      <c r="R883" s="315">
        <f>Dailies[[#This Row],[CIBC RRSP]]+Dailies[[#This Row],[QT RRSP]]+Dailies[[#This Row],[SunLife RRSP]]</f>
        <v>343773</v>
      </c>
      <c r="S883" s="401">
        <f>S882+Dailies[[#This Row],[CIBC RRSP Principal Delta]]</f>
        <v>0</v>
      </c>
      <c r="T883" s="401">
        <f>T882+Dailies[[#This Row],[CIBC RESP Principal Delta]]</f>
        <v>37490.450000000004</v>
      </c>
      <c r="U883" s="402">
        <f>U882+Dailies[[#This Row],[QT RRSP Principal Delta]]</f>
        <v>320845.87</v>
      </c>
      <c r="V883" s="401">
        <f>V882+Dailies[[#This Row],[SunLife RRSP Principal Delta]]</f>
        <v>7842.6100000000006</v>
      </c>
      <c r="W883" s="315">
        <f>Dailies[[#This Row],[CIBC RRSP Principal]]+Dailies[[#This Row],[QT RRSP Principal]]+Dailies[[#This Row],[SunLife RRSP Principal]]</f>
        <v>328688.48</v>
      </c>
      <c r="X883" s="361">
        <f>Dailies[[#This Row],[CIBC RRSP Principal]]+Dailies[[#This Row],[CIBC RESP Principal]]+Dailies[[#This Row],[QT RRSP Principal]]+Dailies[[#This Row],[SunLife RRSP Principal]]</f>
        <v>366178.93</v>
      </c>
      <c r="Y883" s="315">
        <f>Dailies[[#This Row],[CIBC RRSP]]+Dailies[[#This Row],[CIBC RESP]]+Dailies[[#This Row],[QT RRSP]]+Dailies[[#This Row],[SunLife RRSP]]</f>
        <v>384340.52</v>
      </c>
      <c r="Z883" s="313">
        <f>Dailies[[#This Row],[Portfolio Total]]+Dailies[[#This Row],[Home Equity]]+Dailies[[#This Row],[Car Equity]]+Dailies[[#This Row],[Valuables Equity]]+Dailies[[#This Row],[GSK Pension]]+Dailies[[#This Row],[Home Loan]]</f>
        <v>1150702.52</v>
      </c>
      <c r="AA883" s="402">
        <f>IF(ISNUMBER(C882),Dailies[[#This Row],[CIBC RRSP]]-C882-Dailies[[#This Row],[CIBC RRSP Principal Delta]],0)</f>
        <v>0</v>
      </c>
      <c r="AB883" s="402">
        <f>IF(ISNUMBER(D882),Dailies[[#This Row],[CIBC RESP]]-D882-Dailies[[#This Row],[CIBC RESP Principal Delta]],0)</f>
        <v>-714.56000000000495</v>
      </c>
      <c r="AC883" s="402">
        <f>IF(ISNUMBER(E882),Dailies[[#This Row],[QT RRSP]]-E882-Dailies[[#This Row],[QT RRSP Principal Delta]],0)</f>
        <v>-1935</v>
      </c>
      <c r="AD883" s="402">
        <f>IF(ISNUMBER(G882),Dailies[[#This Row],[SunLife RRSP]]-G882-Dailies[[#This Row],[SunLife RRSP Principal Delta]],0)</f>
        <v>0</v>
      </c>
      <c r="AE883" s="315">
        <f>Dailies[[#This Row],[CIBC RRSP Daily $]]+Dailies[[#This Row],[QT RRSP Daily $]]+Dailies[[#This Row],[SunLife RRSP Daily $]]</f>
        <v>-1935</v>
      </c>
      <c r="AF883" s="315">
        <f>Dailies[[#This Row],[RRSP Daily $]]+Dailies[[#This Row],[CIBC RESP Daily $]]</f>
        <v>-2649.5600000000049</v>
      </c>
      <c r="AG883" s="401">
        <f>IF(ISNUMBER(AJ882),Dailies[[#This Row],[VOO]]-AJ882,0)</f>
        <v>-1.6499999999999773</v>
      </c>
      <c r="AH883" s="362">
        <f>Dailies[[#This Row],[RRSP Daily $]]/Dailies[[#This Row],[RRSP Total]]</f>
        <v>-5.6287142969343139E-3</v>
      </c>
      <c r="AI883" s="363">
        <f>IF(Dailies[[#This Row],[CIBC RESP]]&gt;0,Dailies[[#This Row],[CIBC RESP Daily $]]/Dailies[[#This Row],[CIBC RESP]],0)</f>
        <v>-1.7614091273018537E-2</v>
      </c>
      <c r="AJ883" s="315">
        <f>VLOOKUP(Dailies[[#This Row],[Date]],Quotes[],MATCH("VOO",Quotes[#Headers],EXACT_MATCH))</f>
        <v>271.74</v>
      </c>
      <c r="AK883" s="314">
        <f>Dailies[[#This Row],[VOO Daily $]]/Dailies[[#This Row],[VOO]]</f>
        <v>-6.0719805696620929E-3</v>
      </c>
      <c r="AL883" s="314">
        <f>Dailies[[#This Row],[RRSP Daily %]]-Dailies[[#This Row],[VOO Daily %]]</f>
        <v>4.4326627272777905E-4</v>
      </c>
      <c r="AM883" s="413">
        <f t="shared" si="13"/>
        <v>285.39089552238812</v>
      </c>
      <c r="AR883" s="333"/>
      <c r="AS883" s="333"/>
      <c r="AT883" s="333"/>
      <c r="AU883" s="333"/>
      <c r="AV883" s="333"/>
    </row>
    <row r="884" spans="2:48" s="330" customFormat="1" ht="28.15" customHeight="1" x14ac:dyDescent="0.25">
      <c r="B884" s="359">
        <v>43890</v>
      </c>
      <c r="C884" s="360">
        <v>0</v>
      </c>
      <c r="D884" s="360">
        <v>40567.519999999997</v>
      </c>
      <c r="E884" s="329">
        <v>335813</v>
      </c>
      <c r="F884" s="329">
        <v>0</v>
      </c>
      <c r="G884" s="329">
        <v>7960</v>
      </c>
      <c r="H884" s="329"/>
      <c r="I884" s="329"/>
      <c r="J884" s="329"/>
      <c r="K884" s="329"/>
      <c r="L884" s="329"/>
      <c r="M884" s="329">
        <v>650000</v>
      </c>
      <c r="N884" s="329">
        <f t="shared" si="16"/>
        <v>23079</v>
      </c>
      <c r="O884" s="329">
        <f t="shared" si="15"/>
        <v>1600</v>
      </c>
      <c r="P884" s="329">
        <v>91683</v>
      </c>
      <c r="Q884" s="329">
        <v>0</v>
      </c>
      <c r="R884" s="315">
        <f>Dailies[[#This Row],[CIBC RRSP]]+Dailies[[#This Row],[QT RRSP]]+Dailies[[#This Row],[SunLife RRSP]]</f>
        <v>343773</v>
      </c>
      <c r="S884" s="401">
        <f>S883+Dailies[[#This Row],[CIBC RRSP Principal Delta]]</f>
        <v>0</v>
      </c>
      <c r="T884" s="401">
        <f>T883+Dailies[[#This Row],[CIBC RESP Principal Delta]]</f>
        <v>37490.450000000004</v>
      </c>
      <c r="U884" s="402">
        <f>U883+Dailies[[#This Row],[QT RRSP Principal Delta]]</f>
        <v>320845.87</v>
      </c>
      <c r="V884" s="401">
        <f>V883+Dailies[[#This Row],[SunLife RRSP Principal Delta]]</f>
        <v>7842.6100000000006</v>
      </c>
      <c r="W884" s="315">
        <f>Dailies[[#This Row],[CIBC RRSP Principal]]+Dailies[[#This Row],[QT RRSP Principal]]+Dailies[[#This Row],[SunLife RRSP Principal]]</f>
        <v>328688.48</v>
      </c>
      <c r="X884" s="361">
        <f>Dailies[[#This Row],[CIBC RRSP Principal]]+Dailies[[#This Row],[CIBC RESP Principal]]+Dailies[[#This Row],[QT RRSP Principal]]+Dailies[[#This Row],[SunLife RRSP Principal]]</f>
        <v>366178.93</v>
      </c>
      <c r="Y884" s="315">
        <f>Dailies[[#This Row],[CIBC RRSP]]+Dailies[[#This Row],[CIBC RESP]]+Dailies[[#This Row],[QT RRSP]]+Dailies[[#This Row],[SunLife RRSP]]</f>
        <v>384340.52</v>
      </c>
      <c r="Z884" s="313">
        <f>Dailies[[#This Row],[Portfolio Total]]+Dailies[[#This Row],[Home Equity]]+Dailies[[#This Row],[Car Equity]]+Dailies[[#This Row],[Valuables Equity]]+Dailies[[#This Row],[GSK Pension]]+Dailies[[#This Row],[Home Loan]]</f>
        <v>1150702.52</v>
      </c>
      <c r="AA884" s="402">
        <f>IF(ISNUMBER(C883),Dailies[[#This Row],[CIBC RRSP]]-C883-Dailies[[#This Row],[CIBC RRSP Principal Delta]],0)</f>
        <v>0</v>
      </c>
      <c r="AB884" s="402">
        <f>IF(ISNUMBER(D883),Dailies[[#This Row],[CIBC RESP]]-D883-Dailies[[#This Row],[CIBC RESP Principal Delta]],0)</f>
        <v>0</v>
      </c>
      <c r="AC884" s="402">
        <f>IF(ISNUMBER(E883),Dailies[[#This Row],[QT RRSP]]-E883-Dailies[[#This Row],[QT RRSP Principal Delta]],0)</f>
        <v>0</v>
      </c>
      <c r="AD884" s="402">
        <f>IF(ISNUMBER(G883),Dailies[[#This Row],[SunLife RRSP]]-G883-Dailies[[#This Row],[SunLife RRSP Principal Delta]],0)</f>
        <v>0</v>
      </c>
      <c r="AE884" s="315">
        <f>Dailies[[#This Row],[CIBC RRSP Daily $]]+Dailies[[#This Row],[QT RRSP Daily $]]+Dailies[[#This Row],[SunLife RRSP Daily $]]</f>
        <v>0</v>
      </c>
      <c r="AF884" s="315">
        <f>Dailies[[#This Row],[RRSP Daily $]]+Dailies[[#This Row],[CIBC RESP Daily $]]</f>
        <v>0</v>
      </c>
      <c r="AG884" s="401">
        <f>IF(ISNUMBER(AJ883),Dailies[[#This Row],[VOO]]-AJ883,0)</f>
        <v>0</v>
      </c>
      <c r="AH884" s="362">
        <f>Dailies[[#This Row],[RRSP Daily $]]/Dailies[[#This Row],[RRSP Total]]</f>
        <v>0</v>
      </c>
      <c r="AI884" s="363">
        <f>IF(Dailies[[#This Row],[CIBC RESP]]&gt;0,Dailies[[#This Row],[CIBC RESP Daily $]]/Dailies[[#This Row],[CIBC RESP]],0)</f>
        <v>0</v>
      </c>
      <c r="AJ884" s="315">
        <f>VLOOKUP(Dailies[[#This Row],[Date]],Quotes[],MATCH("VOO",Quotes[#Headers],EXACT_MATCH))</f>
        <v>271.74</v>
      </c>
      <c r="AK884" s="314">
        <f>Dailies[[#This Row],[VOO Daily $]]/Dailies[[#This Row],[VOO]]</f>
        <v>0</v>
      </c>
      <c r="AL884" s="314">
        <f>Dailies[[#This Row],[RRSP Daily %]]-Dailies[[#This Row],[VOO Daily %]]</f>
        <v>0</v>
      </c>
      <c r="AM884" s="413">
        <f t="shared" si="13"/>
        <v>285.4109950248756</v>
      </c>
      <c r="AR884" s="333"/>
      <c r="AS884" s="333"/>
      <c r="AT884" s="333"/>
      <c r="AU884" s="333"/>
      <c r="AV884" s="333"/>
    </row>
    <row r="885" spans="2:48" s="330" customFormat="1" ht="28.15" customHeight="1" x14ac:dyDescent="0.25">
      <c r="B885" s="359">
        <v>43891</v>
      </c>
      <c r="C885" s="360">
        <v>0</v>
      </c>
      <c r="D885" s="360">
        <v>40567.519999999997</v>
      </c>
      <c r="E885" s="329">
        <v>335813</v>
      </c>
      <c r="F885" s="329">
        <v>0</v>
      </c>
      <c r="G885" s="329">
        <v>7960</v>
      </c>
      <c r="H885" s="329"/>
      <c r="I885" s="329"/>
      <c r="J885" s="329"/>
      <c r="K885" s="329"/>
      <c r="L885" s="329"/>
      <c r="M885" s="329">
        <v>650000</v>
      </c>
      <c r="N885" s="329">
        <f t="shared" si="16"/>
        <v>23079</v>
      </c>
      <c r="O885" s="329">
        <f t="shared" si="15"/>
        <v>1600</v>
      </c>
      <c r="P885" s="329">
        <v>91683</v>
      </c>
      <c r="Q885" s="329">
        <v>0</v>
      </c>
      <c r="R885" s="315">
        <f>Dailies[[#This Row],[CIBC RRSP]]+Dailies[[#This Row],[QT RRSP]]+Dailies[[#This Row],[SunLife RRSP]]</f>
        <v>343773</v>
      </c>
      <c r="S885" s="401">
        <f>S884+Dailies[[#This Row],[CIBC RRSP Principal Delta]]</f>
        <v>0</v>
      </c>
      <c r="T885" s="401">
        <f>T884+Dailies[[#This Row],[CIBC RESP Principal Delta]]</f>
        <v>37490.450000000004</v>
      </c>
      <c r="U885" s="402">
        <f>U884+Dailies[[#This Row],[QT RRSP Principal Delta]]</f>
        <v>320845.87</v>
      </c>
      <c r="V885" s="401">
        <f>V884+Dailies[[#This Row],[SunLife RRSP Principal Delta]]</f>
        <v>7842.6100000000006</v>
      </c>
      <c r="W885" s="315">
        <f>Dailies[[#This Row],[CIBC RRSP Principal]]+Dailies[[#This Row],[QT RRSP Principal]]+Dailies[[#This Row],[SunLife RRSP Principal]]</f>
        <v>328688.48</v>
      </c>
      <c r="X885" s="361">
        <f>Dailies[[#This Row],[CIBC RRSP Principal]]+Dailies[[#This Row],[CIBC RESP Principal]]+Dailies[[#This Row],[QT RRSP Principal]]+Dailies[[#This Row],[SunLife RRSP Principal]]</f>
        <v>366178.93</v>
      </c>
      <c r="Y885" s="315">
        <f>Dailies[[#This Row],[CIBC RRSP]]+Dailies[[#This Row],[CIBC RESP]]+Dailies[[#This Row],[QT RRSP]]+Dailies[[#This Row],[SunLife RRSP]]</f>
        <v>384340.52</v>
      </c>
      <c r="Z885" s="313">
        <f>Dailies[[#This Row],[Portfolio Total]]+Dailies[[#This Row],[Home Equity]]+Dailies[[#This Row],[Car Equity]]+Dailies[[#This Row],[Valuables Equity]]+Dailies[[#This Row],[GSK Pension]]+Dailies[[#This Row],[Home Loan]]</f>
        <v>1150702.52</v>
      </c>
      <c r="AA885" s="402">
        <f>IF(ISNUMBER(C884),Dailies[[#This Row],[CIBC RRSP]]-C884-Dailies[[#This Row],[CIBC RRSP Principal Delta]],0)</f>
        <v>0</v>
      </c>
      <c r="AB885" s="402">
        <f>IF(ISNUMBER(D884),Dailies[[#This Row],[CIBC RESP]]-D884-Dailies[[#This Row],[CIBC RESP Principal Delta]],0)</f>
        <v>0</v>
      </c>
      <c r="AC885" s="402">
        <f>IF(ISNUMBER(E884),Dailies[[#This Row],[QT RRSP]]-E884-Dailies[[#This Row],[QT RRSP Principal Delta]],0)</f>
        <v>0</v>
      </c>
      <c r="AD885" s="402">
        <f>IF(ISNUMBER(G884),Dailies[[#This Row],[SunLife RRSP]]-G884-Dailies[[#This Row],[SunLife RRSP Principal Delta]],0)</f>
        <v>0</v>
      </c>
      <c r="AE885" s="315">
        <f>Dailies[[#This Row],[CIBC RRSP Daily $]]+Dailies[[#This Row],[QT RRSP Daily $]]+Dailies[[#This Row],[SunLife RRSP Daily $]]</f>
        <v>0</v>
      </c>
      <c r="AF885" s="315">
        <f>Dailies[[#This Row],[RRSP Daily $]]+Dailies[[#This Row],[CIBC RESP Daily $]]</f>
        <v>0</v>
      </c>
      <c r="AG885" s="401">
        <f>IF(ISNUMBER(AJ884),Dailies[[#This Row],[VOO]]-AJ884,0)</f>
        <v>0</v>
      </c>
      <c r="AH885" s="362">
        <f>Dailies[[#This Row],[RRSP Daily $]]/Dailies[[#This Row],[RRSP Total]]</f>
        <v>0</v>
      </c>
      <c r="AI885" s="363">
        <f>IF(Dailies[[#This Row],[CIBC RESP]]&gt;0,Dailies[[#This Row],[CIBC RESP Daily $]]/Dailies[[#This Row],[CIBC RESP]],0)</f>
        <v>0</v>
      </c>
      <c r="AJ885" s="315">
        <f>VLOOKUP(Dailies[[#This Row],[Date]],Quotes[],MATCH("VOO",Quotes[#Headers],EXACT_MATCH))</f>
        <v>271.74</v>
      </c>
      <c r="AK885" s="314">
        <f>Dailies[[#This Row],[VOO Daily $]]/Dailies[[#This Row],[VOO]]</f>
        <v>0</v>
      </c>
      <c r="AL885" s="314">
        <f>Dailies[[#This Row],[RRSP Daily %]]-Dailies[[#This Row],[VOO Daily %]]</f>
        <v>0</v>
      </c>
      <c r="AM885" s="413">
        <f t="shared" si="13"/>
        <v>285.44661691542285</v>
      </c>
      <c r="AR885" s="333"/>
      <c r="AS885" s="333"/>
      <c r="AT885" s="333"/>
      <c r="AU885" s="333"/>
      <c r="AV885" s="333"/>
    </row>
    <row r="886" spans="2:48" s="330" customFormat="1" ht="28.15" customHeight="1" x14ac:dyDescent="0.25">
      <c r="B886" s="359">
        <v>43892</v>
      </c>
      <c r="C886" s="360">
        <v>0</v>
      </c>
      <c r="D886" s="360">
        <v>41338.92</v>
      </c>
      <c r="E886" s="329">
        <v>346603.15</v>
      </c>
      <c r="F886" s="329">
        <v>0</v>
      </c>
      <c r="G886" s="329">
        <v>7960</v>
      </c>
      <c r="H886" s="329"/>
      <c r="I886" s="329"/>
      <c r="J886" s="329"/>
      <c r="K886" s="329"/>
      <c r="L886" s="329"/>
      <c r="M886" s="329">
        <v>650000</v>
      </c>
      <c r="N886" s="329">
        <f t="shared" si="16"/>
        <v>23079</v>
      </c>
      <c r="O886" s="329">
        <f t="shared" si="15"/>
        <v>1600</v>
      </c>
      <c r="P886" s="329">
        <v>91683</v>
      </c>
      <c r="Q886" s="329">
        <v>0</v>
      </c>
      <c r="R886" s="315">
        <f>Dailies[[#This Row],[CIBC RRSP]]+Dailies[[#This Row],[QT RRSP]]+Dailies[[#This Row],[SunLife RRSP]]</f>
        <v>354563.15</v>
      </c>
      <c r="S886" s="401">
        <f>S885+Dailies[[#This Row],[CIBC RRSP Principal Delta]]</f>
        <v>0</v>
      </c>
      <c r="T886" s="401">
        <f>T885+Dailies[[#This Row],[CIBC RESP Principal Delta]]</f>
        <v>37490.450000000004</v>
      </c>
      <c r="U886" s="402">
        <f>U885+Dailies[[#This Row],[QT RRSP Principal Delta]]</f>
        <v>320845.87</v>
      </c>
      <c r="V886" s="401">
        <f>V885+Dailies[[#This Row],[SunLife RRSP Principal Delta]]</f>
        <v>7842.6100000000006</v>
      </c>
      <c r="W886" s="315">
        <f>Dailies[[#This Row],[CIBC RRSP Principal]]+Dailies[[#This Row],[QT RRSP Principal]]+Dailies[[#This Row],[SunLife RRSP Principal]]</f>
        <v>328688.48</v>
      </c>
      <c r="X886" s="361">
        <f>Dailies[[#This Row],[CIBC RRSP Principal]]+Dailies[[#This Row],[CIBC RESP Principal]]+Dailies[[#This Row],[QT RRSP Principal]]+Dailies[[#This Row],[SunLife RRSP Principal]]</f>
        <v>366178.93</v>
      </c>
      <c r="Y886" s="315">
        <f>Dailies[[#This Row],[CIBC RRSP]]+Dailies[[#This Row],[CIBC RESP]]+Dailies[[#This Row],[QT RRSP]]+Dailies[[#This Row],[SunLife RRSP]]</f>
        <v>395902.07</v>
      </c>
      <c r="Z886" s="313">
        <f>Dailies[[#This Row],[Portfolio Total]]+Dailies[[#This Row],[Home Equity]]+Dailies[[#This Row],[Car Equity]]+Dailies[[#This Row],[Valuables Equity]]+Dailies[[#This Row],[GSK Pension]]+Dailies[[#This Row],[Home Loan]]</f>
        <v>1162264.07</v>
      </c>
      <c r="AA886" s="402">
        <f>IF(ISNUMBER(C885),Dailies[[#This Row],[CIBC RRSP]]-C885-Dailies[[#This Row],[CIBC RRSP Principal Delta]],0)</f>
        <v>0</v>
      </c>
      <c r="AB886" s="402">
        <f>IF(ISNUMBER(D885),Dailies[[#This Row],[CIBC RESP]]-D885-Dailies[[#This Row],[CIBC RESP Principal Delta]],0)</f>
        <v>771.40000000000146</v>
      </c>
      <c r="AC886" s="402">
        <f>IF(ISNUMBER(E885),Dailies[[#This Row],[QT RRSP]]-E885-Dailies[[#This Row],[QT RRSP Principal Delta]],0)</f>
        <v>10790.150000000023</v>
      </c>
      <c r="AD886" s="402">
        <f>IF(ISNUMBER(G885),Dailies[[#This Row],[SunLife RRSP]]-G885-Dailies[[#This Row],[SunLife RRSP Principal Delta]],0)</f>
        <v>0</v>
      </c>
      <c r="AE886" s="315">
        <f>Dailies[[#This Row],[CIBC RRSP Daily $]]+Dailies[[#This Row],[QT RRSP Daily $]]+Dailies[[#This Row],[SunLife RRSP Daily $]]</f>
        <v>10790.150000000023</v>
      </c>
      <c r="AF886" s="315">
        <f>Dailies[[#This Row],[RRSP Daily $]]+Dailies[[#This Row],[CIBC RESP Daily $]]</f>
        <v>11561.550000000025</v>
      </c>
      <c r="AG886" s="401">
        <f>IF(ISNUMBER(AJ885),Dailies[[#This Row],[VOO]]-AJ885,0)</f>
        <v>12.129999999999995</v>
      </c>
      <c r="AH886" s="362">
        <f>Dailies[[#This Row],[RRSP Daily $]]/Dailies[[#This Row],[RRSP Total]]</f>
        <v>3.043223752947824E-2</v>
      </c>
      <c r="AI886" s="363">
        <f>IF(Dailies[[#This Row],[CIBC RESP]]&gt;0,Dailies[[#This Row],[CIBC RESP Daily $]]/Dailies[[#This Row],[CIBC RESP]],0)</f>
        <v>1.8660381064623883E-2</v>
      </c>
      <c r="AJ886" s="315">
        <f>VLOOKUP(Dailies[[#This Row],[Date]],Quotes[],MATCH("VOO",Quotes[#Headers],EXACT_MATCH))</f>
        <v>283.87</v>
      </c>
      <c r="AK886" s="314">
        <f>Dailies[[#This Row],[VOO Daily $]]/Dailies[[#This Row],[VOO]]</f>
        <v>4.2730827491457339E-2</v>
      </c>
      <c r="AL886" s="314">
        <f>Dailies[[#This Row],[RRSP Daily %]]-Dailies[[#This Row],[VOO Daily %]]</f>
        <v>-1.2298589961979099E-2</v>
      </c>
      <c r="AM886" s="413">
        <f t="shared" si="13"/>
        <v>285.46194029850744</v>
      </c>
      <c r="AR886" s="333"/>
      <c r="AS886" s="333"/>
      <c r="AT886" s="333"/>
      <c r="AU886" s="333"/>
      <c r="AV886" s="333"/>
    </row>
    <row r="887" spans="2:48" s="330" customFormat="1" ht="28.15" customHeight="1" x14ac:dyDescent="0.25">
      <c r="B887" s="359">
        <v>43893</v>
      </c>
      <c r="C887" s="360">
        <v>0</v>
      </c>
      <c r="D887" s="360">
        <v>41694.400000000001</v>
      </c>
      <c r="E887" s="329">
        <v>342509</v>
      </c>
      <c r="F887" s="329">
        <v>0</v>
      </c>
      <c r="G887" s="329">
        <v>7960</v>
      </c>
      <c r="H887" s="329"/>
      <c r="I887" s="329"/>
      <c r="J887" s="329"/>
      <c r="K887" s="329"/>
      <c r="L887" s="329"/>
      <c r="M887" s="329">
        <v>650000</v>
      </c>
      <c r="N887" s="329">
        <f t="shared" si="16"/>
        <v>23079</v>
      </c>
      <c r="O887" s="329">
        <f t="shared" si="15"/>
        <v>1600</v>
      </c>
      <c r="P887" s="329">
        <v>91683</v>
      </c>
      <c r="Q887" s="329">
        <v>0</v>
      </c>
      <c r="R887" s="315">
        <f>Dailies[[#This Row],[CIBC RRSP]]+Dailies[[#This Row],[QT RRSP]]+Dailies[[#This Row],[SunLife RRSP]]</f>
        <v>350469</v>
      </c>
      <c r="S887" s="401">
        <f>S886+Dailies[[#This Row],[CIBC RRSP Principal Delta]]</f>
        <v>0</v>
      </c>
      <c r="T887" s="401">
        <f>T886+Dailies[[#This Row],[CIBC RESP Principal Delta]]</f>
        <v>37490.450000000004</v>
      </c>
      <c r="U887" s="402">
        <f>U886+Dailies[[#This Row],[QT RRSP Principal Delta]]</f>
        <v>320845.87</v>
      </c>
      <c r="V887" s="401">
        <f>V886+Dailies[[#This Row],[SunLife RRSP Principal Delta]]</f>
        <v>7842.6100000000006</v>
      </c>
      <c r="W887" s="315">
        <f>Dailies[[#This Row],[CIBC RRSP Principal]]+Dailies[[#This Row],[QT RRSP Principal]]+Dailies[[#This Row],[SunLife RRSP Principal]]</f>
        <v>328688.48</v>
      </c>
      <c r="X887" s="361">
        <f>Dailies[[#This Row],[CIBC RRSP Principal]]+Dailies[[#This Row],[CIBC RESP Principal]]+Dailies[[#This Row],[QT RRSP Principal]]+Dailies[[#This Row],[SunLife RRSP Principal]]</f>
        <v>366178.93</v>
      </c>
      <c r="Y887" s="315">
        <f>Dailies[[#This Row],[CIBC RRSP]]+Dailies[[#This Row],[CIBC RESP]]+Dailies[[#This Row],[QT RRSP]]+Dailies[[#This Row],[SunLife RRSP]]</f>
        <v>392163.4</v>
      </c>
      <c r="Z887" s="313">
        <f>Dailies[[#This Row],[Portfolio Total]]+Dailies[[#This Row],[Home Equity]]+Dailies[[#This Row],[Car Equity]]+Dailies[[#This Row],[Valuables Equity]]+Dailies[[#This Row],[GSK Pension]]+Dailies[[#This Row],[Home Loan]]</f>
        <v>1158525.3999999999</v>
      </c>
      <c r="AA887" s="402">
        <f>IF(ISNUMBER(C886),Dailies[[#This Row],[CIBC RRSP]]-C886-Dailies[[#This Row],[CIBC RRSP Principal Delta]],0)</f>
        <v>0</v>
      </c>
      <c r="AB887" s="402">
        <f>IF(ISNUMBER(D886),Dailies[[#This Row],[CIBC RESP]]-D886-Dailies[[#This Row],[CIBC RESP Principal Delta]],0)</f>
        <v>355.4800000000032</v>
      </c>
      <c r="AC887" s="402">
        <f>IF(ISNUMBER(E886),Dailies[[#This Row],[QT RRSP]]-E886-Dailies[[#This Row],[QT RRSP Principal Delta]],0)</f>
        <v>-4094.1500000000233</v>
      </c>
      <c r="AD887" s="402">
        <f>IF(ISNUMBER(G886),Dailies[[#This Row],[SunLife RRSP]]-G886-Dailies[[#This Row],[SunLife RRSP Principal Delta]],0)</f>
        <v>0</v>
      </c>
      <c r="AE887" s="315">
        <f>Dailies[[#This Row],[CIBC RRSP Daily $]]+Dailies[[#This Row],[QT RRSP Daily $]]+Dailies[[#This Row],[SunLife RRSP Daily $]]</f>
        <v>-4094.1500000000233</v>
      </c>
      <c r="AF887" s="315">
        <f>Dailies[[#This Row],[RRSP Daily $]]+Dailies[[#This Row],[CIBC RESP Daily $]]</f>
        <v>-3738.6700000000201</v>
      </c>
      <c r="AG887" s="401">
        <f>IF(ISNUMBER(AJ886),Dailies[[#This Row],[VOO]]-AJ886,0)</f>
        <v>-7.8299999999999841</v>
      </c>
      <c r="AH887" s="362">
        <f>Dailies[[#This Row],[RRSP Daily $]]/Dailies[[#This Row],[RRSP Total]]</f>
        <v>-1.1681917658908558E-2</v>
      </c>
      <c r="AI887" s="363">
        <f>IF(Dailies[[#This Row],[CIBC RESP]]&gt;0,Dailies[[#This Row],[CIBC RESP Daily $]]/Dailies[[#This Row],[CIBC RESP]],0)</f>
        <v>8.5258451974366632E-3</v>
      </c>
      <c r="AJ887" s="315">
        <f>VLOOKUP(Dailies[[#This Row],[Date]],Quotes[],MATCH("VOO",Quotes[#Headers],EXACT_MATCH))</f>
        <v>276.04000000000002</v>
      </c>
      <c r="AK887" s="314">
        <f>Dailies[[#This Row],[VOO Daily $]]/Dailies[[#This Row],[VOO]]</f>
        <v>-2.8365454281988056E-2</v>
      </c>
      <c r="AL887" s="314">
        <f>Dailies[[#This Row],[RRSP Daily %]]-Dailies[[#This Row],[VOO Daily %]]</f>
        <v>1.6683536623079497E-2</v>
      </c>
      <c r="AM887" s="413">
        <f t="shared" si="13"/>
        <v>285.5778606965174</v>
      </c>
      <c r="AR887" s="333"/>
      <c r="AS887" s="333"/>
      <c r="AT887" s="333"/>
      <c r="AU887" s="333"/>
      <c r="AV887" s="333"/>
    </row>
    <row r="888" spans="2:48" s="330" customFormat="1" ht="28.15" customHeight="1" x14ac:dyDescent="0.25">
      <c r="B888" s="359">
        <v>43894</v>
      </c>
      <c r="C888" s="360">
        <v>0</v>
      </c>
      <c r="D888" s="360">
        <v>42856.24</v>
      </c>
      <c r="E888" s="329">
        <v>357877</v>
      </c>
      <c r="F888" s="329">
        <v>0</v>
      </c>
      <c r="G888" s="329">
        <v>7960</v>
      </c>
      <c r="H888" s="329"/>
      <c r="I888" s="329"/>
      <c r="J888" s="329"/>
      <c r="K888" s="329"/>
      <c r="L888" s="329"/>
      <c r="M888" s="329">
        <v>650000</v>
      </c>
      <c r="N888" s="329">
        <f t="shared" si="16"/>
        <v>23079</v>
      </c>
      <c r="O888" s="329">
        <f t="shared" si="15"/>
        <v>1600</v>
      </c>
      <c r="P888" s="329">
        <v>91683</v>
      </c>
      <c r="Q888" s="329">
        <v>0</v>
      </c>
      <c r="R888" s="315">
        <f>Dailies[[#This Row],[CIBC RRSP]]+Dailies[[#This Row],[QT RRSP]]+Dailies[[#This Row],[SunLife RRSP]]</f>
        <v>365837</v>
      </c>
      <c r="S888" s="401">
        <f>S887+Dailies[[#This Row],[CIBC RRSP Principal Delta]]</f>
        <v>0</v>
      </c>
      <c r="T888" s="401">
        <f>T887+Dailies[[#This Row],[CIBC RESP Principal Delta]]</f>
        <v>37490.450000000004</v>
      </c>
      <c r="U888" s="402">
        <f>U887+Dailies[[#This Row],[QT RRSP Principal Delta]]</f>
        <v>320845.87</v>
      </c>
      <c r="V888" s="401">
        <f>V887+Dailies[[#This Row],[SunLife RRSP Principal Delta]]</f>
        <v>7842.6100000000006</v>
      </c>
      <c r="W888" s="315">
        <f>Dailies[[#This Row],[CIBC RRSP Principal]]+Dailies[[#This Row],[QT RRSP Principal]]+Dailies[[#This Row],[SunLife RRSP Principal]]</f>
        <v>328688.48</v>
      </c>
      <c r="X888" s="361">
        <f>Dailies[[#This Row],[CIBC RRSP Principal]]+Dailies[[#This Row],[CIBC RESP Principal]]+Dailies[[#This Row],[QT RRSP Principal]]+Dailies[[#This Row],[SunLife RRSP Principal]]</f>
        <v>366178.93</v>
      </c>
      <c r="Y888" s="315">
        <f>Dailies[[#This Row],[CIBC RRSP]]+Dailies[[#This Row],[CIBC RESP]]+Dailies[[#This Row],[QT RRSP]]+Dailies[[#This Row],[SunLife RRSP]]</f>
        <v>408693.24</v>
      </c>
      <c r="Z888" s="313">
        <f>Dailies[[#This Row],[Portfolio Total]]+Dailies[[#This Row],[Home Equity]]+Dailies[[#This Row],[Car Equity]]+Dailies[[#This Row],[Valuables Equity]]+Dailies[[#This Row],[GSK Pension]]+Dailies[[#This Row],[Home Loan]]</f>
        <v>1175055.24</v>
      </c>
      <c r="AA888" s="402">
        <f>IF(ISNUMBER(C887),Dailies[[#This Row],[CIBC RRSP]]-C887-Dailies[[#This Row],[CIBC RRSP Principal Delta]],0)</f>
        <v>0</v>
      </c>
      <c r="AB888" s="402">
        <f>IF(ISNUMBER(D887),Dailies[[#This Row],[CIBC RESP]]-D887-Dailies[[#This Row],[CIBC RESP Principal Delta]],0)</f>
        <v>1161.8399999999965</v>
      </c>
      <c r="AC888" s="402">
        <f>IF(ISNUMBER(E887),Dailies[[#This Row],[QT RRSP]]-E887-Dailies[[#This Row],[QT RRSP Principal Delta]],0)</f>
        <v>15368</v>
      </c>
      <c r="AD888" s="402">
        <f>IF(ISNUMBER(G887),Dailies[[#This Row],[SunLife RRSP]]-G887-Dailies[[#This Row],[SunLife RRSP Principal Delta]],0)</f>
        <v>0</v>
      </c>
      <c r="AE888" s="315">
        <f>Dailies[[#This Row],[CIBC RRSP Daily $]]+Dailies[[#This Row],[QT RRSP Daily $]]+Dailies[[#This Row],[SunLife RRSP Daily $]]</f>
        <v>15368</v>
      </c>
      <c r="AF888" s="315">
        <f>Dailies[[#This Row],[RRSP Daily $]]+Dailies[[#This Row],[CIBC RESP Daily $]]</f>
        <v>16529.839999999997</v>
      </c>
      <c r="AG888" s="401">
        <f>IF(ISNUMBER(AJ887),Dailies[[#This Row],[VOO]]-AJ887,0)</f>
        <v>11.439999999999998</v>
      </c>
      <c r="AH888" s="362">
        <f>Dailies[[#This Row],[RRSP Daily $]]/Dailies[[#This Row],[RRSP Total]]</f>
        <v>4.2007779420889631E-2</v>
      </c>
      <c r="AI888" s="363">
        <f>IF(Dailies[[#This Row],[CIBC RESP]]&gt;0,Dailies[[#This Row],[CIBC RESP Daily $]]/Dailies[[#This Row],[CIBC RESP]],0)</f>
        <v>2.7110171120938199E-2</v>
      </c>
      <c r="AJ888" s="315">
        <f>VLOOKUP(Dailies[[#This Row],[Date]],Quotes[],MATCH("VOO",Quotes[#Headers],EXACT_MATCH))</f>
        <v>287.48</v>
      </c>
      <c r="AK888" s="314">
        <f>Dailies[[#This Row],[VOO Daily $]]/Dailies[[#This Row],[VOO]]</f>
        <v>3.979407263113955E-2</v>
      </c>
      <c r="AL888" s="314">
        <f>Dailies[[#This Row],[RRSP Daily %]]-Dailies[[#This Row],[VOO Daily %]]</f>
        <v>2.2137067897500806E-3</v>
      </c>
      <c r="AM888" s="413">
        <f t="shared" si="13"/>
        <v>285.65074626865669</v>
      </c>
      <c r="AR888" s="333"/>
      <c r="AS888" s="333"/>
      <c r="AT888" s="333"/>
      <c r="AU888" s="333"/>
      <c r="AV888" s="333"/>
    </row>
    <row r="889" spans="2:48" s="330" customFormat="1" ht="28.15" customHeight="1" x14ac:dyDescent="0.25">
      <c r="B889" s="359">
        <v>43895</v>
      </c>
      <c r="C889" s="360">
        <v>0</v>
      </c>
      <c r="D889" s="360">
        <v>42551.360000000001</v>
      </c>
      <c r="E889" s="329">
        <v>354557</v>
      </c>
      <c r="F889" s="329">
        <v>0</v>
      </c>
      <c r="G889" s="329">
        <v>7960</v>
      </c>
      <c r="H889" s="329"/>
      <c r="I889" s="329"/>
      <c r="J889" s="329"/>
      <c r="K889" s="329"/>
      <c r="L889" s="329"/>
      <c r="M889" s="329">
        <v>650000</v>
      </c>
      <c r="N889" s="329">
        <f t="shared" si="16"/>
        <v>23079</v>
      </c>
      <c r="O889" s="329">
        <f t="shared" si="15"/>
        <v>1600</v>
      </c>
      <c r="P889" s="329">
        <v>91683</v>
      </c>
      <c r="Q889" s="329">
        <v>0</v>
      </c>
      <c r="R889" s="315">
        <f>Dailies[[#This Row],[CIBC RRSP]]+Dailies[[#This Row],[QT RRSP]]+Dailies[[#This Row],[SunLife RRSP]]</f>
        <v>362517</v>
      </c>
      <c r="S889" s="401">
        <f>S888+Dailies[[#This Row],[CIBC RRSP Principal Delta]]</f>
        <v>0</v>
      </c>
      <c r="T889" s="401">
        <f>T888+Dailies[[#This Row],[CIBC RESP Principal Delta]]</f>
        <v>37490.450000000004</v>
      </c>
      <c r="U889" s="402">
        <f>U888+Dailies[[#This Row],[QT RRSP Principal Delta]]</f>
        <v>320845.87</v>
      </c>
      <c r="V889" s="401">
        <f>V888+Dailies[[#This Row],[SunLife RRSP Principal Delta]]</f>
        <v>7842.6100000000006</v>
      </c>
      <c r="W889" s="315">
        <f>Dailies[[#This Row],[CIBC RRSP Principal]]+Dailies[[#This Row],[QT RRSP Principal]]+Dailies[[#This Row],[SunLife RRSP Principal]]</f>
        <v>328688.48</v>
      </c>
      <c r="X889" s="361">
        <f>Dailies[[#This Row],[CIBC RRSP Principal]]+Dailies[[#This Row],[CIBC RESP Principal]]+Dailies[[#This Row],[QT RRSP Principal]]+Dailies[[#This Row],[SunLife RRSP Principal]]</f>
        <v>366178.93</v>
      </c>
      <c r="Y889" s="315">
        <f>Dailies[[#This Row],[CIBC RRSP]]+Dailies[[#This Row],[CIBC RESP]]+Dailies[[#This Row],[QT RRSP]]+Dailies[[#This Row],[SunLife RRSP]]</f>
        <v>405068.36</v>
      </c>
      <c r="Z889" s="313">
        <f>Dailies[[#This Row],[Portfolio Total]]+Dailies[[#This Row],[Home Equity]]+Dailies[[#This Row],[Car Equity]]+Dailies[[#This Row],[Valuables Equity]]+Dailies[[#This Row],[GSK Pension]]+Dailies[[#This Row],[Home Loan]]</f>
        <v>1171430.3599999999</v>
      </c>
      <c r="AA889" s="402">
        <f>IF(ISNUMBER(C888),Dailies[[#This Row],[CIBC RRSP]]-C888-Dailies[[#This Row],[CIBC RRSP Principal Delta]],0)</f>
        <v>0</v>
      </c>
      <c r="AB889" s="402">
        <f>IF(ISNUMBER(D888),Dailies[[#This Row],[CIBC RESP]]-D888-Dailies[[#This Row],[CIBC RESP Principal Delta]],0)</f>
        <v>-304.87999999999738</v>
      </c>
      <c r="AC889" s="402">
        <f>IF(ISNUMBER(E888),Dailies[[#This Row],[QT RRSP]]-E888-Dailies[[#This Row],[QT RRSP Principal Delta]],0)</f>
        <v>-3320</v>
      </c>
      <c r="AD889" s="402">
        <f>IF(ISNUMBER(G888),Dailies[[#This Row],[SunLife RRSP]]-G888-Dailies[[#This Row],[SunLife RRSP Principal Delta]],0)</f>
        <v>0</v>
      </c>
      <c r="AE889" s="315">
        <f>Dailies[[#This Row],[CIBC RRSP Daily $]]+Dailies[[#This Row],[QT RRSP Daily $]]+Dailies[[#This Row],[SunLife RRSP Daily $]]</f>
        <v>-3320</v>
      </c>
      <c r="AF889" s="315">
        <f>Dailies[[#This Row],[RRSP Daily $]]+Dailies[[#This Row],[CIBC RESP Daily $]]</f>
        <v>-3624.8799999999974</v>
      </c>
      <c r="AG889" s="401">
        <f>IF(ISNUMBER(AJ888),Dailies[[#This Row],[VOO]]-AJ888,0)</f>
        <v>-9.6299999999999955</v>
      </c>
      <c r="AH889" s="362">
        <f>Dailies[[#This Row],[RRSP Daily $]]/Dailies[[#This Row],[RRSP Total]]</f>
        <v>-9.1581912020677649E-3</v>
      </c>
      <c r="AI889" s="363">
        <f>IF(Dailies[[#This Row],[CIBC RESP]]&gt;0,Dailies[[#This Row],[CIBC RESP Daily $]]/Dailies[[#This Row],[CIBC RESP]],0)</f>
        <v>-7.1649883810998606E-3</v>
      </c>
      <c r="AJ889" s="315">
        <f>VLOOKUP(Dailies[[#This Row],[Date]],Quotes[],MATCH("VOO",Quotes[#Headers],EXACT_MATCH))</f>
        <v>277.85000000000002</v>
      </c>
      <c r="AK889" s="314">
        <f>Dailies[[#This Row],[VOO Daily $]]/Dailies[[#This Row],[VOO]]</f>
        <v>-3.4658988662947615E-2</v>
      </c>
      <c r="AL889" s="314">
        <f>Dailies[[#This Row],[RRSP Daily %]]-Dailies[[#This Row],[VOO Daily %]]</f>
        <v>2.550079746087985E-2</v>
      </c>
      <c r="AM889" s="413">
        <f t="shared" si="13"/>
        <v>285.76149253731342</v>
      </c>
      <c r="AR889" s="333"/>
      <c r="AS889" s="333"/>
      <c r="AT889" s="333"/>
      <c r="AU889" s="333"/>
      <c r="AV889" s="333"/>
    </row>
    <row r="890" spans="2:48" s="330" customFormat="1" ht="28.15" customHeight="1" x14ac:dyDescent="0.25">
      <c r="B890" s="359">
        <v>43896</v>
      </c>
      <c r="C890" s="360">
        <v>0</v>
      </c>
      <c r="D890" s="360">
        <v>42007.519999999997</v>
      </c>
      <c r="E890" s="329">
        <v>350678.32</v>
      </c>
      <c r="F890" s="329">
        <v>0</v>
      </c>
      <c r="G890" s="329">
        <v>7960</v>
      </c>
      <c r="H890" s="329"/>
      <c r="I890" s="329"/>
      <c r="J890" s="329"/>
      <c r="K890" s="329"/>
      <c r="L890" s="329"/>
      <c r="M890" s="329">
        <v>650000</v>
      </c>
      <c r="N890" s="329">
        <f t="shared" si="16"/>
        <v>23079</v>
      </c>
      <c r="O890" s="329">
        <f t="shared" si="15"/>
        <v>1600</v>
      </c>
      <c r="P890" s="329">
        <v>91683</v>
      </c>
      <c r="Q890" s="329">
        <v>0</v>
      </c>
      <c r="R890" s="315">
        <f>Dailies[[#This Row],[CIBC RRSP]]+Dailies[[#This Row],[QT RRSP]]+Dailies[[#This Row],[SunLife RRSP]]</f>
        <v>358638.32</v>
      </c>
      <c r="S890" s="401">
        <f>S889+Dailies[[#This Row],[CIBC RRSP Principal Delta]]</f>
        <v>0</v>
      </c>
      <c r="T890" s="401">
        <f>T889+Dailies[[#This Row],[CIBC RESP Principal Delta]]</f>
        <v>37490.450000000004</v>
      </c>
      <c r="U890" s="402">
        <f>U889+Dailies[[#This Row],[QT RRSP Principal Delta]]</f>
        <v>320845.87</v>
      </c>
      <c r="V890" s="401">
        <f>V889+Dailies[[#This Row],[SunLife RRSP Principal Delta]]</f>
        <v>7842.6100000000006</v>
      </c>
      <c r="W890" s="315">
        <f>Dailies[[#This Row],[CIBC RRSP Principal]]+Dailies[[#This Row],[QT RRSP Principal]]+Dailies[[#This Row],[SunLife RRSP Principal]]</f>
        <v>328688.48</v>
      </c>
      <c r="X890" s="361">
        <f>Dailies[[#This Row],[CIBC RRSP Principal]]+Dailies[[#This Row],[CIBC RESP Principal]]+Dailies[[#This Row],[QT RRSP Principal]]+Dailies[[#This Row],[SunLife RRSP Principal]]</f>
        <v>366178.93</v>
      </c>
      <c r="Y890" s="315">
        <f>Dailies[[#This Row],[CIBC RRSP]]+Dailies[[#This Row],[CIBC RESP]]+Dailies[[#This Row],[QT RRSP]]+Dailies[[#This Row],[SunLife RRSP]]</f>
        <v>400645.84</v>
      </c>
      <c r="Z890" s="313">
        <f>Dailies[[#This Row],[Portfolio Total]]+Dailies[[#This Row],[Home Equity]]+Dailies[[#This Row],[Car Equity]]+Dailies[[#This Row],[Valuables Equity]]+Dailies[[#This Row],[GSK Pension]]+Dailies[[#This Row],[Home Loan]]</f>
        <v>1167007.8400000001</v>
      </c>
      <c r="AA890" s="402">
        <f>IF(ISNUMBER(C889),Dailies[[#This Row],[CIBC RRSP]]-C889-Dailies[[#This Row],[CIBC RRSP Principal Delta]],0)</f>
        <v>0</v>
      </c>
      <c r="AB890" s="402">
        <f>IF(ISNUMBER(D889),Dailies[[#This Row],[CIBC RESP]]-D889-Dailies[[#This Row],[CIBC RESP Principal Delta]],0)</f>
        <v>-543.84000000000378</v>
      </c>
      <c r="AC890" s="402">
        <f>IF(ISNUMBER(E889),Dailies[[#This Row],[QT RRSP]]-E889-Dailies[[#This Row],[QT RRSP Principal Delta]],0)</f>
        <v>-3878.679999999993</v>
      </c>
      <c r="AD890" s="402">
        <f>IF(ISNUMBER(G889),Dailies[[#This Row],[SunLife RRSP]]-G889-Dailies[[#This Row],[SunLife RRSP Principal Delta]],0)</f>
        <v>0</v>
      </c>
      <c r="AE890" s="315">
        <f>Dailies[[#This Row],[CIBC RRSP Daily $]]+Dailies[[#This Row],[QT RRSP Daily $]]+Dailies[[#This Row],[SunLife RRSP Daily $]]</f>
        <v>-3878.679999999993</v>
      </c>
      <c r="AF890" s="315">
        <f>Dailies[[#This Row],[RRSP Daily $]]+Dailies[[#This Row],[CIBC RESP Daily $]]</f>
        <v>-4422.5199999999968</v>
      </c>
      <c r="AG890" s="401">
        <f>IF(ISNUMBER(AJ889),Dailies[[#This Row],[VOO]]-AJ889,0)</f>
        <v>-4.660000000000025</v>
      </c>
      <c r="AH890" s="362">
        <f>Dailies[[#This Row],[RRSP Daily $]]/Dailies[[#This Row],[RRSP Total]]</f>
        <v>-1.0815018317061024E-2</v>
      </c>
      <c r="AI890" s="363">
        <f>IF(Dailies[[#This Row],[CIBC RESP]]&gt;0,Dailies[[#This Row],[CIBC RESP Daily $]]/Dailies[[#This Row],[CIBC RESP]],0)</f>
        <v>-1.2946253432718805E-2</v>
      </c>
      <c r="AJ890" s="315">
        <f>VLOOKUP(Dailies[[#This Row],[Date]],Quotes[],MATCH("VOO",Quotes[#Headers],EXACT_MATCH))</f>
        <v>273.19</v>
      </c>
      <c r="AK890" s="314">
        <f>Dailies[[#This Row],[VOO Daily $]]/Dailies[[#This Row],[VOO]]</f>
        <v>-1.7057725392584006E-2</v>
      </c>
      <c r="AL890" s="314">
        <f>Dailies[[#This Row],[RRSP Daily %]]-Dailies[[#This Row],[VOO Daily %]]</f>
        <v>6.2427070755229821E-3</v>
      </c>
      <c r="AM890" s="413">
        <f t="shared" si="13"/>
        <v>285.8243283582089</v>
      </c>
      <c r="AR890" s="333"/>
      <c r="AS890" s="333"/>
      <c r="AT890" s="333"/>
      <c r="AU890" s="333"/>
      <c r="AV890" s="333"/>
    </row>
    <row r="891" spans="2:48" s="330" customFormat="1" ht="28.15" customHeight="1" x14ac:dyDescent="0.25">
      <c r="B891" s="359">
        <v>43897</v>
      </c>
      <c r="C891" s="360">
        <v>0</v>
      </c>
      <c r="D891" s="360">
        <v>42007.519999999997</v>
      </c>
      <c r="E891" s="329">
        <v>350678.32</v>
      </c>
      <c r="F891" s="329">
        <v>0</v>
      </c>
      <c r="G891" s="329">
        <v>7960</v>
      </c>
      <c r="H891" s="329"/>
      <c r="I891" s="329"/>
      <c r="J891" s="329"/>
      <c r="K891" s="329"/>
      <c r="L891" s="329"/>
      <c r="M891" s="329">
        <v>650000</v>
      </c>
      <c r="N891" s="329">
        <f t="shared" si="16"/>
        <v>23079</v>
      </c>
      <c r="O891" s="329">
        <f t="shared" si="15"/>
        <v>1600</v>
      </c>
      <c r="P891" s="329">
        <v>91683</v>
      </c>
      <c r="Q891" s="329">
        <v>0</v>
      </c>
      <c r="R891" s="315">
        <f>Dailies[[#This Row],[CIBC RRSP]]+Dailies[[#This Row],[QT RRSP]]+Dailies[[#This Row],[SunLife RRSP]]</f>
        <v>358638.32</v>
      </c>
      <c r="S891" s="401">
        <f>S890+Dailies[[#This Row],[CIBC RRSP Principal Delta]]</f>
        <v>0</v>
      </c>
      <c r="T891" s="401">
        <f>T890+Dailies[[#This Row],[CIBC RESP Principal Delta]]</f>
        <v>37490.450000000004</v>
      </c>
      <c r="U891" s="402">
        <f>U890+Dailies[[#This Row],[QT RRSP Principal Delta]]</f>
        <v>320845.87</v>
      </c>
      <c r="V891" s="401">
        <f>V890+Dailies[[#This Row],[SunLife RRSP Principal Delta]]</f>
        <v>7842.6100000000006</v>
      </c>
      <c r="W891" s="315">
        <f>Dailies[[#This Row],[CIBC RRSP Principal]]+Dailies[[#This Row],[QT RRSP Principal]]+Dailies[[#This Row],[SunLife RRSP Principal]]</f>
        <v>328688.48</v>
      </c>
      <c r="X891" s="361">
        <f>Dailies[[#This Row],[CIBC RRSP Principal]]+Dailies[[#This Row],[CIBC RESP Principal]]+Dailies[[#This Row],[QT RRSP Principal]]+Dailies[[#This Row],[SunLife RRSP Principal]]</f>
        <v>366178.93</v>
      </c>
      <c r="Y891" s="315">
        <f>Dailies[[#This Row],[CIBC RRSP]]+Dailies[[#This Row],[CIBC RESP]]+Dailies[[#This Row],[QT RRSP]]+Dailies[[#This Row],[SunLife RRSP]]</f>
        <v>400645.84</v>
      </c>
      <c r="Z891" s="313">
        <f>Dailies[[#This Row],[Portfolio Total]]+Dailies[[#This Row],[Home Equity]]+Dailies[[#This Row],[Car Equity]]+Dailies[[#This Row],[Valuables Equity]]+Dailies[[#This Row],[GSK Pension]]+Dailies[[#This Row],[Home Loan]]</f>
        <v>1167007.8400000001</v>
      </c>
      <c r="AA891" s="402">
        <f>IF(ISNUMBER(C890),Dailies[[#This Row],[CIBC RRSP]]-C890-Dailies[[#This Row],[CIBC RRSP Principal Delta]],0)</f>
        <v>0</v>
      </c>
      <c r="AB891" s="402">
        <f>IF(ISNUMBER(D890),Dailies[[#This Row],[CIBC RESP]]-D890-Dailies[[#This Row],[CIBC RESP Principal Delta]],0)</f>
        <v>0</v>
      </c>
      <c r="AC891" s="402">
        <f>IF(ISNUMBER(E890),Dailies[[#This Row],[QT RRSP]]-E890-Dailies[[#This Row],[QT RRSP Principal Delta]],0)</f>
        <v>0</v>
      </c>
      <c r="AD891" s="402">
        <f>IF(ISNUMBER(G890),Dailies[[#This Row],[SunLife RRSP]]-G890-Dailies[[#This Row],[SunLife RRSP Principal Delta]],0)</f>
        <v>0</v>
      </c>
      <c r="AE891" s="315">
        <f>Dailies[[#This Row],[CIBC RRSP Daily $]]+Dailies[[#This Row],[QT RRSP Daily $]]+Dailies[[#This Row],[SunLife RRSP Daily $]]</f>
        <v>0</v>
      </c>
      <c r="AF891" s="315">
        <f>Dailies[[#This Row],[RRSP Daily $]]+Dailies[[#This Row],[CIBC RESP Daily $]]</f>
        <v>0</v>
      </c>
      <c r="AG891" s="401">
        <f>IF(ISNUMBER(AJ890),Dailies[[#This Row],[VOO]]-AJ890,0)</f>
        <v>0</v>
      </c>
      <c r="AH891" s="362">
        <f>Dailies[[#This Row],[RRSP Daily $]]/Dailies[[#This Row],[RRSP Total]]</f>
        <v>0</v>
      </c>
      <c r="AI891" s="363">
        <f>IF(Dailies[[#This Row],[CIBC RESP]]&gt;0,Dailies[[#This Row],[CIBC RESP Daily $]]/Dailies[[#This Row],[CIBC RESP]],0)</f>
        <v>0</v>
      </c>
      <c r="AJ891" s="315">
        <f>VLOOKUP(Dailies[[#This Row],[Date]],Quotes[],MATCH("VOO",Quotes[#Headers],EXACT_MATCH))</f>
        <v>273.19</v>
      </c>
      <c r="AK891" s="314">
        <f>Dailies[[#This Row],[VOO Daily $]]/Dailies[[#This Row],[VOO]]</f>
        <v>0</v>
      </c>
      <c r="AL891" s="314">
        <f>Dailies[[#This Row],[RRSP Daily %]]-Dailies[[#This Row],[VOO Daily %]]</f>
        <v>0</v>
      </c>
      <c r="AM891" s="413">
        <f t="shared" si="13"/>
        <v>285.86398009950244</v>
      </c>
      <c r="AR891" s="333"/>
      <c r="AS891" s="333"/>
      <c r="AT891" s="333"/>
      <c r="AU891" s="333"/>
      <c r="AV891" s="333"/>
    </row>
    <row r="892" spans="2:48" s="330" customFormat="1" ht="28.15" customHeight="1" x14ac:dyDescent="0.25">
      <c r="B892" s="359">
        <v>43898</v>
      </c>
      <c r="C892" s="360">
        <v>0</v>
      </c>
      <c r="D892" s="360">
        <v>42007.519999999997</v>
      </c>
      <c r="E892" s="329">
        <v>350678.32</v>
      </c>
      <c r="F892" s="329">
        <v>0</v>
      </c>
      <c r="G892" s="329">
        <v>7960</v>
      </c>
      <c r="H892" s="329"/>
      <c r="I892" s="329"/>
      <c r="J892" s="329"/>
      <c r="K892" s="329"/>
      <c r="L892" s="329"/>
      <c r="M892" s="329">
        <v>650000</v>
      </c>
      <c r="N892" s="329">
        <f t="shared" si="16"/>
        <v>23079</v>
      </c>
      <c r="O892" s="329">
        <f t="shared" si="15"/>
        <v>1600</v>
      </c>
      <c r="P892" s="329">
        <v>91683</v>
      </c>
      <c r="Q892" s="329">
        <v>0</v>
      </c>
      <c r="R892" s="315">
        <f>Dailies[[#This Row],[CIBC RRSP]]+Dailies[[#This Row],[QT RRSP]]+Dailies[[#This Row],[SunLife RRSP]]</f>
        <v>358638.32</v>
      </c>
      <c r="S892" s="401">
        <f>S891+Dailies[[#This Row],[CIBC RRSP Principal Delta]]</f>
        <v>0</v>
      </c>
      <c r="T892" s="401">
        <f>T891+Dailies[[#This Row],[CIBC RESP Principal Delta]]</f>
        <v>37490.450000000004</v>
      </c>
      <c r="U892" s="402">
        <f>U891+Dailies[[#This Row],[QT RRSP Principal Delta]]</f>
        <v>320845.87</v>
      </c>
      <c r="V892" s="401">
        <f>V891+Dailies[[#This Row],[SunLife RRSP Principal Delta]]</f>
        <v>7842.6100000000006</v>
      </c>
      <c r="W892" s="315">
        <f>Dailies[[#This Row],[CIBC RRSP Principal]]+Dailies[[#This Row],[QT RRSP Principal]]+Dailies[[#This Row],[SunLife RRSP Principal]]</f>
        <v>328688.48</v>
      </c>
      <c r="X892" s="361">
        <f>Dailies[[#This Row],[CIBC RRSP Principal]]+Dailies[[#This Row],[CIBC RESP Principal]]+Dailies[[#This Row],[QT RRSP Principal]]+Dailies[[#This Row],[SunLife RRSP Principal]]</f>
        <v>366178.93</v>
      </c>
      <c r="Y892" s="315">
        <f>Dailies[[#This Row],[CIBC RRSP]]+Dailies[[#This Row],[CIBC RESP]]+Dailies[[#This Row],[QT RRSP]]+Dailies[[#This Row],[SunLife RRSP]]</f>
        <v>400645.84</v>
      </c>
      <c r="Z892" s="313">
        <f>Dailies[[#This Row],[Portfolio Total]]+Dailies[[#This Row],[Home Equity]]+Dailies[[#This Row],[Car Equity]]+Dailies[[#This Row],[Valuables Equity]]+Dailies[[#This Row],[GSK Pension]]+Dailies[[#This Row],[Home Loan]]</f>
        <v>1167007.8400000001</v>
      </c>
      <c r="AA892" s="402">
        <f>IF(ISNUMBER(C891),Dailies[[#This Row],[CIBC RRSP]]-C891-Dailies[[#This Row],[CIBC RRSP Principal Delta]],0)</f>
        <v>0</v>
      </c>
      <c r="AB892" s="402">
        <f>IF(ISNUMBER(D891),Dailies[[#This Row],[CIBC RESP]]-D891-Dailies[[#This Row],[CIBC RESP Principal Delta]],0)</f>
        <v>0</v>
      </c>
      <c r="AC892" s="402">
        <f>IF(ISNUMBER(E891),Dailies[[#This Row],[QT RRSP]]-E891-Dailies[[#This Row],[QT RRSP Principal Delta]],0)</f>
        <v>0</v>
      </c>
      <c r="AD892" s="402">
        <f>IF(ISNUMBER(G891),Dailies[[#This Row],[SunLife RRSP]]-G891-Dailies[[#This Row],[SunLife RRSP Principal Delta]],0)</f>
        <v>0</v>
      </c>
      <c r="AE892" s="315">
        <f>Dailies[[#This Row],[CIBC RRSP Daily $]]+Dailies[[#This Row],[QT RRSP Daily $]]+Dailies[[#This Row],[SunLife RRSP Daily $]]</f>
        <v>0</v>
      </c>
      <c r="AF892" s="315">
        <f>Dailies[[#This Row],[RRSP Daily $]]+Dailies[[#This Row],[CIBC RESP Daily $]]</f>
        <v>0</v>
      </c>
      <c r="AG892" s="401">
        <f>IF(ISNUMBER(AJ891),Dailies[[#This Row],[VOO]]-AJ891,0)</f>
        <v>0</v>
      </c>
      <c r="AH892" s="362">
        <f>Dailies[[#This Row],[RRSP Daily $]]/Dailies[[#This Row],[RRSP Total]]</f>
        <v>0</v>
      </c>
      <c r="AI892" s="363">
        <f>IF(Dailies[[#This Row],[CIBC RESP]]&gt;0,Dailies[[#This Row],[CIBC RESP Daily $]]/Dailies[[#This Row],[CIBC RESP]],0)</f>
        <v>0</v>
      </c>
      <c r="AJ892" s="315">
        <f>VLOOKUP(Dailies[[#This Row],[Date]],Quotes[],MATCH("VOO",Quotes[#Headers],EXACT_MATCH))</f>
        <v>273.19</v>
      </c>
      <c r="AK892" s="314">
        <f>Dailies[[#This Row],[VOO Daily $]]/Dailies[[#This Row],[VOO]]</f>
        <v>0</v>
      </c>
      <c r="AL892" s="314">
        <f>Dailies[[#This Row],[RRSP Daily %]]-Dailies[[#This Row],[VOO Daily %]]</f>
        <v>0</v>
      </c>
      <c r="AM892" s="413">
        <f t="shared" si="13"/>
        <v>285.88741293532337</v>
      </c>
      <c r="AR892" s="333"/>
      <c r="AS892" s="333"/>
      <c r="AT892" s="333"/>
      <c r="AU892" s="333"/>
      <c r="AV892" s="333"/>
    </row>
    <row r="893" spans="2:48" s="330" customFormat="1" ht="28.15" customHeight="1" x14ac:dyDescent="0.25">
      <c r="B893" s="359">
        <v>43899</v>
      </c>
      <c r="C893" s="360">
        <v>0</v>
      </c>
      <c r="D893" s="360">
        <v>35184.800000000003</v>
      </c>
      <c r="E893" s="329">
        <v>319110.26</v>
      </c>
      <c r="F893" s="329">
        <v>0</v>
      </c>
      <c r="G893" s="329">
        <v>7960</v>
      </c>
      <c r="H893" s="329"/>
      <c r="I893" s="329"/>
      <c r="J893" s="329">
        <v>1075</v>
      </c>
      <c r="K893" s="329"/>
      <c r="L893" s="329"/>
      <c r="M893" s="329">
        <v>650000</v>
      </c>
      <c r="N893" s="329">
        <f t="shared" si="16"/>
        <v>23079</v>
      </c>
      <c r="O893" s="329">
        <f t="shared" si="15"/>
        <v>1600</v>
      </c>
      <c r="P893" s="329">
        <v>91683</v>
      </c>
      <c r="Q893" s="329">
        <v>0</v>
      </c>
      <c r="R893" s="315">
        <f>Dailies[[#This Row],[CIBC RRSP]]+Dailies[[#This Row],[QT RRSP]]+Dailies[[#This Row],[SunLife RRSP]]</f>
        <v>327070.26</v>
      </c>
      <c r="S893" s="401">
        <f>S892+Dailies[[#This Row],[CIBC RRSP Principal Delta]]</f>
        <v>0</v>
      </c>
      <c r="T893" s="401">
        <f>T892+Dailies[[#This Row],[CIBC RESP Principal Delta]]</f>
        <v>37490.450000000004</v>
      </c>
      <c r="U893" s="402">
        <f>U892+Dailies[[#This Row],[QT RRSP Principal Delta]]</f>
        <v>321920.87</v>
      </c>
      <c r="V893" s="401">
        <f>V892+Dailies[[#This Row],[SunLife RRSP Principal Delta]]</f>
        <v>7842.6100000000006</v>
      </c>
      <c r="W893" s="315">
        <f>Dailies[[#This Row],[CIBC RRSP Principal]]+Dailies[[#This Row],[QT RRSP Principal]]+Dailies[[#This Row],[SunLife RRSP Principal]]</f>
        <v>329763.48</v>
      </c>
      <c r="X893" s="361">
        <f>Dailies[[#This Row],[CIBC RRSP Principal]]+Dailies[[#This Row],[CIBC RESP Principal]]+Dailies[[#This Row],[QT RRSP Principal]]+Dailies[[#This Row],[SunLife RRSP Principal]]</f>
        <v>367253.93</v>
      </c>
      <c r="Y893" s="315">
        <f>Dailies[[#This Row],[CIBC RRSP]]+Dailies[[#This Row],[CIBC RESP]]+Dailies[[#This Row],[QT RRSP]]+Dailies[[#This Row],[SunLife RRSP]]</f>
        <v>362255.06</v>
      </c>
      <c r="Z893" s="313">
        <f>Dailies[[#This Row],[Portfolio Total]]+Dailies[[#This Row],[Home Equity]]+Dailies[[#This Row],[Car Equity]]+Dailies[[#This Row],[Valuables Equity]]+Dailies[[#This Row],[GSK Pension]]+Dailies[[#This Row],[Home Loan]]</f>
        <v>1128617.06</v>
      </c>
      <c r="AA893" s="402">
        <f>IF(ISNUMBER(C892),Dailies[[#This Row],[CIBC RRSP]]-C892-Dailies[[#This Row],[CIBC RRSP Principal Delta]],0)</f>
        <v>0</v>
      </c>
      <c r="AB893" s="402">
        <f>IF(ISNUMBER(D892),Dailies[[#This Row],[CIBC RESP]]-D892-Dailies[[#This Row],[CIBC RESP Principal Delta]],0)</f>
        <v>-6822.7199999999939</v>
      </c>
      <c r="AC893" s="402">
        <f>IF(ISNUMBER(E892),Dailies[[#This Row],[QT RRSP]]-E892-Dailies[[#This Row],[QT RRSP Principal Delta]],0)</f>
        <v>-32643.059999999998</v>
      </c>
      <c r="AD893" s="402">
        <f>IF(ISNUMBER(G892),Dailies[[#This Row],[SunLife RRSP]]-G892-Dailies[[#This Row],[SunLife RRSP Principal Delta]],0)</f>
        <v>0</v>
      </c>
      <c r="AE893" s="315">
        <f>Dailies[[#This Row],[CIBC RRSP Daily $]]+Dailies[[#This Row],[QT RRSP Daily $]]+Dailies[[#This Row],[SunLife RRSP Daily $]]</f>
        <v>-32643.059999999998</v>
      </c>
      <c r="AF893" s="315">
        <f>Dailies[[#This Row],[RRSP Daily $]]+Dailies[[#This Row],[CIBC RESP Daily $]]</f>
        <v>-39465.779999999992</v>
      </c>
      <c r="AG893" s="401">
        <f>IF(ISNUMBER(AJ892),Dailies[[#This Row],[VOO]]-AJ892,0)</f>
        <v>-21.079999999999984</v>
      </c>
      <c r="AH893" s="362">
        <f>Dailies[[#This Row],[RRSP Daily $]]/Dailies[[#This Row],[RRSP Total]]</f>
        <v>-9.9804427342308641E-2</v>
      </c>
      <c r="AI893" s="363">
        <f>IF(Dailies[[#This Row],[CIBC RESP]]&gt;0,Dailies[[#This Row],[CIBC RESP Daily $]]/Dailies[[#This Row],[CIBC RESP]],0)</f>
        <v>-0.19391100702576095</v>
      </c>
      <c r="AJ893" s="315">
        <f>VLOOKUP(Dailies[[#This Row],[Date]],Quotes[],MATCH("VOO",Quotes[#Headers],EXACT_MATCH))</f>
        <v>252.11</v>
      </c>
      <c r="AK893" s="314">
        <f>Dailies[[#This Row],[VOO Daily $]]/Dailies[[#This Row],[VOO]]</f>
        <v>-8.3614295347268983E-2</v>
      </c>
      <c r="AL893" s="314">
        <f>Dailies[[#This Row],[RRSP Daily %]]-Dailies[[#This Row],[VOO Daily %]]</f>
        <v>-1.6190131995039658E-2</v>
      </c>
      <c r="AM893" s="413">
        <f t="shared" si="13"/>
        <v>285.92119402985071</v>
      </c>
      <c r="AR893" s="333"/>
      <c r="AS893" s="333"/>
      <c r="AT893" s="333"/>
      <c r="AU893" s="333"/>
      <c r="AV893" s="333"/>
    </row>
    <row r="894" spans="2:48" s="330" customFormat="1" ht="28.15" customHeight="1" x14ac:dyDescent="0.25">
      <c r="B894" s="359">
        <v>43900</v>
      </c>
      <c r="C894" s="360">
        <v>0</v>
      </c>
      <c r="D894" s="360">
        <v>36618.559999999998</v>
      </c>
      <c r="E894" s="329">
        <v>329471.53999999998</v>
      </c>
      <c r="F894" s="329">
        <v>0</v>
      </c>
      <c r="G894" s="329">
        <v>7960</v>
      </c>
      <c r="H894" s="329"/>
      <c r="I894" s="329"/>
      <c r="J894" s="329"/>
      <c r="K894" s="329"/>
      <c r="L894" s="329"/>
      <c r="M894" s="329">
        <v>650000</v>
      </c>
      <c r="N894" s="329">
        <f t="shared" si="16"/>
        <v>23079</v>
      </c>
      <c r="O894" s="329">
        <f t="shared" si="15"/>
        <v>1600</v>
      </c>
      <c r="P894" s="329">
        <v>91683</v>
      </c>
      <c r="Q894" s="329">
        <v>0</v>
      </c>
      <c r="R894" s="315">
        <f>Dailies[[#This Row],[CIBC RRSP]]+Dailies[[#This Row],[QT RRSP]]+Dailies[[#This Row],[SunLife RRSP]]</f>
        <v>337431.54</v>
      </c>
      <c r="S894" s="401">
        <f>S893+Dailies[[#This Row],[CIBC RRSP Principal Delta]]</f>
        <v>0</v>
      </c>
      <c r="T894" s="401">
        <f>T893+Dailies[[#This Row],[CIBC RESP Principal Delta]]</f>
        <v>37490.450000000004</v>
      </c>
      <c r="U894" s="402">
        <f>U893+Dailies[[#This Row],[QT RRSP Principal Delta]]</f>
        <v>321920.87</v>
      </c>
      <c r="V894" s="401">
        <f>V893+Dailies[[#This Row],[SunLife RRSP Principal Delta]]</f>
        <v>7842.6100000000006</v>
      </c>
      <c r="W894" s="315">
        <f>Dailies[[#This Row],[CIBC RRSP Principal]]+Dailies[[#This Row],[QT RRSP Principal]]+Dailies[[#This Row],[SunLife RRSP Principal]]</f>
        <v>329763.48</v>
      </c>
      <c r="X894" s="361">
        <f>Dailies[[#This Row],[CIBC RRSP Principal]]+Dailies[[#This Row],[CIBC RESP Principal]]+Dailies[[#This Row],[QT RRSP Principal]]+Dailies[[#This Row],[SunLife RRSP Principal]]</f>
        <v>367253.93</v>
      </c>
      <c r="Y894" s="315">
        <f>Dailies[[#This Row],[CIBC RRSP]]+Dailies[[#This Row],[CIBC RESP]]+Dailies[[#This Row],[QT RRSP]]+Dailies[[#This Row],[SunLife RRSP]]</f>
        <v>374050.1</v>
      </c>
      <c r="Z894" s="313">
        <f>Dailies[[#This Row],[Portfolio Total]]+Dailies[[#This Row],[Home Equity]]+Dailies[[#This Row],[Car Equity]]+Dailies[[#This Row],[Valuables Equity]]+Dailies[[#This Row],[GSK Pension]]+Dailies[[#This Row],[Home Loan]]</f>
        <v>1140412.1000000001</v>
      </c>
      <c r="AA894" s="402">
        <f>IF(ISNUMBER(C893),Dailies[[#This Row],[CIBC RRSP]]-C893-Dailies[[#This Row],[CIBC RRSP Principal Delta]],0)</f>
        <v>0</v>
      </c>
      <c r="AB894" s="402">
        <f>IF(ISNUMBER(D893),Dailies[[#This Row],[CIBC RESP]]-D893-Dailies[[#This Row],[CIBC RESP Principal Delta]],0)</f>
        <v>1433.7599999999948</v>
      </c>
      <c r="AC894" s="402">
        <f>IF(ISNUMBER(E893),Dailies[[#This Row],[QT RRSP]]-E893-Dailies[[#This Row],[QT RRSP Principal Delta]],0)</f>
        <v>10361.27999999997</v>
      </c>
      <c r="AD894" s="402">
        <f>IF(ISNUMBER(G893),Dailies[[#This Row],[SunLife RRSP]]-G893-Dailies[[#This Row],[SunLife RRSP Principal Delta]],0)</f>
        <v>0</v>
      </c>
      <c r="AE894" s="315">
        <f>Dailies[[#This Row],[CIBC RRSP Daily $]]+Dailies[[#This Row],[QT RRSP Daily $]]+Dailies[[#This Row],[SunLife RRSP Daily $]]</f>
        <v>10361.27999999997</v>
      </c>
      <c r="AF894" s="315">
        <f>Dailies[[#This Row],[RRSP Daily $]]+Dailies[[#This Row],[CIBC RESP Daily $]]</f>
        <v>11795.039999999964</v>
      </c>
      <c r="AG894" s="401">
        <f>IF(ISNUMBER(AJ893),Dailies[[#This Row],[VOO]]-AJ893,0)</f>
        <v>11.699999999999989</v>
      </c>
      <c r="AH894" s="362">
        <f>Dailies[[#This Row],[RRSP Daily $]]/Dailies[[#This Row],[RRSP Total]]</f>
        <v>3.0706317494801971E-2</v>
      </c>
      <c r="AI894" s="363">
        <f>IF(Dailies[[#This Row],[CIBC RESP]]&gt;0,Dailies[[#This Row],[CIBC RESP Daily $]]/Dailies[[#This Row],[CIBC RESP]],0)</f>
        <v>3.9153915391539014E-2</v>
      </c>
      <c r="AJ894" s="315">
        <f>VLOOKUP(Dailies[[#This Row],[Date]],Quotes[],MATCH("VOO",Quotes[#Headers],EXACT_MATCH))</f>
        <v>263.81</v>
      </c>
      <c r="AK894" s="314">
        <f>Dailies[[#This Row],[VOO Daily $]]/Dailies[[#This Row],[VOO]]</f>
        <v>4.4350100451082175E-2</v>
      </c>
      <c r="AL894" s="314">
        <f>Dailies[[#This Row],[RRSP Daily %]]-Dailies[[#This Row],[VOO Daily %]]</f>
        <v>-1.3643782956280204E-2</v>
      </c>
      <c r="AM894" s="413">
        <f t="shared" si="13"/>
        <v>285.83935323383082</v>
      </c>
      <c r="AR894" s="333"/>
      <c r="AS894" s="333"/>
      <c r="AT894" s="333"/>
      <c r="AU894" s="333"/>
      <c r="AV894" s="333"/>
    </row>
    <row r="895" spans="2:48" s="330" customFormat="1" ht="28.15" customHeight="1" x14ac:dyDescent="0.25">
      <c r="B895" s="359">
        <v>43901</v>
      </c>
      <c r="C895" s="360">
        <v>0</v>
      </c>
      <c r="D895" s="360">
        <v>35399.040000000001</v>
      </c>
      <c r="E895" s="329">
        <v>316074.48</v>
      </c>
      <c r="F895" s="329">
        <v>0</v>
      </c>
      <c r="G895" s="329">
        <v>7282.15</v>
      </c>
      <c r="H895" s="329"/>
      <c r="I895" s="329"/>
      <c r="J895" s="329"/>
      <c r="K895" s="329"/>
      <c r="L895" s="329"/>
      <c r="M895" s="329">
        <v>650000</v>
      </c>
      <c r="N895" s="329">
        <f t="shared" si="16"/>
        <v>23079</v>
      </c>
      <c r="O895" s="329">
        <f t="shared" si="15"/>
        <v>1600</v>
      </c>
      <c r="P895" s="329">
        <v>91683</v>
      </c>
      <c r="Q895" s="329">
        <v>0</v>
      </c>
      <c r="R895" s="315">
        <f>Dailies[[#This Row],[CIBC RRSP]]+Dailies[[#This Row],[QT RRSP]]+Dailies[[#This Row],[SunLife RRSP]]</f>
        <v>323356.63</v>
      </c>
      <c r="S895" s="401">
        <f>S894+Dailies[[#This Row],[CIBC RRSP Principal Delta]]</f>
        <v>0</v>
      </c>
      <c r="T895" s="401">
        <f>T894+Dailies[[#This Row],[CIBC RESP Principal Delta]]</f>
        <v>37490.450000000004</v>
      </c>
      <c r="U895" s="402">
        <f>U894+Dailies[[#This Row],[QT RRSP Principal Delta]]</f>
        <v>321920.87</v>
      </c>
      <c r="V895" s="401">
        <f>V894+Dailies[[#This Row],[SunLife RRSP Principal Delta]]</f>
        <v>7842.6100000000006</v>
      </c>
      <c r="W895" s="315">
        <f>Dailies[[#This Row],[CIBC RRSP Principal]]+Dailies[[#This Row],[QT RRSP Principal]]+Dailies[[#This Row],[SunLife RRSP Principal]]</f>
        <v>329763.48</v>
      </c>
      <c r="X895" s="361">
        <f>Dailies[[#This Row],[CIBC RRSP Principal]]+Dailies[[#This Row],[CIBC RESP Principal]]+Dailies[[#This Row],[QT RRSP Principal]]+Dailies[[#This Row],[SunLife RRSP Principal]]</f>
        <v>367253.93</v>
      </c>
      <c r="Y895" s="315">
        <f>Dailies[[#This Row],[CIBC RRSP]]+Dailies[[#This Row],[CIBC RESP]]+Dailies[[#This Row],[QT RRSP]]+Dailies[[#This Row],[SunLife RRSP]]</f>
        <v>358755.67</v>
      </c>
      <c r="Z895" s="313">
        <f>Dailies[[#This Row],[Portfolio Total]]+Dailies[[#This Row],[Home Equity]]+Dailies[[#This Row],[Car Equity]]+Dailies[[#This Row],[Valuables Equity]]+Dailies[[#This Row],[GSK Pension]]+Dailies[[#This Row],[Home Loan]]</f>
        <v>1125117.67</v>
      </c>
      <c r="AA895" s="402">
        <f>IF(ISNUMBER(C894),Dailies[[#This Row],[CIBC RRSP]]-C894-Dailies[[#This Row],[CIBC RRSP Principal Delta]],0)</f>
        <v>0</v>
      </c>
      <c r="AB895" s="402">
        <f>IF(ISNUMBER(D894),Dailies[[#This Row],[CIBC RESP]]-D894-Dailies[[#This Row],[CIBC RESP Principal Delta]],0)</f>
        <v>-1219.5199999999968</v>
      </c>
      <c r="AC895" s="402">
        <f>IF(ISNUMBER(E894),Dailies[[#This Row],[QT RRSP]]-E894-Dailies[[#This Row],[QT RRSP Principal Delta]],0)</f>
        <v>-13397.059999999998</v>
      </c>
      <c r="AD895" s="402">
        <f>IF(ISNUMBER(G894),Dailies[[#This Row],[SunLife RRSP]]-G894-Dailies[[#This Row],[SunLife RRSP Principal Delta]],0)</f>
        <v>-677.85000000000036</v>
      </c>
      <c r="AE895" s="315">
        <f>Dailies[[#This Row],[CIBC RRSP Daily $]]+Dailies[[#This Row],[QT RRSP Daily $]]+Dailies[[#This Row],[SunLife RRSP Daily $]]</f>
        <v>-14074.909999999998</v>
      </c>
      <c r="AF895" s="315">
        <f>Dailies[[#This Row],[RRSP Daily $]]+Dailies[[#This Row],[CIBC RESP Daily $]]</f>
        <v>-15294.429999999995</v>
      </c>
      <c r="AG895" s="401">
        <f>IF(ISNUMBER(AJ894),Dailies[[#This Row],[VOO]]-AJ894,0)</f>
        <v>-13.080000000000013</v>
      </c>
      <c r="AH895" s="362">
        <f>Dailies[[#This Row],[RRSP Daily $]]/Dailies[[#This Row],[RRSP Total]]</f>
        <v>-4.3527513259895116E-2</v>
      </c>
      <c r="AI895" s="363">
        <f>IF(Dailies[[#This Row],[CIBC RESP]]&gt;0,Dailies[[#This Row],[CIBC RESP Daily $]]/Dailies[[#This Row],[CIBC RESP]],0)</f>
        <v>-3.4450651769087431E-2</v>
      </c>
      <c r="AJ895" s="315">
        <f>VLOOKUP(Dailies[[#This Row],[Date]],Quotes[],MATCH("VOO",Quotes[#Headers],EXACT_MATCH))</f>
        <v>250.73</v>
      </c>
      <c r="AK895" s="314">
        <f>Dailies[[#This Row],[VOO Daily $]]/Dailies[[#This Row],[VOO]]</f>
        <v>-5.2167670402424975E-2</v>
      </c>
      <c r="AL895" s="314">
        <f>Dailies[[#This Row],[RRSP Daily %]]-Dailies[[#This Row],[VOO Daily %]]</f>
        <v>8.6401571425298584E-3</v>
      </c>
      <c r="AM895" s="413">
        <f t="shared" si="13"/>
        <v>285.81621890547262</v>
      </c>
      <c r="AR895" s="333"/>
      <c r="AS895" s="333"/>
      <c r="AT895" s="333"/>
      <c r="AU895" s="333"/>
      <c r="AV895" s="333"/>
    </row>
    <row r="896" spans="2:48" s="330" customFormat="1" ht="28.15" customHeight="1" x14ac:dyDescent="0.25">
      <c r="B896" s="359">
        <v>43902</v>
      </c>
      <c r="C896" s="360">
        <v>0</v>
      </c>
      <c r="D896" s="360">
        <v>29556.880000000001</v>
      </c>
      <c r="E896" s="329">
        <v>278324</v>
      </c>
      <c r="F896" s="329">
        <v>0</v>
      </c>
      <c r="G896" s="329">
        <v>7282.15</v>
      </c>
      <c r="H896" s="329"/>
      <c r="I896" s="329"/>
      <c r="J896" s="329"/>
      <c r="K896" s="329"/>
      <c r="L896" s="329"/>
      <c r="M896" s="329">
        <v>650000</v>
      </c>
      <c r="N896" s="329">
        <f t="shared" si="16"/>
        <v>23079</v>
      </c>
      <c r="O896" s="329">
        <f t="shared" si="15"/>
        <v>1600</v>
      </c>
      <c r="P896" s="329">
        <v>91683</v>
      </c>
      <c r="Q896" s="329">
        <v>0</v>
      </c>
      <c r="R896" s="315">
        <f>Dailies[[#This Row],[CIBC RRSP]]+Dailies[[#This Row],[QT RRSP]]+Dailies[[#This Row],[SunLife RRSP]]</f>
        <v>285606.15000000002</v>
      </c>
      <c r="S896" s="401">
        <f>S895+Dailies[[#This Row],[CIBC RRSP Principal Delta]]</f>
        <v>0</v>
      </c>
      <c r="T896" s="401">
        <f>T895+Dailies[[#This Row],[CIBC RESP Principal Delta]]</f>
        <v>37490.450000000004</v>
      </c>
      <c r="U896" s="402">
        <f>U895+Dailies[[#This Row],[QT RRSP Principal Delta]]</f>
        <v>321920.87</v>
      </c>
      <c r="V896" s="401">
        <f>V895+Dailies[[#This Row],[SunLife RRSP Principal Delta]]</f>
        <v>7842.6100000000006</v>
      </c>
      <c r="W896" s="315">
        <f>Dailies[[#This Row],[CIBC RRSP Principal]]+Dailies[[#This Row],[QT RRSP Principal]]+Dailies[[#This Row],[SunLife RRSP Principal]]</f>
        <v>329763.48</v>
      </c>
      <c r="X896" s="361">
        <f>Dailies[[#This Row],[CIBC RRSP Principal]]+Dailies[[#This Row],[CIBC RESP Principal]]+Dailies[[#This Row],[QT RRSP Principal]]+Dailies[[#This Row],[SunLife RRSP Principal]]</f>
        <v>367253.93</v>
      </c>
      <c r="Y896" s="315">
        <f>Dailies[[#This Row],[CIBC RRSP]]+Dailies[[#This Row],[CIBC RESP]]+Dailies[[#This Row],[QT RRSP]]+Dailies[[#This Row],[SunLife RRSP]]</f>
        <v>315163.03000000003</v>
      </c>
      <c r="Z896" s="313">
        <f>Dailies[[#This Row],[Portfolio Total]]+Dailies[[#This Row],[Home Equity]]+Dailies[[#This Row],[Car Equity]]+Dailies[[#This Row],[Valuables Equity]]+Dailies[[#This Row],[GSK Pension]]+Dailies[[#This Row],[Home Loan]]</f>
        <v>1081525.03</v>
      </c>
      <c r="AA896" s="402">
        <f>IF(ISNUMBER(C895),Dailies[[#This Row],[CIBC RRSP]]-C895-Dailies[[#This Row],[CIBC RRSP Principal Delta]],0)</f>
        <v>0</v>
      </c>
      <c r="AB896" s="402">
        <f>IF(ISNUMBER(D895),Dailies[[#This Row],[CIBC RESP]]-D895-Dailies[[#This Row],[CIBC RESP Principal Delta]],0)</f>
        <v>-5842.16</v>
      </c>
      <c r="AC896" s="402">
        <f>IF(ISNUMBER(E895),Dailies[[#This Row],[QT RRSP]]-E895-Dailies[[#This Row],[QT RRSP Principal Delta]],0)</f>
        <v>-37750.479999999981</v>
      </c>
      <c r="AD896" s="402">
        <f>IF(ISNUMBER(G895),Dailies[[#This Row],[SunLife RRSP]]-G895-Dailies[[#This Row],[SunLife RRSP Principal Delta]],0)</f>
        <v>0</v>
      </c>
      <c r="AE896" s="315">
        <f>Dailies[[#This Row],[CIBC RRSP Daily $]]+Dailies[[#This Row],[QT RRSP Daily $]]+Dailies[[#This Row],[SunLife RRSP Daily $]]</f>
        <v>-37750.479999999981</v>
      </c>
      <c r="AF896" s="315">
        <f>Dailies[[#This Row],[RRSP Daily $]]+Dailies[[#This Row],[CIBC RESP Daily $]]</f>
        <v>-43592.639999999985</v>
      </c>
      <c r="AG896" s="401">
        <f>IF(ISNUMBER(AJ895),Dailies[[#This Row],[VOO]]-AJ895,0)</f>
        <v>-24.25</v>
      </c>
      <c r="AH896" s="362">
        <f>Dailies[[#This Row],[RRSP Daily $]]/Dailies[[#This Row],[RRSP Total]]</f>
        <v>-0.1321767055786438</v>
      </c>
      <c r="AI896" s="363">
        <f>IF(Dailies[[#This Row],[CIBC RESP]]&gt;0,Dailies[[#This Row],[CIBC RESP Daily $]]/Dailies[[#This Row],[CIBC RESP]],0)</f>
        <v>-0.19765821020351268</v>
      </c>
      <c r="AJ896" s="315">
        <f>VLOOKUP(Dailies[[#This Row],[Date]],Quotes[],MATCH("VOO",Quotes[#Headers],EXACT_MATCH))</f>
        <v>226.48</v>
      </c>
      <c r="AK896" s="314">
        <f>Dailies[[#This Row],[VOO Daily $]]/Dailies[[#This Row],[VOO]]</f>
        <v>-0.10707347227128224</v>
      </c>
      <c r="AL896" s="314">
        <f>Dailies[[#This Row],[RRSP Daily %]]-Dailies[[#This Row],[VOO Daily %]]</f>
        <v>-2.5103233307361569E-2</v>
      </c>
      <c r="AM896" s="413">
        <f t="shared" si="13"/>
        <v>285.76228855721394</v>
      </c>
      <c r="AR896" s="333"/>
      <c r="AS896" s="333"/>
      <c r="AT896" s="333"/>
      <c r="AU896" s="333"/>
      <c r="AV896" s="333"/>
    </row>
    <row r="897" spans="2:48" s="330" customFormat="1" ht="28.15" customHeight="1" x14ac:dyDescent="0.25">
      <c r="B897" s="359">
        <v>43903</v>
      </c>
      <c r="C897" s="360">
        <v>0</v>
      </c>
      <c r="D897" s="360">
        <v>35670.959999999999</v>
      </c>
      <c r="E897" s="329">
        <v>293259.64</v>
      </c>
      <c r="F897" s="329">
        <v>0</v>
      </c>
      <c r="G897" s="329">
        <v>7282.15</v>
      </c>
      <c r="H897" s="329"/>
      <c r="I897" s="329"/>
      <c r="J897" s="329"/>
      <c r="K897" s="329"/>
      <c r="L897" s="329"/>
      <c r="M897" s="329">
        <v>650000</v>
      </c>
      <c r="N897" s="329">
        <f t="shared" si="16"/>
        <v>23079</v>
      </c>
      <c r="O897" s="329">
        <f t="shared" si="15"/>
        <v>1600</v>
      </c>
      <c r="P897" s="329">
        <v>91683</v>
      </c>
      <c r="Q897" s="329">
        <v>0</v>
      </c>
      <c r="R897" s="315">
        <f>Dailies[[#This Row],[CIBC RRSP]]+Dailies[[#This Row],[QT RRSP]]+Dailies[[#This Row],[SunLife RRSP]]</f>
        <v>300541.79000000004</v>
      </c>
      <c r="S897" s="401">
        <f>S896+Dailies[[#This Row],[CIBC RRSP Principal Delta]]</f>
        <v>0</v>
      </c>
      <c r="T897" s="401">
        <f>T896+Dailies[[#This Row],[CIBC RESP Principal Delta]]</f>
        <v>37490.450000000004</v>
      </c>
      <c r="U897" s="402">
        <f>U896+Dailies[[#This Row],[QT RRSP Principal Delta]]</f>
        <v>321920.87</v>
      </c>
      <c r="V897" s="401">
        <f>V896+Dailies[[#This Row],[SunLife RRSP Principal Delta]]</f>
        <v>7842.6100000000006</v>
      </c>
      <c r="W897" s="315">
        <f>Dailies[[#This Row],[CIBC RRSP Principal]]+Dailies[[#This Row],[QT RRSP Principal]]+Dailies[[#This Row],[SunLife RRSP Principal]]</f>
        <v>329763.48</v>
      </c>
      <c r="X897" s="361">
        <f>Dailies[[#This Row],[CIBC RRSP Principal]]+Dailies[[#This Row],[CIBC RESP Principal]]+Dailies[[#This Row],[QT RRSP Principal]]+Dailies[[#This Row],[SunLife RRSP Principal]]</f>
        <v>367253.93</v>
      </c>
      <c r="Y897" s="315">
        <f>Dailies[[#This Row],[CIBC RRSP]]+Dailies[[#This Row],[CIBC RESP]]+Dailies[[#This Row],[QT RRSP]]+Dailies[[#This Row],[SunLife RRSP]]</f>
        <v>336212.75000000006</v>
      </c>
      <c r="Z897" s="313">
        <f>Dailies[[#This Row],[Portfolio Total]]+Dailies[[#This Row],[Home Equity]]+Dailies[[#This Row],[Car Equity]]+Dailies[[#This Row],[Valuables Equity]]+Dailies[[#This Row],[GSK Pension]]+Dailies[[#This Row],[Home Loan]]</f>
        <v>1102574.75</v>
      </c>
      <c r="AA897" s="402">
        <f>IF(ISNUMBER(C896),Dailies[[#This Row],[CIBC RRSP]]-C896-Dailies[[#This Row],[CIBC RRSP Principal Delta]],0)</f>
        <v>0</v>
      </c>
      <c r="AB897" s="402">
        <f>IF(ISNUMBER(D896),Dailies[[#This Row],[CIBC RESP]]-D896-Dailies[[#This Row],[CIBC RESP Principal Delta]],0)</f>
        <v>6114.0799999999981</v>
      </c>
      <c r="AC897" s="402">
        <f>IF(ISNUMBER(E896),Dailies[[#This Row],[QT RRSP]]-E896-Dailies[[#This Row],[QT RRSP Principal Delta]],0)</f>
        <v>14935.640000000014</v>
      </c>
      <c r="AD897" s="402">
        <f>IF(ISNUMBER(G896),Dailies[[#This Row],[SunLife RRSP]]-G896-Dailies[[#This Row],[SunLife RRSP Principal Delta]],0)</f>
        <v>0</v>
      </c>
      <c r="AE897" s="315">
        <f>Dailies[[#This Row],[CIBC RRSP Daily $]]+Dailies[[#This Row],[QT RRSP Daily $]]+Dailies[[#This Row],[SunLife RRSP Daily $]]</f>
        <v>14935.640000000014</v>
      </c>
      <c r="AF897" s="315">
        <f>Dailies[[#This Row],[RRSP Daily $]]+Dailies[[#This Row],[CIBC RESP Daily $]]</f>
        <v>21049.720000000012</v>
      </c>
      <c r="AG897" s="401">
        <f>IF(ISNUMBER(AJ896),Dailies[[#This Row],[VOO]]-AJ896,0)</f>
        <v>21.159999999999997</v>
      </c>
      <c r="AH897" s="362">
        <f>Dailies[[#This Row],[RRSP Daily $]]/Dailies[[#This Row],[RRSP Total]]</f>
        <v>4.9695717856741359E-2</v>
      </c>
      <c r="AI897" s="363">
        <f>IF(Dailies[[#This Row],[CIBC RESP]]&gt;0,Dailies[[#This Row],[CIBC RESP Daily $]]/Dailies[[#This Row],[CIBC RESP]],0)</f>
        <v>0.17140217140217134</v>
      </c>
      <c r="AJ897" s="315">
        <f>VLOOKUP(Dailies[[#This Row],[Date]],Quotes[],MATCH("VOO",Quotes[#Headers],EXACT_MATCH))</f>
        <v>247.64</v>
      </c>
      <c r="AK897" s="314">
        <f>Dailies[[#This Row],[VOO Daily $]]/Dailies[[#This Row],[VOO]]</f>
        <v>8.5446616055564514E-2</v>
      </c>
      <c r="AL897" s="314">
        <f>Dailies[[#This Row],[RRSP Daily %]]-Dailies[[#This Row],[VOO Daily %]]</f>
        <v>-3.5750898198823156E-2</v>
      </c>
      <c r="AM897" s="413">
        <f t="shared" si="13"/>
        <v>285.58771144278609</v>
      </c>
      <c r="AR897" s="333"/>
      <c r="AS897" s="333"/>
      <c r="AT897" s="333"/>
      <c r="AU897" s="333"/>
      <c r="AV897" s="333"/>
    </row>
    <row r="898" spans="2:48" s="330" customFormat="1" ht="28.15" customHeight="1" x14ac:dyDescent="0.25">
      <c r="B898" s="359">
        <v>43904</v>
      </c>
      <c r="C898" s="360">
        <v>0</v>
      </c>
      <c r="D898" s="360">
        <v>35670.959999999999</v>
      </c>
      <c r="E898" s="329">
        <v>293259.64</v>
      </c>
      <c r="F898" s="329">
        <v>0</v>
      </c>
      <c r="G898" s="329">
        <v>7282.15</v>
      </c>
      <c r="H898" s="329"/>
      <c r="I898" s="329"/>
      <c r="J898" s="329"/>
      <c r="K898" s="329"/>
      <c r="L898" s="329"/>
      <c r="M898" s="329">
        <v>650000</v>
      </c>
      <c r="N898" s="329">
        <f t="shared" si="16"/>
        <v>23079</v>
      </c>
      <c r="O898" s="329">
        <f t="shared" si="15"/>
        <v>1600</v>
      </c>
      <c r="P898" s="329">
        <v>91683</v>
      </c>
      <c r="Q898" s="329">
        <v>0</v>
      </c>
      <c r="R898" s="315">
        <f>Dailies[[#This Row],[CIBC RRSP]]+Dailies[[#This Row],[QT RRSP]]+Dailies[[#This Row],[SunLife RRSP]]</f>
        <v>300541.79000000004</v>
      </c>
      <c r="S898" s="401">
        <f>S897+Dailies[[#This Row],[CIBC RRSP Principal Delta]]</f>
        <v>0</v>
      </c>
      <c r="T898" s="401">
        <f>T897+Dailies[[#This Row],[CIBC RESP Principal Delta]]</f>
        <v>37490.450000000004</v>
      </c>
      <c r="U898" s="402">
        <f>U897+Dailies[[#This Row],[QT RRSP Principal Delta]]</f>
        <v>321920.87</v>
      </c>
      <c r="V898" s="401">
        <f>V897+Dailies[[#This Row],[SunLife RRSP Principal Delta]]</f>
        <v>7842.6100000000006</v>
      </c>
      <c r="W898" s="315">
        <f>Dailies[[#This Row],[CIBC RRSP Principal]]+Dailies[[#This Row],[QT RRSP Principal]]+Dailies[[#This Row],[SunLife RRSP Principal]]</f>
        <v>329763.48</v>
      </c>
      <c r="X898" s="361">
        <f>Dailies[[#This Row],[CIBC RRSP Principal]]+Dailies[[#This Row],[CIBC RESP Principal]]+Dailies[[#This Row],[QT RRSP Principal]]+Dailies[[#This Row],[SunLife RRSP Principal]]</f>
        <v>367253.93</v>
      </c>
      <c r="Y898" s="315">
        <f>Dailies[[#This Row],[CIBC RRSP]]+Dailies[[#This Row],[CIBC RESP]]+Dailies[[#This Row],[QT RRSP]]+Dailies[[#This Row],[SunLife RRSP]]</f>
        <v>336212.75000000006</v>
      </c>
      <c r="Z898" s="313">
        <f>Dailies[[#This Row],[Portfolio Total]]+Dailies[[#This Row],[Home Equity]]+Dailies[[#This Row],[Car Equity]]+Dailies[[#This Row],[Valuables Equity]]+Dailies[[#This Row],[GSK Pension]]+Dailies[[#This Row],[Home Loan]]</f>
        <v>1102574.75</v>
      </c>
      <c r="AA898" s="402">
        <f>IF(ISNUMBER(C897),Dailies[[#This Row],[CIBC RRSP]]-C897-Dailies[[#This Row],[CIBC RRSP Principal Delta]],0)</f>
        <v>0</v>
      </c>
      <c r="AB898" s="402">
        <f>IF(ISNUMBER(D897),Dailies[[#This Row],[CIBC RESP]]-D897-Dailies[[#This Row],[CIBC RESP Principal Delta]],0)</f>
        <v>0</v>
      </c>
      <c r="AC898" s="402">
        <f>IF(ISNUMBER(E897),Dailies[[#This Row],[QT RRSP]]-E897-Dailies[[#This Row],[QT RRSP Principal Delta]],0)</f>
        <v>0</v>
      </c>
      <c r="AD898" s="402">
        <f>IF(ISNUMBER(G897),Dailies[[#This Row],[SunLife RRSP]]-G897-Dailies[[#This Row],[SunLife RRSP Principal Delta]],0)</f>
        <v>0</v>
      </c>
      <c r="AE898" s="315">
        <f>Dailies[[#This Row],[CIBC RRSP Daily $]]+Dailies[[#This Row],[QT RRSP Daily $]]+Dailies[[#This Row],[SunLife RRSP Daily $]]</f>
        <v>0</v>
      </c>
      <c r="AF898" s="315">
        <f>Dailies[[#This Row],[RRSP Daily $]]+Dailies[[#This Row],[CIBC RESP Daily $]]</f>
        <v>0</v>
      </c>
      <c r="AG898" s="401">
        <f>IF(ISNUMBER(AJ897),Dailies[[#This Row],[VOO]]-AJ897,0)</f>
        <v>0</v>
      </c>
      <c r="AH898" s="362">
        <f>Dailies[[#This Row],[RRSP Daily $]]/Dailies[[#This Row],[RRSP Total]]</f>
        <v>0</v>
      </c>
      <c r="AI898" s="363">
        <f>IF(Dailies[[#This Row],[CIBC RESP]]&gt;0,Dailies[[#This Row],[CIBC RESP Daily $]]/Dailies[[#This Row],[CIBC RESP]],0)</f>
        <v>0</v>
      </c>
      <c r="AJ898" s="315">
        <f>VLOOKUP(Dailies[[#This Row],[Date]],Quotes[],MATCH("VOO",Quotes[#Headers],EXACT_MATCH))</f>
        <v>247.64</v>
      </c>
      <c r="AK898" s="314">
        <f>Dailies[[#This Row],[VOO Daily $]]/Dailies[[#This Row],[VOO]]</f>
        <v>0</v>
      </c>
      <c r="AL898" s="314">
        <f>Dailies[[#This Row],[RRSP Daily %]]-Dailies[[#This Row],[VOO Daily %]]</f>
        <v>0</v>
      </c>
      <c r="AM898" s="413">
        <f t="shared" si="13"/>
        <v>285.518407960199</v>
      </c>
      <c r="AR898" s="333"/>
      <c r="AS898" s="333"/>
      <c r="AT898" s="333"/>
      <c r="AU898" s="333"/>
      <c r="AV898" s="333"/>
    </row>
    <row r="899" spans="2:48" s="330" customFormat="1" ht="28.15" customHeight="1" x14ac:dyDescent="0.25">
      <c r="B899" s="359">
        <v>43905</v>
      </c>
      <c r="C899" s="360">
        <v>0</v>
      </c>
      <c r="D899" s="360">
        <v>35670.959999999999</v>
      </c>
      <c r="E899" s="329">
        <v>293259.64</v>
      </c>
      <c r="F899" s="329">
        <v>0</v>
      </c>
      <c r="G899" s="329">
        <v>7282.15</v>
      </c>
      <c r="H899" s="329"/>
      <c r="I899" s="329"/>
      <c r="J899" s="329"/>
      <c r="K899" s="329"/>
      <c r="L899" s="329"/>
      <c r="M899" s="329">
        <v>650000</v>
      </c>
      <c r="N899" s="329">
        <f t="shared" si="16"/>
        <v>23079</v>
      </c>
      <c r="O899" s="329">
        <f t="shared" si="15"/>
        <v>1600</v>
      </c>
      <c r="P899" s="329">
        <v>91683</v>
      </c>
      <c r="Q899" s="329">
        <v>0</v>
      </c>
      <c r="R899" s="315">
        <f>Dailies[[#This Row],[CIBC RRSP]]+Dailies[[#This Row],[QT RRSP]]+Dailies[[#This Row],[SunLife RRSP]]</f>
        <v>300541.79000000004</v>
      </c>
      <c r="S899" s="401">
        <f>S898+Dailies[[#This Row],[CIBC RRSP Principal Delta]]</f>
        <v>0</v>
      </c>
      <c r="T899" s="401">
        <f>T898+Dailies[[#This Row],[CIBC RESP Principal Delta]]</f>
        <v>37490.450000000004</v>
      </c>
      <c r="U899" s="402">
        <f>U898+Dailies[[#This Row],[QT RRSP Principal Delta]]</f>
        <v>321920.87</v>
      </c>
      <c r="V899" s="401">
        <f>V898+Dailies[[#This Row],[SunLife RRSP Principal Delta]]</f>
        <v>7842.6100000000006</v>
      </c>
      <c r="W899" s="315">
        <f>Dailies[[#This Row],[CIBC RRSP Principal]]+Dailies[[#This Row],[QT RRSP Principal]]+Dailies[[#This Row],[SunLife RRSP Principal]]</f>
        <v>329763.48</v>
      </c>
      <c r="X899" s="361">
        <f>Dailies[[#This Row],[CIBC RRSP Principal]]+Dailies[[#This Row],[CIBC RESP Principal]]+Dailies[[#This Row],[QT RRSP Principal]]+Dailies[[#This Row],[SunLife RRSP Principal]]</f>
        <v>367253.93</v>
      </c>
      <c r="Y899" s="315">
        <f>Dailies[[#This Row],[CIBC RRSP]]+Dailies[[#This Row],[CIBC RESP]]+Dailies[[#This Row],[QT RRSP]]+Dailies[[#This Row],[SunLife RRSP]]</f>
        <v>336212.75000000006</v>
      </c>
      <c r="Z899" s="313">
        <f>Dailies[[#This Row],[Portfolio Total]]+Dailies[[#This Row],[Home Equity]]+Dailies[[#This Row],[Car Equity]]+Dailies[[#This Row],[Valuables Equity]]+Dailies[[#This Row],[GSK Pension]]+Dailies[[#This Row],[Home Loan]]</f>
        <v>1102574.75</v>
      </c>
      <c r="AA899" s="402">
        <f>IF(ISNUMBER(C898),Dailies[[#This Row],[CIBC RRSP]]-C898-Dailies[[#This Row],[CIBC RRSP Principal Delta]],0)</f>
        <v>0</v>
      </c>
      <c r="AB899" s="402">
        <f>IF(ISNUMBER(D898),Dailies[[#This Row],[CIBC RESP]]-D898-Dailies[[#This Row],[CIBC RESP Principal Delta]],0)</f>
        <v>0</v>
      </c>
      <c r="AC899" s="402">
        <f>IF(ISNUMBER(E898),Dailies[[#This Row],[QT RRSP]]-E898-Dailies[[#This Row],[QT RRSP Principal Delta]],0)</f>
        <v>0</v>
      </c>
      <c r="AD899" s="402">
        <f>IF(ISNUMBER(G898),Dailies[[#This Row],[SunLife RRSP]]-G898-Dailies[[#This Row],[SunLife RRSP Principal Delta]],0)</f>
        <v>0</v>
      </c>
      <c r="AE899" s="315">
        <f>Dailies[[#This Row],[CIBC RRSP Daily $]]+Dailies[[#This Row],[QT RRSP Daily $]]+Dailies[[#This Row],[SunLife RRSP Daily $]]</f>
        <v>0</v>
      </c>
      <c r="AF899" s="315">
        <f>Dailies[[#This Row],[RRSP Daily $]]+Dailies[[#This Row],[CIBC RESP Daily $]]</f>
        <v>0</v>
      </c>
      <c r="AG899" s="401">
        <f>IF(ISNUMBER(AJ898),Dailies[[#This Row],[VOO]]-AJ898,0)</f>
        <v>0</v>
      </c>
      <c r="AH899" s="362">
        <f>Dailies[[#This Row],[RRSP Daily $]]/Dailies[[#This Row],[RRSP Total]]</f>
        <v>0</v>
      </c>
      <c r="AI899" s="363">
        <f>IF(Dailies[[#This Row],[CIBC RESP]]&gt;0,Dailies[[#This Row],[CIBC RESP Daily $]]/Dailies[[#This Row],[CIBC RESP]],0)</f>
        <v>0</v>
      </c>
      <c r="AJ899" s="315">
        <f>VLOOKUP(Dailies[[#This Row],[Date]],Quotes[],MATCH("VOO",Quotes[#Headers],EXACT_MATCH))</f>
        <v>247.64</v>
      </c>
      <c r="AK899" s="314">
        <f>Dailies[[#This Row],[VOO Daily $]]/Dailies[[#This Row],[VOO]]</f>
        <v>0</v>
      </c>
      <c r="AL899" s="314">
        <f>Dailies[[#This Row],[RRSP Daily %]]-Dailies[[#This Row],[VOO Daily %]]</f>
        <v>0</v>
      </c>
      <c r="AM899" s="413">
        <f t="shared" ref="AM899:AM932" si="17">AVERAGE(AJ698:AJ898)</f>
        <v>285.4346766169154</v>
      </c>
      <c r="AR899" s="333"/>
      <c r="AS899" s="333"/>
      <c r="AT899" s="333"/>
      <c r="AU899" s="333"/>
      <c r="AV899" s="333"/>
    </row>
    <row r="900" spans="2:48" s="330" customFormat="1" ht="28.15" customHeight="1" x14ac:dyDescent="0.25">
      <c r="B900" s="359">
        <v>43906</v>
      </c>
      <c r="C900" s="360">
        <v>0</v>
      </c>
      <c r="D900" s="360">
        <v>31419</v>
      </c>
      <c r="E900" s="329">
        <v>307822.90000000002</v>
      </c>
      <c r="F900" s="329">
        <v>0</v>
      </c>
      <c r="G900" s="329">
        <v>7826</v>
      </c>
      <c r="H900" s="329"/>
      <c r="I900" s="329"/>
      <c r="J900" s="329"/>
      <c r="K900" s="329"/>
      <c r="L900" s="329">
        <v>805</v>
      </c>
      <c r="M900" s="329">
        <v>650000</v>
      </c>
      <c r="N900" s="329">
        <f t="shared" si="16"/>
        <v>23079</v>
      </c>
      <c r="O900" s="329">
        <f t="shared" si="15"/>
        <v>1600</v>
      </c>
      <c r="P900" s="329">
        <v>91683</v>
      </c>
      <c r="Q900" s="329">
        <v>0</v>
      </c>
      <c r="R900" s="315">
        <f>Dailies[[#This Row],[CIBC RRSP]]+Dailies[[#This Row],[QT RRSP]]+Dailies[[#This Row],[SunLife RRSP]]</f>
        <v>315648.90000000002</v>
      </c>
      <c r="S900" s="401">
        <f>S899+Dailies[[#This Row],[CIBC RRSP Principal Delta]]</f>
        <v>0</v>
      </c>
      <c r="T900" s="401">
        <f>T899+Dailies[[#This Row],[CIBC RESP Principal Delta]]</f>
        <v>37490.450000000004</v>
      </c>
      <c r="U900" s="402">
        <f>U899+Dailies[[#This Row],[QT RRSP Principal Delta]]</f>
        <v>321920.87</v>
      </c>
      <c r="V900" s="401">
        <f>V899+Dailies[[#This Row],[SunLife RRSP Principal Delta]]</f>
        <v>8647.61</v>
      </c>
      <c r="W900" s="315">
        <f>Dailies[[#This Row],[CIBC RRSP Principal]]+Dailies[[#This Row],[QT RRSP Principal]]+Dailies[[#This Row],[SunLife RRSP Principal]]</f>
        <v>330568.48</v>
      </c>
      <c r="X900" s="361">
        <f>Dailies[[#This Row],[CIBC RRSP Principal]]+Dailies[[#This Row],[CIBC RESP Principal]]+Dailies[[#This Row],[QT RRSP Principal]]+Dailies[[#This Row],[SunLife RRSP Principal]]</f>
        <v>368058.93</v>
      </c>
      <c r="Y900" s="315">
        <f>Dailies[[#This Row],[CIBC RRSP]]+Dailies[[#This Row],[CIBC RESP]]+Dailies[[#This Row],[QT RRSP]]+Dailies[[#This Row],[SunLife RRSP]]</f>
        <v>347067.9</v>
      </c>
      <c r="Z900" s="313">
        <f>Dailies[[#This Row],[Portfolio Total]]+Dailies[[#This Row],[Home Equity]]+Dailies[[#This Row],[Car Equity]]+Dailies[[#This Row],[Valuables Equity]]+Dailies[[#This Row],[GSK Pension]]+Dailies[[#This Row],[Home Loan]]</f>
        <v>1113429.8999999999</v>
      </c>
      <c r="AA900" s="402">
        <f>IF(ISNUMBER(C899),Dailies[[#This Row],[CIBC RRSP]]-C899-Dailies[[#This Row],[CIBC RRSP Principal Delta]],0)</f>
        <v>0</v>
      </c>
      <c r="AB900" s="402">
        <f>IF(ISNUMBER(D899),Dailies[[#This Row],[CIBC RESP]]-D899-Dailies[[#This Row],[CIBC RESP Principal Delta]],0)</f>
        <v>-4251.9599999999991</v>
      </c>
      <c r="AC900" s="402">
        <f>IF(ISNUMBER(E899),Dailies[[#This Row],[QT RRSP]]-E899-Dailies[[#This Row],[QT RRSP Principal Delta]],0)</f>
        <v>14563.260000000009</v>
      </c>
      <c r="AD900" s="402">
        <f>IF(ISNUMBER(G899),Dailies[[#This Row],[SunLife RRSP]]-G899-Dailies[[#This Row],[SunLife RRSP Principal Delta]],0)</f>
        <v>-261.14999999999964</v>
      </c>
      <c r="AE900" s="315">
        <f>Dailies[[#This Row],[CIBC RRSP Daily $]]+Dailies[[#This Row],[QT RRSP Daily $]]+Dailies[[#This Row],[SunLife RRSP Daily $]]</f>
        <v>14302.11000000001</v>
      </c>
      <c r="AF900" s="315">
        <f>Dailies[[#This Row],[RRSP Daily $]]+Dailies[[#This Row],[CIBC RESP Daily $]]</f>
        <v>10050.150000000011</v>
      </c>
      <c r="AG900" s="401">
        <f>IF(ISNUMBER(AJ899),Dailies[[#This Row],[VOO]]-AJ899,0)</f>
        <v>-29.069999999999993</v>
      </c>
      <c r="AH900" s="362">
        <f>Dailies[[#This Row],[RRSP Daily $]]/Dailies[[#This Row],[RRSP Total]]</f>
        <v>4.5310184828776558E-2</v>
      </c>
      <c r="AI900" s="363">
        <f>IF(Dailies[[#This Row],[CIBC RESP]]&gt;0,Dailies[[#This Row],[CIBC RESP Daily $]]/Dailies[[#This Row],[CIBC RESP]],0)</f>
        <v>-0.13533085075909479</v>
      </c>
      <c r="AJ900" s="315">
        <f>VLOOKUP(Dailies[[#This Row],[Date]],Quotes[],MATCH("VOO",Quotes[#Headers],EXACT_MATCH))</f>
        <v>218.57</v>
      </c>
      <c r="AK900" s="314">
        <f>Dailies[[#This Row],[VOO Daily $]]/Dailies[[#This Row],[VOO]]</f>
        <v>-0.13300086928672733</v>
      </c>
      <c r="AL900" s="314">
        <f>Dailies[[#This Row],[RRSP Daily %]]-Dailies[[#This Row],[VOO Daily %]]</f>
        <v>0.17831105411550388</v>
      </c>
      <c r="AM900" s="413">
        <f t="shared" si="17"/>
        <v>285.35611940298503</v>
      </c>
      <c r="AR900" s="333"/>
      <c r="AS900" s="333"/>
      <c r="AT900" s="333"/>
      <c r="AU900" s="333"/>
      <c r="AV900" s="333"/>
    </row>
    <row r="901" spans="2:48" s="330" customFormat="1" ht="28.15" customHeight="1" x14ac:dyDescent="0.25">
      <c r="B901" s="359">
        <v>43907</v>
      </c>
      <c r="C901" s="360">
        <v>0</v>
      </c>
      <c r="D901" s="360">
        <v>31287.279999999999</v>
      </c>
      <c r="E901" s="329">
        <v>311779</v>
      </c>
      <c r="F901" s="329">
        <v>0</v>
      </c>
      <c r="G901" s="329">
        <v>7826</v>
      </c>
      <c r="H901" s="329"/>
      <c r="I901" s="329">
        <v>210</v>
      </c>
      <c r="J901" s="329"/>
      <c r="K901" s="329"/>
      <c r="L901" s="329"/>
      <c r="M901" s="329">
        <v>650000</v>
      </c>
      <c r="N901" s="329">
        <f t="shared" si="16"/>
        <v>23079</v>
      </c>
      <c r="O901" s="329">
        <f t="shared" si="15"/>
        <v>1600</v>
      </c>
      <c r="P901" s="329">
        <v>91683</v>
      </c>
      <c r="Q901" s="329">
        <v>0</v>
      </c>
      <c r="R901" s="315">
        <f>Dailies[[#This Row],[CIBC RRSP]]+Dailies[[#This Row],[QT RRSP]]+Dailies[[#This Row],[SunLife RRSP]]</f>
        <v>319605</v>
      </c>
      <c r="S901" s="401">
        <f>S900+Dailies[[#This Row],[CIBC RRSP Principal Delta]]</f>
        <v>0</v>
      </c>
      <c r="T901" s="401">
        <f>T900+Dailies[[#This Row],[CIBC RESP Principal Delta]]</f>
        <v>37700.450000000004</v>
      </c>
      <c r="U901" s="402">
        <f>U900+Dailies[[#This Row],[QT RRSP Principal Delta]]</f>
        <v>321920.87</v>
      </c>
      <c r="V901" s="401">
        <f>V900+Dailies[[#This Row],[SunLife RRSP Principal Delta]]</f>
        <v>8647.61</v>
      </c>
      <c r="W901" s="315">
        <f>Dailies[[#This Row],[CIBC RRSP Principal]]+Dailies[[#This Row],[QT RRSP Principal]]+Dailies[[#This Row],[SunLife RRSP Principal]]</f>
        <v>330568.48</v>
      </c>
      <c r="X901" s="361">
        <f>Dailies[[#This Row],[CIBC RRSP Principal]]+Dailies[[#This Row],[CIBC RESP Principal]]+Dailies[[#This Row],[QT RRSP Principal]]+Dailies[[#This Row],[SunLife RRSP Principal]]</f>
        <v>368268.93</v>
      </c>
      <c r="Y901" s="315">
        <f>Dailies[[#This Row],[CIBC RRSP]]+Dailies[[#This Row],[CIBC RESP]]+Dailies[[#This Row],[QT RRSP]]+Dailies[[#This Row],[SunLife RRSP]]</f>
        <v>350892.28</v>
      </c>
      <c r="Z901" s="313">
        <f>Dailies[[#This Row],[Portfolio Total]]+Dailies[[#This Row],[Home Equity]]+Dailies[[#This Row],[Car Equity]]+Dailies[[#This Row],[Valuables Equity]]+Dailies[[#This Row],[GSK Pension]]+Dailies[[#This Row],[Home Loan]]</f>
        <v>1117254.28</v>
      </c>
      <c r="AA901" s="402">
        <f>IF(ISNUMBER(C900),Dailies[[#This Row],[CIBC RRSP]]-C900-Dailies[[#This Row],[CIBC RRSP Principal Delta]],0)</f>
        <v>0</v>
      </c>
      <c r="AB901" s="402">
        <f>IF(ISNUMBER(D900),Dailies[[#This Row],[CIBC RESP]]-D900-Dailies[[#This Row],[CIBC RESP Principal Delta]],0)</f>
        <v>-341.72000000000116</v>
      </c>
      <c r="AC901" s="402">
        <f>IF(ISNUMBER(E900),Dailies[[#This Row],[QT RRSP]]-E900-Dailies[[#This Row],[QT RRSP Principal Delta]],0)</f>
        <v>3956.0999999999767</v>
      </c>
      <c r="AD901" s="402">
        <f>IF(ISNUMBER(G900),Dailies[[#This Row],[SunLife RRSP]]-G900-Dailies[[#This Row],[SunLife RRSP Principal Delta]],0)</f>
        <v>0</v>
      </c>
      <c r="AE901" s="315">
        <f>Dailies[[#This Row],[CIBC RRSP Daily $]]+Dailies[[#This Row],[QT RRSP Daily $]]+Dailies[[#This Row],[SunLife RRSP Daily $]]</f>
        <v>3956.0999999999767</v>
      </c>
      <c r="AF901" s="315">
        <f>Dailies[[#This Row],[RRSP Daily $]]+Dailies[[#This Row],[CIBC RESP Daily $]]</f>
        <v>3614.3799999999756</v>
      </c>
      <c r="AG901" s="401">
        <f>IF(ISNUMBER(AJ900),Dailies[[#This Row],[VOO]]-AJ900,0)</f>
        <v>14.310000000000002</v>
      </c>
      <c r="AH901" s="362">
        <f>Dailies[[#This Row],[RRSP Daily $]]/Dailies[[#This Row],[RRSP Total]]</f>
        <v>1.2378091706950695E-2</v>
      </c>
      <c r="AI901" s="363">
        <f>IF(Dailies[[#This Row],[CIBC RESP]]&gt;0,Dailies[[#This Row],[CIBC RESP Daily $]]/Dailies[[#This Row],[CIBC RESP]],0)</f>
        <v>-1.092201047837975E-2</v>
      </c>
      <c r="AJ901" s="315">
        <f>VLOOKUP(Dailies[[#This Row],[Date]],Quotes[],MATCH("VOO",Quotes[#Headers],EXACT_MATCH))</f>
        <v>232.88</v>
      </c>
      <c r="AK901" s="314">
        <f>Dailies[[#This Row],[VOO Daily $]]/Dailies[[#This Row],[VOO]]</f>
        <v>6.1447956028856075E-2</v>
      </c>
      <c r="AL901" s="314">
        <f>Dailies[[#This Row],[RRSP Daily %]]-Dailies[[#This Row],[VOO Daily %]]</f>
        <v>-4.9069864321905382E-2</v>
      </c>
      <c r="AM901" s="413">
        <f t="shared" si="17"/>
        <v>285.12383084577107</v>
      </c>
      <c r="AR901" s="333"/>
      <c r="AS901" s="333"/>
      <c r="AT901" s="333"/>
      <c r="AU901" s="333"/>
      <c r="AV901" s="333"/>
    </row>
    <row r="902" spans="2:48" s="330" customFormat="1" ht="28.15" customHeight="1" x14ac:dyDescent="0.25">
      <c r="B902" s="359">
        <v>43908</v>
      </c>
      <c r="C902" s="360">
        <v>0</v>
      </c>
      <c r="D902" s="360">
        <v>28090.16</v>
      </c>
      <c r="E902" s="329">
        <v>329651</v>
      </c>
      <c r="F902" s="329">
        <v>0</v>
      </c>
      <c r="G902" s="329">
        <v>7826</v>
      </c>
      <c r="H902" s="329"/>
      <c r="I902" s="329"/>
      <c r="J902" s="329"/>
      <c r="K902" s="329"/>
      <c r="L902" s="329"/>
      <c r="M902" s="329">
        <v>650000</v>
      </c>
      <c r="N902" s="329">
        <f t="shared" si="16"/>
        <v>23079</v>
      </c>
      <c r="O902" s="329">
        <f t="shared" si="15"/>
        <v>1600</v>
      </c>
      <c r="P902" s="329">
        <v>91683</v>
      </c>
      <c r="Q902" s="329">
        <v>0</v>
      </c>
      <c r="R902" s="315">
        <f>Dailies[[#This Row],[CIBC RRSP]]+Dailies[[#This Row],[QT RRSP]]+Dailies[[#This Row],[SunLife RRSP]]</f>
        <v>337477</v>
      </c>
      <c r="S902" s="401">
        <f>S901+Dailies[[#This Row],[CIBC RRSP Principal Delta]]</f>
        <v>0</v>
      </c>
      <c r="T902" s="401">
        <f>T901+Dailies[[#This Row],[CIBC RESP Principal Delta]]</f>
        <v>37700.450000000004</v>
      </c>
      <c r="U902" s="402">
        <f>U901+Dailies[[#This Row],[QT RRSP Principal Delta]]</f>
        <v>321920.87</v>
      </c>
      <c r="V902" s="401">
        <f>V901+Dailies[[#This Row],[SunLife RRSP Principal Delta]]</f>
        <v>8647.61</v>
      </c>
      <c r="W902" s="315">
        <f>Dailies[[#This Row],[CIBC RRSP Principal]]+Dailies[[#This Row],[QT RRSP Principal]]+Dailies[[#This Row],[SunLife RRSP Principal]]</f>
        <v>330568.48</v>
      </c>
      <c r="X902" s="361">
        <f>Dailies[[#This Row],[CIBC RRSP Principal]]+Dailies[[#This Row],[CIBC RESP Principal]]+Dailies[[#This Row],[QT RRSP Principal]]+Dailies[[#This Row],[SunLife RRSP Principal]]</f>
        <v>368268.93</v>
      </c>
      <c r="Y902" s="315">
        <f>Dailies[[#This Row],[CIBC RRSP]]+Dailies[[#This Row],[CIBC RESP]]+Dailies[[#This Row],[QT RRSP]]+Dailies[[#This Row],[SunLife RRSP]]</f>
        <v>365567.16</v>
      </c>
      <c r="Z902" s="313">
        <f>Dailies[[#This Row],[Portfolio Total]]+Dailies[[#This Row],[Home Equity]]+Dailies[[#This Row],[Car Equity]]+Dailies[[#This Row],[Valuables Equity]]+Dailies[[#This Row],[GSK Pension]]+Dailies[[#This Row],[Home Loan]]</f>
        <v>1131929.1599999999</v>
      </c>
      <c r="AA902" s="402">
        <f>IF(ISNUMBER(C901),Dailies[[#This Row],[CIBC RRSP]]-C901-Dailies[[#This Row],[CIBC RRSP Principal Delta]],0)</f>
        <v>0</v>
      </c>
      <c r="AB902" s="402">
        <f>IF(ISNUMBER(D901),Dailies[[#This Row],[CIBC RESP]]-D901-Dailies[[#This Row],[CIBC RESP Principal Delta]],0)</f>
        <v>-3197.119999999999</v>
      </c>
      <c r="AC902" s="402">
        <f>IF(ISNUMBER(E901),Dailies[[#This Row],[QT RRSP]]-E901-Dailies[[#This Row],[QT RRSP Principal Delta]],0)</f>
        <v>17872</v>
      </c>
      <c r="AD902" s="402">
        <f>IF(ISNUMBER(G901),Dailies[[#This Row],[SunLife RRSP]]-G901-Dailies[[#This Row],[SunLife RRSP Principal Delta]],0)</f>
        <v>0</v>
      </c>
      <c r="AE902" s="315">
        <f>Dailies[[#This Row],[CIBC RRSP Daily $]]+Dailies[[#This Row],[QT RRSP Daily $]]+Dailies[[#This Row],[SunLife RRSP Daily $]]</f>
        <v>17872</v>
      </c>
      <c r="AF902" s="315">
        <f>Dailies[[#This Row],[RRSP Daily $]]+Dailies[[#This Row],[CIBC RESP Daily $]]</f>
        <v>14674.880000000001</v>
      </c>
      <c r="AG902" s="401">
        <f>IF(ISNUMBER(AJ901),Dailies[[#This Row],[VOO]]-AJ901,0)</f>
        <v>-12.72999999999999</v>
      </c>
      <c r="AH902" s="362">
        <f>Dailies[[#This Row],[RRSP Daily $]]/Dailies[[#This Row],[RRSP Total]]</f>
        <v>5.2957683042103611E-2</v>
      </c>
      <c r="AI902" s="363">
        <f>IF(Dailies[[#This Row],[CIBC RESP]]&gt;0,Dailies[[#This Row],[CIBC RESP Daily $]]/Dailies[[#This Row],[CIBC RESP]],0)</f>
        <v>-0.11381636843649161</v>
      </c>
      <c r="AJ902" s="315">
        <f>VLOOKUP(Dailies[[#This Row],[Date]],Quotes[],MATCH("VOO",Quotes[#Headers],EXACT_MATCH))</f>
        <v>220.15</v>
      </c>
      <c r="AK902" s="314">
        <f>Dailies[[#This Row],[VOO Daily $]]/Dailies[[#This Row],[VOO]]</f>
        <v>-5.7824210765387185E-2</v>
      </c>
      <c r="AL902" s="314">
        <f>Dailies[[#This Row],[RRSP Daily %]]-Dailies[[#This Row],[VOO Daily %]]</f>
        <v>0.11078189380749079</v>
      </c>
      <c r="AM902" s="413">
        <f t="shared" si="17"/>
        <v>284.94557213930335</v>
      </c>
      <c r="AR902" s="333"/>
      <c r="AS902" s="333"/>
      <c r="AT902" s="333"/>
      <c r="AU902" s="333"/>
      <c r="AV902" s="333"/>
    </row>
    <row r="903" spans="2:48" s="330" customFormat="1" ht="28.15" customHeight="1" x14ac:dyDescent="0.25">
      <c r="B903" s="359">
        <v>43909</v>
      </c>
      <c r="C903" s="360">
        <v>0</v>
      </c>
      <c r="D903" s="360">
        <v>29680.48</v>
      </c>
      <c r="E903" s="329">
        <v>320371.59000000003</v>
      </c>
      <c r="F903" s="329">
        <v>0</v>
      </c>
      <c r="G903" s="329">
        <v>7826</v>
      </c>
      <c r="H903" s="329"/>
      <c r="I903" s="329"/>
      <c r="J903" s="329"/>
      <c r="K903" s="329"/>
      <c r="L903" s="329"/>
      <c r="M903" s="329">
        <v>650000</v>
      </c>
      <c r="N903" s="329">
        <f t="shared" si="16"/>
        <v>23079</v>
      </c>
      <c r="O903" s="329">
        <f t="shared" si="15"/>
        <v>1600</v>
      </c>
      <c r="P903" s="329">
        <v>91683</v>
      </c>
      <c r="Q903" s="329">
        <v>0</v>
      </c>
      <c r="R903" s="315">
        <f>Dailies[[#This Row],[CIBC RRSP]]+Dailies[[#This Row],[QT RRSP]]+Dailies[[#This Row],[SunLife RRSP]]</f>
        <v>328197.59000000003</v>
      </c>
      <c r="S903" s="401">
        <f>S902+Dailies[[#This Row],[CIBC RRSP Principal Delta]]</f>
        <v>0</v>
      </c>
      <c r="T903" s="401">
        <f>T902+Dailies[[#This Row],[CIBC RESP Principal Delta]]</f>
        <v>37700.450000000004</v>
      </c>
      <c r="U903" s="402">
        <f>U902+Dailies[[#This Row],[QT RRSP Principal Delta]]</f>
        <v>321920.87</v>
      </c>
      <c r="V903" s="401">
        <f>V902+Dailies[[#This Row],[SunLife RRSP Principal Delta]]</f>
        <v>8647.61</v>
      </c>
      <c r="W903" s="315">
        <f>Dailies[[#This Row],[CIBC RRSP Principal]]+Dailies[[#This Row],[QT RRSP Principal]]+Dailies[[#This Row],[SunLife RRSP Principal]]</f>
        <v>330568.48</v>
      </c>
      <c r="X903" s="361">
        <f>Dailies[[#This Row],[CIBC RRSP Principal]]+Dailies[[#This Row],[CIBC RESP Principal]]+Dailies[[#This Row],[QT RRSP Principal]]+Dailies[[#This Row],[SunLife RRSP Principal]]</f>
        <v>368268.93</v>
      </c>
      <c r="Y903" s="315">
        <f>Dailies[[#This Row],[CIBC RRSP]]+Dailies[[#This Row],[CIBC RESP]]+Dailies[[#This Row],[QT RRSP]]+Dailies[[#This Row],[SunLife RRSP]]</f>
        <v>357878.07</v>
      </c>
      <c r="Z903" s="313">
        <f>Dailies[[#This Row],[Portfolio Total]]+Dailies[[#This Row],[Home Equity]]+Dailies[[#This Row],[Car Equity]]+Dailies[[#This Row],[Valuables Equity]]+Dailies[[#This Row],[GSK Pension]]+Dailies[[#This Row],[Home Loan]]</f>
        <v>1124240.07</v>
      </c>
      <c r="AA903" s="402">
        <f>IF(ISNUMBER(C902),Dailies[[#This Row],[CIBC RRSP]]-C902-Dailies[[#This Row],[CIBC RRSP Principal Delta]],0)</f>
        <v>0</v>
      </c>
      <c r="AB903" s="402">
        <f>IF(ISNUMBER(D902),Dailies[[#This Row],[CIBC RESP]]-D902-Dailies[[#This Row],[CIBC RESP Principal Delta]],0)</f>
        <v>1590.3199999999997</v>
      </c>
      <c r="AC903" s="402">
        <f>IF(ISNUMBER(E902),Dailies[[#This Row],[QT RRSP]]-E902-Dailies[[#This Row],[QT RRSP Principal Delta]],0)</f>
        <v>-9279.4099999999744</v>
      </c>
      <c r="AD903" s="402">
        <f>IF(ISNUMBER(G902),Dailies[[#This Row],[SunLife RRSP]]-G902-Dailies[[#This Row],[SunLife RRSP Principal Delta]],0)</f>
        <v>0</v>
      </c>
      <c r="AE903" s="315">
        <f>Dailies[[#This Row],[CIBC RRSP Daily $]]+Dailies[[#This Row],[QT RRSP Daily $]]+Dailies[[#This Row],[SunLife RRSP Daily $]]</f>
        <v>-9279.4099999999744</v>
      </c>
      <c r="AF903" s="315">
        <f>Dailies[[#This Row],[RRSP Daily $]]+Dailies[[#This Row],[CIBC RESP Daily $]]</f>
        <v>-7689.0899999999747</v>
      </c>
      <c r="AG903" s="401">
        <f>IF(ISNUMBER(AJ902),Dailies[[#This Row],[VOO]]-AJ902,0)</f>
        <v>0.18999999999999773</v>
      </c>
      <c r="AH903" s="362">
        <f>Dailies[[#This Row],[RRSP Daily $]]/Dailies[[#This Row],[RRSP Total]]</f>
        <v>-2.8273851736693049E-2</v>
      </c>
      <c r="AI903" s="363">
        <f>IF(Dailies[[#This Row],[CIBC RESP]]&gt;0,Dailies[[#This Row],[CIBC RESP Daily $]]/Dailies[[#This Row],[CIBC RESP]],0)</f>
        <v>5.358134369794558E-2</v>
      </c>
      <c r="AJ903" s="315">
        <f>VLOOKUP(Dailies[[#This Row],[Date]],Quotes[],MATCH("VOO",Quotes[#Headers],EXACT_MATCH))</f>
        <v>220.34</v>
      </c>
      <c r="AK903" s="314">
        <f>Dailies[[#This Row],[VOO Daily $]]/Dailies[[#This Row],[VOO]]</f>
        <v>8.6230371244439376E-4</v>
      </c>
      <c r="AL903" s="314">
        <f>Dailies[[#This Row],[RRSP Daily %]]-Dailies[[#This Row],[VOO Daily %]]</f>
        <v>-2.9136155449137443E-2</v>
      </c>
      <c r="AM903" s="413">
        <f t="shared" si="17"/>
        <v>284.70472636815913</v>
      </c>
      <c r="AR903" s="333"/>
      <c r="AS903" s="333"/>
      <c r="AT903" s="333"/>
      <c r="AU903" s="333"/>
      <c r="AV903" s="333"/>
    </row>
    <row r="904" spans="2:48" s="330" customFormat="1" ht="28.15" customHeight="1" x14ac:dyDescent="0.25">
      <c r="B904" s="359">
        <v>43910</v>
      </c>
      <c r="C904" s="360">
        <v>0</v>
      </c>
      <c r="D904" s="360">
        <v>30529.200000000001</v>
      </c>
      <c r="E904" s="329">
        <v>321117</v>
      </c>
      <c r="F904" s="329">
        <v>0</v>
      </c>
      <c r="G904" s="329">
        <v>7826</v>
      </c>
      <c r="H904" s="329"/>
      <c r="I904" s="329"/>
      <c r="J904" s="329"/>
      <c r="K904" s="329"/>
      <c r="L904" s="329"/>
      <c r="M904" s="329">
        <v>650000</v>
      </c>
      <c r="N904" s="329">
        <f t="shared" si="16"/>
        <v>23079</v>
      </c>
      <c r="O904" s="329">
        <f t="shared" si="15"/>
        <v>1600</v>
      </c>
      <c r="P904" s="329">
        <v>91683</v>
      </c>
      <c r="Q904" s="329">
        <v>0</v>
      </c>
      <c r="R904" s="315">
        <f>Dailies[[#This Row],[CIBC RRSP]]+Dailies[[#This Row],[QT RRSP]]+Dailies[[#This Row],[SunLife RRSP]]</f>
        <v>328943</v>
      </c>
      <c r="S904" s="401">
        <f>S903+Dailies[[#This Row],[CIBC RRSP Principal Delta]]</f>
        <v>0</v>
      </c>
      <c r="T904" s="401">
        <f>T903+Dailies[[#This Row],[CIBC RESP Principal Delta]]</f>
        <v>37700.450000000004</v>
      </c>
      <c r="U904" s="402">
        <f>U903+Dailies[[#This Row],[QT RRSP Principal Delta]]</f>
        <v>321920.87</v>
      </c>
      <c r="V904" s="401">
        <f>V903+Dailies[[#This Row],[SunLife RRSP Principal Delta]]</f>
        <v>8647.61</v>
      </c>
      <c r="W904" s="315">
        <f>Dailies[[#This Row],[CIBC RRSP Principal]]+Dailies[[#This Row],[QT RRSP Principal]]+Dailies[[#This Row],[SunLife RRSP Principal]]</f>
        <v>330568.48</v>
      </c>
      <c r="X904" s="361">
        <f>Dailies[[#This Row],[CIBC RRSP Principal]]+Dailies[[#This Row],[CIBC RESP Principal]]+Dailies[[#This Row],[QT RRSP Principal]]+Dailies[[#This Row],[SunLife RRSP Principal]]</f>
        <v>368268.93</v>
      </c>
      <c r="Y904" s="315">
        <f>Dailies[[#This Row],[CIBC RRSP]]+Dailies[[#This Row],[CIBC RESP]]+Dailies[[#This Row],[QT RRSP]]+Dailies[[#This Row],[SunLife RRSP]]</f>
        <v>359472.2</v>
      </c>
      <c r="Z904" s="313">
        <f>Dailies[[#This Row],[Portfolio Total]]+Dailies[[#This Row],[Home Equity]]+Dailies[[#This Row],[Car Equity]]+Dailies[[#This Row],[Valuables Equity]]+Dailies[[#This Row],[GSK Pension]]+Dailies[[#This Row],[Home Loan]]</f>
        <v>1125834.2</v>
      </c>
      <c r="AA904" s="402">
        <f>IF(ISNUMBER(C903),Dailies[[#This Row],[CIBC RRSP]]-C903-Dailies[[#This Row],[CIBC RRSP Principal Delta]],0)</f>
        <v>0</v>
      </c>
      <c r="AB904" s="402">
        <f>IF(ISNUMBER(D903),Dailies[[#This Row],[CIBC RESP]]-D903-Dailies[[#This Row],[CIBC RESP Principal Delta]],0)</f>
        <v>848.72000000000116</v>
      </c>
      <c r="AC904" s="402">
        <f>IF(ISNUMBER(E903),Dailies[[#This Row],[QT RRSP]]-E903-Dailies[[#This Row],[QT RRSP Principal Delta]],0)</f>
        <v>745.40999999997439</v>
      </c>
      <c r="AD904" s="402">
        <f>IF(ISNUMBER(G903),Dailies[[#This Row],[SunLife RRSP]]-G903-Dailies[[#This Row],[SunLife RRSP Principal Delta]],0)</f>
        <v>0</v>
      </c>
      <c r="AE904" s="315">
        <f>Dailies[[#This Row],[CIBC RRSP Daily $]]+Dailies[[#This Row],[QT RRSP Daily $]]+Dailies[[#This Row],[SunLife RRSP Daily $]]</f>
        <v>745.40999999997439</v>
      </c>
      <c r="AF904" s="315">
        <f>Dailies[[#This Row],[RRSP Daily $]]+Dailies[[#This Row],[CIBC RESP Daily $]]</f>
        <v>1594.1299999999756</v>
      </c>
      <c r="AG904" s="401">
        <f>IF(ISNUMBER(AJ903),Dailies[[#This Row],[VOO]]-AJ903,0)</f>
        <v>-9.5999999999999943</v>
      </c>
      <c r="AH904" s="362">
        <f>Dailies[[#This Row],[RRSP Daily $]]/Dailies[[#This Row],[RRSP Total]]</f>
        <v>2.2660764934957557E-3</v>
      </c>
      <c r="AI904" s="363">
        <f>IF(Dailies[[#This Row],[CIBC RESP]]&gt;0,Dailies[[#This Row],[CIBC RESP Daily $]]/Dailies[[#This Row],[CIBC RESP]],0)</f>
        <v>2.7800269905533102E-2</v>
      </c>
      <c r="AJ904" s="315">
        <f>VLOOKUP(Dailies[[#This Row],[Date]],Quotes[],MATCH("VOO",Quotes[#Headers],EXACT_MATCH))</f>
        <v>210.74</v>
      </c>
      <c r="AK904" s="314">
        <f>Dailies[[#This Row],[VOO Daily $]]/Dailies[[#This Row],[VOO]]</f>
        <v>-4.5553762930625387E-2</v>
      </c>
      <c r="AL904" s="314">
        <f>Dailies[[#This Row],[RRSP Daily %]]-Dailies[[#This Row],[VOO Daily %]]</f>
        <v>4.7819839424121144E-2</v>
      </c>
      <c r="AM904" s="413">
        <f t="shared" si="17"/>
        <v>284.46482587064668</v>
      </c>
      <c r="AR904" s="333"/>
      <c r="AS904" s="333"/>
      <c r="AT904" s="333"/>
      <c r="AU904" s="333"/>
      <c r="AV904" s="333"/>
    </row>
    <row r="905" spans="2:48" s="330" customFormat="1" ht="28.15" customHeight="1" x14ac:dyDescent="0.25">
      <c r="B905" s="359">
        <v>43911</v>
      </c>
      <c r="C905" s="360">
        <v>0</v>
      </c>
      <c r="D905" s="360">
        <v>30529.200000000001</v>
      </c>
      <c r="E905" s="329">
        <v>321117</v>
      </c>
      <c r="F905" s="329">
        <v>0</v>
      </c>
      <c r="G905" s="329">
        <v>7826</v>
      </c>
      <c r="H905" s="329"/>
      <c r="I905" s="329"/>
      <c r="J905" s="329"/>
      <c r="K905" s="329"/>
      <c r="L905" s="329"/>
      <c r="M905" s="329">
        <v>650000</v>
      </c>
      <c r="N905" s="329">
        <f t="shared" si="16"/>
        <v>23079</v>
      </c>
      <c r="O905" s="329">
        <f t="shared" si="15"/>
        <v>1600</v>
      </c>
      <c r="P905" s="329">
        <v>91683</v>
      </c>
      <c r="Q905" s="329">
        <v>0</v>
      </c>
      <c r="R905" s="315">
        <f>Dailies[[#This Row],[CIBC RRSP]]+Dailies[[#This Row],[QT RRSP]]+Dailies[[#This Row],[SunLife RRSP]]</f>
        <v>328943</v>
      </c>
      <c r="S905" s="401">
        <f>S904+Dailies[[#This Row],[CIBC RRSP Principal Delta]]</f>
        <v>0</v>
      </c>
      <c r="T905" s="401">
        <f>T904+Dailies[[#This Row],[CIBC RESP Principal Delta]]</f>
        <v>37700.450000000004</v>
      </c>
      <c r="U905" s="402">
        <f>U904+Dailies[[#This Row],[QT RRSP Principal Delta]]</f>
        <v>321920.87</v>
      </c>
      <c r="V905" s="401">
        <f>V904+Dailies[[#This Row],[SunLife RRSP Principal Delta]]</f>
        <v>8647.61</v>
      </c>
      <c r="W905" s="315">
        <f>Dailies[[#This Row],[CIBC RRSP Principal]]+Dailies[[#This Row],[QT RRSP Principal]]+Dailies[[#This Row],[SunLife RRSP Principal]]</f>
        <v>330568.48</v>
      </c>
      <c r="X905" s="361">
        <f>Dailies[[#This Row],[CIBC RRSP Principal]]+Dailies[[#This Row],[CIBC RESP Principal]]+Dailies[[#This Row],[QT RRSP Principal]]+Dailies[[#This Row],[SunLife RRSP Principal]]</f>
        <v>368268.93</v>
      </c>
      <c r="Y905" s="315">
        <f>Dailies[[#This Row],[CIBC RRSP]]+Dailies[[#This Row],[CIBC RESP]]+Dailies[[#This Row],[QT RRSP]]+Dailies[[#This Row],[SunLife RRSP]]</f>
        <v>359472.2</v>
      </c>
      <c r="Z905" s="313">
        <f>Dailies[[#This Row],[Portfolio Total]]+Dailies[[#This Row],[Home Equity]]+Dailies[[#This Row],[Car Equity]]+Dailies[[#This Row],[Valuables Equity]]+Dailies[[#This Row],[GSK Pension]]+Dailies[[#This Row],[Home Loan]]</f>
        <v>1125834.2</v>
      </c>
      <c r="AA905" s="402">
        <f>IF(ISNUMBER(C904),Dailies[[#This Row],[CIBC RRSP]]-C904-Dailies[[#This Row],[CIBC RRSP Principal Delta]],0)</f>
        <v>0</v>
      </c>
      <c r="AB905" s="402">
        <f>IF(ISNUMBER(D904),Dailies[[#This Row],[CIBC RESP]]-D904-Dailies[[#This Row],[CIBC RESP Principal Delta]],0)</f>
        <v>0</v>
      </c>
      <c r="AC905" s="402">
        <f>IF(ISNUMBER(E904),Dailies[[#This Row],[QT RRSP]]-E904-Dailies[[#This Row],[QT RRSP Principal Delta]],0)</f>
        <v>0</v>
      </c>
      <c r="AD905" s="402">
        <f>IF(ISNUMBER(G904),Dailies[[#This Row],[SunLife RRSP]]-G904-Dailies[[#This Row],[SunLife RRSP Principal Delta]],0)</f>
        <v>0</v>
      </c>
      <c r="AE905" s="315">
        <f>Dailies[[#This Row],[CIBC RRSP Daily $]]+Dailies[[#This Row],[QT RRSP Daily $]]+Dailies[[#This Row],[SunLife RRSP Daily $]]</f>
        <v>0</v>
      </c>
      <c r="AF905" s="315">
        <f>Dailies[[#This Row],[RRSP Daily $]]+Dailies[[#This Row],[CIBC RESP Daily $]]</f>
        <v>0</v>
      </c>
      <c r="AG905" s="401">
        <f>IF(ISNUMBER(AJ904),Dailies[[#This Row],[VOO]]-AJ904,0)</f>
        <v>0</v>
      </c>
      <c r="AH905" s="362">
        <f>Dailies[[#This Row],[RRSP Daily $]]/Dailies[[#This Row],[RRSP Total]]</f>
        <v>0</v>
      </c>
      <c r="AI905" s="363">
        <f>IF(Dailies[[#This Row],[CIBC RESP]]&gt;0,Dailies[[#This Row],[CIBC RESP Daily $]]/Dailies[[#This Row],[CIBC RESP]],0)</f>
        <v>0</v>
      </c>
      <c r="AJ905" s="315">
        <f>VLOOKUP(Dailies[[#This Row],[Date]],Quotes[],MATCH("VOO",Quotes[#Headers],EXACT_MATCH))</f>
        <v>210.74</v>
      </c>
      <c r="AK905" s="314">
        <f>Dailies[[#This Row],[VOO Daily $]]/Dailies[[#This Row],[VOO]]</f>
        <v>0</v>
      </c>
      <c r="AL905" s="314">
        <f>Dailies[[#This Row],[RRSP Daily %]]-Dailies[[#This Row],[VOO Daily %]]</f>
        <v>0</v>
      </c>
      <c r="AM905" s="413">
        <f t="shared" si="17"/>
        <v>284.17716417910435</v>
      </c>
      <c r="AR905" s="333"/>
      <c r="AS905" s="333"/>
      <c r="AT905" s="333"/>
      <c r="AU905" s="333"/>
      <c r="AV905" s="333"/>
    </row>
    <row r="906" spans="2:48" s="330" customFormat="1" ht="28.15" customHeight="1" x14ac:dyDescent="0.25">
      <c r="B906" s="359">
        <v>43912</v>
      </c>
      <c r="C906" s="360">
        <v>0</v>
      </c>
      <c r="D906" s="360">
        <v>30529.200000000001</v>
      </c>
      <c r="E906" s="329">
        <v>321117</v>
      </c>
      <c r="F906" s="329">
        <v>0</v>
      </c>
      <c r="G906" s="329">
        <v>7826</v>
      </c>
      <c r="H906" s="329"/>
      <c r="I906" s="329"/>
      <c r="J906" s="329"/>
      <c r="K906" s="329"/>
      <c r="L906" s="329"/>
      <c r="M906" s="329">
        <v>650000</v>
      </c>
      <c r="N906" s="329">
        <f t="shared" si="16"/>
        <v>23079</v>
      </c>
      <c r="O906" s="329">
        <f t="shared" si="15"/>
        <v>1600</v>
      </c>
      <c r="P906" s="329">
        <v>91683</v>
      </c>
      <c r="Q906" s="329">
        <v>0</v>
      </c>
      <c r="R906" s="315">
        <f>Dailies[[#This Row],[CIBC RRSP]]+Dailies[[#This Row],[QT RRSP]]+Dailies[[#This Row],[SunLife RRSP]]</f>
        <v>328943</v>
      </c>
      <c r="S906" s="401">
        <f>S905+Dailies[[#This Row],[CIBC RRSP Principal Delta]]</f>
        <v>0</v>
      </c>
      <c r="T906" s="401">
        <f>T905+Dailies[[#This Row],[CIBC RESP Principal Delta]]</f>
        <v>37700.450000000004</v>
      </c>
      <c r="U906" s="402">
        <f>U905+Dailies[[#This Row],[QT RRSP Principal Delta]]</f>
        <v>321920.87</v>
      </c>
      <c r="V906" s="401">
        <f>V905+Dailies[[#This Row],[SunLife RRSP Principal Delta]]</f>
        <v>8647.61</v>
      </c>
      <c r="W906" s="315">
        <f>Dailies[[#This Row],[CIBC RRSP Principal]]+Dailies[[#This Row],[QT RRSP Principal]]+Dailies[[#This Row],[SunLife RRSP Principal]]</f>
        <v>330568.48</v>
      </c>
      <c r="X906" s="361">
        <f>Dailies[[#This Row],[CIBC RRSP Principal]]+Dailies[[#This Row],[CIBC RESP Principal]]+Dailies[[#This Row],[QT RRSP Principal]]+Dailies[[#This Row],[SunLife RRSP Principal]]</f>
        <v>368268.93</v>
      </c>
      <c r="Y906" s="315">
        <f>Dailies[[#This Row],[CIBC RRSP]]+Dailies[[#This Row],[CIBC RESP]]+Dailies[[#This Row],[QT RRSP]]+Dailies[[#This Row],[SunLife RRSP]]</f>
        <v>359472.2</v>
      </c>
      <c r="Z906" s="313">
        <f>Dailies[[#This Row],[Portfolio Total]]+Dailies[[#This Row],[Home Equity]]+Dailies[[#This Row],[Car Equity]]+Dailies[[#This Row],[Valuables Equity]]+Dailies[[#This Row],[GSK Pension]]+Dailies[[#This Row],[Home Loan]]</f>
        <v>1125834.2</v>
      </c>
      <c r="AA906" s="402">
        <f>IF(ISNUMBER(C905),Dailies[[#This Row],[CIBC RRSP]]-C905-Dailies[[#This Row],[CIBC RRSP Principal Delta]],0)</f>
        <v>0</v>
      </c>
      <c r="AB906" s="402">
        <f>IF(ISNUMBER(D905),Dailies[[#This Row],[CIBC RESP]]-D905-Dailies[[#This Row],[CIBC RESP Principal Delta]],0)</f>
        <v>0</v>
      </c>
      <c r="AC906" s="402">
        <f>IF(ISNUMBER(E905),Dailies[[#This Row],[QT RRSP]]-E905-Dailies[[#This Row],[QT RRSP Principal Delta]],0)</f>
        <v>0</v>
      </c>
      <c r="AD906" s="402">
        <f>IF(ISNUMBER(G905),Dailies[[#This Row],[SunLife RRSP]]-G905-Dailies[[#This Row],[SunLife RRSP Principal Delta]],0)</f>
        <v>0</v>
      </c>
      <c r="AE906" s="315">
        <f>Dailies[[#This Row],[CIBC RRSP Daily $]]+Dailies[[#This Row],[QT RRSP Daily $]]+Dailies[[#This Row],[SunLife RRSP Daily $]]</f>
        <v>0</v>
      </c>
      <c r="AF906" s="315">
        <f>Dailies[[#This Row],[RRSP Daily $]]+Dailies[[#This Row],[CIBC RESP Daily $]]</f>
        <v>0</v>
      </c>
      <c r="AG906" s="401">
        <f>IF(ISNUMBER(AJ905),Dailies[[#This Row],[VOO]]-AJ905,0)</f>
        <v>0</v>
      </c>
      <c r="AH906" s="362">
        <f>Dailies[[#This Row],[RRSP Daily $]]/Dailies[[#This Row],[RRSP Total]]</f>
        <v>0</v>
      </c>
      <c r="AI906" s="363">
        <f>IF(Dailies[[#This Row],[CIBC RESP]]&gt;0,Dailies[[#This Row],[CIBC RESP Daily $]]/Dailies[[#This Row],[CIBC RESP]],0)</f>
        <v>0</v>
      </c>
      <c r="AJ906" s="315">
        <f>VLOOKUP(Dailies[[#This Row],[Date]],Quotes[],MATCH("VOO",Quotes[#Headers],EXACT_MATCH))</f>
        <v>210.74</v>
      </c>
      <c r="AK906" s="314">
        <f>Dailies[[#This Row],[VOO Daily $]]/Dailies[[#This Row],[VOO]]</f>
        <v>0</v>
      </c>
      <c r="AL906" s="314">
        <f>Dailies[[#This Row],[RRSP Daily %]]-Dailies[[#This Row],[VOO Daily %]]</f>
        <v>0</v>
      </c>
      <c r="AM906" s="413">
        <f t="shared" si="17"/>
        <v>283.88950248756203</v>
      </c>
      <c r="AR906" s="333"/>
      <c r="AS906" s="333"/>
      <c r="AT906" s="333"/>
      <c r="AU906" s="333"/>
      <c r="AV906" s="333"/>
    </row>
    <row r="907" spans="2:48" s="330" customFormat="1" ht="28.15" customHeight="1" x14ac:dyDescent="0.25">
      <c r="B907" s="359">
        <v>43913</v>
      </c>
      <c r="C907" s="360">
        <v>0</v>
      </c>
      <c r="D907" s="360">
        <v>28205.52</v>
      </c>
      <c r="E907" s="329">
        <v>332497</v>
      </c>
      <c r="F907" s="329">
        <v>0</v>
      </c>
      <c r="G907" s="329">
        <v>7826</v>
      </c>
      <c r="H907" s="329"/>
      <c r="I907" s="329"/>
      <c r="J907" s="329">
        <v>1075</v>
      </c>
      <c r="K907" s="329"/>
      <c r="L907" s="329"/>
      <c r="M907" s="329">
        <v>650000</v>
      </c>
      <c r="N907" s="329">
        <f t="shared" si="16"/>
        <v>23079</v>
      </c>
      <c r="O907" s="329">
        <f t="shared" si="15"/>
        <v>1600</v>
      </c>
      <c r="P907" s="329">
        <v>91683</v>
      </c>
      <c r="Q907" s="329">
        <v>0</v>
      </c>
      <c r="R907" s="315">
        <f>Dailies[[#This Row],[CIBC RRSP]]+Dailies[[#This Row],[QT RRSP]]+Dailies[[#This Row],[SunLife RRSP]]</f>
        <v>340323</v>
      </c>
      <c r="S907" s="401">
        <f>S906+Dailies[[#This Row],[CIBC RRSP Principal Delta]]</f>
        <v>0</v>
      </c>
      <c r="T907" s="401">
        <f>T906+Dailies[[#This Row],[CIBC RESP Principal Delta]]</f>
        <v>37700.450000000004</v>
      </c>
      <c r="U907" s="402">
        <f>U906+Dailies[[#This Row],[QT RRSP Principal Delta]]</f>
        <v>322995.87</v>
      </c>
      <c r="V907" s="401">
        <f>V906+Dailies[[#This Row],[SunLife RRSP Principal Delta]]</f>
        <v>8647.61</v>
      </c>
      <c r="W907" s="315">
        <f>Dailies[[#This Row],[CIBC RRSP Principal]]+Dailies[[#This Row],[QT RRSP Principal]]+Dailies[[#This Row],[SunLife RRSP Principal]]</f>
        <v>331643.48</v>
      </c>
      <c r="X907" s="361">
        <f>Dailies[[#This Row],[CIBC RRSP Principal]]+Dailies[[#This Row],[CIBC RESP Principal]]+Dailies[[#This Row],[QT RRSP Principal]]+Dailies[[#This Row],[SunLife RRSP Principal]]</f>
        <v>369343.93</v>
      </c>
      <c r="Y907" s="315">
        <f>Dailies[[#This Row],[CIBC RRSP]]+Dailies[[#This Row],[CIBC RESP]]+Dailies[[#This Row],[QT RRSP]]+Dailies[[#This Row],[SunLife RRSP]]</f>
        <v>368528.52</v>
      </c>
      <c r="Z907" s="313">
        <f>Dailies[[#This Row],[Portfolio Total]]+Dailies[[#This Row],[Home Equity]]+Dailies[[#This Row],[Car Equity]]+Dailies[[#This Row],[Valuables Equity]]+Dailies[[#This Row],[GSK Pension]]+Dailies[[#This Row],[Home Loan]]</f>
        <v>1134890.52</v>
      </c>
      <c r="AA907" s="402">
        <f>IF(ISNUMBER(C906),Dailies[[#This Row],[CIBC RRSP]]-C906-Dailies[[#This Row],[CIBC RRSP Principal Delta]],0)</f>
        <v>0</v>
      </c>
      <c r="AB907" s="402">
        <f>IF(ISNUMBER(D906),Dailies[[#This Row],[CIBC RESP]]-D906-Dailies[[#This Row],[CIBC RESP Principal Delta]],0)</f>
        <v>-2323.6800000000003</v>
      </c>
      <c r="AC907" s="402">
        <f>IF(ISNUMBER(E906),Dailies[[#This Row],[QT RRSP]]-E906-Dailies[[#This Row],[QT RRSP Principal Delta]],0)</f>
        <v>10305</v>
      </c>
      <c r="AD907" s="402">
        <f>IF(ISNUMBER(G906),Dailies[[#This Row],[SunLife RRSP]]-G906-Dailies[[#This Row],[SunLife RRSP Principal Delta]],0)</f>
        <v>0</v>
      </c>
      <c r="AE907" s="315">
        <f>Dailies[[#This Row],[CIBC RRSP Daily $]]+Dailies[[#This Row],[QT RRSP Daily $]]+Dailies[[#This Row],[SunLife RRSP Daily $]]</f>
        <v>10305</v>
      </c>
      <c r="AF907" s="315">
        <f>Dailies[[#This Row],[RRSP Daily $]]+Dailies[[#This Row],[CIBC RESP Daily $]]</f>
        <v>7981.32</v>
      </c>
      <c r="AG907" s="401">
        <f>IF(ISNUMBER(AJ906),Dailies[[#This Row],[VOO]]-AJ906,0)</f>
        <v>-6.4699999999999989</v>
      </c>
      <c r="AH907" s="362">
        <f>Dailies[[#This Row],[RRSP Daily $]]/Dailies[[#This Row],[RRSP Total]]</f>
        <v>3.0280057474810693E-2</v>
      </c>
      <c r="AI907" s="363">
        <f>IF(Dailies[[#This Row],[CIBC RESP]]&gt;0,Dailies[[#This Row],[CIBC RESP Daily $]]/Dailies[[#This Row],[CIBC RESP]],0)</f>
        <v>-8.2383873794916754E-2</v>
      </c>
      <c r="AJ907" s="315">
        <f>VLOOKUP(Dailies[[#This Row],[Date]],Quotes[],MATCH("VOO",Quotes[#Headers],EXACT_MATCH))</f>
        <v>204.27</v>
      </c>
      <c r="AK907" s="314">
        <f>Dailies[[#This Row],[VOO Daily $]]/Dailies[[#This Row],[VOO]]</f>
        <v>-3.1673765114799031E-2</v>
      </c>
      <c r="AL907" s="314">
        <f>Dailies[[#This Row],[RRSP Daily %]]-Dailies[[#This Row],[VOO Daily %]]</f>
        <v>6.1953822589609728E-2</v>
      </c>
      <c r="AM907" s="413">
        <f t="shared" si="17"/>
        <v>283.60905472636802</v>
      </c>
      <c r="AR907" s="333"/>
      <c r="AS907" s="333"/>
      <c r="AT907" s="333"/>
      <c r="AU907" s="333"/>
      <c r="AV907" s="333"/>
    </row>
    <row r="908" spans="2:48" s="330" customFormat="1" ht="28.15" customHeight="1" x14ac:dyDescent="0.25">
      <c r="B908" s="359">
        <v>43914</v>
      </c>
      <c r="C908" s="360">
        <v>0</v>
      </c>
      <c r="D908" s="360">
        <v>32440.880000000001</v>
      </c>
      <c r="E908" s="329">
        <v>323919</v>
      </c>
      <c r="F908" s="329">
        <v>0</v>
      </c>
      <c r="G908" s="329">
        <v>7826</v>
      </c>
      <c r="H908" s="329"/>
      <c r="I908" s="329"/>
      <c r="J908" s="329"/>
      <c r="K908" s="329"/>
      <c r="L908" s="329"/>
      <c r="M908" s="329">
        <v>650000</v>
      </c>
      <c r="N908" s="329">
        <f t="shared" si="16"/>
        <v>23079</v>
      </c>
      <c r="O908" s="329">
        <f t="shared" si="15"/>
        <v>1600</v>
      </c>
      <c r="P908" s="329">
        <v>91683</v>
      </c>
      <c r="Q908" s="329">
        <v>0</v>
      </c>
      <c r="R908" s="315">
        <f>Dailies[[#This Row],[CIBC RRSP]]+Dailies[[#This Row],[QT RRSP]]+Dailies[[#This Row],[SunLife RRSP]]</f>
        <v>331745</v>
      </c>
      <c r="S908" s="401">
        <f>S907+Dailies[[#This Row],[CIBC RRSP Principal Delta]]</f>
        <v>0</v>
      </c>
      <c r="T908" s="401">
        <f>T907+Dailies[[#This Row],[CIBC RESP Principal Delta]]</f>
        <v>37700.450000000004</v>
      </c>
      <c r="U908" s="402">
        <f>U907+Dailies[[#This Row],[QT RRSP Principal Delta]]</f>
        <v>322995.87</v>
      </c>
      <c r="V908" s="401">
        <f>V907+Dailies[[#This Row],[SunLife RRSP Principal Delta]]</f>
        <v>8647.61</v>
      </c>
      <c r="W908" s="315">
        <f>Dailies[[#This Row],[CIBC RRSP Principal]]+Dailies[[#This Row],[QT RRSP Principal]]+Dailies[[#This Row],[SunLife RRSP Principal]]</f>
        <v>331643.48</v>
      </c>
      <c r="X908" s="361">
        <f>Dailies[[#This Row],[CIBC RRSP Principal]]+Dailies[[#This Row],[CIBC RESP Principal]]+Dailies[[#This Row],[QT RRSP Principal]]+Dailies[[#This Row],[SunLife RRSP Principal]]</f>
        <v>369343.93</v>
      </c>
      <c r="Y908" s="315">
        <f>Dailies[[#This Row],[CIBC RRSP]]+Dailies[[#This Row],[CIBC RESP]]+Dailies[[#This Row],[QT RRSP]]+Dailies[[#This Row],[SunLife RRSP]]</f>
        <v>364185.88</v>
      </c>
      <c r="Z908" s="313">
        <f>Dailies[[#This Row],[Portfolio Total]]+Dailies[[#This Row],[Home Equity]]+Dailies[[#This Row],[Car Equity]]+Dailies[[#This Row],[Valuables Equity]]+Dailies[[#This Row],[GSK Pension]]+Dailies[[#This Row],[Home Loan]]</f>
        <v>1130547.8799999999</v>
      </c>
      <c r="AA908" s="402">
        <f>IF(ISNUMBER(C907),Dailies[[#This Row],[CIBC RRSP]]-C907-Dailies[[#This Row],[CIBC RRSP Principal Delta]],0)</f>
        <v>0</v>
      </c>
      <c r="AB908" s="402">
        <f>IF(ISNUMBER(D907),Dailies[[#This Row],[CIBC RESP]]-D907-Dailies[[#This Row],[CIBC RESP Principal Delta]],0)</f>
        <v>4235.3600000000006</v>
      </c>
      <c r="AC908" s="402">
        <f>IF(ISNUMBER(E907),Dailies[[#This Row],[QT RRSP]]-E907-Dailies[[#This Row],[QT RRSP Principal Delta]],0)</f>
        <v>-8578</v>
      </c>
      <c r="AD908" s="402">
        <f>IF(ISNUMBER(G907),Dailies[[#This Row],[SunLife RRSP]]-G907-Dailies[[#This Row],[SunLife RRSP Principal Delta]],0)</f>
        <v>0</v>
      </c>
      <c r="AE908" s="315">
        <f>Dailies[[#This Row],[CIBC RRSP Daily $]]+Dailies[[#This Row],[QT RRSP Daily $]]+Dailies[[#This Row],[SunLife RRSP Daily $]]</f>
        <v>-8578</v>
      </c>
      <c r="AF908" s="315">
        <f>Dailies[[#This Row],[RRSP Daily $]]+Dailies[[#This Row],[CIBC RESP Daily $]]</f>
        <v>-4342.6399999999994</v>
      </c>
      <c r="AG908" s="401">
        <f>IF(ISNUMBER(AJ907),Dailies[[#This Row],[VOO]]-AJ907,0)</f>
        <v>19.47999999999999</v>
      </c>
      <c r="AH908" s="362">
        <f>Dailies[[#This Row],[RRSP Daily $]]/Dailies[[#This Row],[RRSP Total]]</f>
        <v>-2.5857209603761925E-2</v>
      </c>
      <c r="AI908" s="363">
        <f>IF(Dailies[[#This Row],[CIBC RESP]]&gt;0,Dailies[[#This Row],[CIBC RESP Daily $]]/Dailies[[#This Row],[CIBC RESP]],0)</f>
        <v>0.13055626111252225</v>
      </c>
      <c r="AJ908" s="315">
        <f>VLOOKUP(Dailies[[#This Row],[Date]],Quotes[],MATCH("VOO",Quotes[#Headers],EXACT_MATCH))</f>
        <v>223.75</v>
      </c>
      <c r="AK908" s="314">
        <f>Dailies[[#This Row],[VOO Daily $]]/Dailies[[#This Row],[VOO]]</f>
        <v>8.7061452513966436E-2</v>
      </c>
      <c r="AL908" s="314">
        <f>Dailies[[#This Row],[RRSP Daily %]]-Dailies[[#This Row],[VOO Daily %]]</f>
        <v>-0.11291866211772836</v>
      </c>
      <c r="AM908" s="413">
        <f t="shared" si="17"/>
        <v>283.28218905472619</v>
      </c>
      <c r="AR908" s="333"/>
      <c r="AS908" s="333"/>
      <c r="AT908" s="333"/>
      <c r="AU908" s="333"/>
      <c r="AV908" s="333"/>
    </row>
    <row r="909" spans="2:48" s="330" customFormat="1" ht="28.15" customHeight="1" x14ac:dyDescent="0.25">
      <c r="B909" s="359">
        <v>43915</v>
      </c>
      <c r="C909" s="360">
        <v>0</v>
      </c>
      <c r="D909" s="360">
        <v>33437.919999999998</v>
      </c>
      <c r="E909" s="329">
        <v>304322.21000000002</v>
      </c>
      <c r="F909" s="329">
        <v>0</v>
      </c>
      <c r="G909" s="329">
        <v>7826</v>
      </c>
      <c r="H909" s="329"/>
      <c r="I909" s="329"/>
      <c r="J909" s="329"/>
      <c r="K909" s="329"/>
      <c r="L909" s="329"/>
      <c r="M909" s="329">
        <v>650000</v>
      </c>
      <c r="N909" s="329">
        <f t="shared" si="16"/>
        <v>23079</v>
      </c>
      <c r="O909" s="329">
        <f t="shared" si="15"/>
        <v>1600</v>
      </c>
      <c r="P909" s="329">
        <v>91683</v>
      </c>
      <c r="Q909" s="329">
        <v>0</v>
      </c>
      <c r="R909" s="315">
        <f>Dailies[[#This Row],[CIBC RRSP]]+Dailies[[#This Row],[QT RRSP]]+Dailies[[#This Row],[SunLife RRSP]]</f>
        <v>312148.21000000002</v>
      </c>
      <c r="S909" s="401">
        <f>S908+Dailies[[#This Row],[CIBC RRSP Principal Delta]]</f>
        <v>0</v>
      </c>
      <c r="T909" s="401">
        <f>T908+Dailies[[#This Row],[CIBC RESP Principal Delta]]</f>
        <v>37700.450000000004</v>
      </c>
      <c r="U909" s="402">
        <f>U908+Dailies[[#This Row],[QT RRSP Principal Delta]]</f>
        <v>322995.87</v>
      </c>
      <c r="V909" s="401">
        <f>V908+Dailies[[#This Row],[SunLife RRSP Principal Delta]]</f>
        <v>8647.61</v>
      </c>
      <c r="W909" s="315">
        <f>Dailies[[#This Row],[CIBC RRSP Principal]]+Dailies[[#This Row],[QT RRSP Principal]]+Dailies[[#This Row],[SunLife RRSP Principal]]</f>
        <v>331643.48</v>
      </c>
      <c r="X909" s="361">
        <f>Dailies[[#This Row],[CIBC RRSP Principal]]+Dailies[[#This Row],[CIBC RESP Principal]]+Dailies[[#This Row],[QT RRSP Principal]]+Dailies[[#This Row],[SunLife RRSP Principal]]</f>
        <v>369343.93</v>
      </c>
      <c r="Y909" s="315">
        <f>Dailies[[#This Row],[CIBC RRSP]]+Dailies[[#This Row],[CIBC RESP]]+Dailies[[#This Row],[QT RRSP]]+Dailies[[#This Row],[SunLife RRSP]]</f>
        <v>345586.13</v>
      </c>
      <c r="Z909" s="313">
        <f>Dailies[[#This Row],[Portfolio Total]]+Dailies[[#This Row],[Home Equity]]+Dailies[[#This Row],[Car Equity]]+Dailies[[#This Row],[Valuables Equity]]+Dailies[[#This Row],[GSK Pension]]+Dailies[[#This Row],[Home Loan]]</f>
        <v>1111948.1299999999</v>
      </c>
      <c r="AA909" s="402">
        <f>IF(ISNUMBER(C908),Dailies[[#This Row],[CIBC RRSP]]-C908-Dailies[[#This Row],[CIBC RRSP Principal Delta]],0)</f>
        <v>0</v>
      </c>
      <c r="AB909" s="402">
        <f>IF(ISNUMBER(D908),Dailies[[#This Row],[CIBC RESP]]-D908-Dailies[[#This Row],[CIBC RESP Principal Delta]],0)</f>
        <v>997.03999999999724</v>
      </c>
      <c r="AC909" s="402">
        <f>IF(ISNUMBER(E908),Dailies[[#This Row],[QT RRSP]]-E908-Dailies[[#This Row],[QT RRSP Principal Delta]],0)</f>
        <v>-19596.789999999979</v>
      </c>
      <c r="AD909" s="402">
        <f>IF(ISNUMBER(G908),Dailies[[#This Row],[SunLife RRSP]]-G908-Dailies[[#This Row],[SunLife RRSP Principal Delta]],0)</f>
        <v>0</v>
      </c>
      <c r="AE909" s="315">
        <f>Dailies[[#This Row],[CIBC RRSP Daily $]]+Dailies[[#This Row],[QT RRSP Daily $]]+Dailies[[#This Row],[SunLife RRSP Daily $]]</f>
        <v>-19596.789999999979</v>
      </c>
      <c r="AF909" s="315">
        <f>Dailies[[#This Row],[RRSP Daily $]]+Dailies[[#This Row],[CIBC RESP Daily $]]</f>
        <v>-18599.749999999982</v>
      </c>
      <c r="AG909" s="401">
        <f>IF(ISNUMBER(AJ908),Dailies[[#This Row],[VOO]]-AJ908,0)</f>
        <v>2.8700000000000045</v>
      </c>
      <c r="AH909" s="362">
        <f>Dailies[[#This Row],[RRSP Daily $]]/Dailies[[#This Row],[RRSP Total]]</f>
        <v>-6.2780401655995327E-2</v>
      </c>
      <c r="AI909" s="363">
        <f>IF(Dailies[[#This Row],[CIBC RESP]]&gt;0,Dailies[[#This Row],[CIBC RESP Daily $]]/Dailies[[#This Row],[CIBC RESP]],0)</f>
        <v>2.9817644159684492E-2</v>
      </c>
      <c r="AJ909" s="315">
        <f>VLOOKUP(Dailies[[#This Row],[Date]],Quotes[],MATCH("VOO",Quotes[#Headers],EXACT_MATCH))</f>
        <v>226.62</v>
      </c>
      <c r="AK909" s="314">
        <f>Dailies[[#This Row],[VOO Daily $]]/Dailies[[#This Row],[VOO]]</f>
        <v>1.2664372076604027E-2</v>
      </c>
      <c r="AL909" s="314">
        <f>Dailies[[#This Row],[RRSP Daily %]]-Dailies[[#This Row],[VOO Daily %]]</f>
        <v>-7.5444773732599349E-2</v>
      </c>
      <c r="AM909" s="413">
        <f t="shared" si="17"/>
        <v>283.03447761194013</v>
      </c>
      <c r="AR909" s="333"/>
      <c r="AS909" s="333"/>
      <c r="AT909" s="333"/>
      <c r="AU909" s="333"/>
      <c r="AV909" s="333"/>
    </row>
    <row r="910" spans="2:48" s="330" customFormat="1" ht="28.15" customHeight="1" x14ac:dyDescent="0.25">
      <c r="B910" s="359">
        <v>43916</v>
      </c>
      <c r="C910" s="360">
        <v>0</v>
      </c>
      <c r="D910" s="360">
        <v>34558.559999999998</v>
      </c>
      <c r="E910" s="329">
        <v>304322.21000000002</v>
      </c>
      <c r="F910" s="329">
        <v>0</v>
      </c>
      <c r="G910" s="329">
        <v>7826</v>
      </c>
      <c r="H910" s="329"/>
      <c r="I910" s="329"/>
      <c r="J910" s="329"/>
      <c r="K910" s="329"/>
      <c r="L910" s="329"/>
      <c r="M910" s="329">
        <v>650000</v>
      </c>
      <c r="N910" s="329">
        <f t="shared" si="16"/>
        <v>23079</v>
      </c>
      <c r="O910" s="329">
        <f t="shared" si="15"/>
        <v>1600</v>
      </c>
      <c r="P910" s="329">
        <v>91683</v>
      </c>
      <c r="Q910" s="329">
        <v>0</v>
      </c>
      <c r="R910" s="315">
        <f>Dailies[[#This Row],[CIBC RRSP]]+Dailies[[#This Row],[QT RRSP]]+Dailies[[#This Row],[SunLife RRSP]]</f>
        <v>312148.21000000002</v>
      </c>
      <c r="S910" s="401">
        <f>S909+Dailies[[#This Row],[CIBC RRSP Principal Delta]]</f>
        <v>0</v>
      </c>
      <c r="T910" s="401">
        <f>T909+Dailies[[#This Row],[CIBC RESP Principal Delta]]</f>
        <v>37700.450000000004</v>
      </c>
      <c r="U910" s="402">
        <f>U909+Dailies[[#This Row],[QT RRSP Principal Delta]]</f>
        <v>322995.87</v>
      </c>
      <c r="V910" s="401">
        <f>V909+Dailies[[#This Row],[SunLife RRSP Principal Delta]]</f>
        <v>8647.61</v>
      </c>
      <c r="W910" s="315">
        <f>Dailies[[#This Row],[CIBC RRSP Principal]]+Dailies[[#This Row],[QT RRSP Principal]]+Dailies[[#This Row],[SunLife RRSP Principal]]</f>
        <v>331643.48</v>
      </c>
      <c r="X910" s="361">
        <f>Dailies[[#This Row],[CIBC RRSP Principal]]+Dailies[[#This Row],[CIBC RESP Principal]]+Dailies[[#This Row],[QT RRSP Principal]]+Dailies[[#This Row],[SunLife RRSP Principal]]</f>
        <v>369343.93</v>
      </c>
      <c r="Y910" s="315">
        <f>Dailies[[#This Row],[CIBC RRSP]]+Dailies[[#This Row],[CIBC RESP]]+Dailies[[#This Row],[QT RRSP]]+Dailies[[#This Row],[SunLife RRSP]]</f>
        <v>346706.77</v>
      </c>
      <c r="Z910" s="313">
        <f>Dailies[[#This Row],[Portfolio Total]]+Dailies[[#This Row],[Home Equity]]+Dailies[[#This Row],[Car Equity]]+Dailies[[#This Row],[Valuables Equity]]+Dailies[[#This Row],[GSK Pension]]+Dailies[[#This Row],[Home Loan]]</f>
        <v>1113068.77</v>
      </c>
      <c r="AA910" s="402">
        <f>IF(ISNUMBER(C909),Dailies[[#This Row],[CIBC RRSP]]-C909-Dailies[[#This Row],[CIBC RRSP Principal Delta]],0)</f>
        <v>0</v>
      </c>
      <c r="AB910" s="402">
        <f>IF(ISNUMBER(D909),Dailies[[#This Row],[CIBC RESP]]-D909-Dailies[[#This Row],[CIBC RESP Principal Delta]],0)</f>
        <v>1120.6399999999994</v>
      </c>
      <c r="AC910" s="402">
        <f>IF(ISNUMBER(E909),Dailies[[#This Row],[QT RRSP]]-E909-Dailies[[#This Row],[QT RRSP Principal Delta]],0)</f>
        <v>0</v>
      </c>
      <c r="AD910" s="402">
        <f>IF(ISNUMBER(G909),Dailies[[#This Row],[SunLife RRSP]]-G909-Dailies[[#This Row],[SunLife RRSP Principal Delta]],0)</f>
        <v>0</v>
      </c>
      <c r="AE910" s="315">
        <f>Dailies[[#This Row],[CIBC RRSP Daily $]]+Dailies[[#This Row],[QT RRSP Daily $]]+Dailies[[#This Row],[SunLife RRSP Daily $]]</f>
        <v>0</v>
      </c>
      <c r="AF910" s="315">
        <f>Dailies[[#This Row],[RRSP Daily $]]+Dailies[[#This Row],[CIBC RESP Daily $]]</f>
        <v>1120.6399999999994</v>
      </c>
      <c r="AG910" s="401">
        <f>IF(ISNUMBER(AJ909),Dailies[[#This Row],[VOO]]-AJ909,0)</f>
        <v>13.620000000000005</v>
      </c>
      <c r="AH910" s="362">
        <f>Dailies[[#This Row],[RRSP Daily $]]/Dailies[[#This Row],[RRSP Total]]</f>
        <v>0</v>
      </c>
      <c r="AI910" s="363">
        <f>IF(Dailies[[#This Row],[CIBC RESP]]&gt;0,Dailies[[#This Row],[CIBC RESP Daily $]]/Dailies[[#This Row],[CIBC RESP]],0)</f>
        <v>3.2427277062470179E-2</v>
      </c>
      <c r="AJ910" s="315">
        <f>VLOOKUP(Dailies[[#This Row],[Date]],Quotes[],MATCH("VOO",Quotes[#Headers],EXACT_MATCH))</f>
        <v>240.24</v>
      </c>
      <c r="AK910" s="314">
        <f>Dailies[[#This Row],[VOO Daily $]]/Dailies[[#This Row],[VOO]]</f>
        <v>5.669330669330671E-2</v>
      </c>
      <c r="AL910" s="314">
        <f>Dailies[[#This Row],[RRSP Daily %]]-Dailies[[#This Row],[VOO Daily %]]</f>
        <v>-5.669330669330671E-2</v>
      </c>
      <c r="AM910" s="413">
        <f t="shared" si="17"/>
        <v>282.80004975124359</v>
      </c>
      <c r="AR910" s="333"/>
      <c r="AS910" s="333"/>
      <c r="AT910" s="333"/>
      <c r="AU910" s="333"/>
      <c r="AV910" s="333"/>
    </row>
    <row r="911" spans="2:48" s="330" customFormat="1" ht="28.15" customHeight="1" x14ac:dyDescent="0.25">
      <c r="B911" s="359">
        <v>43917</v>
      </c>
      <c r="C911" s="360">
        <v>0</v>
      </c>
      <c r="D911" s="360">
        <v>35547.89</v>
      </c>
      <c r="E911" s="329">
        <v>308815.7</v>
      </c>
      <c r="F911" s="329">
        <v>0</v>
      </c>
      <c r="G911" s="329">
        <v>7826</v>
      </c>
      <c r="H911" s="329"/>
      <c r="I911" s="329"/>
      <c r="J911" s="329"/>
      <c r="K911" s="329"/>
      <c r="L911" s="329"/>
      <c r="M911" s="329">
        <v>650000</v>
      </c>
      <c r="N911" s="329">
        <f t="shared" si="16"/>
        <v>23079</v>
      </c>
      <c r="O911" s="329">
        <f t="shared" si="15"/>
        <v>1600</v>
      </c>
      <c r="P911" s="329">
        <v>91683</v>
      </c>
      <c r="Q911" s="329">
        <v>0</v>
      </c>
      <c r="R911" s="315">
        <f>Dailies[[#This Row],[CIBC RRSP]]+Dailies[[#This Row],[QT RRSP]]+Dailies[[#This Row],[SunLife RRSP]]</f>
        <v>316641.7</v>
      </c>
      <c r="S911" s="401">
        <f>S910+Dailies[[#This Row],[CIBC RRSP Principal Delta]]</f>
        <v>0</v>
      </c>
      <c r="T911" s="401">
        <f>T910+Dailies[[#This Row],[CIBC RESP Principal Delta]]</f>
        <v>37700.450000000004</v>
      </c>
      <c r="U911" s="402">
        <f>U910+Dailies[[#This Row],[QT RRSP Principal Delta]]</f>
        <v>322995.87</v>
      </c>
      <c r="V911" s="401">
        <f>V910+Dailies[[#This Row],[SunLife RRSP Principal Delta]]</f>
        <v>8647.61</v>
      </c>
      <c r="W911" s="315">
        <f>Dailies[[#This Row],[CIBC RRSP Principal]]+Dailies[[#This Row],[QT RRSP Principal]]+Dailies[[#This Row],[SunLife RRSP Principal]]</f>
        <v>331643.48</v>
      </c>
      <c r="X911" s="361">
        <f>Dailies[[#This Row],[CIBC RRSP Principal]]+Dailies[[#This Row],[CIBC RESP Principal]]+Dailies[[#This Row],[QT RRSP Principal]]+Dailies[[#This Row],[SunLife RRSP Principal]]</f>
        <v>369343.93</v>
      </c>
      <c r="Y911" s="315">
        <f>Dailies[[#This Row],[CIBC RRSP]]+Dailies[[#This Row],[CIBC RESP]]+Dailies[[#This Row],[QT RRSP]]+Dailies[[#This Row],[SunLife RRSP]]</f>
        <v>352189.59</v>
      </c>
      <c r="Z911" s="313">
        <f>Dailies[[#This Row],[Portfolio Total]]+Dailies[[#This Row],[Home Equity]]+Dailies[[#This Row],[Car Equity]]+Dailies[[#This Row],[Valuables Equity]]+Dailies[[#This Row],[GSK Pension]]+Dailies[[#This Row],[Home Loan]]</f>
        <v>1118551.5900000001</v>
      </c>
      <c r="AA911" s="402">
        <f>IF(ISNUMBER(C910),Dailies[[#This Row],[CIBC RRSP]]-C910-Dailies[[#This Row],[CIBC RRSP Principal Delta]],0)</f>
        <v>0</v>
      </c>
      <c r="AB911" s="402">
        <f>IF(ISNUMBER(D910),Dailies[[#This Row],[CIBC RESP]]-D910-Dailies[[#This Row],[CIBC RESP Principal Delta]],0)</f>
        <v>989.33000000000175</v>
      </c>
      <c r="AC911" s="402">
        <f>IF(ISNUMBER(E910),Dailies[[#This Row],[QT RRSP]]-E910-Dailies[[#This Row],[QT RRSP Principal Delta]],0)</f>
        <v>4493.4899999999907</v>
      </c>
      <c r="AD911" s="402">
        <f>IF(ISNUMBER(G910),Dailies[[#This Row],[SunLife RRSP]]-G910-Dailies[[#This Row],[SunLife RRSP Principal Delta]],0)</f>
        <v>0</v>
      </c>
      <c r="AE911" s="315">
        <f>Dailies[[#This Row],[CIBC RRSP Daily $]]+Dailies[[#This Row],[QT RRSP Daily $]]+Dailies[[#This Row],[SunLife RRSP Daily $]]</f>
        <v>4493.4899999999907</v>
      </c>
      <c r="AF911" s="315">
        <f>Dailies[[#This Row],[RRSP Daily $]]+Dailies[[#This Row],[CIBC RESP Daily $]]</f>
        <v>5482.8199999999924</v>
      </c>
      <c r="AG911" s="401">
        <f>IF(ISNUMBER(AJ910),Dailies[[#This Row],[VOO]]-AJ910,0)</f>
        <v>-7.3799999999999955</v>
      </c>
      <c r="AH911" s="362">
        <f>Dailies[[#This Row],[RRSP Daily $]]/Dailies[[#This Row],[RRSP Total]]</f>
        <v>1.4191087276249435E-2</v>
      </c>
      <c r="AI911" s="363">
        <f>IF(Dailies[[#This Row],[CIBC RESP]]&gt;0,Dailies[[#This Row],[CIBC RESP Daily $]]/Dailies[[#This Row],[CIBC RESP]],0)</f>
        <v>2.7830906419480925E-2</v>
      </c>
      <c r="AJ911" s="315">
        <f>VLOOKUP(Dailies[[#This Row],[Date]],Quotes[],MATCH("VOO",Quotes[#Headers],EXACT_MATCH))</f>
        <v>232.86</v>
      </c>
      <c r="AK911" s="314">
        <f>Dailies[[#This Row],[VOO Daily $]]/Dailies[[#This Row],[VOO]]</f>
        <v>-3.1692862664261766E-2</v>
      </c>
      <c r="AL911" s="314">
        <f>Dailies[[#This Row],[RRSP Daily %]]-Dailies[[#This Row],[VOO Daily %]]</f>
        <v>4.5883949940511204E-2</v>
      </c>
      <c r="AM911" s="413">
        <f t="shared" si="17"/>
        <v>282.63338308457691</v>
      </c>
      <c r="AR911" s="333"/>
      <c r="AS911" s="333"/>
      <c r="AT911" s="333"/>
      <c r="AU911" s="333"/>
      <c r="AV911" s="333"/>
    </row>
    <row r="912" spans="2:48" s="330" customFormat="1" ht="28.15" customHeight="1" x14ac:dyDescent="0.25">
      <c r="B912" s="359">
        <v>43918</v>
      </c>
      <c r="C912" s="360">
        <v>0</v>
      </c>
      <c r="D912" s="360">
        <v>35547.89</v>
      </c>
      <c r="E912" s="329">
        <v>308815.7</v>
      </c>
      <c r="F912" s="329">
        <v>0</v>
      </c>
      <c r="G912" s="329">
        <v>7826</v>
      </c>
      <c r="H912" s="329"/>
      <c r="I912" s="329"/>
      <c r="J912" s="329"/>
      <c r="K912" s="329"/>
      <c r="L912" s="329"/>
      <c r="M912" s="329">
        <v>650000</v>
      </c>
      <c r="N912" s="329">
        <f t="shared" si="16"/>
        <v>23079</v>
      </c>
      <c r="O912" s="329">
        <f t="shared" si="15"/>
        <v>1600</v>
      </c>
      <c r="P912" s="329">
        <v>91683</v>
      </c>
      <c r="Q912" s="329">
        <v>0</v>
      </c>
      <c r="R912" s="315">
        <f>Dailies[[#This Row],[CIBC RRSP]]+Dailies[[#This Row],[QT RRSP]]+Dailies[[#This Row],[SunLife RRSP]]</f>
        <v>316641.7</v>
      </c>
      <c r="S912" s="401">
        <f>S911+Dailies[[#This Row],[CIBC RRSP Principal Delta]]</f>
        <v>0</v>
      </c>
      <c r="T912" s="401">
        <f>T911+Dailies[[#This Row],[CIBC RESP Principal Delta]]</f>
        <v>37700.450000000004</v>
      </c>
      <c r="U912" s="402">
        <f>U911+Dailies[[#This Row],[QT RRSP Principal Delta]]</f>
        <v>322995.87</v>
      </c>
      <c r="V912" s="401">
        <f>V911+Dailies[[#This Row],[SunLife RRSP Principal Delta]]</f>
        <v>8647.61</v>
      </c>
      <c r="W912" s="315">
        <f>Dailies[[#This Row],[CIBC RRSP Principal]]+Dailies[[#This Row],[QT RRSP Principal]]+Dailies[[#This Row],[SunLife RRSP Principal]]</f>
        <v>331643.48</v>
      </c>
      <c r="X912" s="361">
        <f>Dailies[[#This Row],[CIBC RRSP Principal]]+Dailies[[#This Row],[CIBC RESP Principal]]+Dailies[[#This Row],[QT RRSP Principal]]+Dailies[[#This Row],[SunLife RRSP Principal]]</f>
        <v>369343.93</v>
      </c>
      <c r="Y912" s="315">
        <f>Dailies[[#This Row],[CIBC RRSP]]+Dailies[[#This Row],[CIBC RESP]]+Dailies[[#This Row],[QT RRSP]]+Dailies[[#This Row],[SunLife RRSP]]</f>
        <v>352189.59</v>
      </c>
      <c r="Z912" s="313">
        <f>Dailies[[#This Row],[Portfolio Total]]+Dailies[[#This Row],[Home Equity]]+Dailies[[#This Row],[Car Equity]]+Dailies[[#This Row],[Valuables Equity]]+Dailies[[#This Row],[GSK Pension]]+Dailies[[#This Row],[Home Loan]]</f>
        <v>1118551.5900000001</v>
      </c>
      <c r="AA912" s="402">
        <f>IF(ISNUMBER(C911),Dailies[[#This Row],[CIBC RRSP]]-C911-Dailies[[#This Row],[CIBC RRSP Principal Delta]],0)</f>
        <v>0</v>
      </c>
      <c r="AB912" s="402">
        <f>IF(ISNUMBER(D911),Dailies[[#This Row],[CIBC RESP]]-D911-Dailies[[#This Row],[CIBC RESP Principal Delta]],0)</f>
        <v>0</v>
      </c>
      <c r="AC912" s="402">
        <f>IF(ISNUMBER(E911),Dailies[[#This Row],[QT RRSP]]-E911-Dailies[[#This Row],[QT RRSP Principal Delta]],0)</f>
        <v>0</v>
      </c>
      <c r="AD912" s="402">
        <f>IF(ISNUMBER(G911),Dailies[[#This Row],[SunLife RRSP]]-G911-Dailies[[#This Row],[SunLife RRSP Principal Delta]],0)</f>
        <v>0</v>
      </c>
      <c r="AE912" s="315">
        <f>Dailies[[#This Row],[CIBC RRSP Daily $]]+Dailies[[#This Row],[QT RRSP Daily $]]+Dailies[[#This Row],[SunLife RRSP Daily $]]</f>
        <v>0</v>
      </c>
      <c r="AF912" s="315">
        <f>Dailies[[#This Row],[RRSP Daily $]]+Dailies[[#This Row],[CIBC RESP Daily $]]</f>
        <v>0</v>
      </c>
      <c r="AG912" s="401">
        <f>IF(ISNUMBER(AJ911),Dailies[[#This Row],[VOO]]-AJ911,0)</f>
        <v>0</v>
      </c>
      <c r="AH912" s="362">
        <f>Dailies[[#This Row],[RRSP Daily $]]/Dailies[[#This Row],[RRSP Total]]</f>
        <v>0</v>
      </c>
      <c r="AI912" s="363">
        <f>IF(Dailies[[#This Row],[CIBC RESP]]&gt;0,Dailies[[#This Row],[CIBC RESP Daily $]]/Dailies[[#This Row],[CIBC RESP]],0)</f>
        <v>0</v>
      </c>
      <c r="AJ912" s="315">
        <f>VLOOKUP(Dailies[[#This Row],[Date]],Quotes[],MATCH("VOO",Quotes[#Headers],EXACT_MATCH))</f>
        <v>232.86</v>
      </c>
      <c r="AK912" s="314">
        <f>Dailies[[#This Row],[VOO Daily $]]/Dailies[[#This Row],[VOO]]</f>
        <v>0</v>
      </c>
      <c r="AL912" s="314">
        <f>Dailies[[#This Row],[RRSP Daily %]]-Dailies[[#This Row],[VOO Daily %]]</f>
        <v>0</v>
      </c>
      <c r="AM912" s="413">
        <f t="shared" si="17"/>
        <v>282.42999999999978</v>
      </c>
      <c r="AR912" s="333"/>
      <c r="AS912" s="333"/>
      <c r="AT912" s="333"/>
      <c r="AU912" s="333"/>
      <c r="AV912" s="333"/>
    </row>
    <row r="913" spans="2:48" s="330" customFormat="1" ht="28.15" customHeight="1" x14ac:dyDescent="0.25">
      <c r="B913" s="359">
        <v>43919</v>
      </c>
      <c r="C913" s="360">
        <v>0</v>
      </c>
      <c r="D913" s="360">
        <v>35547.89</v>
      </c>
      <c r="E913" s="329">
        <v>308815.7</v>
      </c>
      <c r="F913" s="329">
        <v>0</v>
      </c>
      <c r="G913" s="329">
        <v>7826</v>
      </c>
      <c r="H913" s="329"/>
      <c r="I913" s="329"/>
      <c r="J913" s="329"/>
      <c r="K913" s="329"/>
      <c r="L913" s="329"/>
      <c r="M913" s="329">
        <v>650000</v>
      </c>
      <c r="N913" s="329">
        <f t="shared" si="16"/>
        <v>23079</v>
      </c>
      <c r="O913" s="329">
        <f t="shared" si="15"/>
        <v>1600</v>
      </c>
      <c r="P913" s="329">
        <v>91683</v>
      </c>
      <c r="Q913" s="329">
        <v>0</v>
      </c>
      <c r="R913" s="315">
        <f>Dailies[[#This Row],[CIBC RRSP]]+Dailies[[#This Row],[QT RRSP]]+Dailies[[#This Row],[SunLife RRSP]]</f>
        <v>316641.7</v>
      </c>
      <c r="S913" s="401">
        <f>S912+Dailies[[#This Row],[CIBC RRSP Principal Delta]]</f>
        <v>0</v>
      </c>
      <c r="T913" s="401">
        <f>T912+Dailies[[#This Row],[CIBC RESP Principal Delta]]</f>
        <v>37700.450000000004</v>
      </c>
      <c r="U913" s="402">
        <f>U912+Dailies[[#This Row],[QT RRSP Principal Delta]]</f>
        <v>322995.87</v>
      </c>
      <c r="V913" s="401">
        <f>V912+Dailies[[#This Row],[SunLife RRSP Principal Delta]]</f>
        <v>8647.61</v>
      </c>
      <c r="W913" s="315">
        <f>Dailies[[#This Row],[CIBC RRSP Principal]]+Dailies[[#This Row],[QT RRSP Principal]]+Dailies[[#This Row],[SunLife RRSP Principal]]</f>
        <v>331643.48</v>
      </c>
      <c r="X913" s="361">
        <f>Dailies[[#This Row],[CIBC RRSP Principal]]+Dailies[[#This Row],[CIBC RESP Principal]]+Dailies[[#This Row],[QT RRSP Principal]]+Dailies[[#This Row],[SunLife RRSP Principal]]</f>
        <v>369343.93</v>
      </c>
      <c r="Y913" s="315">
        <f>Dailies[[#This Row],[CIBC RRSP]]+Dailies[[#This Row],[CIBC RESP]]+Dailies[[#This Row],[QT RRSP]]+Dailies[[#This Row],[SunLife RRSP]]</f>
        <v>352189.59</v>
      </c>
      <c r="Z913" s="313">
        <f>Dailies[[#This Row],[Portfolio Total]]+Dailies[[#This Row],[Home Equity]]+Dailies[[#This Row],[Car Equity]]+Dailies[[#This Row],[Valuables Equity]]+Dailies[[#This Row],[GSK Pension]]+Dailies[[#This Row],[Home Loan]]</f>
        <v>1118551.5900000001</v>
      </c>
      <c r="AA913" s="402">
        <f>IF(ISNUMBER(C912),Dailies[[#This Row],[CIBC RRSP]]-C912-Dailies[[#This Row],[CIBC RRSP Principal Delta]],0)</f>
        <v>0</v>
      </c>
      <c r="AB913" s="402">
        <f>IF(ISNUMBER(D912),Dailies[[#This Row],[CIBC RESP]]-D912-Dailies[[#This Row],[CIBC RESP Principal Delta]],0)</f>
        <v>0</v>
      </c>
      <c r="AC913" s="402">
        <f>IF(ISNUMBER(E912),Dailies[[#This Row],[QT RRSP]]-E912-Dailies[[#This Row],[QT RRSP Principal Delta]],0)</f>
        <v>0</v>
      </c>
      <c r="AD913" s="402">
        <f>IF(ISNUMBER(G912),Dailies[[#This Row],[SunLife RRSP]]-G912-Dailies[[#This Row],[SunLife RRSP Principal Delta]],0)</f>
        <v>0</v>
      </c>
      <c r="AE913" s="315">
        <f>Dailies[[#This Row],[CIBC RRSP Daily $]]+Dailies[[#This Row],[QT RRSP Daily $]]+Dailies[[#This Row],[SunLife RRSP Daily $]]</f>
        <v>0</v>
      </c>
      <c r="AF913" s="315">
        <f>Dailies[[#This Row],[RRSP Daily $]]+Dailies[[#This Row],[CIBC RESP Daily $]]</f>
        <v>0</v>
      </c>
      <c r="AG913" s="401">
        <f>IF(ISNUMBER(AJ912),Dailies[[#This Row],[VOO]]-AJ912,0)</f>
        <v>0</v>
      </c>
      <c r="AH913" s="362">
        <f>Dailies[[#This Row],[RRSP Daily $]]/Dailies[[#This Row],[RRSP Total]]</f>
        <v>0</v>
      </c>
      <c r="AI913" s="363">
        <f>IF(Dailies[[#This Row],[CIBC RESP]]&gt;0,Dailies[[#This Row],[CIBC RESP Daily $]]/Dailies[[#This Row],[CIBC RESP]],0)</f>
        <v>0</v>
      </c>
      <c r="AJ913" s="315">
        <f>VLOOKUP(Dailies[[#This Row],[Date]],Quotes[],MATCH("VOO",Quotes[#Headers],EXACT_MATCH))</f>
        <v>232.86</v>
      </c>
      <c r="AK913" s="314">
        <f>Dailies[[#This Row],[VOO Daily $]]/Dailies[[#This Row],[VOO]]</f>
        <v>0</v>
      </c>
      <c r="AL913" s="314">
        <f>Dailies[[#This Row],[RRSP Daily %]]-Dailies[[#This Row],[VOO Daily %]]</f>
        <v>0</v>
      </c>
      <c r="AM913" s="413">
        <f t="shared" si="17"/>
        <v>282.22626865671623</v>
      </c>
      <c r="AR913" s="333"/>
      <c r="AS913" s="333"/>
      <c r="AT913" s="333"/>
      <c r="AU913" s="333"/>
      <c r="AV913" s="333"/>
    </row>
    <row r="914" spans="2:48" s="330" customFormat="1" ht="28.15" customHeight="1" x14ac:dyDescent="0.25">
      <c r="B914" s="359">
        <v>43920</v>
      </c>
      <c r="C914" s="360">
        <v>0</v>
      </c>
      <c r="D914" s="360">
        <v>35547.89</v>
      </c>
      <c r="E914" s="329">
        <v>276020.65000000002</v>
      </c>
      <c r="F914" s="329">
        <v>0</v>
      </c>
      <c r="G914" s="329">
        <v>7826</v>
      </c>
      <c r="H914" s="329"/>
      <c r="I914" s="329"/>
      <c r="J914" s="329"/>
      <c r="K914" s="329"/>
      <c r="L914" s="329"/>
      <c r="M914" s="329">
        <v>650000</v>
      </c>
      <c r="N914" s="329">
        <f t="shared" si="16"/>
        <v>23079</v>
      </c>
      <c r="O914" s="329">
        <f t="shared" si="15"/>
        <v>1600</v>
      </c>
      <c r="P914" s="329">
        <v>91683</v>
      </c>
      <c r="Q914" s="329">
        <v>0</v>
      </c>
      <c r="R914" s="315">
        <f>Dailies[[#This Row],[CIBC RRSP]]+Dailies[[#This Row],[QT RRSP]]+Dailies[[#This Row],[SunLife RRSP]]</f>
        <v>283846.65000000002</v>
      </c>
      <c r="S914" s="401">
        <f>S913+Dailies[[#This Row],[CIBC RRSP Principal Delta]]</f>
        <v>0</v>
      </c>
      <c r="T914" s="401">
        <f>T913+Dailies[[#This Row],[CIBC RESP Principal Delta]]</f>
        <v>37700.450000000004</v>
      </c>
      <c r="U914" s="402">
        <f>U913+Dailies[[#This Row],[QT RRSP Principal Delta]]</f>
        <v>322995.87</v>
      </c>
      <c r="V914" s="401">
        <f>V913+Dailies[[#This Row],[SunLife RRSP Principal Delta]]</f>
        <v>8647.61</v>
      </c>
      <c r="W914" s="315">
        <f>Dailies[[#This Row],[CIBC RRSP Principal]]+Dailies[[#This Row],[QT RRSP Principal]]+Dailies[[#This Row],[SunLife RRSP Principal]]</f>
        <v>331643.48</v>
      </c>
      <c r="X914" s="361">
        <f>Dailies[[#This Row],[CIBC RRSP Principal]]+Dailies[[#This Row],[CIBC RESP Principal]]+Dailies[[#This Row],[QT RRSP Principal]]+Dailies[[#This Row],[SunLife RRSP Principal]]</f>
        <v>369343.93</v>
      </c>
      <c r="Y914" s="315">
        <f>Dailies[[#This Row],[CIBC RRSP]]+Dailies[[#This Row],[CIBC RESP]]+Dailies[[#This Row],[QT RRSP]]+Dailies[[#This Row],[SunLife RRSP]]</f>
        <v>319394.54000000004</v>
      </c>
      <c r="Z914" s="313">
        <f>Dailies[[#This Row],[Portfolio Total]]+Dailies[[#This Row],[Home Equity]]+Dailies[[#This Row],[Car Equity]]+Dailies[[#This Row],[Valuables Equity]]+Dailies[[#This Row],[GSK Pension]]+Dailies[[#This Row],[Home Loan]]</f>
        <v>1085756.54</v>
      </c>
      <c r="AA914" s="402">
        <f>IF(ISNUMBER(C913),Dailies[[#This Row],[CIBC RRSP]]-C913-Dailies[[#This Row],[CIBC RRSP Principal Delta]],0)</f>
        <v>0</v>
      </c>
      <c r="AB914" s="402">
        <f>IF(ISNUMBER(D913),Dailies[[#This Row],[CIBC RESP]]-D913-Dailies[[#This Row],[CIBC RESP Principal Delta]],0)</f>
        <v>0</v>
      </c>
      <c r="AC914" s="402">
        <f>IF(ISNUMBER(E913),Dailies[[#This Row],[QT RRSP]]-E913-Dailies[[#This Row],[QT RRSP Principal Delta]],0)</f>
        <v>-32795.049999999988</v>
      </c>
      <c r="AD914" s="402">
        <f>IF(ISNUMBER(G913),Dailies[[#This Row],[SunLife RRSP]]-G913-Dailies[[#This Row],[SunLife RRSP Principal Delta]],0)</f>
        <v>0</v>
      </c>
      <c r="AE914" s="315">
        <f>Dailies[[#This Row],[CIBC RRSP Daily $]]+Dailies[[#This Row],[QT RRSP Daily $]]+Dailies[[#This Row],[SunLife RRSP Daily $]]</f>
        <v>-32795.049999999988</v>
      </c>
      <c r="AF914" s="315">
        <f>Dailies[[#This Row],[RRSP Daily $]]+Dailies[[#This Row],[CIBC RESP Daily $]]</f>
        <v>-32795.049999999988</v>
      </c>
      <c r="AG914" s="401">
        <f>IF(ISNUMBER(AJ913),Dailies[[#This Row],[VOO]]-AJ913,0)</f>
        <v>7.5299999999999727</v>
      </c>
      <c r="AH914" s="362">
        <f>Dailies[[#This Row],[RRSP Daily $]]/Dailies[[#This Row],[RRSP Total]]</f>
        <v>-0.11553791457464792</v>
      </c>
      <c r="AI914" s="363">
        <f>IF(Dailies[[#This Row],[CIBC RESP]]&gt;0,Dailies[[#This Row],[CIBC RESP Daily $]]/Dailies[[#This Row],[CIBC RESP]],0)</f>
        <v>0</v>
      </c>
      <c r="AJ914" s="315">
        <f>VLOOKUP(Dailies[[#This Row],[Date]],Quotes[],MATCH("VOO",Quotes[#Headers],EXACT_MATCH))</f>
        <v>240.39</v>
      </c>
      <c r="AK914" s="314">
        <f>Dailies[[#This Row],[VOO Daily $]]/Dailies[[#This Row],[VOO]]</f>
        <v>3.1324098340197067E-2</v>
      </c>
      <c r="AL914" s="314">
        <f>Dailies[[#This Row],[RRSP Daily %]]-Dailies[[#This Row],[VOO Daily %]]</f>
        <v>-0.14686201291484499</v>
      </c>
      <c r="AM914" s="413">
        <f t="shared" si="17"/>
        <v>282.02223880596995</v>
      </c>
      <c r="AR914" s="333"/>
      <c r="AS914" s="333"/>
      <c r="AT914" s="333"/>
      <c r="AU914" s="333"/>
      <c r="AV914" s="333"/>
    </row>
    <row r="915" spans="2:48" s="330" customFormat="1" ht="28.15" customHeight="1" x14ac:dyDescent="0.25">
      <c r="B915" s="359">
        <v>43921</v>
      </c>
      <c r="C915" s="360">
        <v>0</v>
      </c>
      <c r="D915" s="360">
        <v>35547.89</v>
      </c>
      <c r="E915" s="329">
        <v>272848</v>
      </c>
      <c r="F915" s="329">
        <v>0</v>
      </c>
      <c r="G915" s="329">
        <v>7826</v>
      </c>
      <c r="H915" s="329"/>
      <c r="I915" s="329"/>
      <c r="J915" s="329"/>
      <c r="K915" s="329"/>
      <c r="L915" s="329"/>
      <c r="M915" s="329">
        <v>650000</v>
      </c>
      <c r="N915" s="329">
        <f t="shared" si="16"/>
        <v>23079</v>
      </c>
      <c r="O915" s="329">
        <f t="shared" si="15"/>
        <v>1600</v>
      </c>
      <c r="P915" s="329">
        <v>91683</v>
      </c>
      <c r="Q915" s="329">
        <v>0</v>
      </c>
      <c r="R915" s="315">
        <f>Dailies[[#This Row],[CIBC RRSP]]+Dailies[[#This Row],[QT RRSP]]+Dailies[[#This Row],[SunLife RRSP]]</f>
        <v>280674</v>
      </c>
      <c r="S915" s="401">
        <f>S914+Dailies[[#This Row],[CIBC RRSP Principal Delta]]</f>
        <v>0</v>
      </c>
      <c r="T915" s="401">
        <f>T914+Dailies[[#This Row],[CIBC RESP Principal Delta]]</f>
        <v>37700.450000000004</v>
      </c>
      <c r="U915" s="402">
        <f>U914+Dailies[[#This Row],[QT RRSP Principal Delta]]</f>
        <v>322995.87</v>
      </c>
      <c r="V915" s="401">
        <f>V914+Dailies[[#This Row],[SunLife RRSP Principal Delta]]</f>
        <v>8647.61</v>
      </c>
      <c r="W915" s="315">
        <f>Dailies[[#This Row],[CIBC RRSP Principal]]+Dailies[[#This Row],[QT RRSP Principal]]+Dailies[[#This Row],[SunLife RRSP Principal]]</f>
        <v>331643.48</v>
      </c>
      <c r="X915" s="361">
        <f>Dailies[[#This Row],[CIBC RRSP Principal]]+Dailies[[#This Row],[CIBC RESP Principal]]+Dailies[[#This Row],[QT RRSP Principal]]+Dailies[[#This Row],[SunLife RRSP Principal]]</f>
        <v>369343.93</v>
      </c>
      <c r="Y915" s="315">
        <f>Dailies[[#This Row],[CIBC RRSP]]+Dailies[[#This Row],[CIBC RESP]]+Dailies[[#This Row],[QT RRSP]]+Dailies[[#This Row],[SunLife RRSP]]</f>
        <v>316221.89</v>
      </c>
      <c r="Z915" s="313">
        <f>Dailies[[#This Row],[Portfolio Total]]+Dailies[[#This Row],[Home Equity]]+Dailies[[#This Row],[Car Equity]]+Dailies[[#This Row],[Valuables Equity]]+Dailies[[#This Row],[GSK Pension]]+Dailies[[#This Row],[Home Loan]]</f>
        <v>1082583.8900000001</v>
      </c>
      <c r="AA915" s="402">
        <f>IF(ISNUMBER(C914),Dailies[[#This Row],[CIBC RRSP]]-C914-Dailies[[#This Row],[CIBC RRSP Principal Delta]],0)</f>
        <v>0</v>
      </c>
      <c r="AB915" s="402">
        <f>IF(ISNUMBER(D914),Dailies[[#This Row],[CIBC RESP]]-D914-Dailies[[#This Row],[CIBC RESP Principal Delta]],0)</f>
        <v>0</v>
      </c>
      <c r="AC915" s="402">
        <f>IF(ISNUMBER(E914),Dailies[[#This Row],[QT RRSP]]-E914-Dailies[[#This Row],[QT RRSP Principal Delta]],0)</f>
        <v>-3172.6500000000233</v>
      </c>
      <c r="AD915" s="402">
        <f>IF(ISNUMBER(G914),Dailies[[#This Row],[SunLife RRSP]]-G914-Dailies[[#This Row],[SunLife RRSP Principal Delta]],0)</f>
        <v>0</v>
      </c>
      <c r="AE915" s="315">
        <f>Dailies[[#This Row],[CIBC RRSP Daily $]]+Dailies[[#This Row],[QT RRSP Daily $]]+Dailies[[#This Row],[SunLife RRSP Daily $]]</f>
        <v>-3172.6500000000233</v>
      </c>
      <c r="AF915" s="315">
        <f>Dailies[[#This Row],[RRSP Daily $]]+Dailies[[#This Row],[CIBC RESP Daily $]]</f>
        <v>-3172.6500000000233</v>
      </c>
      <c r="AG915" s="401">
        <f>IF(ISNUMBER(AJ914),Dailies[[#This Row],[VOO]]-AJ914,0)</f>
        <v>-3.5699999999999932</v>
      </c>
      <c r="AH915" s="362">
        <f>Dailies[[#This Row],[RRSP Daily $]]/Dailies[[#This Row],[RRSP Total]]</f>
        <v>-1.1303683276684065E-2</v>
      </c>
      <c r="AI915" s="363">
        <f>IF(Dailies[[#This Row],[CIBC RESP]]&gt;0,Dailies[[#This Row],[CIBC RESP Daily $]]/Dailies[[#This Row],[CIBC RESP]],0)</f>
        <v>0</v>
      </c>
      <c r="AJ915" s="315">
        <f>VLOOKUP(Dailies[[#This Row],[Date]],Quotes[],MATCH("VOO",Quotes[#Headers],EXACT_MATCH))</f>
        <v>236.82</v>
      </c>
      <c r="AK915" s="314">
        <f>Dailies[[#This Row],[VOO Daily $]]/Dailies[[#This Row],[VOO]]</f>
        <v>-1.5074740309095487E-2</v>
      </c>
      <c r="AL915" s="314">
        <f>Dailies[[#This Row],[RRSP Daily %]]-Dailies[[#This Row],[VOO Daily %]]</f>
        <v>3.771057032411422E-3</v>
      </c>
      <c r="AM915" s="413">
        <f t="shared" si="17"/>
        <v>281.845870646766</v>
      </c>
      <c r="AR915" s="333"/>
      <c r="AS915" s="333"/>
      <c r="AT915" s="333"/>
      <c r="AU915" s="333"/>
      <c r="AV915" s="333"/>
    </row>
    <row r="916" spans="2:48" s="330" customFormat="1" ht="28.15" customHeight="1" x14ac:dyDescent="0.25">
      <c r="B916" s="359">
        <v>43922</v>
      </c>
      <c r="C916" s="360">
        <v>0</v>
      </c>
      <c r="D916" s="360">
        <v>35547.89</v>
      </c>
      <c r="E916" s="329">
        <v>272848</v>
      </c>
      <c r="F916" s="329">
        <v>0</v>
      </c>
      <c r="G916" s="329">
        <v>7826</v>
      </c>
      <c r="H916" s="329"/>
      <c r="I916" s="329"/>
      <c r="J916" s="329"/>
      <c r="K916" s="329"/>
      <c r="L916" s="329"/>
      <c r="M916" s="329">
        <v>650000</v>
      </c>
      <c r="N916" s="329">
        <f t="shared" si="16"/>
        <v>23079</v>
      </c>
      <c r="O916" s="329">
        <f t="shared" si="15"/>
        <v>1600</v>
      </c>
      <c r="P916" s="329">
        <v>91683</v>
      </c>
      <c r="Q916" s="329">
        <v>0</v>
      </c>
      <c r="R916" s="315">
        <f>Dailies[[#This Row],[CIBC RRSP]]+Dailies[[#This Row],[QT RRSP]]+Dailies[[#This Row],[SunLife RRSP]]</f>
        <v>280674</v>
      </c>
      <c r="S916" s="401">
        <f>S915+Dailies[[#This Row],[CIBC RRSP Principal Delta]]</f>
        <v>0</v>
      </c>
      <c r="T916" s="401">
        <f>T915+Dailies[[#This Row],[CIBC RESP Principal Delta]]</f>
        <v>37700.450000000004</v>
      </c>
      <c r="U916" s="402">
        <f>U915+Dailies[[#This Row],[QT RRSP Principal Delta]]</f>
        <v>322995.87</v>
      </c>
      <c r="V916" s="401">
        <f>V915+Dailies[[#This Row],[SunLife RRSP Principal Delta]]</f>
        <v>8647.61</v>
      </c>
      <c r="W916" s="315">
        <f>Dailies[[#This Row],[CIBC RRSP Principal]]+Dailies[[#This Row],[QT RRSP Principal]]+Dailies[[#This Row],[SunLife RRSP Principal]]</f>
        <v>331643.48</v>
      </c>
      <c r="X916" s="361">
        <f>Dailies[[#This Row],[CIBC RRSP Principal]]+Dailies[[#This Row],[CIBC RESP Principal]]+Dailies[[#This Row],[QT RRSP Principal]]+Dailies[[#This Row],[SunLife RRSP Principal]]</f>
        <v>369343.93</v>
      </c>
      <c r="Y916" s="315">
        <f>Dailies[[#This Row],[CIBC RRSP]]+Dailies[[#This Row],[CIBC RESP]]+Dailies[[#This Row],[QT RRSP]]+Dailies[[#This Row],[SunLife RRSP]]</f>
        <v>316221.89</v>
      </c>
      <c r="Z916" s="313">
        <f>Dailies[[#This Row],[Portfolio Total]]+Dailies[[#This Row],[Home Equity]]+Dailies[[#This Row],[Car Equity]]+Dailies[[#This Row],[Valuables Equity]]+Dailies[[#This Row],[GSK Pension]]+Dailies[[#This Row],[Home Loan]]</f>
        <v>1082583.8900000001</v>
      </c>
      <c r="AA916" s="402">
        <f>IF(ISNUMBER(C915),Dailies[[#This Row],[CIBC RRSP]]-C915-Dailies[[#This Row],[CIBC RRSP Principal Delta]],0)</f>
        <v>0</v>
      </c>
      <c r="AB916" s="402">
        <f>IF(ISNUMBER(D915),Dailies[[#This Row],[CIBC RESP]]-D915-Dailies[[#This Row],[CIBC RESP Principal Delta]],0)</f>
        <v>0</v>
      </c>
      <c r="AC916" s="402">
        <f>IF(ISNUMBER(E915),Dailies[[#This Row],[QT RRSP]]-E915-Dailies[[#This Row],[QT RRSP Principal Delta]],0)</f>
        <v>0</v>
      </c>
      <c r="AD916" s="402">
        <f>IF(ISNUMBER(G915),Dailies[[#This Row],[SunLife RRSP]]-G915-Dailies[[#This Row],[SunLife RRSP Principal Delta]],0)</f>
        <v>0</v>
      </c>
      <c r="AE916" s="315">
        <f>Dailies[[#This Row],[CIBC RRSP Daily $]]+Dailies[[#This Row],[QT RRSP Daily $]]+Dailies[[#This Row],[SunLife RRSP Daily $]]</f>
        <v>0</v>
      </c>
      <c r="AF916" s="315">
        <f>Dailies[[#This Row],[RRSP Daily $]]+Dailies[[#This Row],[CIBC RESP Daily $]]</f>
        <v>0</v>
      </c>
      <c r="AG916" s="401">
        <f>IF(ISNUMBER(AJ915),Dailies[[#This Row],[VOO]]-AJ915,0)</f>
        <v>-10.669999999999987</v>
      </c>
      <c r="AH916" s="362">
        <f>Dailies[[#This Row],[RRSP Daily $]]/Dailies[[#This Row],[RRSP Total]]</f>
        <v>0</v>
      </c>
      <c r="AI916" s="363">
        <f>IF(Dailies[[#This Row],[CIBC RESP]]&gt;0,Dailies[[#This Row],[CIBC RESP Daily $]]/Dailies[[#This Row],[CIBC RESP]],0)</f>
        <v>0</v>
      </c>
      <c r="AJ916" s="315">
        <f>VLOOKUP(Dailies[[#This Row],[Date]],Quotes[],MATCH("VOO",Quotes[#Headers],EXACT_MATCH))</f>
        <v>226.15</v>
      </c>
      <c r="AK916" s="314">
        <f>Dailies[[#This Row],[VOO Daily $]]/Dailies[[#This Row],[VOO]]</f>
        <v>-4.7181074508069812E-2</v>
      </c>
      <c r="AL916" s="314">
        <f>Dailies[[#This Row],[RRSP Daily %]]-Dailies[[#This Row],[VOO Daily %]]</f>
        <v>4.7181074508069812E-2</v>
      </c>
      <c r="AM916" s="413">
        <f t="shared" si="17"/>
        <v>281.64771144278592</v>
      </c>
      <c r="AR916" s="333"/>
      <c r="AS916" s="333"/>
      <c r="AT916" s="333"/>
      <c r="AU916" s="333"/>
      <c r="AV916" s="333"/>
    </row>
    <row r="917" spans="2:48" s="330" customFormat="1" ht="28.15" customHeight="1" x14ac:dyDescent="0.25">
      <c r="B917" s="359">
        <v>43923</v>
      </c>
      <c r="C917" s="360">
        <v>0</v>
      </c>
      <c r="D917" s="360">
        <v>35547.89</v>
      </c>
      <c r="E917" s="329">
        <v>272848</v>
      </c>
      <c r="F917" s="329">
        <v>0</v>
      </c>
      <c r="G917" s="329">
        <v>7826</v>
      </c>
      <c r="H917" s="329"/>
      <c r="I917" s="329"/>
      <c r="J917" s="329"/>
      <c r="K917" s="329"/>
      <c r="L917" s="329"/>
      <c r="M917" s="329">
        <v>650000</v>
      </c>
      <c r="N917" s="329">
        <f t="shared" si="16"/>
        <v>23079</v>
      </c>
      <c r="O917" s="329">
        <f t="shared" si="15"/>
        <v>1600</v>
      </c>
      <c r="P917" s="329">
        <v>91683</v>
      </c>
      <c r="Q917" s="329">
        <v>0</v>
      </c>
      <c r="R917" s="315">
        <f>Dailies[[#This Row],[CIBC RRSP]]+Dailies[[#This Row],[QT RRSP]]+Dailies[[#This Row],[SunLife RRSP]]</f>
        <v>280674</v>
      </c>
      <c r="S917" s="401">
        <f>S916+Dailies[[#This Row],[CIBC RRSP Principal Delta]]</f>
        <v>0</v>
      </c>
      <c r="T917" s="401">
        <f>T916+Dailies[[#This Row],[CIBC RESP Principal Delta]]</f>
        <v>37700.450000000004</v>
      </c>
      <c r="U917" s="402">
        <f>U916+Dailies[[#This Row],[QT RRSP Principal Delta]]</f>
        <v>322995.87</v>
      </c>
      <c r="V917" s="401">
        <f>V916+Dailies[[#This Row],[SunLife RRSP Principal Delta]]</f>
        <v>8647.61</v>
      </c>
      <c r="W917" s="315">
        <f>Dailies[[#This Row],[CIBC RRSP Principal]]+Dailies[[#This Row],[QT RRSP Principal]]+Dailies[[#This Row],[SunLife RRSP Principal]]</f>
        <v>331643.48</v>
      </c>
      <c r="X917" s="361">
        <f>Dailies[[#This Row],[CIBC RRSP Principal]]+Dailies[[#This Row],[CIBC RESP Principal]]+Dailies[[#This Row],[QT RRSP Principal]]+Dailies[[#This Row],[SunLife RRSP Principal]]</f>
        <v>369343.93</v>
      </c>
      <c r="Y917" s="315">
        <f>Dailies[[#This Row],[CIBC RRSP]]+Dailies[[#This Row],[CIBC RESP]]+Dailies[[#This Row],[QT RRSP]]+Dailies[[#This Row],[SunLife RRSP]]</f>
        <v>316221.89</v>
      </c>
      <c r="Z917" s="313">
        <f>Dailies[[#This Row],[Portfolio Total]]+Dailies[[#This Row],[Home Equity]]+Dailies[[#This Row],[Car Equity]]+Dailies[[#This Row],[Valuables Equity]]+Dailies[[#This Row],[GSK Pension]]+Dailies[[#This Row],[Home Loan]]</f>
        <v>1082583.8900000001</v>
      </c>
      <c r="AA917" s="402">
        <f>IF(ISNUMBER(C916),Dailies[[#This Row],[CIBC RRSP]]-C916-Dailies[[#This Row],[CIBC RRSP Principal Delta]],0)</f>
        <v>0</v>
      </c>
      <c r="AB917" s="402">
        <f>IF(ISNUMBER(D916),Dailies[[#This Row],[CIBC RESP]]-D916-Dailies[[#This Row],[CIBC RESP Principal Delta]],0)</f>
        <v>0</v>
      </c>
      <c r="AC917" s="402">
        <f>IF(ISNUMBER(E916),Dailies[[#This Row],[QT RRSP]]-E916-Dailies[[#This Row],[QT RRSP Principal Delta]],0)</f>
        <v>0</v>
      </c>
      <c r="AD917" s="402">
        <f>IF(ISNUMBER(G916),Dailies[[#This Row],[SunLife RRSP]]-G916-Dailies[[#This Row],[SunLife RRSP Principal Delta]],0)</f>
        <v>0</v>
      </c>
      <c r="AE917" s="315">
        <f>Dailies[[#This Row],[CIBC RRSP Daily $]]+Dailies[[#This Row],[QT RRSP Daily $]]+Dailies[[#This Row],[SunLife RRSP Daily $]]</f>
        <v>0</v>
      </c>
      <c r="AF917" s="315">
        <f>Dailies[[#This Row],[RRSP Daily $]]+Dailies[[#This Row],[CIBC RESP Daily $]]</f>
        <v>0</v>
      </c>
      <c r="AG917" s="401">
        <f>IF(ISNUMBER(AJ916),Dailies[[#This Row],[VOO]]-AJ916,0)</f>
        <v>5.289999999999992</v>
      </c>
      <c r="AH917" s="362">
        <f>Dailies[[#This Row],[RRSP Daily $]]/Dailies[[#This Row],[RRSP Total]]</f>
        <v>0</v>
      </c>
      <c r="AI917" s="363">
        <f>IF(Dailies[[#This Row],[CIBC RESP]]&gt;0,Dailies[[#This Row],[CIBC RESP Daily $]]/Dailies[[#This Row],[CIBC RESP]],0)</f>
        <v>0</v>
      </c>
      <c r="AJ917" s="315">
        <f>VLOOKUP(Dailies[[#This Row],[Date]],Quotes[],MATCH("VOO",Quotes[#Headers],EXACT_MATCH))</f>
        <v>231.44</v>
      </c>
      <c r="AK917" s="314">
        <f>Dailies[[#This Row],[VOO Daily $]]/Dailies[[#This Row],[VOO]]</f>
        <v>2.2856895955755237E-2</v>
      </c>
      <c r="AL917" s="314">
        <f>Dailies[[#This Row],[RRSP Daily %]]-Dailies[[#This Row],[VOO Daily %]]</f>
        <v>-2.2856895955755237E-2</v>
      </c>
      <c r="AM917" s="413">
        <f t="shared" si="17"/>
        <v>281.3968159203979</v>
      </c>
      <c r="AR917" s="333"/>
      <c r="AS917" s="333"/>
      <c r="AT917" s="333"/>
      <c r="AU917" s="333"/>
      <c r="AV917" s="333"/>
    </row>
    <row r="918" spans="2:48" s="330" customFormat="1" ht="28.15" customHeight="1" x14ac:dyDescent="0.25">
      <c r="B918" s="359">
        <v>43924</v>
      </c>
      <c r="C918" s="360">
        <v>0</v>
      </c>
      <c r="D918" s="360">
        <v>35547.89</v>
      </c>
      <c r="E918" s="329">
        <v>272848</v>
      </c>
      <c r="F918" s="329">
        <v>0</v>
      </c>
      <c r="G918" s="329">
        <v>7826</v>
      </c>
      <c r="H918" s="329"/>
      <c r="I918" s="329"/>
      <c r="J918" s="329"/>
      <c r="K918" s="329"/>
      <c r="L918" s="329"/>
      <c r="M918" s="329">
        <v>650000</v>
      </c>
      <c r="N918" s="329">
        <f t="shared" si="16"/>
        <v>23079</v>
      </c>
      <c r="O918" s="329">
        <f t="shared" si="15"/>
        <v>1600</v>
      </c>
      <c r="P918" s="329">
        <v>91683</v>
      </c>
      <c r="Q918" s="329">
        <v>0</v>
      </c>
      <c r="R918" s="315">
        <f>Dailies[[#This Row],[CIBC RRSP]]+Dailies[[#This Row],[QT RRSP]]+Dailies[[#This Row],[SunLife RRSP]]</f>
        <v>280674</v>
      </c>
      <c r="S918" s="401">
        <f>S917+Dailies[[#This Row],[CIBC RRSP Principal Delta]]</f>
        <v>0</v>
      </c>
      <c r="T918" s="401">
        <f>T917+Dailies[[#This Row],[CIBC RESP Principal Delta]]</f>
        <v>37700.450000000004</v>
      </c>
      <c r="U918" s="402">
        <f>U917+Dailies[[#This Row],[QT RRSP Principal Delta]]</f>
        <v>322995.87</v>
      </c>
      <c r="V918" s="401">
        <f>V917+Dailies[[#This Row],[SunLife RRSP Principal Delta]]</f>
        <v>8647.61</v>
      </c>
      <c r="W918" s="315">
        <f>Dailies[[#This Row],[CIBC RRSP Principal]]+Dailies[[#This Row],[QT RRSP Principal]]+Dailies[[#This Row],[SunLife RRSP Principal]]</f>
        <v>331643.48</v>
      </c>
      <c r="X918" s="361">
        <f>Dailies[[#This Row],[CIBC RRSP Principal]]+Dailies[[#This Row],[CIBC RESP Principal]]+Dailies[[#This Row],[QT RRSP Principal]]+Dailies[[#This Row],[SunLife RRSP Principal]]</f>
        <v>369343.93</v>
      </c>
      <c r="Y918" s="315">
        <f>Dailies[[#This Row],[CIBC RRSP]]+Dailies[[#This Row],[CIBC RESP]]+Dailies[[#This Row],[QT RRSP]]+Dailies[[#This Row],[SunLife RRSP]]</f>
        <v>316221.89</v>
      </c>
      <c r="Z918" s="313">
        <f>Dailies[[#This Row],[Portfolio Total]]+Dailies[[#This Row],[Home Equity]]+Dailies[[#This Row],[Car Equity]]+Dailies[[#This Row],[Valuables Equity]]+Dailies[[#This Row],[GSK Pension]]+Dailies[[#This Row],[Home Loan]]</f>
        <v>1082583.8900000001</v>
      </c>
      <c r="AA918" s="402">
        <f>IF(ISNUMBER(C917),Dailies[[#This Row],[CIBC RRSP]]-C917-Dailies[[#This Row],[CIBC RRSP Principal Delta]],0)</f>
        <v>0</v>
      </c>
      <c r="AB918" s="402">
        <f>IF(ISNUMBER(D917),Dailies[[#This Row],[CIBC RESP]]-D917-Dailies[[#This Row],[CIBC RESP Principal Delta]],0)</f>
        <v>0</v>
      </c>
      <c r="AC918" s="402">
        <f>IF(ISNUMBER(E917),Dailies[[#This Row],[QT RRSP]]-E917-Dailies[[#This Row],[QT RRSP Principal Delta]],0)</f>
        <v>0</v>
      </c>
      <c r="AD918" s="402">
        <f>IF(ISNUMBER(G917),Dailies[[#This Row],[SunLife RRSP]]-G917-Dailies[[#This Row],[SunLife RRSP Principal Delta]],0)</f>
        <v>0</v>
      </c>
      <c r="AE918" s="315">
        <f>Dailies[[#This Row],[CIBC RRSP Daily $]]+Dailies[[#This Row],[QT RRSP Daily $]]+Dailies[[#This Row],[SunLife RRSP Daily $]]</f>
        <v>0</v>
      </c>
      <c r="AF918" s="315">
        <f>Dailies[[#This Row],[RRSP Daily $]]+Dailies[[#This Row],[CIBC RESP Daily $]]</f>
        <v>0</v>
      </c>
      <c r="AG918" s="401">
        <f>IF(ISNUMBER(AJ917),Dailies[[#This Row],[VOO]]-AJ917,0)</f>
        <v>-3.4199999999999875</v>
      </c>
      <c r="AH918" s="362">
        <f>Dailies[[#This Row],[RRSP Daily $]]/Dailies[[#This Row],[RRSP Total]]</f>
        <v>0</v>
      </c>
      <c r="AI918" s="363">
        <f>IF(Dailies[[#This Row],[CIBC RESP]]&gt;0,Dailies[[#This Row],[CIBC RESP Daily $]]/Dailies[[#This Row],[CIBC RESP]],0)</f>
        <v>0</v>
      </c>
      <c r="AJ918" s="315">
        <f>VLOOKUP(Dailies[[#This Row],[Date]],Quotes[],MATCH("VOO",Quotes[#Headers],EXACT_MATCH))</f>
        <v>228.02</v>
      </c>
      <c r="AK918" s="314">
        <f>Dailies[[#This Row],[VOO Daily $]]/Dailies[[#This Row],[VOO]]</f>
        <v>-1.4998684325936266E-2</v>
      </c>
      <c r="AL918" s="314">
        <f>Dailies[[#This Row],[RRSP Daily %]]-Dailies[[#This Row],[VOO Daily %]]</f>
        <v>1.4998684325936266E-2</v>
      </c>
      <c r="AM918" s="413">
        <f t="shared" si="17"/>
        <v>281.17223880597004</v>
      </c>
      <c r="AR918" s="333"/>
      <c r="AS918" s="333"/>
      <c r="AT918" s="333"/>
      <c r="AU918" s="333"/>
      <c r="AV918" s="333"/>
    </row>
    <row r="919" spans="2:48" s="330" customFormat="1" ht="28.15" customHeight="1" x14ac:dyDescent="0.25">
      <c r="B919" s="359">
        <v>43925</v>
      </c>
      <c r="C919" s="360">
        <v>0</v>
      </c>
      <c r="D919" s="360">
        <v>35547.89</v>
      </c>
      <c r="E919" s="329">
        <v>272848</v>
      </c>
      <c r="F919" s="329">
        <v>0</v>
      </c>
      <c r="G919" s="329">
        <v>7826</v>
      </c>
      <c r="H919" s="329"/>
      <c r="I919" s="329"/>
      <c r="J919" s="329"/>
      <c r="K919" s="329"/>
      <c r="L919" s="329"/>
      <c r="M919" s="329">
        <v>650000</v>
      </c>
      <c r="N919" s="329">
        <f t="shared" si="16"/>
        <v>23079</v>
      </c>
      <c r="O919" s="329">
        <f t="shared" si="15"/>
        <v>1600</v>
      </c>
      <c r="P919" s="329">
        <v>91683</v>
      </c>
      <c r="Q919" s="329">
        <v>0</v>
      </c>
      <c r="R919" s="315">
        <f>Dailies[[#This Row],[CIBC RRSP]]+Dailies[[#This Row],[QT RRSP]]+Dailies[[#This Row],[SunLife RRSP]]</f>
        <v>280674</v>
      </c>
      <c r="S919" s="401">
        <f>S918+Dailies[[#This Row],[CIBC RRSP Principal Delta]]</f>
        <v>0</v>
      </c>
      <c r="T919" s="401">
        <f>T918+Dailies[[#This Row],[CIBC RESP Principal Delta]]</f>
        <v>37700.450000000004</v>
      </c>
      <c r="U919" s="402">
        <f>U918+Dailies[[#This Row],[QT RRSP Principal Delta]]</f>
        <v>322995.87</v>
      </c>
      <c r="V919" s="401">
        <f>V918+Dailies[[#This Row],[SunLife RRSP Principal Delta]]</f>
        <v>8647.61</v>
      </c>
      <c r="W919" s="315">
        <f>Dailies[[#This Row],[CIBC RRSP Principal]]+Dailies[[#This Row],[QT RRSP Principal]]+Dailies[[#This Row],[SunLife RRSP Principal]]</f>
        <v>331643.48</v>
      </c>
      <c r="X919" s="361">
        <f>Dailies[[#This Row],[CIBC RRSP Principal]]+Dailies[[#This Row],[CIBC RESP Principal]]+Dailies[[#This Row],[QT RRSP Principal]]+Dailies[[#This Row],[SunLife RRSP Principal]]</f>
        <v>369343.93</v>
      </c>
      <c r="Y919" s="315">
        <f>Dailies[[#This Row],[CIBC RRSP]]+Dailies[[#This Row],[CIBC RESP]]+Dailies[[#This Row],[QT RRSP]]+Dailies[[#This Row],[SunLife RRSP]]</f>
        <v>316221.89</v>
      </c>
      <c r="Z919" s="313">
        <f>Dailies[[#This Row],[Portfolio Total]]+Dailies[[#This Row],[Home Equity]]+Dailies[[#This Row],[Car Equity]]+Dailies[[#This Row],[Valuables Equity]]+Dailies[[#This Row],[GSK Pension]]+Dailies[[#This Row],[Home Loan]]</f>
        <v>1082583.8900000001</v>
      </c>
      <c r="AA919" s="402">
        <f>IF(ISNUMBER(C918),Dailies[[#This Row],[CIBC RRSP]]-C918-Dailies[[#This Row],[CIBC RRSP Principal Delta]],0)</f>
        <v>0</v>
      </c>
      <c r="AB919" s="402">
        <f>IF(ISNUMBER(D918),Dailies[[#This Row],[CIBC RESP]]-D918-Dailies[[#This Row],[CIBC RESP Principal Delta]],0)</f>
        <v>0</v>
      </c>
      <c r="AC919" s="402">
        <f>IF(ISNUMBER(E918),Dailies[[#This Row],[QT RRSP]]-E918-Dailies[[#This Row],[QT RRSP Principal Delta]],0)</f>
        <v>0</v>
      </c>
      <c r="AD919" s="402">
        <f>IF(ISNUMBER(G918),Dailies[[#This Row],[SunLife RRSP]]-G918-Dailies[[#This Row],[SunLife RRSP Principal Delta]],0)</f>
        <v>0</v>
      </c>
      <c r="AE919" s="315">
        <f>Dailies[[#This Row],[CIBC RRSP Daily $]]+Dailies[[#This Row],[QT RRSP Daily $]]+Dailies[[#This Row],[SunLife RRSP Daily $]]</f>
        <v>0</v>
      </c>
      <c r="AF919" s="315">
        <f>Dailies[[#This Row],[RRSP Daily $]]+Dailies[[#This Row],[CIBC RESP Daily $]]</f>
        <v>0</v>
      </c>
      <c r="AG919" s="401">
        <f>IF(ISNUMBER(AJ918),Dailies[[#This Row],[VOO]]-AJ918,0)</f>
        <v>0</v>
      </c>
      <c r="AH919" s="362">
        <f>Dailies[[#This Row],[RRSP Daily $]]/Dailies[[#This Row],[RRSP Total]]</f>
        <v>0</v>
      </c>
      <c r="AI919" s="363">
        <f>IF(Dailies[[#This Row],[CIBC RESP]]&gt;0,Dailies[[#This Row],[CIBC RESP Daily $]]/Dailies[[#This Row],[CIBC RESP]],0)</f>
        <v>0</v>
      </c>
      <c r="AJ919" s="315">
        <f>VLOOKUP(Dailies[[#This Row],[Date]],Quotes[],MATCH("VOO",Quotes[#Headers],EXACT_MATCH))</f>
        <v>228.02</v>
      </c>
      <c r="AK919" s="314">
        <f>Dailies[[#This Row],[VOO Daily $]]/Dailies[[#This Row],[VOO]]</f>
        <v>0</v>
      </c>
      <c r="AL919" s="314">
        <f>Dailies[[#This Row],[RRSP Daily %]]-Dailies[[#This Row],[VOO Daily %]]</f>
        <v>0</v>
      </c>
      <c r="AM919" s="413">
        <f t="shared" si="17"/>
        <v>280.93064676616899</v>
      </c>
      <c r="AR919" s="333"/>
      <c r="AS919" s="333"/>
      <c r="AT919" s="333"/>
      <c r="AU919" s="333"/>
      <c r="AV919" s="333"/>
    </row>
    <row r="920" spans="2:48" s="330" customFormat="1" ht="28.15" customHeight="1" x14ac:dyDescent="0.25">
      <c r="B920" s="359">
        <v>43926</v>
      </c>
      <c r="C920" s="360">
        <v>0</v>
      </c>
      <c r="D920" s="360">
        <v>35547.89</v>
      </c>
      <c r="E920" s="329">
        <v>272848</v>
      </c>
      <c r="F920" s="329">
        <v>0</v>
      </c>
      <c r="G920" s="329">
        <v>7826</v>
      </c>
      <c r="H920" s="329"/>
      <c r="I920" s="329"/>
      <c r="J920" s="329"/>
      <c r="K920" s="329"/>
      <c r="L920" s="329"/>
      <c r="M920" s="329">
        <v>650000</v>
      </c>
      <c r="N920" s="329">
        <f t="shared" si="16"/>
        <v>23079</v>
      </c>
      <c r="O920" s="329">
        <f t="shared" ref="O920:O977" si="18">900+700</f>
        <v>1600</v>
      </c>
      <c r="P920" s="329">
        <v>91683</v>
      </c>
      <c r="Q920" s="329">
        <v>0</v>
      </c>
      <c r="R920" s="315">
        <f>Dailies[[#This Row],[CIBC RRSP]]+Dailies[[#This Row],[QT RRSP]]+Dailies[[#This Row],[SunLife RRSP]]</f>
        <v>280674</v>
      </c>
      <c r="S920" s="401">
        <f>S919+Dailies[[#This Row],[CIBC RRSP Principal Delta]]</f>
        <v>0</v>
      </c>
      <c r="T920" s="401">
        <f>T919+Dailies[[#This Row],[CIBC RESP Principal Delta]]</f>
        <v>37700.450000000004</v>
      </c>
      <c r="U920" s="402">
        <f>U919+Dailies[[#This Row],[QT RRSP Principal Delta]]</f>
        <v>322995.87</v>
      </c>
      <c r="V920" s="401">
        <f>V919+Dailies[[#This Row],[SunLife RRSP Principal Delta]]</f>
        <v>8647.61</v>
      </c>
      <c r="W920" s="315">
        <f>Dailies[[#This Row],[CIBC RRSP Principal]]+Dailies[[#This Row],[QT RRSP Principal]]+Dailies[[#This Row],[SunLife RRSP Principal]]</f>
        <v>331643.48</v>
      </c>
      <c r="X920" s="361">
        <f>Dailies[[#This Row],[CIBC RRSP Principal]]+Dailies[[#This Row],[CIBC RESP Principal]]+Dailies[[#This Row],[QT RRSP Principal]]+Dailies[[#This Row],[SunLife RRSP Principal]]</f>
        <v>369343.93</v>
      </c>
      <c r="Y920" s="315">
        <f>Dailies[[#This Row],[CIBC RRSP]]+Dailies[[#This Row],[CIBC RESP]]+Dailies[[#This Row],[QT RRSP]]+Dailies[[#This Row],[SunLife RRSP]]</f>
        <v>316221.89</v>
      </c>
      <c r="Z920" s="313">
        <f>Dailies[[#This Row],[Portfolio Total]]+Dailies[[#This Row],[Home Equity]]+Dailies[[#This Row],[Car Equity]]+Dailies[[#This Row],[Valuables Equity]]+Dailies[[#This Row],[GSK Pension]]+Dailies[[#This Row],[Home Loan]]</f>
        <v>1082583.8900000001</v>
      </c>
      <c r="AA920" s="402">
        <f>IF(ISNUMBER(C919),Dailies[[#This Row],[CIBC RRSP]]-C919-Dailies[[#This Row],[CIBC RRSP Principal Delta]],0)</f>
        <v>0</v>
      </c>
      <c r="AB920" s="402">
        <f>IF(ISNUMBER(D919),Dailies[[#This Row],[CIBC RESP]]-D919-Dailies[[#This Row],[CIBC RESP Principal Delta]],0)</f>
        <v>0</v>
      </c>
      <c r="AC920" s="402">
        <f>IF(ISNUMBER(E919),Dailies[[#This Row],[QT RRSP]]-E919-Dailies[[#This Row],[QT RRSP Principal Delta]],0)</f>
        <v>0</v>
      </c>
      <c r="AD920" s="402">
        <f>IF(ISNUMBER(G919),Dailies[[#This Row],[SunLife RRSP]]-G919-Dailies[[#This Row],[SunLife RRSP Principal Delta]],0)</f>
        <v>0</v>
      </c>
      <c r="AE920" s="315">
        <f>Dailies[[#This Row],[CIBC RRSP Daily $]]+Dailies[[#This Row],[QT RRSP Daily $]]+Dailies[[#This Row],[SunLife RRSP Daily $]]</f>
        <v>0</v>
      </c>
      <c r="AF920" s="315">
        <f>Dailies[[#This Row],[RRSP Daily $]]+Dailies[[#This Row],[CIBC RESP Daily $]]</f>
        <v>0</v>
      </c>
      <c r="AG920" s="401">
        <f>IF(ISNUMBER(AJ919),Dailies[[#This Row],[VOO]]-AJ919,0)</f>
        <v>0</v>
      </c>
      <c r="AH920" s="362">
        <f>Dailies[[#This Row],[RRSP Daily $]]/Dailies[[#This Row],[RRSP Total]]</f>
        <v>0</v>
      </c>
      <c r="AI920" s="363">
        <f>IF(Dailies[[#This Row],[CIBC RESP]]&gt;0,Dailies[[#This Row],[CIBC RESP Daily $]]/Dailies[[#This Row],[CIBC RESP]],0)</f>
        <v>0</v>
      </c>
      <c r="AJ920" s="315">
        <f>VLOOKUP(Dailies[[#This Row],[Date]],Quotes[],MATCH("VOO",Quotes[#Headers],EXACT_MATCH))</f>
        <v>228.02</v>
      </c>
      <c r="AK920" s="314">
        <f>Dailies[[#This Row],[VOO Daily $]]/Dailies[[#This Row],[VOO]]</f>
        <v>0</v>
      </c>
      <c r="AL920" s="314">
        <f>Dailies[[#This Row],[RRSP Daily %]]-Dailies[[#This Row],[VOO Daily %]]</f>
        <v>0</v>
      </c>
      <c r="AM920" s="413">
        <f t="shared" si="17"/>
        <v>280.69358208955202</v>
      </c>
      <c r="AR920" s="333"/>
      <c r="AS920" s="333"/>
      <c r="AT920" s="333"/>
      <c r="AU920" s="333"/>
      <c r="AV920" s="333"/>
    </row>
    <row r="921" spans="2:48" s="330" customFormat="1" ht="28.15" customHeight="1" x14ac:dyDescent="0.25">
      <c r="B921" s="359">
        <v>43927</v>
      </c>
      <c r="C921" s="360">
        <v>0</v>
      </c>
      <c r="D921" s="360">
        <v>35547.89</v>
      </c>
      <c r="E921" s="329">
        <v>273923</v>
      </c>
      <c r="F921" s="329">
        <v>0</v>
      </c>
      <c r="G921" s="329">
        <v>7826</v>
      </c>
      <c r="H921" s="329"/>
      <c r="I921" s="329"/>
      <c r="J921" s="329">
        <v>1075</v>
      </c>
      <c r="K921" s="329"/>
      <c r="L921" s="329"/>
      <c r="M921" s="329">
        <v>650000</v>
      </c>
      <c r="N921" s="329">
        <f t="shared" si="16"/>
        <v>23079</v>
      </c>
      <c r="O921" s="329">
        <f t="shared" si="18"/>
        <v>1600</v>
      </c>
      <c r="P921" s="329">
        <v>91683</v>
      </c>
      <c r="Q921" s="329">
        <v>0</v>
      </c>
      <c r="R921" s="315">
        <f>Dailies[[#This Row],[CIBC RRSP]]+Dailies[[#This Row],[QT RRSP]]+Dailies[[#This Row],[SunLife RRSP]]</f>
        <v>281749</v>
      </c>
      <c r="S921" s="401">
        <f>S920+Dailies[[#This Row],[CIBC RRSP Principal Delta]]</f>
        <v>0</v>
      </c>
      <c r="T921" s="401">
        <f>T920+Dailies[[#This Row],[CIBC RESP Principal Delta]]</f>
        <v>37700.450000000004</v>
      </c>
      <c r="U921" s="402">
        <f>U920+Dailies[[#This Row],[QT RRSP Principal Delta]]</f>
        <v>324070.87</v>
      </c>
      <c r="V921" s="401">
        <f>V920+Dailies[[#This Row],[SunLife RRSP Principal Delta]]</f>
        <v>8647.61</v>
      </c>
      <c r="W921" s="315">
        <f>Dailies[[#This Row],[CIBC RRSP Principal]]+Dailies[[#This Row],[QT RRSP Principal]]+Dailies[[#This Row],[SunLife RRSP Principal]]</f>
        <v>332718.48</v>
      </c>
      <c r="X921" s="361">
        <f>Dailies[[#This Row],[CIBC RRSP Principal]]+Dailies[[#This Row],[CIBC RESP Principal]]+Dailies[[#This Row],[QT RRSP Principal]]+Dailies[[#This Row],[SunLife RRSP Principal]]</f>
        <v>370418.93</v>
      </c>
      <c r="Y921" s="315">
        <f>Dailies[[#This Row],[CIBC RRSP]]+Dailies[[#This Row],[CIBC RESP]]+Dailies[[#This Row],[QT RRSP]]+Dailies[[#This Row],[SunLife RRSP]]</f>
        <v>317296.89</v>
      </c>
      <c r="Z921" s="313">
        <f>Dailies[[#This Row],[Portfolio Total]]+Dailies[[#This Row],[Home Equity]]+Dailies[[#This Row],[Car Equity]]+Dailies[[#This Row],[Valuables Equity]]+Dailies[[#This Row],[GSK Pension]]+Dailies[[#This Row],[Home Loan]]</f>
        <v>1083658.8900000001</v>
      </c>
      <c r="AA921" s="402">
        <f>IF(ISNUMBER(C920),Dailies[[#This Row],[CIBC RRSP]]-C920-Dailies[[#This Row],[CIBC RRSP Principal Delta]],0)</f>
        <v>0</v>
      </c>
      <c r="AB921" s="402">
        <f>IF(ISNUMBER(D920),Dailies[[#This Row],[CIBC RESP]]-D920-Dailies[[#This Row],[CIBC RESP Principal Delta]],0)</f>
        <v>0</v>
      </c>
      <c r="AC921" s="402">
        <f>IF(ISNUMBER(E920),Dailies[[#This Row],[QT RRSP]]-E920-Dailies[[#This Row],[QT RRSP Principal Delta]],0)</f>
        <v>0</v>
      </c>
      <c r="AD921" s="402">
        <f>IF(ISNUMBER(G920),Dailies[[#This Row],[SunLife RRSP]]-G920-Dailies[[#This Row],[SunLife RRSP Principal Delta]],0)</f>
        <v>0</v>
      </c>
      <c r="AE921" s="315">
        <f>Dailies[[#This Row],[CIBC RRSP Daily $]]+Dailies[[#This Row],[QT RRSP Daily $]]+Dailies[[#This Row],[SunLife RRSP Daily $]]</f>
        <v>0</v>
      </c>
      <c r="AF921" s="315">
        <f>Dailies[[#This Row],[RRSP Daily $]]+Dailies[[#This Row],[CIBC RESP Daily $]]</f>
        <v>0</v>
      </c>
      <c r="AG921" s="401">
        <f>IF(ISNUMBER(AJ920),Dailies[[#This Row],[VOO]]-AJ920,0)</f>
        <v>15.509999999999991</v>
      </c>
      <c r="AH921" s="362">
        <f>Dailies[[#This Row],[RRSP Daily $]]/Dailies[[#This Row],[RRSP Total]]</f>
        <v>0</v>
      </c>
      <c r="AI921" s="363">
        <f>IF(Dailies[[#This Row],[CIBC RESP]]&gt;0,Dailies[[#This Row],[CIBC RESP Daily $]]/Dailies[[#This Row],[CIBC RESP]],0)</f>
        <v>0</v>
      </c>
      <c r="AJ921" s="315">
        <f>VLOOKUP(Dailies[[#This Row],[Date]],Quotes[],MATCH("VOO",Quotes[#Headers],EXACT_MATCH))</f>
        <v>243.53</v>
      </c>
      <c r="AK921" s="314">
        <f>Dailies[[#This Row],[VOO Daily $]]/Dailies[[#This Row],[VOO]]</f>
        <v>6.3688251960744013E-2</v>
      </c>
      <c r="AL921" s="314">
        <f>Dailies[[#This Row],[RRSP Daily %]]-Dailies[[#This Row],[VOO Daily %]]</f>
        <v>-6.3688251960744013E-2</v>
      </c>
      <c r="AM921" s="413">
        <f t="shared" si="17"/>
        <v>280.45278606965149</v>
      </c>
      <c r="AR921" s="333"/>
      <c r="AS921" s="333"/>
      <c r="AT921" s="333"/>
      <c r="AU921" s="333"/>
      <c r="AV921" s="333"/>
    </row>
    <row r="922" spans="2:48" s="330" customFormat="1" ht="28.15" customHeight="1" x14ac:dyDescent="0.25">
      <c r="B922" s="359">
        <v>43928</v>
      </c>
      <c r="C922" s="360">
        <v>0</v>
      </c>
      <c r="D922" s="360">
        <v>35547.89</v>
      </c>
      <c r="E922" s="329">
        <v>273923</v>
      </c>
      <c r="F922" s="329">
        <v>0</v>
      </c>
      <c r="G922" s="329">
        <v>7826</v>
      </c>
      <c r="H922" s="329"/>
      <c r="I922" s="329"/>
      <c r="J922" s="329"/>
      <c r="K922" s="329"/>
      <c r="L922" s="329"/>
      <c r="M922" s="329">
        <v>650000</v>
      </c>
      <c r="N922" s="329">
        <f t="shared" si="16"/>
        <v>23079</v>
      </c>
      <c r="O922" s="329">
        <f t="shared" si="18"/>
        <v>1600</v>
      </c>
      <c r="P922" s="329">
        <v>91683</v>
      </c>
      <c r="Q922" s="329">
        <v>0</v>
      </c>
      <c r="R922" s="315">
        <f>Dailies[[#This Row],[CIBC RRSP]]+Dailies[[#This Row],[QT RRSP]]+Dailies[[#This Row],[SunLife RRSP]]</f>
        <v>281749</v>
      </c>
      <c r="S922" s="401">
        <f>S921+Dailies[[#This Row],[CIBC RRSP Principal Delta]]</f>
        <v>0</v>
      </c>
      <c r="T922" s="401">
        <f>T921+Dailies[[#This Row],[CIBC RESP Principal Delta]]</f>
        <v>37700.450000000004</v>
      </c>
      <c r="U922" s="402">
        <f>U921+Dailies[[#This Row],[QT RRSP Principal Delta]]</f>
        <v>324070.87</v>
      </c>
      <c r="V922" s="401">
        <f>V921+Dailies[[#This Row],[SunLife RRSP Principal Delta]]</f>
        <v>8647.61</v>
      </c>
      <c r="W922" s="315">
        <f>Dailies[[#This Row],[CIBC RRSP Principal]]+Dailies[[#This Row],[QT RRSP Principal]]+Dailies[[#This Row],[SunLife RRSP Principal]]</f>
        <v>332718.48</v>
      </c>
      <c r="X922" s="361">
        <f>Dailies[[#This Row],[CIBC RRSP Principal]]+Dailies[[#This Row],[CIBC RESP Principal]]+Dailies[[#This Row],[QT RRSP Principal]]+Dailies[[#This Row],[SunLife RRSP Principal]]</f>
        <v>370418.93</v>
      </c>
      <c r="Y922" s="315">
        <f>Dailies[[#This Row],[CIBC RRSP]]+Dailies[[#This Row],[CIBC RESP]]+Dailies[[#This Row],[QT RRSP]]+Dailies[[#This Row],[SunLife RRSP]]</f>
        <v>317296.89</v>
      </c>
      <c r="Z922" s="313">
        <f>Dailies[[#This Row],[Portfolio Total]]+Dailies[[#This Row],[Home Equity]]+Dailies[[#This Row],[Car Equity]]+Dailies[[#This Row],[Valuables Equity]]+Dailies[[#This Row],[GSK Pension]]+Dailies[[#This Row],[Home Loan]]</f>
        <v>1083658.8900000001</v>
      </c>
      <c r="AA922" s="402">
        <f>IF(ISNUMBER(C921),Dailies[[#This Row],[CIBC RRSP]]-C921-Dailies[[#This Row],[CIBC RRSP Principal Delta]],0)</f>
        <v>0</v>
      </c>
      <c r="AB922" s="402">
        <f>IF(ISNUMBER(D921),Dailies[[#This Row],[CIBC RESP]]-D921-Dailies[[#This Row],[CIBC RESP Principal Delta]],0)</f>
        <v>0</v>
      </c>
      <c r="AC922" s="402">
        <f>IF(ISNUMBER(E921),Dailies[[#This Row],[QT RRSP]]-E921-Dailies[[#This Row],[QT RRSP Principal Delta]],0)</f>
        <v>0</v>
      </c>
      <c r="AD922" s="402">
        <f>IF(ISNUMBER(G921),Dailies[[#This Row],[SunLife RRSP]]-G921-Dailies[[#This Row],[SunLife RRSP Principal Delta]],0)</f>
        <v>0</v>
      </c>
      <c r="AE922" s="315">
        <f>Dailies[[#This Row],[CIBC RRSP Daily $]]+Dailies[[#This Row],[QT RRSP Daily $]]+Dailies[[#This Row],[SunLife RRSP Daily $]]</f>
        <v>0</v>
      </c>
      <c r="AF922" s="315">
        <f>Dailies[[#This Row],[RRSP Daily $]]+Dailies[[#This Row],[CIBC RESP Daily $]]</f>
        <v>0</v>
      </c>
      <c r="AG922" s="401">
        <f>IF(ISNUMBER(AJ921),Dailies[[#This Row],[VOO]]-AJ921,0)</f>
        <v>0.12999999999999545</v>
      </c>
      <c r="AH922" s="362">
        <f>Dailies[[#This Row],[RRSP Daily $]]/Dailies[[#This Row],[RRSP Total]]</f>
        <v>0</v>
      </c>
      <c r="AI922" s="363">
        <f>IF(Dailies[[#This Row],[CIBC RESP]]&gt;0,Dailies[[#This Row],[CIBC RESP Daily $]]/Dailies[[#This Row],[CIBC RESP]],0)</f>
        <v>0</v>
      </c>
      <c r="AJ922" s="315">
        <f>VLOOKUP(Dailies[[#This Row],[Date]],Quotes[],MATCH("VOO",Quotes[#Headers],EXACT_MATCH))</f>
        <v>243.66</v>
      </c>
      <c r="AK922" s="314">
        <f>Dailies[[#This Row],[VOO Daily $]]/Dailies[[#This Row],[VOO]]</f>
        <v>5.3353032914715359E-4</v>
      </c>
      <c r="AL922" s="314">
        <f>Dailies[[#This Row],[RRSP Daily %]]-Dailies[[#This Row],[VOO Daily %]]</f>
        <v>-5.3353032914715359E-4</v>
      </c>
      <c r="AM922" s="413">
        <f t="shared" si="17"/>
        <v>280.2883084577112</v>
      </c>
      <c r="AR922" s="333"/>
      <c r="AS922" s="333"/>
      <c r="AT922" s="333"/>
      <c r="AU922" s="333"/>
      <c r="AV922" s="333"/>
    </row>
    <row r="923" spans="2:48" s="330" customFormat="1" ht="28.15" customHeight="1" x14ac:dyDescent="0.25">
      <c r="B923" s="359">
        <v>43929</v>
      </c>
      <c r="C923" s="360">
        <v>0</v>
      </c>
      <c r="D923" s="360">
        <v>35547.89</v>
      </c>
      <c r="E923" s="329">
        <v>273923</v>
      </c>
      <c r="F923" s="329">
        <v>0</v>
      </c>
      <c r="G923" s="329">
        <v>7826</v>
      </c>
      <c r="H923" s="329"/>
      <c r="I923" s="329"/>
      <c r="J923" s="329"/>
      <c r="K923" s="329"/>
      <c r="L923" s="329"/>
      <c r="M923" s="329">
        <v>650000</v>
      </c>
      <c r="N923" s="329">
        <f t="shared" si="16"/>
        <v>23079</v>
      </c>
      <c r="O923" s="329">
        <f t="shared" si="18"/>
        <v>1600</v>
      </c>
      <c r="P923" s="329">
        <v>91683</v>
      </c>
      <c r="Q923" s="329">
        <v>0</v>
      </c>
      <c r="R923" s="315">
        <f>Dailies[[#This Row],[CIBC RRSP]]+Dailies[[#This Row],[QT RRSP]]+Dailies[[#This Row],[SunLife RRSP]]</f>
        <v>281749</v>
      </c>
      <c r="S923" s="401">
        <f>S922+Dailies[[#This Row],[CIBC RRSP Principal Delta]]</f>
        <v>0</v>
      </c>
      <c r="T923" s="401">
        <f>T922+Dailies[[#This Row],[CIBC RESP Principal Delta]]</f>
        <v>37700.450000000004</v>
      </c>
      <c r="U923" s="402">
        <f>U922+Dailies[[#This Row],[QT RRSP Principal Delta]]</f>
        <v>324070.87</v>
      </c>
      <c r="V923" s="401">
        <f>V922+Dailies[[#This Row],[SunLife RRSP Principal Delta]]</f>
        <v>8647.61</v>
      </c>
      <c r="W923" s="315">
        <f>Dailies[[#This Row],[CIBC RRSP Principal]]+Dailies[[#This Row],[QT RRSP Principal]]+Dailies[[#This Row],[SunLife RRSP Principal]]</f>
        <v>332718.48</v>
      </c>
      <c r="X923" s="361">
        <f>Dailies[[#This Row],[CIBC RRSP Principal]]+Dailies[[#This Row],[CIBC RESP Principal]]+Dailies[[#This Row],[QT RRSP Principal]]+Dailies[[#This Row],[SunLife RRSP Principal]]</f>
        <v>370418.93</v>
      </c>
      <c r="Y923" s="315">
        <f>Dailies[[#This Row],[CIBC RRSP]]+Dailies[[#This Row],[CIBC RESP]]+Dailies[[#This Row],[QT RRSP]]+Dailies[[#This Row],[SunLife RRSP]]</f>
        <v>317296.89</v>
      </c>
      <c r="Z923" s="313">
        <f>Dailies[[#This Row],[Portfolio Total]]+Dailies[[#This Row],[Home Equity]]+Dailies[[#This Row],[Car Equity]]+Dailies[[#This Row],[Valuables Equity]]+Dailies[[#This Row],[GSK Pension]]+Dailies[[#This Row],[Home Loan]]</f>
        <v>1083658.8900000001</v>
      </c>
      <c r="AA923" s="402">
        <f>IF(ISNUMBER(C922),Dailies[[#This Row],[CIBC RRSP]]-C922-Dailies[[#This Row],[CIBC RRSP Principal Delta]],0)</f>
        <v>0</v>
      </c>
      <c r="AB923" s="402">
        <f>IF(ISNUMBER(D922),Dailies[[#This Row],[CIBC RESP]]-D922-Dailies[[#This Row],[CIBC RESP Principal Delta]],0)</f>
        <v>0</v>
      </c>
      <c r="AC923" s="402">
        <f>IF(ISNUMBER(E922),Dailies[[#This Row],[QT RRSP]]-E922-Dailies[[#This Row],[QT RRSP Principal Delta]],0)</f>
        <v>0</v>
      </c>
      <c r="AD923" s="402">
        <f>IF(ISNUMBER(G922),Dailies[[#This Row],[SunLife RRSP]]-G922-Dailies[[#This Row],[SunLife RRSP Principal Delta]],0)</f>
        <v>0</v>
      </c>
      <c r="AE923" s="315">
        <f>Dailies[[#This Row],[CIBC RRSP Daily $]]+Dailies[[#This Row],[QT RRSP Daily $]]+Dailies[[#This Row],[SunLife RRSP Daily $]]</f>
        <v>0</v>
      </c>
      <c r="AF923" s="315">
        <f>Dailies[[#This Row],[RRSP Daily $]]+Dailies[[#This Row],[CIBC RESP Daily $]]</f>
        <v>0</v>
      </c>
      <c r="AG923" s="401">
        <f>IF(ISNUMBER(AJ922),Dailies[[#This Row],[VOO]]-AJ922,0)</f>
        <v>8.2700000000000102</v>
      </c>
      <c r="AH923" s="362">
        <f>Dailies[[#This Row],[RRSP Daily $]]/Dailies[[#This Row],[RRSP Total]]</f>
        <v>0</v>
      </c>
      <c r="AI923" s="363">
        <f>IF(Dailies[[#This Row],[CIBC RESP]]&gt;0,Dailies[[#This Row],[CIBC RESP Daily $]]/Dailies[[#This Row],[CIBC RESP]],0)</f>
        <v>0</v>
      </c>
      <c r="AJ923" s="315">
        <f>VLOOKUP(Dailies[[#This Row],[Date]],Quotes[],MATCH("VOO",Quotes[#Headers],EXACT_MATCH))</f>
        <v>251.93</v>
      </c>
      <c r="AK923" s="314">
        <f>Dailies[[#This Row],[VOO Daily $]]/Dailies[[#This Row],[VOO]]</f>
        <v>3.2826578811574685E-2</v>
      </c>
      <c r="AL923" s="314">
        <f>Dailies[[#This Row],[RRSP Daily %]]-Dailies[[#This Row],[VOO Daily %]]</f>
        <v>-3.2826578811574685E-2</v>
      </c>
      <c r="AM923" s="413">
        <f t="shared" si="17"/>
        <v>280.12477611940272</v>
      </c>
      <c r="AR923" s="333"/>
      <c r="AS923" s="333"/>
      <c r="AT923" s="333"/>
      <c r="AU923" s="333"/>
      <c r="AV923" s="333"/>
    </row>
    <row r="924" spans="2:48" s="330" customFormat="1" ht="28.15" customHeight="1" x14ac:dyDescent="0.25">
      <c r="B924" s="359">
        <v>43930</v>
      </c>
      <c r="C924" s="360">
        <v>0</v>
      </c>
      <c r="D924" s="360">
        <v>35547.89</v>
      </c>
      <c r="E924" s="329">
        <v>281923</v>
      </c>
      <c r="F924" s="329">
        <v>0</v>
      </c>
      <c r="G924" s="329">
        <v>7826</v>
      </c>
      <c r="H924" s="329"/>
      <c r="I924" s="329"/>
      <c r="J924" s="329">
        <v>8000</v>
      </c>
      <c r="K924" s="329"/>
      <c r="L924" s="329"/>
      <c r="M924" s="329">
        <v>650000</v>
      </c>
      <c r="N924" s="329">
        <f t="shared" si="16"/>
        <v>23079</v>
      </c>
      <c r="O924" s="329">
        <f t="shared" si="18"/>
        <v>1600</v>
      </c>
      <c r="P924" s="329">
        <v>91683</v>
      </c>
      <c r="Q924" s="329">
        <v>0</v>
      </c>
      <c r="R924" s="315">
        <f>Dailies[[#This Row],[CIBC RRSP]]+Dailies[[#This Row],[QT RRSP]]+Dailies[[#This Row],[SunLife RRSP]]</f>
        <v>289749</v>
      </c>
      <c r="S924" s="401">
        <f>S923+Dailies[[#This Row],[CIBC RRSP Principal Delta]]</f>
        <v>0</v>
      </c>
      <c r="T924" s="401">
        <f>T923+Dailies[[#This Row],[CIBC RESP Principal Delta]]</f>
        <v>37700.450000000004</v>
      </c>
      <c r="U924" s="402">
        <f>U923+Dailies[[#This Row],[QT RRSP Principal Delta]]</f>
        <v>332070.87</v>
      </c>
      <c r="V924" s="401">
        <f>V923+Dailies[[#This Row],[SunLife RRSP Principal Delta]]</f>
        <v>8647.61</v>
      </c>
      <c r="W924" s="315">
        <f>Dailies[[#This Row],[CIBC RRSP Principal]]+Dailies[[#This Row],[QT RRSP Principal]]+Dailies[[#This Row],[SunLife RRSP Principal]]</f>
        <v>340718.48</v>
      </c>
      <c r="X924" s="361">
        <f>Dailies[[#This Row],[CIBC RRSP Principal]]+Dailies[[#This Row],[CIBC RESP Principal]]+Dailies[[#This Row],[QT RRSP Principal]]+Dailies[[#This Row],[SunLife RRSP Principal]]</f>
        <v>378418.93</v>
      </c>
      <c r="Y924" s="315">
        <f>Dailies[[#This Row],[CIBC RRSP]]+Dailies[[#This Row],[CIBC RESP]]+Dailies[[#This Row],[QT RRSP]]+Dailies[[#This Row],[SunLife RRSP]]</f>
        <v>325296.89</v>
      </c>
      <c r="Z924" s="313">
        <f>Dailies[[#This Row],[Portfolio Total]]+Dailies[[#This Row],[Home Equity]]+Dailies[[#This Row],[Car Equity]]+Dailies[[#This Row],[Valuables Equity]]+Dailies[[#This Row],[GSK Pension]]+Dailies[[#This Row],[Home Loan]]</f>
        <v>1091658.8900000001</v>
      </c>
      <c r="AA924" s="402">
        <f>IF(ISNUMBER(C923),Dailies[[#This Row],[CIBC RRSP]]-C923-Dailies[[#This Row],[CIBC RRSP Principal Delta]],0)</f>
        <v>0</v>
      </c>
      <c r="AB924" s="402">
        <f>IF(ISNUMBER(D923),Dailies[[#This Row],[CIBC RESP]]-D923-Dailies[[#This Row],[CIBC RESP Principal Delta]],0)</f>
        <v>0</v>
      </c>
      <c r="AC924" s="402">
        <f>IF(ISNUMBER(E923),Dailies[[#This Row],[QT RRSP]]-E923-Dailies[[#This Row],[QT RRSP Principal Delta]],0)</f>
        <v>0</v>
      </c>
      <c r="AD924" s="402">
        <f>IF(ISNUMBER(G923),Dailies[[#This Row],[SunLife RRSP]]-G923-Dailies[[#This Row],[SunLife RRSP Principal Delta]],0)</f>
        <v>0</v>
      </c>
      <c r="AE924" s="315">
        <f>Dailies[[#This Row],[CIBC RRSP Daily $]]+Dailies[[#This Row],[QT RRSP Daily $]]+Dailies[[#This Row],[SunLife RRSP Daily $]]</f>
        <v>0</v>
      </c>
      <c r="AF924" s="315">
        <f>Dailies[[#This Row],[RRSP Daily $]]+Dailies[[#This Row],[CIBC RESP Daily $]]</f>
        <v>0</v>
      </c>
      <c r="AG924" s="401">
        <f>IF(ISNUMBER(AJ923),Dailies[[#This Row],[VOO]]-AJ923,0)</f>
        <v>3.7399999999999807</v>
      </c>
      <c r="AH924" s="362">
        <f>Dailies[[#This Row],[RRSP Daily $]]/Dailies[[#This Row],[RRSP Total]]</f>
        <v>0</v>
      </c>
      <c r="AI924" s="363">
        <f>IF(Dailies[[#This Row],[CIBC RESP]]&gt;0,Dailies[[#This Row],[CIBC RESP Daily $]]/Dailies[[#This Row],[CIBC RESP]],0)</f>
        <v>0</v>
      </c>
      <c r="AJ924" s="315">
        <f>VLOOKUP(Dailies[[#This Row],[Date]],Quotes[],MATCH("VOO",Quotes[#Headers],EXACT_MATCH))</f>
        <v>255.67</v>
      </c>
      <c r="AK924" s="314">
        <f>Dailies[[#This Row],[VOO Daily $]]/Dailies[[#This Row],[VOO]]</f>
        <v>1.4628231704932064E-2</v>
      </c>
      <c r="AL924" s="314">
        <f>Dailies[[#This Row],[RRSP Daily %]]-Dailies[[#This Row],[VOO Daily %]]</f>
        <v>-1.4628231704932064E-2</v>
      </c>
      <c r="AM924" s="413">
        <f t="shared" si="17"/>
        <v>280.0097512437809</v>
      </c>
      <c r="AR924" s="333"/>
      <c r="AS924" s="333"/>
      <c r="AT924" s="333"/>
      <c r="AU924" s="333"/>
      <c r="AV924" s="333"/>
    </row>
    <row r="925" spans="2:48" s="330" customFormat="1" ht="28.15" customHeight="1" x14ac:dyDescent="0.25">
      <c r="B925" s="359">
        <v>43931</v>
      </c>
      <c r="C925" s="360">
        <v>0</v>
      </c>
      <c r="D925" s="360">
        <v>35547.89</v>
      </c>
      <c r="E925" s="329">
        <v>281923</v>
      </c>
      <c r="F925" s="329">
        <v>0</v>
      </c>
      <c r="G925" s="329">
        <v>7826</v>
      </c>
      <c r="H925" s="329"/>
      <c r="I925" s="329"/>
      <c r="J925" s="329"/>
      <c r="K925" s="329"/>
      <c r="L925" s="329"/>
      <c r="M925" s="329">
        <v>650000</v>
      </c>
      <c r="N925" s="329">
        <f t="shared" si="16"/>
        <v>23079</v>
      </c>
      <c r="O925" s="329">
        <f t="shared" si="18"/>
        <v>1600</v>
      </c>
      <c r="P925" s="329">
        <v>91683</v>
      </c>
      <c r="Q925" s="329">
        <v>0</v>
      </c>
      <c r="R925" s="315">
        <f>Dailies[[#This Row],[CIBC RRSP]]+Dailies[[#This Row],[QT RRSP]]+Dailies[[#This Row],[SunLife RRSP]]</f>
        <v>289749</v>
      </c>
      <c r="S925" s="401">
        <f>S924+Dailies[[#This Row],[CIBC RRSP Principal Delta]]</f>
        <v>0</v>
      </c>
      <c r="T925" s="401">
        <f>T924+Dailies[[#This Row],[CIBC RESP Principal Delta]]</f>
        <v>37700.450000000004</v>
      </c>
      <c r="U925" s="402">
        <f>U924+Dailies[[#This Row],[QT RRSP Principal Delta]]</f>
        <v>332070.87</v>
      </c>
      <c r="V925" s="401">
        <f>V924+Dailies[[#This Row],[SunLife RRSP Principal Delta]]</f>
        <v>8647.61</v>
      </c>
      <c r="W925" s="315">
        <f>Dailies[[#This Row],[CIBC RRSP Principal]]+Dailies[[#This Row],[QT RRSP Principal]]+Dailies[[#This Row],[SunLife RRSP Principal]]</f>
        <v>340718.48</v>
      </c>
      <c r="X925" s="361">
        <f>Dailies[[#This Row],[CIBC RRSP Principal]]+Dailies[[#This Row],[CIBC RESP Principal]]+Dailies[[#This Row],[QT RRSP Principal]]+Dailies[[#This Row],[SunLife RRSP Principal]]</f>
        <v>378418.93</v>
      </c>
      <c r="Y925" s="315">
        <f>Dailies[[#This Row],[CIBC RRSP]]+Dailies[[#This Row],[CIBC RESP]]+Dailies[[#This Row],[QT RRSP]]+Dailies[[#This Row],[SunLife RRSP]]</f>
        <v>325296.89</v>
      </c>
      <c r="Z925" s="313">
        <f>Dailies[[#This Row],[Portfolio Total]]+Dailies[[#This Row],[Home Equity]]+Dailies[[#This Row],[Car Equity]]+Dailies[[#This Row],[Valuables Equity]]+Dailies[[#This Row],[GSK Pension]]+Dailies[[#This Row],[Home Loan]]</f>
        <v>1091658.8900000001</v>
      </c>
      <c r="AA925" s="402">
        <f>IF(ISNUMBER(C924),Dailies[[#This Row],[CIBC RRSP]]-C924-Dailies[[#This Row],[CIBC RRSP Principal Delta]],0)</f>
        <v>0</v>
      </c>
      <c r="AB925" s="402">
        <f>IF(ISNUMBER(D924),Dailies[[#This Row],[CIBC RESP]]-D924-Dailies[[#This Row],[CIBC RESP Principal Delta]],0)</f>
        <v>0</v>
      </c>
      <c r="AC925" s="402">
        <f>IF(ISNUMBER(E924),Dailies[[#This Row],[QT RRSP]]-E924-Dailies[[#This Row],[QT RRSP Principal Delta]],0)</f>
        <v>0</v>
      </c>
      <c r="AD925" s="402">
        <f>IF(ISNUMBER(G924),Dailies[[#This Row],[SunLife RRSP]]-G924-Dailies[[#This Row],[SunLife RRSP Principal Delta]],0)</f>
        <v>0</v>
      </c>
      <c r="AE925" s="315">
        <f>Dailies[[#This Row],[CIBC RRSP Daily $]]+Dailies[[#This Row],[QT RRSP Daily $]]+Dailies[[#This Row],[SunLife RRSP Daily $]]</f>
        <v>0</v>
      </c>
      <c r="AF925" s="315">
        <f>Dailies[[#This Row],[RRSP Daily $]]+Dailies[[#This Row],[CIBC RESP Daily $]]</f>
        <v>0</v>
      </c>
      <c r="AG925" s="401">
        <f>IF(ISNUMBER(AJ924),Dailies[[#This Row],[VOO]]-AJ924,0)</f>
        <v>0</v>
      </c>
      <c r="AH925" s="362">
        <f>Dailies[[#This Row],[RRSP Daily $]]/Dailies[[#This Row],[RRSP Total]]</f>
        <v>0</v>
      </c>
      <c r="AI925" s="363">
        <f>IF(Dailies[[#This Row],[CIBC RESP]]&gt;0,Dailies[[#This Row],[CIBC RESP Daily $]]/Dailies[[#This Row],[CIBC RESP]],0)</f>
        <v>0</v>
      </c>
      <c r="AJ925" s="315">
        <f>VLOOKUP(Dailies[[#This Row],[Date]],Quotes[],MATCH("VOO",Quotes[#Headers],EXACT_MATCH))</f>
        <v>255.67</v>
      </c>
      <c r="AK925" s="314">
        <f>Dailies[[#This Row],[VOO Daily $]]/Dailies[[#This Row],[VOO]]</f>
        <v>0</v>
      </c>
      <c r="AL925" s="314">
        <f>Dailies[[#This Row],[RRSP Daily %]]-Dailies[[#This Row],[VOO Daily %]]</f>
        <v>0</v>
      </c>
      <c r="AM925" s="413">
        <f t="shared" si="17"/>
        <v>279.91333333333307</v>
      </c>
      <c r="AR925" s="333"/>
      <c r="AS925" s="333"/>
      <c r="AT925" s="333"/>
      <c r="AU925" s="333"/>
      <c r="AV925" s="333"/>
    </row>
    <row r="926" spans="2:48" s="330" customFormat="1" ht="28.15" customHeight="1" x14ac:dyDescent="0.25">
      <c r="B926" s="359">
        <v>43932</v>
      </c>
      <c r="C926" s="360">
        <v>0</v>
      </c>
      <c r="D926" s="360">
        <v>35547.89</v>
      </c>
      <c r="E926" s="329">
        <v>281923</v>
      </c>
      <c r="F926" s="329">
        <v>0</v>
      </c>
      <c r="G926" s="329">
        <v>7826</v>
      </c>
      <c r="H926" s="329"/>
      <c r="I926" s="329"/>
      <c r="J926" s="329"/>
      <c r="K926" s="329"/>
      <c r="L926" s="329"/>
      <c r="M926" s="329">
        <v>650000</v>
      </c>
      <c r="N926" s="329">
        <f t="shared" si="16"/>
        <v>23079</v>
      </c>
      <c r="O926" s="329">
        <f t="shared" si="18"/>
        <v>1600</v>
      </c>
      <c r="P926" s="329">
        <v>91683</v>
      </c>
      <c r="Q926" s="329">
        <v>0</v>
      </c>
      <c r="R926" s="315">
        <f>Dailies[[#This Row],[CIBC RRSP]]+Dailies[[#This Row],[QT RRSP]]+Dailies[[#This Row],[SunLife RRSP]]</f>
        <v>289749</v>
      </c>
      <c r="S926" s="401">
        <f>S925+Dailies[[#This Row],[CIBC RRSP Principal Delta]]</f>
        <v>0</v>
      </c>
      <c r="T926" s="401">
        <f>T925+Dailies[[#This Row],[CIBC RESP Principal Delta]]</f>
        <v>37700.450000000004</v>
      </c>
      <c r="U926" s="402">
        <f>U925+Dailies[[#This Row],[QT RRSP Principal Delta]]</f>
        <v>332070.87</v>
      </c>
      <c r="V926" s="401">
        <f>V925+Dailies[[#This Row],[SunLife RRSP Principal Delta]]</f>
        <v>8647.61</v>
      </c>
      <c r="W926" s="315">
        <f>Dailies[[#This Row],[CIBC RRSP Principal]]+Dailies[[#This Row],[QT RRSP Principal]]+Dailies[[#This Row],[SunLife RRSP Principal]]</f>
        <v>340718.48</v>
      </c>
      <c r="X926" s="361">
        <f>Dailies[[#This Row],[CIBC RRSP Principal]]+Dailies[[#This Row],[CIBC RESP Principal]]+Dailies[[#This Row],[QT RRSP Principal]]+Dailies[[#This Row],[SunLife RRSP Principal]]</f>
        <v>378418.93</v>
      </c>
      <c r="Y926" s="315">
        <f>Dailies[[#This Row],[CIBC RRSP]]+Dailies[[#This Row],[CIBC RESP]]+Dailies[[#This Row],[QT RRSP]]+Dailies[[#This Row],[SunLife RRSP]]</f>
        <v>325296.89</v>
      </c>
      <c r="Z926" s="313">
        <f>Dailies[[#This Row],[Portfolio Total]]+Dailies[[#This Row],[Home Equity]]+Dailies[[#This Row],[Car Equity]]+Dailies[[#This Row],[Valuables Equity]]+Dailies[[#This Row],[GSK Pension]]+Dailies[[#This Row],[Home Loan]]</f>
        <v>1091658.8900000001</v>
      </c>
      <c r="AA926" s="402">
        <f>IF(ISNUMBER(C925),Dailies[[#This Row],[CIBC RRSP]]-C925-Dailies[[#This Row],[CIBC RRSP Principal Delta]],0)</f>
        <v>0</v>
      </c>
      <c r="AB926" s="402">
        <f>IF(ISNUMBER(D925),Dailies[[#This Row],[CIBC RESP]]-D925-Dailies[[#This Row],[CIBC RESP Principal Delta]],0)</f>
        <v>0</v>
      </c>
      <c r="AC926" s="402">
        <f>IF(ISNUMBER(E925),Dailies[[#This Row],[QT RRSP]]-E925-Dailies[[#This Row],[QT RRSP Principal Delta]],0)</f>
        <v>0</v>
      </c>
      <c r="AD926" s="402">
        <f>IF(ISNUMBER(G925),Dailies[[#This Row],[SunLife RRSP]]-G925-Dailies[[#This Row],[SunLife RRSP Principal Delta]],0)</f>
        <v>0</v>
      </c>
      <c r="AE926" s="315">
        <f>Dailies[[#This Row],[CIBC RRSP Daily $]]+Dailies[[#This Row],[QT RRSP Daily $]]+Dailies[[#This Row],[SunLife RRSP Daily $]]</f>
        <v>0</v>
      </c>
      <c r="AF926" s="315">
        <f>Dailies[[#This Row],[RRSP Daily $]]+Dailies[[#This Row],[CIBC RESP Daily $]]</f>
        <v>0</v>
      </c>
      <c r="AG926" s="401">
        <f>IF(ISNUMBER(AJ925),Dailies[[#This Row],[VOO]]-AJ925,0)</f>
        <v>0</v>
      </c>
      <c r="AH926" s="362">
        <f>Dailies[[#This Row],[RRSP Daily $]]/Dailies[[#This Row],[RRSP Total]]</f>
        <v>0</v>
      </c>
      <c r="AI926" s="363">
        <f>IF(Dailies[[#This Row],[CIBC RESP]]&gt;0,Dailies[[#This Row],[CIBC RESP Daily $]]/Dailies[[#This Row],[CIBC RESP]],0)</f>
        <v>0</v>
      </c>
      <c r="AJ926" s="315">
        <f>VLOOKUP(Dailies[[#This Row],[Date]],Quotes[],MATCH("VOO",Quotes[#Headers],EXACT_MATCH))</f>
        <v>255.67</v>
      </c>
      <c r="AK926" s="314">
        <f>Dailies[[#This Row],[VOO Daily $]]/Dailies[[#This Row],[VOO]]</f>
        <v>0</v>
      </c>
      <c r="AL926" s="314">
        <f>Dailies[[#This Row],[RRSP Daily %]]-Dailies[[#This Row],[VOO Daily %]]</f>
        <v>0</v>
      </c>
      <c r="AM926" s="413">
        <f t="shared" si="17"/>
        <v>279.81691542288536</v>
      </c>
      <c r="AR926" s="333"/>
      <c r="AS926" s="333"/>
      <c r="AT926" s="333"/>
      <c r="AU926" s="333"/>
      <c r="AV926" s="333"/>
    </row>
    <row r="927" spans="2:48" s="330" customFormat="1" ht="28.15" customHeight="1" x14ac:dyDescent="0.25">
      <c r="B927" s="359">
        <v>43933</v>
      </c>
      <c r="C927" s="360">
        <v>0</v>
      </c>
      <c r="D927" s="360">
        <v>35547.89</v>
      </c>
      <c r="E927" s="329">
        <v>281923</v>
      </c>
      <c r="F927" s="329">
        <v>0</v>
      </c>
      <c r="G927" s="329">
        <v>7826</v>
      </c>
      <c r="H927" s="329"/>
      <c r="I927" s="329"/>
      <c r="J927" s="329"/>
      <c r="K927" s="329"/>
      <c r="L927" s="329"/>
      <c r="M927" s="329">
        <v>650000</v>
      </c>
      <c r="N927" s="329">
        <f t="shared" si="16"/>
        <v>23079</v>
      </c>
      <c r="O927" s="329">
        <f t="shared" si="18"/>
        <v>1600</v>
      </c>
      <c r="P927" s="329">
        <v>91683</v>
      </c>
      <c r="Q927" s="329">
        <v>0</v>
      </c>
      <c r="R927" s="315">
        <f>Dailies[[#This Row],[CIBC RRSP]]+Dailies[[#This Row],[QT RRSP]]+Dailies[[#This Row],[SunLife RRSP]]</f>
        <v>289749</v>
      </c>
      <c r="S927" s="401">
        <f>S926+Dailies[[#This Row],[CIBC RRSP Principal Delta]]</f>
        <v>0</v>
      </c>
      <c r="T927" s="401">
        <f>T926+Dailies[[#This Row],[CIBC RESP Principal Delta]]</f>
        <v>37700.450000000004</v>
      </c>
      <c r="U927" s="402">
        <f>U926+Dailies[[#This Row],[QT RRSP Principal Delta]]</f>
        <v>332070.87</v>
      </c>
      <c r="V927" s="401">
        <f>V926+Dailies[[#This Row],[SunLife RRSP Principal Delta]]</f>
        <v>8647.61</v>
      </c>
      <c r="W927" s="315">
        <f>Dailies[[#This Row],[CIBC RRSP Principal]]+Dailies[[#This Row],[QT RRSP Principal]]+Dailies[[#This Row],[SunLife RRSP Principal]]</f>
        <v>340718.48</v>
      </c>
      <c r="X927" s="361">
        <f>Dailies[[#This Row],[CIBC RRSP Principal]]+Dailies[[#This Row],[CIBC RESP Principal]]+Dailies[[#This Row],[QT RRSP Principal]]+Dailies[[#This Row],[SunLife RRSP Principal]]</f>
        <v>378418.93</v>
      </c>
      <c r="Y927" s="315">
        <f>Dailies[[#This Row],[CIBC RRSP]]+Dailies[[#This Row],[CIBC RESP]]+Dailies[[#This Row],[QT RRSP]]+Dailies[[#This Row],[SunLife RRSP]]</f>
        <v>325296.89</v>
      </c>
      <c r="Z927" s="313">
        <f>Dailies[[#This Row],[Portfolio Total]]+Dailies[[#This Row],[Home Equity]]+Dailies[[#This Row],[Car Equity]]+Dailies[[#This Row],[Valuables Equity]]+Dailies[[#This Row],[GSK Pension]]+Dailies[[#This Row],[Home Loan]]</f>
        <v>1091658.8900000001</v>
      </c>
      <c r="AA927" s="402">
        <f>IF(ISNUMBER(C926),Dailies[[#This Row],[CIBC RRSP]]-C926-Dailies[[#This Row],[CIBC RRSP Principal Delta]],0)</f>
        <v>0</v>
      </c>
      <c r="AB927" s="402">
        <f>IF(ISNUMBER(D926),Dailies[[#This Row],[CIBC RESP]]-D926-Dailies[[#This Row],[CIBC RESP Principal Delta]],0)</f>
        <v>0</v>
      </c>
      <c r="AC927" s="402">
        <f>IF(ISNUMBER(E926),Dailies[[#This Row],[QT RRSP]]-E926-Dailies[[#This Row],[QT RRSP Principal Delta]],0)</f>
        <v>0</v>
      </c>
      <c r="AD927" s="402">
        <f>IF(ISNUMBER(G926),Dailies[[#This Row],[SunLife RRSP]]-G926-Dailies[[#This Row],[SunLife RRSP Principal Delta]],0)</f>
        <v>0</v>
      </c>
      <c r="AE927" s="315">
        <f>Dailies[[#This Row],[CIBC RRSP Daily $]]+Dailies[[#This Row],[QT RRSP Daily $]]+Dailies[[#This Row],[SunLife RRSP Daily $]]</f>
        <v>0</v>
      </c>
      <c r="AF927" s="315">
        <f>Dailies[[#This Row],[RRSP Daily $]]+Dailies[[#This Row],[CIBC RESP Daily $]]</f>
        <v>0</v>
      </c>
      <c r="AG927" s="401">
        <f>IF(ISNUMBER(AJ926),Dailies[[#This Row],[VOO]]-AJ926,0)</f>
        <v>0</v>
      </c>
      <c r="AH927" s="362">
        <f>Dailies[[#This Row],[RRSP Daily $]]/Dailies[[#This Row],[RRSP Total]]</f>
        <v>0</v>
      </c>
      <c r="AI927" s="363">
        <f>IF(Dailies[[#This Row],[CIBC RESP]]&gt;0,Dailies[[#This Row],[CIBC RESP Daily $]]/Dailies[[#This Row],[CIBC RESP]],0)</f>
        <v>0</v>
      </c>
      <c r="AJ927" s="315">
        <f>VLOOKUP(Dailies[[#This Row],[Date]],Quotes[],MATCH("VOO",Quotes[#Headers],EXACT_MATCH))</f>
        <v>255.67</v>
      </c>
      <c r="AK927" s="314">
        <f>Dailies[[#This Row],[VOO Daily $]]/Dailies[[#This Row],[VOO]]</f>
        <v>0</v>
      </c>
      <c r="AL927" s="314">
        <f>Dailies[[#This Row],[RRSP Daily %]]-Dailies[[#This Row],[VOO Daily %]]</f>
        <v>0</v>
      </c>
      <c r="AM927" s="413">
        <f t="shared" si="17"/>
        <v>279.7195522388057</v>
      </c>
      <c r="AR927" s="333"/>
      <c r="AS927" s="333"/>
      <c r="AT927" s="333"/>
      <c r="AU927" s="333"/>
      <c r="AV927" s="333"/>
    </row>
    <row r="928" spans="2:48" s="330" customFormat="1" ht="28.15" customHeight="1" x14ac:dyDescent="0.25">
      <c r="B928" s="359">
        <v>43934</v>
      </c>
      <c r="C928" s="360">
        <v>0</v>
      </c>
      <c r="D928" s="360">
        <v>35547.89</v>
      </c>
      <c r="E928" s="329">
        <v>291883</v>
      </c>
      <c r="F928" s="329">
        <v>0</v>
      </c>
      <c r="G928" s="329">
        <v>7826</v>
      </c>
      <c r="H928" s="329"/>
      <c r="I928" s="329"/>
      <c r="J928" s="329"/>
      <c r="K928" s="329"/>
      <c r="L928" s="329"/>
      <c r="M928" s="329">
        <v>650000</v>
      </c>
      <c r="N928" s="329">
        <f t="shared" ref="N928:N977" si="19">44000+1000-21197</f>
        <v>23803</v>
      </c>
      <c r="O928" s="329">
        <f t="shared" si="18"/>
        <v>1600</v>
      </c>
      <c r="P928" s="329">
        <v>91683</v>
      </c>
      <c r="Q928" s="329">
        <v>0</v>
      </c>
      <c r="R928" s="315">
        <f>Dailies[[#This Row],[CIBC RRSP]]+Dailies[[#This Row],[QT RRSP]]+Dailies[[#This Row],[SunLife RRSP]]</f>
        <v>299709</v>
      </c>
      <c r="S928" s="401">
        <f>S927+Dailies[[#This Row],[CIBC RRSP Principal Delta]]</f>
        <v>0</v>
      </c>
      <c r="T928" s="401">
        <f>T927+Dailies[[#This Row],[CIBC RESP Principal Delta]]</f>
        <v>37700.450000000004</v>
      </c>
      <c r="U928" s="402">
        <f>U927+Dailies[[#This Row],[QT RRSP Principal Delta]]</f>
        <v>332070.87</v>
      </c>
      <c r="V928" s="401">
        <f>V927+Dailies[[#This Row],[SunLife RRSP Principal Delta]]</f>
        <v>8647.61</v>
      </c>
      <c r="W928" s="315">
        <f>Dailies[[#This Row],[CIBC RRSP Principal]]+Dailies[[#This Row],[QT RRSP Principal]]+Dailies[[#This Row],[SunLife RRSP Principal]]</f>
        <v>340718.48</v>
      </c>
      <c r="X928" s="361">
        <f>Dailies[[#This Row],[CIBC RRSP Principal]]+Dailies[[#This Row],[CIBC RESP Principal]]+Dailies[[#This Row],[QT RRSP Principal]]+Dailies[[#This Row],[SunLife RRSP Principal]]</f>
        <v>378418.93</v>
      </c>
      <c r="Y928" s="315">
        <f>Dailies[[#This Row],[CIBC RRSP]]+Dailies[[#This Row],[CIBC RESP]]+Dailies[[#This Row],[QT RRSP]]+Dailies[[#This Row],[SunLife RRSP]]</f>
        <v>335256.89</v>
      </c>
      <c r="Z928" s="313">
        <f>Dailies[[#This Row],[Portfolio Total]]+Dailies[[#This Row],[Home Equity]]+Dailies[[#This Row],[Car Equity]]+Dailies[[#This Row],[Valuables Equity]]+Dailies[[#This Row],[GSK Pension]]+Dailies[[#This Row],[Home Loan]]</f>
        <v>1102342.8900000001</v>
      </c>
      <c r="AA928" s="402">
        <f>IF(ISNUMBER(C927),Dailies[[#This Row],[CIBC RRSP]]-C927-Dailies[[#This Row],[CIBC RRSP Principal Delta]],0)</f>
        <v>0</v>
      </c>
      <c r="AB928" s="402">
        <f>IF(ISNUMBER(D927),Dailies[[#This Row],[CIBC RESP]]-D927-Dailies[[#This Row],[CIBC RESP Principal Delta]],0)</f>
        <v>0</v>
      </c>
      <c r="AC928" s="402">
        <f>IF(ISNUMBER(E927),Dailies[[#This Row],[QT RRSP]]-E927-Dailies[[#This Row],[QT RRSP Principal Delta]],0)</f>
        <v>9960</v>
      </c>
      <c r="AD928" s="402">
        <f>IF(ISNUMBER(G927),Dailies[[#This Row],[SunLife RRSP]]-G927-Dailies[[#This Row],[SunLife RRSP Principal Delta]],0)</f>
        <v>0</v>
      </c>
      <c r="AE928" s="315">
        <f>Dailies[[#This Row],[CIBC RRSP Daily $]]+Dailies[[#This Row],[QT RRSP Daily $]]+Dailies[[#This Row],[SunLife RRSP Daily $]]</f>
        <v>9960</v>
      </c>
      <c r="AF928" s="315">
        <f>Dailies[[#This Row],[RRSP Daily $]]+Dailies[[#This Row],[CIBC RESP Daily $]]</f>
        <v>9960</v>
      </c>
      <c r="AG928" s="401">
        <f>IF(ISNUMBER(AJ927),Dailies[[#This Row],[VOO]]-AJ927,0)</f>
        <v>-2.4799999999999898</v>
      </c>
      <c r="AH928" s="362">
        <f>Dailies[[#This Row],[RRSP Daily $]]/Dailies[[#This Row],[RRSP Total]]</f>
        <v>3.3232235268210161E-2</v>
      </c>
      <c r="AI928" s="363">
        <f>IF(Dailies[[#This Row],[CIBC RESP]]&gt;0,Dailies[[#This Row],[CIBC RESP Daily $]]/Dailies[[#This Row],[CIBC RESP]],0)</f>
        <v>0</v>
      </c>
      <c r="AJ928" s="315">
        <f>VLOOKUP(Dailies[[#This Row],[Date]],Quotes[],MATCH("VOO",Quotes[#Headers],EXACT_MATCH))</f>
        <v>253.19</v>
      </c>
      <c r="AK928" s="314">
        <f>Dailies[[#This Row],[VOO Daily $]]/Dailies[[#This Row],[VOO]]</f>
        <v>-9.7950156009320652E-3</v>
      </c>
      <c r="AL928" s="314">
        <f>Dailies[[#This Row],[RRSP Daily %]]-Dailies[[#This Row],[VOO Daily %]]</f>
        <v>4.3027250869142226E-2</v>
      </c>
      <c r="AM928" s="413">
        <f t="shared" si="17"/>
        <v>279.63353233830821</v>
      </c>
      <c r="AR928" s="333"/>
      <c r="AS928" s="333"/>
      <c r="AT928" s="333"/>
      <c r="AU928" s="333"/>
      <c r="AV928" s="333"/>
    </row>
    <row r="929" spans="2:48" s="330" customFormat="1" ht="28.15" customHeight="1" x14ac:dyDescent="0.25">
      <c r="B929" s="359">
        <v>43935</v>
      </c>
      <c r="C929" s="360">
        <v>0</v>
      </c>
      <c r="D929" s="360">
        <v>35547.89</v>
      </c>
      <c r="E929" s="329">
        <v>295519</v>
      </c>
      <c r="F929" s="329">
        <v>0</v>
      </c>
      <c r="G929" s="329">
        <v>8017</v>
      </c>
      <c r="H929" s="329"/>
      <c r="I929" s="329"/>
      <c r="J929" s="329"/>
      <c r="K929" s="329"/>
      <c r="L929" s="329"/>
      <c r="M929" s="329">
        <v>650000</v>
      </c>
      <c r="N929" s="329">
        <f t="shared" si="19"/>
        <v>23803</v>
      </c>
      <c r="O929" s="329">
        <f t="shared" si="18"/>
        <v>1600</v>
      </c>
      <c r="P929" s="329">
        <v>91683</v>
      </c>
      <c r="Q929" s="329">
        <v>0</v>
      </c>
      <c r="R929" s="315">
        <f>Dailies[[#This Row],[CIBC RRSP]]+Dailies[[#This Row],[QT RRSP]]+Dailies[[#This Row],[SunLife RRSP]]</f>
        <v>303536</v>
      </c>
      <c r="S929" s="401">
        <f>S928+Dailies[[#This Row],[CIBC RRSP Principal Delta]]</f>
        <v>0</v>
      </c>
      <c r="T929" s="401">
        <f>T928+Dailies[[#This Row],[CIBC RESP Principal Delta]]</f>
        <v>37700.450000000004</v>
      </c>
      <c r="U929" s="402">
        <f>U928+Dailies[[#This Row],[QT RRSP Principal Delta]]</f>
        <v>332070.87</v>
      </c>
      <c r="V929" s="401">
        <f>V928+Dailies[[#This Row],[SunLife RRSP Principal Delta]]</f>
        <v>8647.61</v>
      </c>
      <c r="W929" s="315">
        <f>Dailies[[#This Row],[CIBC RRSP Principal]]+Dailies[[#This Row],[QT RRSP Principal]]+Dailies[[#This Row],[SunLife RRSP Principal]]</f>
        <v>340718.48</v>
      </c>
      <c r="X929" s="361">
        <f>Dailies[[#This Row],[CIBC RRSP Principal]]+Dailies[[#This Row],[CIBC RESP Principal]]+Dailies[[#This Row],[QT RRSP Principal]]+Dailies[[#This Row],[SunLife RRSP Principal]]</f>
        <v>378418.93</v>
      </c>
      <c r="Y929" s="315">
        <f>Dailies[[#This Row],[CIBC RRSP]]+Dailies[[#This Row],[CIBC RESP]]+Dailies[[#This Row],[QT RRSP]]+Dailies[[#This Row],[SunLife RRSP]]</f>
        <v>339083.89</v>
      </c>
      <c r="Z929" s="313">
        <f>Dailies[[#This Row],[Portfolio Total]]+Dailies[[#This Row],[Home Equity]]+Dailies[[#This Row],[Car Equity]]+Dailies[[#This Row],[Valuables Equity]]+Dailies[[#This Row],[GSK Pension]]+Dailies[[#This Row],[Home Loan]]</f>
        <v>1106169.8900000001</v>
      </c>
      <c r="AA929" s="402">
        <f>IF(ISNUMBER(C928),Dailies[[#This Row],[CIBC RRSP]]-C928-Dailies[[#This Row],[CIBC RRSP Principal Delta]],0)</f>
        <v>0</v>
      </c>
      <c r="AB929" s="402">
        <f>IF(ISNUMBER(D928),Dailies[[#This Row],[CIBC RESP]]-D928-Dailies[[#This Row],[CIBC RESP Principal Delta]],0)</f>
        <v>0</v>
      </c>
      <c r="AC929" s="402">
        <f>IF(ISNUMBER(E928),Dailies[[#This Row],[QT RRSP]]-E928-Dailies[[#This Row],[QT RRSP Principal Delta]],0)</f>
        <v>3636</v>
      </c>
      <c r="AD929" s="402">
        <f>IF(ISNUMBER(G928),Dailies[[#This Row],[SunLife RRSP]]-G928-Dailies[[#This Row],[SunLife RRSP Principal Delta]],0)</f>
        <v>191</v>
      </c>
      <c r="AE929" s="315">
        <f>Dailies[[#This Row],[CIBC RRSP Daily $]]+Dailies[[#This Row],[QT RRSP Daily $]]+Dailies[[#This Row],[SunLife RRSP Daily $]]</f>
        <v>3827</v>
      </c>
      <c r="AF929" s="315">
        <f>Dailies[[#This Row],[RRSP Daily $]]+Dailies[[#This Row],[CIBC RESP Daily $]]</f>
        <v>3827</v>
      </c>
      <c r="AG929" s="401">
        <f>IF(ISNUMBER(AJ928),Dailies[[#This Row],[VOO]]-AJ928,0)</f>
        <v>7.7300000000000182</v>
      </c>
      <c r="AH929" s="362">
        <f>Dailies[[#This Row],[RRSP Daily $]]/Dailies[[#This Row],[RRSP Total]]</f>
        <v>1.2608059670022665E-2</v>
      </c>
      <c r="AI929" s="363">
        <f>IF(Dailies[[#This Row],[CIBC RESP]]&gt;0,Dailies[[#This Row],[CIBC RESP Daily $]]/Dailies[[#This Row],[CIBC RESP]],0)</f>
        <v>0</v>
      </c>
      <c r="AJ929" s="315">
        <f>VLOOKUP(Dailies[[#This Row],[Date]],Quotes[],MATCH("VOO",Quotes[#Headers],EXACT_MATCH))</f>
        <v>260.92</v>
      </c>
      <c r="AK929" s="314">
        <f>Dailies[[#This Row],[VOO Daily $]]/Dailies[[#This Row],[VOO]]</f>
        <v>2.9625938985129611E-2</v>
      </c>
      <c r="AL929" s="314">
        <f>Dailies[[#This Row],[RRSP Daily %]]-Dailies[[#This Row],[VOO Daily %]]</f>
        <v>-1.7017879315106947E-2</v>
      </c>
      <c r="AM929" s="413">
        <f t="shared" si="17"/>
        <v>279.52686567164153</v>
      </c>
      <c r="AR929" s="333"/>
      <c r="AS929" s="333"/>
      <c r="AT929" s="333"/>
      <c r="AU929" s="333"/>
      <c r="AV929" s="333"/>
    </row>
    <row r="930" spans="2:48" s="330" customFormat="1" ht="28.15" customHeight="1" x14ac:dyDescent="0.25">
      <c r="B930" s="359">
        <v>43936</v>
      </c>
      <c r="C930" s="360">
        <v>0</v>
      </c>
      <c r="D930" s="360">
        <v>35547.89</v>
      </c>
      <c r="E930" s="329">
        <v>307327</v>
      </c>
      <c r="F930" s="329">
        <v>0</v>
      </c>
      <c r="G930" s="329">
        <v>9812</v>
      </c>
      <c r="H930" s="329"/>
      <c r="I930" s="329"/>
      <c r="J930" s="329"/>
      <c r="K930" s="329"/>
      <c r="L930" s="329">
        <v>1610</v>
      </c>
      <c r="M930" s="329">
        <v>650000</v>
      </c>
      <c r="N930" s="329">
        <f t="shared" si="19"/>
        <v>23803</v>
      </c>
      <c r="O930" s="329">
        <f t="shared" si="18"/>
        <v>1600</v>
      </c>
      <c r="P930" s="329">
        <v>91683</v>
      </c>
      <c r="Q930" s="329">
        <v>0</v>
      </c>
      <c r="R930" s="315">
        <f>Dailies[[#This Row],[CIBC RRSP]]+Dailies[[#This Row],[QT RRSP]]+Dailies[[#This Row],[SunLife RRSP]]</f>
        <v>317139</v>
      </c>
      <c r="S930" s="401">
        <f>S929+Dailies[[#This Row],[CIBC RRSP Principal Delta]]</f>
        <v>0</v>
      </c>
      <c r="T930" s="401">
        <f>T929+Dailies[[#This Row],[CIBC RESP Principal Delta]]</f>
        <v>37700.450000000004</v>
      </c>
      <c r="U930" s="402">
        <f>U929+Dailies[[#This Row],[QT RRSP Principal Delta]]</f>
        <v>332070.87</v>
      </c>
      <c r="V930" s="401">
        <f>V929+Dailies[[#This Row],[SunLife RRSP Principal Delta]]</f>
        <v>10257.61</v>
      </c>
      <c r="W930" s="315">
        <f>Dailies[[#This Row],[CIBC RRSP Principal]]+Dailies[[#This Row],[QT RRSP Principal]]+Dailies[[#This Row],[SunLife RRSP Principal]]</f>
        <v>342328.48</v>
      </c>
      <c r="X930" s="361">
        <f>Dailies[[#This Row],[CIBC RRSP Principal]]+Dailies[[#This Row],[CIBC RESP Principal]]+Dailies[[#This Row],[QT RRSP Principal]]+Dailies[[#This Row],[SunLife RRSP Principal]]</f>
        <v>380028.93</v>
      </c>
      <c r="Y930" s="315">
        <f>Dailies[[#This Row],[CIBC RRSP]]+Dailies[[#This Row],[CIBC RESP]]+Dailies[[#This Row],[QT RRSP]]+Dailies[[#This Row],[SunLife RRSP]]</f>
        <v>352686.89</v>
      </c>
      <c r="Z930" s="313">
        <f>Dailies[[#This Row],[Portfolio Total]]+Dailies[[#This Row],[Home Equity]]+Dailies[[#This Row],[Car Equity]]+Dailies[[#This Row],[Valuables Equity]]+Dailies[[#This Row],[GSK Pension]]+Dailies[[#This Row],[Home Loan]]</f>
        <v>1119772.8900000001</v>
      </c>
      <c r="AA930" s="402">
        <f>IF(ISNUMBER(C929),Dailies[[#This Row],[CIBC RRSP]]-C929-Dailies[[#This Row],[CIBC RRSP Principal Delta]],0)</f>
        <v>0</v>
      </c>
      <c r="AB930" s="402">
        <f>IF(ISNUMBER(D929),Dailies[[#This Row],[CIBC RESP]]-D929-Dailies[[#This Row],[CIBC RESP Principal Delta]],0)</f>
        <v>0</v>
      </c>
      <c r="AC930" s="402">
        <f>IF(ISNUMBER(E929),Dailies[[#This Row],[QT RRSP]]-E929-Dailies[[#This Row],[QT RRSP Principal Delta]],0)</f>
        <v>11808</v>
      </c>
      <c r="AD930" s="402">
        <f>IF(ISNUMBER(G929),Dailies[[#This Row],[SunLife RRSP]]-G929-Dailies[[#This Row],[SunLife RRSP Principal Delta]],0)</f>
        <v>185</v>
      </c>
      <c r="AE930" s="315">
        <f>Dailies[[#This Row],[CIBC RRSP Daily $]]+Dailies[[#This Row],[QT RRSP Daily $]]+Dailies[[#This Row],[SunLife RRSP Daily $]]</f>
        <v>11993</v>
      </c>
      <c r="AF930" s="315">
        <f>Dailies[[#This Row],[RRSP Daily $]]+Dailies[[#This Row],[CIBC RESP Daily $]]</f>
        <v>11993</v>
      </c>
      <c r="AG930" s="401">
        <f>IF(ISNUMBER(AJ929),Dailies[[#This Row],[VOO]]-AJ929,0)</f>
        <v>-5.6800000000000068</v>
      </c>
      <c r="AH930" s="362">
        <f>Dailies[[#This Row],[RRSP Daily $]]/Dailies[[#This Row],[RRSP Total]]</f>
        <v>3.7816225692835E-2</v>
      </c>
      <c r="AI930" s="363">
        <f>IF(Dailies[[#This Row],[CIBC RESP]]&gt;0,Dailies[[#This Row],[CIBC RESP Daily $]]/Dailies[[#This Row],[CIBC RESP]],0)</f>
        <v>0</v>
      </c>
      <c r="AJ930" s="315">
        <f>VLOOKUP(Dailies[[#This Row],[Date]],Quotes[],MATCH("VOO",Quotes[#Headers],EXACT_MATCH))</f>
        <v>255.24</v>
      </c>
      <c r="AK930" s="314">
        <f>Dailies[[#This Row],[VOO Daily $]]/Dailies[[#This Row],[VOO]]</f>
        <v>-2.225356527190098E-2</v>
      </c>
      <c r="AL930" s="314">
        <f>Dailies[[#This Row],[RRSP Daily %]]-Dailies[[#This Row],[VOO Daily %]]</f>
        <v>6.0069790964735983E-2</v>
      </c>
      <c r="AM930" s="413">
        <f t="shared" si="17"/>
        <v>279.46781094527336</v>
      </c>
      <c r="AR930" s="333"/>
      <c r="AS930" s="333"/>
      <c r="AT930" s="333"/>
      <c r="AU930" s="333"/>
      <c r="AV930" s="333"/>
    </row>
    <row r="931" spans="2:48" s="330" customFormat="1" ht="28.15" customHeight="1" x14ac:dyDescent="0.25">
      <c r="B931" s="359">
        <v>43937</v>
      </c>
      <c r="C931" s="360">
        <v>0</v>
      </c>
      <c r="D931" s="360">
        <v>35547.89</v>
      </c>
      <c r="E931" s="329">
        <v>302588.15999999997</v>
      </c>
      <c r="F931" s="329">
        <v>0</v>
      </c>
      <c r="G931" s="329">
        <v>9812</v>
      </c>
      <c r="H931" s="329"/>
      <c r="I931" s="329">
        <v>210</v>
      </c>
      <c r="J931" s="329"/>
      <c r="K931" s="329"/>
      <c r="L931" s="329"/>
      <c r="M931" s="329">
        <v>650000</v>
      </c>
      <c r="N931" s="329">
        <f t="shared" si="19"/>
        <v>23803</v>
      </c>
      <c r="O931" s="329">
        <f t="shared" si="18"/>
        <v>1600</v>
      </c>
      <c r="P931" s="329">
        <v>91683</v>
      </c>
      <c r="Q931" s="329">
        <v>0</v>
      </c>
      <c r="R931" s="315">
        <f>Dailies[[#This Row],[CIBC RRSP]]+Dailies[[#This Row],[QT RRSP]]+Dailies[[#This Row],[SunLife RRSP]]</f>
        <v>312400.15999999997</v>
      </c>
      <c r="S931" s="401">
        <f>S930+Dailies[[#This Row],[CIBC RRSP Principal Delta]]</f>
        <v>0</v>
      </c>
      <c r="T931" s="401">
        <f>T930+Dailies[[#This Row],[CIBC RESP Principal Delta]]</f>
        <v>37910.450000000004</v>
      </c>
      <c r="U931" s="402">
        <f>U930+Dailies[[#This Row],[QT RRSP Principal Delta]]</f>
        <v>332070.87</v>
      </c>
      <c r="V931" s="401">
        <f>V930+Dailies[[#This Row],[SunLife RRSP Principal Delta]]</f>
        <v>10257.61</v>
      </c>
      <c r="W931" s="315">
        <f>Dailies[[#This Row],[CIBC RRSP Principal]]+Dailies[[#This Row],[QT RRSP Principal]]+Dailies[[#This Row],[SunLife RRSP Principal]]</f>
        <v>342328.48</v>
      </c>
      <c r="X931" s="361">
        <f>Dailies[[#This Row],[CIBC RRSP Principal]]+Dailies[[#This Row],[CIBC RESP Principal]]+Dailies[[#This Row],[QT RRSP Principal]]+Dailies[[#This Row],[SunLife RRSP Principal]]</f>
        <v>380238.93</v>
      </c>
      <c r="Y931" s="315">
        <f>Dailies[[#This Row],[CIBC RRSP]]+Dailies[[#This Row],[CIBC RESP]]+Dailies[[#This Row],[QT RRSP]]+Dailies[[#This Row],[SunLife RRSP]]</f>
        <v>347948.05</v>
      </c>
      <c r="Z931" s="313">
        <f>Dailies[[#This Row],[Portfolio Total]]+Dailies[[#This Row],[Home Equity]]+Dailies[[#This Row],[Car Equity]]+Dailies[[#This Row],[Valuables Equity]]+Dailies[[#This Row],[GSK Pension]]+Dailies[[#This Row],[Home Loan]]</f>
        <v>1115034.05</v>
      </c>
      <c r="AA931" s="402">
        <f>IF(ISNUMBER(C930),Dailies[[#This Row],[CIBC RRSP]]-C930-Dailies[[#This Row],[CIBC RRSP Principal Delta]],0)</f>
        <v>0</v>
      </c>
      <c r="AB931" s="402">
        <f>IF(ISNUMBER(D930),Dailies[[#This Row],[CIBC RESP]]-D930-Dailies[[#This Row],[CIBC RESP Principal Delta]],0)</f>
        <v>-210</v>
      </c>
      <c r="AC931" s="402">
        <f>IF(ISNUMBER(E930),Dailies[[#This Row],[QT RRSP]]-E930-Dailies[[#This Row],[QT RRSP Principal Delta]],0)</f>
        <v>-4738.8400000000256</v>
      </c>
      <c r="AD931" s="402">
        <f>IF(ISNUMBER(G930),Dailies[[#This Row],[SunLife RRSP]]-G930-Dailies[[#This Row],[SunLife RRSP Principal Delta]],0)</f>
        <v>0</v>
      </c>
      <c r="AE931" s="315">
        <f>Dailies[[#This Row],[CIBC RRSP Daily $]]+Dailies[[#This Row],[QT RRSP Daily $]]+Dailies[[#This Row],[SunLife RRSP Daily $]]</f>
        <v>-4738.8400000000256</v>
      </c>
      <c r="AF931" s="315">
        <f>Dailies[[#This Row],[RRSP Daily $]]+Dailies[[#This Row],[CIBC RESP Daily $]]</f>
        <v>-4948.8400000000256</v>
      </c>
      <c r="AG931" s="401">
        <f>IF(ISNUMBER(AJ930),Dailies[[#This Row],[VOO]]-AJ930,0)</f>
        <v>1.2899999999999636</v>
      </c>
      <c r="AH931" s="362">
        <f>Dailies[[#This Row],[RRSP Daily $]]/Dailies[[#This Row],[RRSP Total]]</f>
        <v>-1.516913435639734E-2</v>
      </c>
      <c r="AI931" s="363">
        <f>IF(Dailies[[#This Row],[CIBC RESP]]&gt;0,Dailies[[#This Row],[CIBC RESP Daily $]]/Dailies[[#This Row],[CIBC RESP]],0)</f>
        <v>-5.9075236251715643E-3</v>
      </c>
      <c r="AJ931" s="315">
        <f>VLOOKUP(Dailies[[#This Row],[Date]],Quotes[],MATCH("VOO",Quotes[#Headers],EXACT_MATCH))</f>
        <v>256.52999999999997</v>
      </c>
      <c r="AK931" s="314">
        <f>Dailies[[#This Row],[VOO Daily $]]/Dailies[[#This Row],[VOO]]</f>
        <v>5.0286516196934618E-3</v>
      </c>
      <c r="AL931" s="314">
        <f>Dailies[[#This Row],[RRSP Daily %]]-Dailies[[#This Row],[VOO Daily %]]</f>
        <v>-2.0197785976090801E-2</v>
      </c>
      <c r="AM931" s="413">
        <f t="shared" si="17"/>
        <v>279.3881094527361</v>
      </c>
      <c r="AR931" s="333"/>
      <c r="AS931" s="333"/>
      <c r="AT931" s="333"/>
      <c r="AU931" s="333"/>
      <c r="AV931" s="333"/>
    </row>
    <row r="932" spans="2:48" s="330" customFormat="1" ht="28.15" customHeight="1" x14ac:dyDescent="0.25">
      <c r="B932" s="359">
        <v>43938</v>
      </c>
      <c r="C932" s="360">
        <v>0</v>
      </c>
      <c r="D932" s="360">
        <v>35799.89</v>
      </c>
      <c r="E932" s="329">
        <v>303107</v>
      </c>
      <c r="F932" s="329">
        <v>0</v>
      </c>
      <c r="G932" s="329">
        <v>9812</v>
      </c>
      <c r="H932" s="329"/>
      <c r="I932" s="329"/>
      <c r="J932" s="329"/>
      <c r="K932" s="329"/>
      <c r="L932" s="329"/>
      <c r="M932" s="329">
        <v>650000</v>
      </c>
      <c r="N932" s="329">
        <f t="shared" si="19"/>
        <v>23803</v>
      </c>
      <c r="O932" s="329">
        <f t="shared" si="18"/>
        <v>1600</v>
      </c>
      <c r="P932" s="329">
        <v>91683</v>
      </c>
      <c r="Q932" s="329">
        <v>0</v>
      </c>
      <c r="R932" s="315">
        <f>Dailies[[#This Row],[CIBC RRSP]]+Dailies[[#This Row],[QT RRSP]]+Dailies[[#This Row],[SunLife RRSP]]</f>
        <v>312919</v>
      </c>
      <c r="S932" s="401">
        <f>S931+Dailies[[#This Row],[CIBC RRSP Principal Delta]]</f>
        <v>0</v>
      </c>
      <c r="T932" s="401">
        <f>T931+Dailies[[#This Row],[CIBC RESP Principal Delta]]</f>
        <v>37910.450000000004</v>
      </c>
      <c r="U932" s="402">
        <f>U931+Dailies[[#This Row],[QT RRSP Principal Delta]]</f>
        <v>332070.87</v>
      </c>
      <c r="V932" s="401">
        <f>V931+Dailies[[#This Row],[SunLife RRSP Principal Delta]]</f>
        <v>10257.61</v>
      </c>
      <c r="W932" s="315">
        <f>Dailies[[#This Row],[CIBC RRSP Principal]]+Dailies[[#This Row],[QT RRSP Principal]]+Dailies[[#This Row],[SunLife RRSP Principal]]</f>
        <v>342328.48</v>
      </c>
      <c r="X932" s="361">
        <f>Dailies[[#This Row],[CIBC RRSP Principal]]+Dailies[[#This Row],[CIBC RESP Principal]]+Dailies[[#This Row],[QT RRSP Principal]]+Dailies[[#This Row],[SunLife RRSP Principal]]</f>
        <v>380238.93</v>
      </c>
      <c r="Y932" s="315">
        <f>Dailies[[#This Row],[CIBC RRSP]]+Dailies[[#This Row],[CIBC RESP]]+Dailies[[#This Row],[QT RRSP]]+Dailies[[#This Row],[SunLife RRSP]]</f>
        <v>348718.89</v>
      </c>
      <c r="Z932" s="313">
        <f>Dailies[[#This Row],[Portfolio Total]]+Dailies[[#This Row],[Home Equity]]+Dailies[[#This Row],[Car Equity]]+Dailies[[#This Row],[Valuables Equity]]+Dailies[[#This Row],[GSK Pension]]+Dailies[[#This Row],[Home Loan]]</f>
        <v>1115804.8900000001</v>
      </c>
      <c r="AA932" s="402">
        <f>IF(ISNUMBER(C931),Dailies[[#This Row],[CIBC RRSP]]-C931-Dailies[[#This Row],[CIBC RRSP Principal Delta]],0)</f>
        <v>0</v>
      </c>
      <c r="AB932" s="402">
        <f>IF(ISNUMBER(D931),Dailies[[#This Row],[CIBC RESP]]-D931-Dailies[[#This Row],[CIBC RESP Principal Delta]],0)</f>
        <v>252</v>
      </c>
      <c r="AC932" s="402">
        <f>IF(ISNUMBER(E931),Dailies[[#This Row],[QT RRSP]]-E931-Dailies[[#This Row],[QT RRSP Principal Delta]],0)</f>
        <v>518.84000000002561</v>
      </c>
      <c r="AD932" s="402">
        <f>IF(ISNUMBER(G931),Dailies[[#This Row],[SunLife RRSP]]-G931-Dailies[[#This Row],[SunLife RRSP Principal Delta]],0)</f>
        <v>0</v>
      </c>
      <c r="AE932" s="315">
        <f>Dailies[[#This Row],[CIBC RRSP Daily $]]+Dailies[[#This Row],[QT RRSP Daily $]]+Dailies[[#This Row],[SunLife RRSP Daily $]]</f>
        <v>518.84000000002561</v>
      </c>
      <c r="AF932" s="315">
        <f>Dailies[[#This Row],[RRSP Daily $]]+Dailies[[#This Row],[CIBC RESP Daily $]]</f>
        <v>770.84000000002561</v>
      </c>
      <c r="AG932" s="401">
        <f>IF(ISNUMBER(AJ931),Dailies[[#This Row],[VOO]]-AJ931,0)</f>
        <v>7.0800000000000409</v>
      </c>
      <c r="AH932" s="362">
        <f>Dailies[[#This Row],[RRSP Daily $]]/Dailies[[#This Row],[RRSP Total]]</f>
        <v>1.6580648666269086E-3</v>
      </c>
      <c r="AI932" s="363">
        <f>IF(Dailies[[#This Row],[CIBC RESP]]&gt;0,Dailies[[#This Row],[CIBC RESP Daily $]]/Dailies[[#This Row],[CIBC RESP]],0)</f>
        <v>7.0391277738562881E-3</v>
      </c>
      <c r="AJ932" s="315">
        <f>VLOOKUP(Dailies[[#This Row],[Date]],Quotes[],MATCH("VOO",Quotes[#Headers],EXACT_MATCH))</f>
        <v>263.61</v>
      </c>
      <c r="AK932" s="314">
        <f>Dailies[[#This Row],[VOO Daily $]]/Dailies[[#This Row],[VOO]]</f>
        <v>2.685785819961322E-2</v>
      </c>
      <c r="AL932" s="314">
        <f>Dailies[[#This Row],[RRSP Daily %]]-Dailies[[#This Row],[VOO Daily %]]</f>
        <v>-2.519979333298631E-2</v>
      </c>
      <c r="AM932" s="413">
        <f t="shared" si="17"/>
        <v>279.31482587064653</v>
      </c>
      <c r="AR932" s="333"/>
      <c r="AS932" s="333"/>
      <c r="AT932" s="333"/>
      <c r="AU932" s="333"/>
      <c r="AV932" s="333"/>
    </row>
    <row r="933" spans="2:48" s="330" customFormat="1" ht="28.15" customHeight="1" x14ac:dyDescent="0.25">
      <c r="B933" s="359">
        <v>43939</v>
      </c>
      <c r="C933" s="360">
        <v>0</v>
      </c>
      <c r="D933" s="360">
        <v>35799.89</v>
      </c>
      <c r="E933" s="329">
        <v>301299.28000000003</v>
      </c>
      <c r="F933" s="329">
        <v>0</v>
      </c>
      <c r="G933" s="329">
        <v>9812</v>
      </c>
      <c r="H933" s="329"/>
      <c r="I933" s="329"/>
      <c r="J933" s="329"/>
      <c r="K933" s="329"/>
      <c r="L933" s="329"/>
      <c r="M933" s="329">
        <v>650000</v>
      </c>
      <c r="N933" s="329">
        <f t="shared" si="19"/>
        <v>23803</v>
      </c>
      <c r="O933" s="329">
        <f t="shared" si="18"/>
        <v>1600</v>
      </c>
      <c r="P933" s="329">
        <v>91683</v>
      </c>
      <c r="Q933" s="329">
        <v>0</v>
      </c>
      <c r="R933" s="315">
        <f>Dailies[[#This Row],[CIBC RRSP]]+Dailies[[#This Row],[QT RRSP]]+Dailies[[#This Row],[SunLife RRSP]]</f>
        <v>311111.28000000003</v>
      </c>
      <c r="S933" s="401">
        <f>S932+Dailies[[#This Row],[CIBC RRSP Principal Delta]]</f>
        <v>0</v>
      </c>
      <c r="T933" s="401">
        <f>T932+Dailies[[#This Row],[CIBC RESP Principal Delta]]</f>
        <v>37910.450000000004</v>
      </c>
      <c r="U933" s="402">
        <f>U932+Dailies[[#This Row],[QT RRSP Principal Delta]]</f>
        <v>332070.87</v>
      </c>
      <c r="V933" s="401">
        <f>V932+Dailies[[#This Row],[SunLife RRSP Principal Delta]]</f>
        <v>10257.61</v>
      </c>
      <c r="W933" s="315">
        <f>Dailies[[#This Row],[CIBC RRSP Principal]]+Dailies[[#This Row],[QT RRSP Principal]]+Dailies[[#This Row],[SunLife RRSP Principal]]</f>
        <v>342328.48</v>
      </c>
      <c r="X933" s="361">
        <f>Dailies[[#This Row],[CIBC RRSP Principal]]+Dailies[[#This Row],[CIBC RESP Principal]]+Dailies[[#This Row],[QT RRSP Principal]]+Dailies[[#This Row],[SunLife RRSP Principal]]</f>
        <v>380238.93</v>
      </c>
      <c r="Y933" s="315">
        <f>Dailies[[#This Row],[CIBC RRSP]]+Dailies[[#This Row],[CIBC RESP]]+Dailies[[#This Row],[QT RRSP]]+Dailies[[#This Row],[SunLife RRSP]]</f>
        <v>346911.17000000004</v>
      </c>
      <c r="Z933" s="313">
        <f>Dailies[[#This Row],[Portfolio Total]]+Dailies[[#This Row],[Home Equity]]+Dailies[[#This Row],[Car Equity]]+Dailies[[#This Row],[Valuables Equity]]+Dailies[[#This Row],[GSK Pension]]+Dailies[[#This Row],[Home Loan]]</f>
        <v>1113997.17</v>
      </c>
      <c r="AA933" s="402">
        <f>IF(ISNUMBER(C932),Dailies[[#This Row],[CIBC RRSP]]-C932-Dailies[[#This Row],[CIBC RRSP Principal Delta]],0)</f>
        <v>0</v>
      </c>
      <c r="AB933" s="402">
        <f>IF(ISNUMBER(D932),Dailies[[#This Row],[CIBC RESP]]-D932-Dailies[[#This Row],[CIBC RESP Principal Delta]],0)</f>
        <v>0</v>
      </c>
      <c r="AC933" s="402">
        <f>IF(ISNUMBER(E932),Dailies[[#This Row],[QT RRSP]]-E932-Dailies[[#This Row],[QT RRSP Principal Delta]],0)</f>
        <v>-1807.7199999999721</v>
      </c>
      <c r="AD933" s="402">
        <f>IF(ISNUMBER(G932),Dailies[[#This Row],[SunLife RRSP]]-G932-Dailies[[#This Row],[SunLife RRSP Principal Delta]],0)</f>
        <v>0</v>
      </c>
      <c r="AE933" s="315">
        <f>Dailies[[#This Row],[CIBC RRSP Daily $]]+Dailies[[#This Row],[QT RRSP Daily $]]+Dailies[[#This Row],[SunLife RRSP Daily $]]</f>
        <v>-1807.7199999999721</v>
      </c>
      <c r="AF933" s="315">
        <f>Dailies[[#This Row],[RRSP Daily $]]+Dailies[[#This Row],[CIBC RESP Daily $]]</f>
        <v>-1807.7199999999721</v>
      </c>
      <c r="AG933" s="401">
        <f>IF(ISNUMBER(AJ932),Dailies[[#This Row],[VOO]]-AJ932,0)</f>
        <v>0</v>
      </c>
      <c r="AH933" s="362">
        <f>Dailies[[#This Row],[RRSP Daily $]]/Dailies[[#This Row],[RRSP Total]]</f>
        <v>-5.8105254171432544E-3</v>
      </c>
      <c r="AI933" s="363">
        <f>IF(Dailies[[#This Row],[CIBC RESP]]&gt;0,Dailies[[#This Row],[CIBC RESP Daily $]]/Dailies[[#This Row],[CIBC RESP]],0)</f>
        <v>0</v>
      </c>
      <c r="AJ933" s="315">
        <f>VLOOKUP(Dailies[[#This Row],[Date]],Quotes[],MATCH("VOO",Quotes[#Headers],EXACT_MATCH))</f>
        <v>263.61</v>
      </c>
      <c r="AK933" s="314">
        <f>Dailies[[#This Row],[VOO Daily $]]/Dailies[[#This Row],[VOO]]</f>
        <v>0</v>
      </c>
      <c r="AL933" s="314">
        <f>Dailies[[#This Row],[RRSP Daily %]]-Dailies[[#This Row],[VOO Daily %]]</f>
        <v>-5.8105254171432544E-3</v>
      </c>
      <c r="AM933" s="413">
        <f t="shared" ref="AM933:AM936" si="20">AVERAGE(AJ728:AJ928)</f>
        <v>279.52686567164153</v>
      </c>
      <c r="AR933" s="333"/>
      <c r="AS933" s="333"/>
      <c r="AT933" s="333"/>
      <c r="AU933" s="333"/>
      <c r="AV933" s="333"/>
    </row>
    <row r="934" spans="2:48" s="330" customFormat="1" ht="28.15" customHeight="1" x14ac:dyDescent="0.25">
      <c r="B934" s="359">
        <v>43940</v>
      </c>
      <c r="C934" s="360">
        <v>0</v>
      </c>
      <c r="D934" s="360">
        <v>35799.89</v>
      </c>
      <c r="E934" s="329">
        <v>301299.28000000003</v>
      </c>
      <c r="F934" s="329">
        <v>0</v>
      </c>
      <c r="G934" s="329">
        <v>9812</v>
      </c>
      <c r="H934" s="329"/>
      <c r="I934" s="329"/>
      <c r="J934" s="329"/>
      <c r="K934" s="329"/>
      <c r="L934" s="329"/>
      <c r="M934" s="329">
        <v>650000</v>
      </c>
      <c r="N934" s="329">
        <f t="shared" si="19"/>
        <v>23803</v>
      </c>
      <c r="O934" s="329">
        <f t="shared" si="18"/>
        <v>1600</v>
      </c>
      <c r="P934" s="329">
        <v>91683</v>
      </c>
      <c r="Q934" s="329">
        <v>0</v>
      </c>
      <c r="R934" s="315">
        <f>Dailies[[#This Row],[CIBC RRSP]]+Dailies[[#This Row],[QT RRSP]]+Dailies[[#This Row],[SunLife RRSP]]</f>
        <v>311111.28000000003</v>
      </c>
      <c r="S934" s="401">
        <f>S933+Dailies[[#This Row],[CIBC RRSP Principal Delta]]</f>
        <v>0</v>
      </c>
      <c r="T934" s="401">
        <f>T933+Dailies[[#This Row],[CIBC RESP Principal Delta]]</f>
        <v>37910.450000000004</v>
      </c>
      <c r="U934" s="402">
        <f>U933+Dailies[[#This Row],[QT RRSP Principal Delta]]</f>
        <v>332070.87</v>
      </c>
      <c r="V934" s="401">
        <f>V933+Dailies[[#This Row],[SunLife RRSP Principal Delta]]</f>
        <v>10257.61</v>
      </c>
      <c r="W934" s="315">
        <f>Dailies[[#This Row],[CIBC RRSP Principal]]+Dailies[[#This Row],[QT RRSP Principal]]+Dailies[[#This Row],[SunLife RRSP Principal]]</f>
        <v>342328.48</v>
      </c>
      <c r="X934" s="361">
        <f>Dailies[[#This Row],[CIBC RRSP Principal]]+Dailies[[#This Row],[CIBC RESP Principal]]+Dailies[[#This Row],[QT RRSP Principal]]+Dailies[[#This Row],[SunLife RRSP Principal]]</f>
        <v>380238.93</v>
      </c>
      <c r="Y934" s="315">
        <f>Dailies[[#This Row],[CIBC RRSP]]+Dailies[[#This Row],[CIBC RESP]]+Dailies[[#This Row],[QT RRSP]]+Dailies[[#This Row],[SunLife RRSP]]</f>
        <v>346911.17000000004</v>
      </c>
      <c r="Z934" s="313">
        <f>Dailies[[#This Row],[Portfolio Total]]+Dailies[[#This Row],[Home Equity]]+Dailies[[#This Row],[Car Equity]]+Dailies[[#This Row],[Valuables Equity]]+Dailies[[#This Row],[GSK Pension]]+Dailies[[#This Row],[Home Loan]]</f>
        <v>1113997.17</v>
      </c>
      <c r="AA934" s="402">
        <f>IF(ISNUMBER(C933),Dailies[[#This Row],[CIBC RRSP]]-C933-Dailies[[#This Row],[CIBC RRSP Principal Delta]],0)</f>
        <v>0</v>
      </c>
      <c r="AB934" s="402">
        <f>IF(ISNUMBER(D933),Dailies[[#This Row],[CIBC RESP]]-D933-Dailies[[#This Row],[CIBC RESP Principal Delta]],0)</f>
        <v>0</v>
      </c>
      <c r="AC934" s="402">
        <f>IF(ISNUMBER(E933),Dailies[[#This Row],[QT RRSP]]-E933-Dailies[[#This Row],[QT RRSP Principal Delta]],0)</f>
        <v>0</v>
      </c>
      <c r="AD934" s="402">
        <f>IF(ISNUMBER(G933),Dailies[[#This Row],[SunLife RRSP]]-G933-Dailies[[#This Row],[SunLife RRSP Principal Delta]],0)</f>
        <v>0</v>
      </c>
      <c r="AE934" s="315">
        <f>Dailies[[#This Row],[CIBC RRSP Daily $]]+Dailies[[#This Row],[QT RRSP Daily $]]+Dailies[[#This Row],[SunLife RRSP Daily $]]</f>
        <v>0</v>
      </c>
      <c r="AF934" s="315">
        <f>Dailies[[#This Row],[RRSP Daily $]]+Dailies[[#This Row],[CIBC RESP Daily $]]</f>
        <v>0</v>
      </c>
      <c r="AG934" s="401">
        <f>IF(ISNUMBER(AJ933),Dailies[[#This Row],[VOO]]-AJ933,0)</f>
        <v>0</v>
      </c>
      <c r="AH934" s="362">
        <f>Dailies[[#This Row],[RRSP Daily $]]/Dailies[[#This Row],[RRSP Total]]</f>
        <v>0</v>
      </c>
      <c r="AI934" s="363">
        <f>IF(Dailies[[#This Row],[CIBC RESP]]&gt;0,Dailies[[#This Row],[CIBC RESP Daily $]]/Dailies[[#This Row],[CIBC RESP]],0)</f>
        <v>0</v>
      </c>
      <c r="AJ934" s="315">
        <f>VLOOKUP(Dailies[[#This Row],[Date]],Quotes[],MATCH("VOO",Quotes[#Headers],EXACT_MATCH))</f>
        <v>263.61</v>
      </c>
      <c r="AK934" s="314">
        <f>Dailies[[#This Row],[VOO Daily $]]/Dailies[[#This Row],[VOO]]</f>
        <v>0</v>
      </c>
      <c r="AL934" s="314">
        <f>Dailies[[#This Row],[RRSP Daily %]]-Dailies[[#This Row],[VOO Daily %]]</f>
        <v>0</v>
      </c>
      <c r="AM934" s="413">
        <f t="shared" si="20"/>
        <v>279.46781094527336</v>
      </c>
      <c r="AR934" s="333"/>
      <c r="AS934" s="333"/>
      <c r="AT934" s="333"/>
      <c r="AU934" s="333"/>
      <c r="AV934" s="333"/>
    </row>
    <row r="935" spans="2:48" s="330" customFormat="1" ht="28.15" customHeight="1" x14ac:dyDescent="0.25">
      <c r="B935" s="359">
        <v>43941</v>
      </c>
      <c r="C935" s="360">
        <v>0</v>
      </c>
      <c r="D935" s="360">
        <v>35799.89</v>
      </c>
      <c r="E935" s="329">
        <v>304405.5</v>
      </c>
      <c r="F935" s="329">
        <v>0</v>
      </c>
      <c r="G935" s="329">
        <v>9812</v>
      </c>
      <c r="H935" s="329"/>
      <c r="I935" s="329"/>
      <c r="J935" s="329"/>
      <c r="K935" s="329"/>
      <c r="L935" s="329"/>
      <c r="M935" s="329">
        <v>650000</v>
      </c>
      <c r="N935" s="329">
        <f t="shared" si="19"/>
        <v>23803</v>
      </c>
      <c r="O935" s="329">
        <f t="shared" si="18"/>
        <v>1600</v>
      </c>
      <c r="P935" s="329">
        <v>91683</v>
      </c>
      <c r="Q935" s="329">
        <v>0</v>
      </c>
      <c r="R935" s="315">
        <f>Dailies[[#This Row],[CIBC RRSP]]+Dailies[[#This Row],[QT RRSP]]+Dailies[[#This Row],[SunLife RRSP]]</f>
        <v>314217.5</v>
      </c>
      <c r="S935" s="401">
        <f>S934+Dailies[[#This Row],[CIBC RRSP Principal Delta]]</f>
        <v>0</v>
      </c>
      <c r="T935" s="401">
        <f>T934+Dailies[[#This Row],[CIBC RESP Principal Delta]]</f>
        <v>37910.450000000004</v>
      </c>
      <c r="U935" s="402">
        <f>U934+Dailies[[#This Row],[QT RRSP Principal Delta]]</f>
        <v>332070.87</v>
      </c>
      <c r="V935" s="401">
        <f>V934+Dailies[[#This Row],[SunLife RRSP Principal Delta]]</f>
        <v>10257.61</v>
      </c>
      <c r="W935" s="315">
        <f>Dailies[[#This Row],[CIBC RRSP Principal]]+Dailies[[#This Row],[QT RRSP Principal]]+Dailies[[#This Row],[SunLife RRSP Principal]]</f>
        <v>342328.48</v>
      </c>
      <c r="X935" s="361">
        <f>Dailies[[#This Row],[CIBC RRSP Principal]]+Dailies[[#This Row],[CIBC RESP Principal]]+Dailies[[#This Row],[QT RRSP Principal]]+Dailies[[#This Row],[SunLife RRSP Principal]]</f>
        <v>380238.93</v>
      </c>
      <c r="Y935" s="315">
        <f>Dailies[[#This Row],[CIBC RRSP]]+Dailies[[#This Row],[CIBC RESP]]+Dailies[[#This Row],[QT RRSP]]+Dailies[[#This Row],[SunLife RRSP]]</f>
        <v>350017.39</v>
      </c>
      <c r="Z935" s="313">
        <f>Dailies[[#This Row],[Portfolio Total]]+Dailies[[#This Row],[Home Equity]]+Dailies[[#This Row],[Car Equity]]+Dailies[[#This Row],[Valuables Equity]]+Dailies[[#This Row],[GSK Pension]]+Dailies[[#This Row],[Home Loan]]</f>
        <v>1117103.3900000001</v>
      </c>
      <c r="AA935" s="402">
        <f>IF(ISNUMBER(C934),Dailies[[#This Row],[CIBC RRSP]]-C934-Dailies[[#This Row],[CIBC RRSP Principal Delta]],0)</f>
        <v>0</v>
      </c>
      <c r="AB935" s="402">
        <f>IF(ISNUMBER(D934),Dailies[[#This Row],[CIBC RESP]]-D934-Dailies[[#This Row],[CIBC RESP Principal Delta]],0)</f>
        <v>0</v>
      </c>
      <c r="AC935" s="402">
        <f>IF(ISNUMBER(E934),Dailies[[#This Row],[QT RRSP]]-E934-Dailies[[#This Row],[QT RRSP Principal Delta]],0)</f>
        <v>3106.2199999999721</v>
      </c>
      <c r="AD935" s="402">
        <f>IF(ISNUMBER(G934),Dailies[[#This Row],[SunLife RRSP]]-G934-Dailies[[#This Row],[SunLife RRSP Principal Delta]],0)</f>
        <v>0</v>
      </c>
      <c r="AE935" s="315">
        <f>Dailies[[#This Row],[CIBC RRSP Daily $]]+Dailies[[#This Row],[QT RRSP Daily $]]+Dailies[[#This Row],[SunLife RRSP Daily $]]</f>
        <v>3106.2199999999721</v>
      </c>
      <c r="AF935" s="315">
        <f>Dailies[[#This Row],[RRSP Daily $]]+Dailies[[#This Row],[CIBC RESP Daily $]]</f>
        <v>3106.2199999999721</v>
      </c>
      <c r="AG935" s="401">
        <f>IF(ISNUMBER(AJ934),Dailies[[#This Row],[VOO]]-AJ934,0)</f>
        <v>-4.75</v>
      </c>
      <c r="AH935" s="362">
        <f>Dailies[[#This Row],[RRSP Daily $]]/Dailies[[#This Row],[RRSP Total]]</f>
        <v>9.8855728913888382E-3</v>
      </c>
      <c r="AI935" s="363">
        <f>IF(Dailies[[#This Row],[CIBC RESP]]&gt;0,Dailies[[#This Row],[CIBC RESP Daily $]]/Dailies[[#This Row],[CIBC RESP]],0)</f>
        <v>0</v>
      </c>
      <c r="AJ935" s="315">
        <f>VLOOKUP(Dailies[[#This Row],[Date]],Quotes[],MATCH("VOO",Quotes[#Headers],EXACT_MATCH))</f>
        <v>258.86</v>
      </c>
      <c r="AK935" s="314">
        <f>Dailies[[#This Row],[VOO Daily $]]/Dailies[[#This Row],[VOO]]</f>
        <v>-1.8349687089546471E-2</v>
      </c>
      <c r="AL935" s="314">
        <f>Dailies[[#This Row],[RRSP Daily %]]-Dailies[[#This Row],[VOO Daily %]]</f>
        <v>2.8235259980935311E-2</v>
      </c>
      <c r="AM935" s="413">
        <f t="shared" si="20"/>
        <v>279.3881094527361</v>
      </c>
      <c r="AR935" s="333"/>
      <c r="AS935" s="333"/>
      <c r="AT935" s="333"/>
      <c r="AU935" s="333"/>
      <c r="AV935" s="333"/>
    </row>
    <row r="936" spans="2:48" s="330" customFormat="1" ht="28.15" customHeight="1" x14ac:dyDescent="0.25">
      <c r="B936" s="359">
        <v>43942</v>
      </c>
      <c r="C936" s="360">
        <v>0</v>
      </c>
      <c r="D936" s="360">
        <v>35799.89</v>
      </c>
      <c r="E936" s="329">
        <v>305679.92</v>
      </c>
      <c r="F936" s="329">
        <v>0</v>
      </c>
      <c r="G936" s="329">
        <v>9812</v>
      </c>
      <c r="H936" s="329"/>
      <c r="I936" s="329"/>
      <c r="J936" s="329">
        <v>1075</v>
      </c>
      <c r="K936" s="329"/>
      <c r="L936" s="329"/>
      <c r="M936" s="329">
        <v>650000</v>
      </c>
      <c r="N936" s="329">
        <f t="shared" si="19"/>
        <v>23803</v>
      </c>
      <c r="O936" s="329">
        <f t="shared" si="18"/>
        <v>1600</v>
      </c>
      <c r="P936" s="329">
        <v>91683</v>
      </c>
      <c r="Q936" s="329">
        <v>0</v>
      </c>
      <c r="R936" s="315">
        <f>Dailies[[#This Row],[CIBC RRSP]]+Dailies[[#This Row],[QT RRSP]]+Dailies[[#This Row],[SunLife RRSP]]</f>
        <v>315491.92</v>
      </c>
      <c r="S936" s="401">
        <f>S935+Dailies[[#This Row],[CIBC RRSP Principal Delta]]</f>
        <v>0</v>
      </c>
      <c r="T936" s="401">
        <f>T935+Dailies[[#This Row],[CIBC RESP Principal Delta]]</f>
        <v>37910.450000000004</v>
      </c>
      <c r="U936" s="402">
        <f>U935+Dailies[[#This Row],[QT RRSP Principal Delta]]</f>
        <v>333145.87</v>
      </c>
      <c r="V936" s="401">
        <f>V935+Dailies[[#This Row],[SunLife RRSP Principal Delta]]</f>
        <v>10257.61</v>
      </c>
      <c r="W936" s="315">
        <f>Dailies[[#This Row],[CIBC RRSP Principal]]+Dailies[[#This Row],[QT RRSP Principal]]+Dailies[[#This Row],[SunLife RRSP Principal]]</f>
        <v>343403.48</v>
      </c>
      <c r="X936" s="361">
        <f>Dailies[[#This Row],[CIBC RRSP Principal]]+Dailies[[#This Row],[CIBC RESP Principal]]+Dailies[[#This Row],[QT RRSP Principal]]+Dailies[[#This Row],[SunLife RRSP Principal]]</f>
        <v>381313.93</v>
      </c>
      <c r="Y936" s="315">
        <f>Dailies[[#This Row],[CIBC RRSP]]+Dailies[[#This Row],[CIBC RESP]]+Dailies[[#This Row],[QT RRSP]]+Dailies[[#This Row],[SunLife RRSP]]</f>
        <v>351291.81</v>
      </c>
      <c r="Z936" s="313">
        <f>Dailies[[#This Row],[Portfolio Total]]+Dailies[[#This Row],[Home Equity]]+Dailies[[#This Row],[Car Equity]]+Dailies[[#This Row],[Valuables Equity]]+Dailies[[#This Row],[GSK Pension]]+Dailies[[#This Row],[Home Loan]]</f>
        <v>1118377.81</v>
      </c>
      <c r="AA936" s="402">
        <f>IF(ISNUMBER(C935),Dailies[[#This Row],[CIBC RRSP]]-C935-Dailies[[#This Row],[CIBC RRSP Principal Delta]],0)</f>
        <v>0</v>
      </c>
      <c r="AB936" s="402">
        <f>IF(ISNUMBER(D935),Dailies[[#This Row],[CIBC RESP]]-D935-Dailies[[#This Row],[CIBC RESP Principal Delta]],0)</f>
        <v>0</v>
      </c>
      <c r="AC936" s="402">
        <f>IF(ISNUMBER(E935),Dailies[[#This Row],[QT RRSP]]-E935-Dailies[[#This Row],[QT RRSP Principal Delta]],0)</f>
        <v>199.4199999999837</v>
      </c>
      <c r="AD936" s="402">
        <f>IF(ISNUMBER(G935),Dailies[[#This Row],[SunLife RRSP]]-G935-Dailies[[#This Row],[SunLife RRSP Principal Delta]],0)</f>
        <v>0</v>
      </c>
      <c r="AE936" s="315">
        <f>Dailies[[#This Row],[CIBC RRSP Daily $]]+Dailies[[#This Row],[QT RRSP Daily $]]+Dailies[[#This Row],[SunLife RRSP Daily $]]</f>
        <v>199.4199999999837</v>
      </c>
      <c r="AF936" s="315">
        <f>Dailies[[#This Row],[RRSP Daily $]]+Dailies[[#This Row],[CIBC RESP Daily $]]</f>
        <v>199.4199999999837</v>
      </c>
      <c r="AG936" s="401">
        <f>IF(ISNUMBER(AJ935),Dailies[[#This Row],[VOO]]-AJ935,0)</f>
        <v>-7.910000000000025</v>
      </c>
      <c r="AH936" s="362">
        <f>Dailies[[#This Row],[RRSP Daily $]]/Dailies[[#This Row],[RRSP Total]]</f>
        <v>6.3209225770341027E-4</v>
      </c>
      <c r="AI936" s="363">
        <f>IF(Dailies[[#This Row],[CIBC RESP]]&gt;0,Dailies[[#This Row],[CIBC RESP Daily $]]/Dailies[[#This Row],[CIBC RESP]],0)</f>
        <v>0</v>
      </c>
      <c r="AJ936" s="315">
        <f>VLOOKUP(Dailies[[#This Row],[Date]],Quotes[],MATCH("VOO",Quotes[#Headers],EXACT_MATCH))</f>
        <v>250.95</v>
      </c>
      <c r="AK936" s="314">
        <f>Dailies[[#This Row],[VOO Daily $]]/Dailies[[#This Row],[VOO]]</f>
        <v>-3.1520223152022415E-2</v>
      </c>
      <c r="AL936" s="314">
        <f>Dailies[[#This Row],[RRSP Daily %]]-Dailies[[#This Row],[VOO Daily %]]</f>
        <v>3.2152315409725823E-2</v>
      </c>
      <c r="AM936" s="413">
        <f t="shared" si="20"/>
        <v>279.31482587064653</v>
      </c>
      <c r="AR936" s="333"/>
      <c r="AS936" s="333"/>
      <c r="AT936" s="333"/>
      <c r="AU936" s="333"/>
      <c r="AV936" s="333"/>
    </row>
    <row r="937" spans="2:48" s="330" customFormat="1" ht="28.15" customHeight="1" x14ac:dyDescent="0.25">
      <c r="B937" s="359">
        <v>43943</v>
      </c>
      <c r="C937" s="360">
        <v>0</v>
      </c>
      <c r="D937" s="360">
        <v>35799.89</v>
      </c>
      <c r="E937" s="329">
        <v>304654.15999999997</v>
      </c>
      <c r="F937" s="329">
        <v>0</v>
      </c>
      <c r="G937" s="329">
        <v>9812</v>
      </c>
      <c r="H937" s="329"/>
      <c r="I937" s="329"/>
      <c r="J937" s="329"/>
      <c r="K937" s="329"/>
      <c r="L937" s="329"/>
      <c r="M937" s="329">
        <v>650000</v>
      </c>
      <c r="N937" s="329">
        <f t="shared" si="19"/>
        <v>23803</v>
      </c>
      <c r="O937" s="329">
        <f t="shared" si="18"/>
        <v>1600</v>
      </c>
      <c r="P937" s="329">
        <v>91683</v>
      </c>
      <c r="Q937" s="329">
        <v>0</v>
      </c>
      <c r="R937" s="315">
        <f>Dailies[[#This Row],[CIBC RRSP]]+Dailies[[#This Row],[QT RRSP]]+Dailies[[#This Row],[SunLife RRSP]]</f>
        <v>314466.15999999997</v>
      </c>
      <c r="S937" s="401">
        <f>S936+Dailies[[#This Row],[CIBC RRSP Principal Delta]]</f>
        <v>0</v>
      </c>
      <c r="T937" s="401">
        <f>T936+Dailies[[#This Row],[CIBC RESP Principal Delta]]</f>
        <v>37910.450000000004</v>
      </c>
      <c r="U937" s="402">
        <f>U936+Dailies[[#This Row],[QT RRSP Principal Delta]]</f>
        <v>333145.87</v>
      </c>
      <c r="V937" s="401">
        <f>V936+Dailies[[#This Row],[SunLife RRSP Principal Delta]]</f>
        <v>10257.61</v>
      </c>
      <c r="W937" s="315">
        <f>Dailies[[#This Row],[CIBC RRSP Principal]]+Dailies[[#This Row],[QT RRSP Principal]]+Dailies[[#This Row],[SunLife RRSP Principal]]</f>
        <v>343403.48</v>
      </c>
      <c r="X937" s="361">
        <f>Dailies[[#This Row],[CIBC RRSP Principal]]+Dailies[[#This Row],[CIBC RESP Principal]]+Dailies[[#This Row],[QT RRSP Principal]]+Dailies[[#This Row],[SunLife RRSP Principal]]</f>
        <v>381313.93</v>
      </c>
      <c r="Y937" s="315">
        <f>Dailies[[#This Row],[CIBC RRSP]]+Dailies[[#This Row],[CIBC RESP]]+Dailies[[#This Row],[QT RRSP]]+Dailies[[#This Row],[SunLife RRSP]]</f>
        <v>350266.05</v>
      </c>
      <c r="Z937" s="313">
        <f>Dailies[[#This Row],[Portfolio Total]]+Dailies[[#This Row],[Home Equity]]+Dailies[[#This Row],[Car Equity]]+Dailies[[#This Row],[Valuables Equity]]+Dailies[[#This Row],[GSK Pension]]+Dailies[[#This Row],[Home Loan]]</f>
        <v>1117352.05</v>
      </c>
      <c r="AA937" s="402">
        <f>IF(ISNUMBER(C936),Dailies[[#This Row],[CIBC RRSP]]-C936-Dailies[[#This Row],[CIBC RRSP Principal Delta]],0)</f>
        <v>0</v>
      </c>
      <c r="AB937" s="402">
        <f>IF(ISNUMBER(D936),Dailies[[#This Row],[CIBC RESP]]-D936-Dailies[[#This Row],[CIBC RESP Principal Delta]],0)</f>
        <v>0</v>
      </c>
      <c r="AC937" s="402">
        <f>IF(ISNUMBER(E936),Dailies[[#This Row],[QT RRSP]]-E936-Dailies[[#This Row],[QT RRSP Principal Delta]],0)</f>
        <v>-1025.7600000000093</v>
      </c>
      <c r="AD937" s="402">
        <f>IF(ISNUMBER(G936),Dailies[[#This Row],[SunLife RRSP]]-G936-Dailies[[#This Row],[SunLife RRSP Principal Delta]],0)</f>
        <v>0</v>
      </c>
      <c r="AE937" s="315">
        <f>Dailies[[#This Row],[CIBC RRSP Daily $]]+Dailies[[#This Row],[QT RRSP Daily $]]+Dailies[[#This Row],[SunLife RRSP Daily $]]</f>
        <v>-1025.7600000000093</v>
      </c>
      <c r="AF937" s="315">
        <f>Dailies[[#This Row],[RRSP Daily $]]+Dailies[[#This Row],[CIBC RESP Daily $]]</f>
        <v>-1025.7600000000093</v>
      </c>
      <c r="AG937" s="401">
        <f>IF(ISNUMBER(AJ936),Dailies[[#This Row],[VOO]]-AJ936,0)</f>
        <v>5.5200000000000387</v>
      </c>
      <c r="AH937" s="362">
        <f>Dailies[[#This Row],[RRSP Daily $]]/Dailies[[#This Row],[RRSP Total]]</f>
        <v>-3.2619090079517915E-3</v>
      </c>
      <c r="AI937" s="363">
        <f>IF(Dailies[[#This Row],[CIBC RESP]]&gt;0,Dailies[[#This Row],[CIBC RESP Daily $]]/Dailies[[#This Row],[CIBC RESP]],0)</f>
        <v>0</v>
      </c>
      <c r="AJ937" s="315">
        <f>VLOOKUP(Dailies[[#This Row],[Date]],Quotes[],MATCH("VOO",Quotes[#Headers],EXACT_MATCH))</f>
        <v>256.47000000000003</v>
      </c>
      <c r="AK937" s="314">
        <f>Dailies[[#This Row],[VOO Daily $]]/Dailies[[#This Row],[VOO]]</f>
        <v>2.1522985144461489E-2</v>
      </c>
      <c r="AL937" s="314">
        <f>Dailies[[#This Row],[RRSP Daily %]]-Dailies[[#This Row],[VOO Daily %]]</f>
        <v>-2.4784894152413282E-2</v>
      </c>
      <c r="AM937" s="413">
        <f t="shared" ref="AM937:AM949" si="21">AVERAGE(AJ721:AJ921)</f>
        <v>280.2883084577112</v>
      </c>
      <c r="AR937" s="333"/>
      <c r="AS937" s="333"/>
      <c r="AT937" s="333"/>
      <c r="AU937" s="333"/>
      <c r="AV937" s="333"/>
    </row>
    <row r="938" spans="2:48" s="330" customFormat="1" ht="28.15" customHeight="1" x14ac:dyDescent="0.25">
      <c r="B938" s="359">
        <v>43944</v>
      </c>
      <c r="C938" s="360">
        <v>0</v>
      </c>
      <c r="D938" s="360">
        <v>35799.89</v>
      </c>
      <c r="E938" s="329">
        <v>302872.03999999998</v>
      </c>
      <c r="F938" s="329">
        <v>0</v>
      </c>
      <c r="G938" s="329">
        <v>9812</v>
      </c>
      <c r="H938" s="329"/>
      <c r="I938" s="329"/>
      <c r="J938" s="329"/>
      <c r="K938" s="329"/>
      <c r="L938" s="329"/>
      <c r="M938" s="329">
        <v>650000</v>
      </c>
      <c r="N938" s="329">
        <f t="shared" si="19"/>
        <v>23803</v>
      </c>
      <c r="O938" s="329">
        <f t="shared" si="18"/>
        <v>1600</v>
      </c>
      <c r="P938" s="329">
        <v>91683</v>
      </c>
      <c r="Q938" s="329">
        <v>0</v>
      </c>
      <c r="R938" s="315">
        <f>Dailies[[#This Row],[CIBC RRSP]]+Dailies[[#This Row],[QT RRSP]]+Dailies[[#This Row],[SunLife RRSP]]</f>
        <v>312684.03999999998</v>
      </c>
      <c r="S938" s="401">
        <f>S937+Dailies[[#This Row],[CIBC RRSP Principal Delta]]</f>
        <v>0</v>
      </c>
      <c r="T938" s="401">
        <f>T937+Dailies[[#This Row],[CIBC RESP Principal Delta]]</f>
        <v>37910.450000000004</v>
      </c>
      <c r="U938" s="402">
        <f>U937+Dailies[[#This Row],[QT RRSP Principal Delta]]</f>
        <v>333145.87</v>
      </c>
      <c r="V938" s="401">
        <f>V937+Dailies[[#This Row],[SunLife RRSP Principal Delta]]</f>
        <v>10257.61</v>
      </c>
      <c r="W938" s="315">
        <f>Dailies[[#This Row],[CIBC RRSP Principal]]+Dailies[[#This Row],[QT RRSP Principal]]+Dailies[[#This Row],[SunLife RRSP Principal]]</f>
        <v>343403.48</v>
      </c>
      <c r="X938" s="361">
        <f>Dailies[[#This Row],[CIBC RRSP Principal]]+Dailies[[#This Row],[CIBC RESP Principal]]+Dailies[[#This Row],[QT RRSP Principal]]+Dailies[[#This Row],[SunLife RRSP Principal]]</f>
        <v>381313.93</v>
      </c>
      <c r="Y938" s="315">
        <f>Dailies[[#This Row],[CIBC RRSP]]+Dailies[[#This Row],[CIBC RESP]]+Dailies[[#This Row],[QT RRSP]]+Dailies[[#This Row],[SunLife RRSP]]</f>
        <v>348483.93</v>
      </c>
      <c r="Z938" s="313">
        <f>Dailies[[#This Row],[Portfolio Total]]+Dailies[[#This Row],[Home Equity]]+Dailies[[#This Row],[Car Equity]]+Dailies[[#This Row],[Valuables Equity]]+Dailies[[#This Row],[GSK Pension]]+Dailies[[#This Row],[Home Loan]]</f>
        <v>1115569.93</v>
      </c>
      <c r="AA938" s="402">
        <f>IF(ISNUMBER(C937),Dailies[[#This Row],[CIBC RRSP]]-C937-Dailies[[#This Row],[CIBC RRSP Principal Delta]],0)</f>
        <v>0</v>
      </c>
      <c r="AB938" s="402">
        <f>IF(ISNUMBER(D937),Dailies[[#This Row],[CIBC RESP]]-D937-Dailies[[#This Row],[CIBC RESP Principal Delta]],0)</f>
        <v>0</v>
      </c>
      <c r="AC938" s="402">
        <f>IF(ISNUMBER(E937),Dailies[[#This Row],[QT RRSP]]-E937-Dailies[[#This Row],[QT RRSP Principal Delta]],0)</f>
        <v>-1782.1199999999953</v>
      </c>
      <c r="AD938" s="402">
        <f>IF(ISNUMBER(G937),Dailies[[#This Row],[SunLife RRSP]]-G937-Dailies[[#This Row],[SunLife RRSP Principal Delta]],0)</f>
        <v>0</v>
      </c>
      <c r="AE938" s="315">
        <f>Dailies[[#This Row],[CIBC RRSP Daily $]]+Dailies[[#This Row],[QT RRSP Daily $]]+Dailies[[#This Row],[SunLife RRSP Daily $]]</f>
        <v>-1782.1199999999953</v>
      </c>
      <c r="AF938" s="315">
        <f>Dailies[[#This Row],[RRSP Daily $]]+Dailies[[#This Row],[CIBC RESP Daily $]]</f>
        <v>-1782.1199999999953</v>
      </c>
      <c r="AG938" s="401">
        <f>IF(ISNUMBER(AJ937),Dailies[[#This Row],[VOO]]-AJ937,0)</f>
        <v>-5.0000000000011369E-2</v>
      </c>
      <c r="AH938" s="362">
        <f>Dailies[[#This Row],[RRSP Daily $]]/Dailies[[#This Row],[RRSP Total]]</f>
        <v>-5.69942744759213E-3</v>
      </c>
      <c r="AI938" s="363">
        <f>IF(Dailies[[#This Row],[CIBC RESP]]&gt;0,Dailies[[#This Row],[CIBC RESP Daily $]]/Dailies[[#This Row],[CIBC RESP]],0)</f>
        <v>0</v>
      </c>
      <c r="AJ938" s="315">
        <f>VLOOKUP(Dailies[[#This Row],[Date]],Quotes[],MATCH("VOO",Quotes[#Headers],EXACT_MATCH))</f>
        <v>256.42</v>
      </c>
      <c r="AK938" s="314">
        <f>Dailies[[#This Row],[VOO Daily $]]/Dailies[[#This Row],[VOO]]</f>
        <v>-1.9499259028161363E-4</v>
      </c>
      <c r="AL938" s="314">
        <f>Dailies[[#This Row],[RRSP Daily %]]-Dailies[[#This Row],[VOO Daily %]]</f>
        <v>-5.5044348573105167E-3</v>
      </c>
      <c r="AM938" s="413">
        <f t="shared" si="21"/>
        <v>280.12477611940272</v>
      </c>
      <c r="AR938" s="333"/>
      <c r="AS938" s="333"/>
      <c r="AT938" s="333"/>
      <c r="AU938" s="333"/>
      <c r="AV938" s="333"/>
    </row>
    <row r="939" spans="2:48" s="330" customFormat="1" ht="28.15" customHeight="1" x14ac:dyDescent="0.25">
      <c r="B939" s="359">
        <v>43945</v>
      </c>
      <c r="C939" s="360">
        <v>0</v>
      </c>
      <c r="D939" s="360">
        <v>35799.89</v>
      </c>
      <c r="E939" s="329">
        <v>303348.65000000002</v>
      </c>
      <c r="F939" s="329">
        <v>0</v>
      </c>
      <c r="G939" s="329">
        <v>9812</v>
      </c>
      <c r="H939" s="329"/>
      <c r="I939" s="329"/>
      <c r="J939" s="329"/>
      <c r="K939" s="329"/>
      <c r="L939" s="329"/>
      <c r="M939" s="329">
        <v>650000</v>
      </c>
      <c r="N939" s="329">
        <f t="shared" si="19"/>
        <v>23803</v>
      </c>
      <c r="O939" s="329">
        <f t="shared" si="18"/>
        <v>1600</v>
      </c>
      <c r="P939" s="329">
        <v>91683</v>
      </c>
      <c r="Q939" s="329">
        <v>0</v>
      </c>
      <c r="R939" s="315">
        <f>Dailies[[#This Row],[CIBC RRSP]]+Dailies[[#This Row],[QT RRSP]]+Dailies[[#This Row],[SunLife RRSP]]</f>
        <v>313160.65000000002</v>
      </c>
      <c r="S939" s="401">
        <f>S938+Dailies[[#This Row],[CIBC RRSP Principal Delta]]</f>
        <v>0</v>
      </c>
      <c r="T939" s="401">
        <f>T938+Dailies[[#This Row],[CIBC RESP Principal Delta]]</f>
        <v>37910.450000000004</v>
      </c>
      <c r="U939" s="402">
        <f>U938+Dailies[[#This Row],[QT RRSP Principal Delta]]</f>
        <v>333145.87</v>
      </c>
      <c r="V939" s="401">
        <f>V938+Dailies[[#This Row],[SunLife RRSP Principal Delta]]</f>
        <v>10257.61</v>
      </c>
      <c r="W939" s="315">
        <f>Dailies[[#This Row],[CIBC RRSP Principal]]+Dailies[[#This Row],[QT RRSP Principal]]+Dailies[[#This Row],[SunLife RRSP Principal]]</f>
        <v>343403.48</v>
      </c>
      <c r="X939" s="361">
        <f>Dailies[[#This Row],[CIBC RRSP Principal]]+Dailies[[#This Row],[CIBC RESP Principal]]+Dailies[[#This Row],[QT RRSP Principal]]+Dailies[[#This Row],[SunLife RRSP Principal]]</f>
        <v>381313.93</v>
      </c>
      <c r="Y939" s="315">
        <f>Dailies[[#This Row],[CIBC RRSP]]+Dailies[[#This Row],[CIBC RESP]]+Dailies[[#This Row],[QT RRSP]]+Dailies[[#This Row],[SunLife RRSP]]</f>
        <v>348960.54000000004</v>
      </c>
      <c r="Z939" s="313">
        <f>Dailies[[#This Row],[Portfolio Total]]+Dailies[[#This Row],[Home Equity]]+Dailies[[#This Row],[Car Equity]]+Dailies[[#This Row],[Valuables Equity]]+Dailies[[#This Row],[GSK Pension]]+Dailies[[#This Row],[Home Loan]]</f>
        <v>1116046.54</v>
      </c>
      <c r="AA939" s="402">
        <f>IF(ISNUMBER(C938),Dailies[[#This Row],[CIBC RRSP]]-C938-Dailies[[#This Row],[CIBC RRSP Principal Delta]],0)</f>
        <v>0</v>
      </c>
      <c r="AB939" s="402">
        <f>IF(ISNUMBER(D938),Dailies[[#This Row],[CIBC RESP]]-D938-Dailies[[#This Row],[CIBC RESP Principal Delta]],0)</f>
        <v>0</v>
      </c>
      <c r="AC939" s="402">
        <f>IF(ISNUMBER(E938),Dailies[[#This Row],[QT RRSP]]-E938-Dailies[[#This Row],[QT RRSP Principal Delta]],0)</f>
        <v>476.61000000004424</v>
      </c>
      <c r="AD939" s="402">
        <f>IF(ISNUMBER(G938),Dailies[[#This Row],[SunLife RRSP]]-G938-Dailies[[#This Row],[SunLife RRSP Principal Delta]],0)</f>
        <v>0</v>
      </c>
      <c r="AE939" s="315">
        <f>Dailies[[#This Row],[CIBC RRSP Daily $]]+Dailies[[#This Row],[QT RRSP Daily $]]+Dailies[[#This Row],[SunLife RRSP Daily $]]</f>
        <v>476.61000000004424</v>
      </c>
      <c r="AF939" s="315">
        <f>Dailies[[#This Row],[RRSP Daily $]]+Dailies[[#This Row],[CIBC RESP Daily $]]</f>
        <v>476.61000000004424</v>
      </c>
      <c r="AG939" s="401">
        <f>IF(ISNUMBER(AJ938),Dailies[[#This Row],[VOO]]-AJ938,0)</f>
        <v>3.7199999999999704</v>
      </c>
      <c r="AH939" s="362">
        <f>Dailies[[#This Row],[RRSP Daily $]]/Dailies[[#This Row],[RRSP Total]]</f>
        <v>1.5219345086940016E-3</v>
      </c>
      <c r="AI939" s="363">
        <f>IF(Dailies[[#This Row],[CIBC RESP]]&gt;0,Dailies[[#This Row],[CIBC RESP Daily $]]/Dailies[[#This Row],[CIBC RESP]],0)</f>
        <v>0</v>
      </c>
      <c r="AJ939" s="315">
        <f>VLOOKUP(Dailies[[#This Row],[Date]],Quotes[],MATCH("VOO",Quotes[#Headers],EXACT_MATCH))</f>
        <v>260.14</v>
      </c>
      <c r="AK939" s="314">
        <f>Dailies[[#This Row],[VOO Daily $]]/Dailies[[#This Row],[VOO]]</f>
        <v>1.4299992311831978E-2</v>
      </c>
      <c r="AL939" s="314">
        <f>Dailies[[#This Row],[RRSP Daily %]]-Dailies[[#This Row],[VOO Daily %]]</f>
        <v>-1.2778057803137977E-2</v>
      </c>
      <c r="AM939" s="413">
        <f t="shared" si="21"/>
        <v>280.0097512437809</v>
      </c>
      <c r="AR939" s="333"/>
      <c r="AS939" s="333"/>
      <c r="AT939" s="333"/>
      <c r="AU939" s="333"/>
      <c r="AV939" s="333"/>
    </row>
    <row r="940" spans="2:48" s="330" customFormat="1" ht="28.15" customHeight="1" x14ac:dyDescent="0.25">
      <c r="B940" s="359">
        <v>43946</v>
      </c>
      <c r="C940" s="360">
        <v>0</v>
      </c>
      <c r="D940" s="360">
        <v>35799.89</v>
      </c>
      <c r="E940" s="329">
        <v>303348.65000000002</v>
      </c>
      <c r="F940" s="329">
        <v>0</v>
      </c>
      <c r="G940" s="329">
        <v>9812</v>
      </c>
      <c r="H940" s="329"/>
      <c r="I940" s="329"/>
      <c r="J940" s="329"/>
      <c r="K940" s="329"/>
      <c r="L940" s="329"/>
      <c r="M940" s="329">
        <v>650000</v>
      </c>
      <c r="N940" s="329">
        <f t="shared" si="19"/>
        <v>23803</v>
      </c>
      <c r="O940" s="329">
        <f t="shared" si="18"/>
        <v>1600</v>
      </c>
      <c r="P940" s="329">
        <v>91683</v>
      </c>
      <c r="Q940" s="329">
        <v>0</v>
      </c>
      <c r="R940" s="315">
        <f>Dailies[[#This Row],[CIBC RRSP]]+Dailies[[#This Row],[QT RRSP]]+Dailies[[#This Row],[SunLife RRSP]]</f>
        <v>313160.65000000002</v>
      </c>
      <c r="S940" s="401">
        <f>S939+Dailies[[#This Row],[CIBC RRSP Principal Delta]]</f>
        <v>0</v>
      </c>
      <c r="T940" s="401">
        <f>T939+Dailies[[#This Row],[CIBC RESP Principal Delta]]</f>
        <v>37910.450000000004</v>
      </c>
      <c r="U940" s="402">
        <f>U939+Dailies[[#This Row],[QT RRSP Principal Delta]]</f>
        <v>333145.87</v>
      </c>
      <c r="V940" s="401">
        <f>V939+Dailies[[#This Row],[SunLife RRSP Principal Delta]]</f>
        <v>10257.61</v>
      </c>
      <c r="W940" s="315">
        <f>Dailies[[#This Row],[CIBC RRSP Principal]]+Dailies[[#This Row],[QT RRSP Principal]]+Dailies[[#This Row],[SunLife RRSP Principal]]</f>
        <v>343403.48</v>
      </c>
      <c r="X940" s="361">
        <f>Dailies[[#This Row],[CIBC RRSP Principal]]+Dailies[[#This Row],[CIBC RESP Principal]]+Dailies[[#This Row],[QT RRSP Principal]]+Dailies[[#This Row],[SunLife RRSP Principal]]</f>
        <v>381313.93</v>
      </c>
      <c r="Y940" s="315">
        <f>Dailies[[#This Row],[CIBC RRSP]]+Dailies[[#This Row],[CIBC RESP]]+Dailies[[#This Row],[QT RRSP]]+Dailies[[#This Row],[SunLife RRSP]]</f>
        <v>348960.54000000004</v>
      </c>
      <c r="Z940" s="313">
        <f>Dailies[[#This Row],[Portfolio Total]]+Dailies[[#This Row],[Home Equity]]+Dailies[[#This Row],[Car Equity]]+Dailies[[#This Row],[Valuables Equity]]+Dailies[[#This Row],[GSK Pension]]+Dailies[[#This Row],[Home Loan]]</f>
        <v>1116046.54</v>
      </c>
      <c r="AA940" s="402">
        <f>IF(ISNUMBER(C939),Dailies[[#This Row],[CIBC RRSP]]-C939-Dailies[[#This Row],[CIBC RRSP Principal Delta]],0)</f>
        <v>0</v>
      </c>
      <c r="AB940" s="402">
        <f>IF(ISNUMBER(D939),Dailies[[#This Row],[CIBC RESP]]-D939-Dailies[[#This Row],[CIBC RESP Principal Delta]],0)</f>
        <v>0</v>
      </c>
      <c r="AC940" s="402">
        <f>IF(ISNUMBER(E939),Dailies[[#This Row],[QT RRSP]]-E939-Dailies[[#This Row],[QT RRSP Principal Delta]],0)</f>
        <v>0</v>
      </c>
      <c r="AD940" s="402">
        <f>IF(ISNUMBER(G939),Dailies[[#This Row],[SunLife RRSP]]-G939-Dailies[[#This Row],[SunLife RRSP Principal Delta]],0)</f>
        <v>0</v>
      </c>
      <c r="AE940" s="315">
        <f>Dailies[[#This Row],[CIBC RRSP Daily $]]+Dailies[[#This Row],[QT RRSP Daily $]]+Dailies[[#This Row],[SunLife RRSP Daily $]]</f>
        <v>0</v>
      </c>
      <c r="AF940" s="315">
        <f>Dailies[[#This Row],[RRSP Daily $]]+Dailies[[#This Row],[CIBC RESP Daily $]]</f>
        <v>0</v>
      </c>
      <c r="AG940" s="401">
        <f>IF(ISNUMBER(AJ939),Dailies[[#This Row],[VOO]]-AJ939,0)</f>
        <v>0</v>
      </c>
      <c r="AH940" s="362">
        <f>Dailies[[#This Row],[RRSP Daily $]]/Dailies[[#This Row],[RRSP Total]]</f>
        <v>0</v>
      </c>
      <c r="AI940" s="363">
        <f>IF(Dailies[[#This Row],[CIBC RESP]]&gt;0,Dailies[[#This Row],[CIBC RESP Daily $]]/Dailies[[#This Row],[CIBC RESP]],0)</f>
        <v>0</v>
      </c>
      <c r="AJ940" s="315">
        <f>VLOOKUP(Dailies[[#This Row],[Date]],Quotes[],MATCH("VOO",Quotes[#Headers],EXACT_MATCH))</f>
        <v>260.14</v>
      </c>
      <c r="AK940" s="314">
        <f>Dailies[[#This Row],[VOO Daily $]]/Dailies[[#This Row],[VOO]]</f>
        <v>0</v>
      </c>
      <c r="AL940" s="314">
        <f>Dailies[[#This Row],[RRSP Daily %]]-Dailies[[#This Row],[VOO Daily %]]</f>
        <v>0</v>
      </c>
      <c r="AM940" s="413">
        <f t="shared" si="21"/>
        <v>279.91333333333307</v>
      </c>
      <c r="AR940" s="333"/>
      <c r="AS940" s="333"/>
      <c r="AT940" s="333"/>
      <c r="AU940" s="333"/>
      <c r="AV940" s="333"/>
    </row>
    <row r="941" spans="2:48" s="330" customFormat="1" ht="28.15" customHeight="1" x14ac:dyDescent="0.25">
      <c r="B941" s="359">
        <v>43947</v>
      </c>
      <c r="C941" s="360">
        <v>0</v>
      </c>
      <c r="D941" s="360">
        <v>35799.89</v>
      </c>
      <c r="E941" s="329">
        <v>303348.65000000002</v>
      </c>
      <c r="F941" s="329">
        <v>0</v>
      </c>
      <c r="G941" s="329">
        <v>9812</v>
      </c>
      <c r="H941" s="329"/>
      <c r="I941" s="329"/>
      <c r="J941" s="329"/>
      <c r="K941" s="329"/>
      <c r="L941" s="329"/>
      <c r="M941" s="329">
        <v>650000</v>
      </c>
      <c r="N941" s="329">
        <f t="shared" si="19"/>
        <v>23803</v>
      </c>
      <c r="O941" s="329">
        <f t="shared" si="18"/>
        <v>1600</v>
      </c>
      <c r="P941" s="329">
        <v>91683</v>
      </c>
      <c r="Q941" s="329">
        <v>0</v>
      </c>
      <c r="R941" s="315">
        <f>Dailies[[#This Row],[CIBC RRSP]]+Dailies[[#This Row],[QT RRSP]]+Dailies[[#This Row],[SunLife RRSP]]</f>
        <v>313160.65000000002</v>
      </c>
      <c r="S941" s="401">
        <f>S940+Dailies[[#This Row],[CIBC RRSP Principal Delta]]</f>
        <v>0</v>
      </c>
      <c r="T941" s="401">
        <f>T940+Dailies[[#This Row],[CIBC RESP Principal Delta]]</f>
        <v>37910.450000000004</v>
      </c>
      <c r="U941" s="402">
        <f>U940+Dailies[[#This Row],[QT RRSP Principal Delta]]</f>
        <v>333145.87</v>
      </c>
      <c r="V941" s="401">
        <f>V940+Dailies[[#This Row],[SunLife RRSP Principal Delta]]</f>
        <v>10257.61</v>
      </c>
      <c r="W941" s="315">
        <f>Dailies[[#This Row],[CIBC RRSP Principal]]+Dailies[[#This Row],[QT RRSP Principal]]+Dailies[[#This Row],[SunLife RRSP Principal]]</f>
        <v>343403.48</v>
      </c>
      <c r="X941" s="361">
        <f>Dailies[[#This Row],[CIBC RRSP Principal]]+Dailies[[#This Row],[CIBC RESP Principal]]+Dailies[[#This Row],[QT RRSP Principal]]+Dailies[[#This Row],[SunLife RRSP Principal]]</f>
        <v>381313.93</v>
      </c>
      <c r="Y941" s="315">
        <f>Dailies[[#This Row],[CIBC RRSP]]+Dailies[[#This Row],[CIBC RESP]]+Dailies[[#This Row],[QT RRSP]]+Dailies[[#This Row],[SunLife RRSP]]</f>
        <v>348960.54000000004</v>
      </c>
      <c r="Z941" s="313">
        <f>Dailies[[#This Row],[Portfolio Total]]+Dailies[[#This Row],[Home Equity]]+Dailies[[#This Row],[Car Equity]]+Dailies[[#This Row],[Valuables Equity]]+Dailies[[#This Row],[GSK Pension]]+Dailies[[#This Row],[Home Loan]]</f>
        <v>1116046.54</v>
      </c>
      <c r="AA941" s="402">
        <f>IF(ISNUMBER(C940),Dailies[[#This Row],[CIBC RRSP]]-C940-Dailies[[#This Row],[CIBC RRSP Principal Delta]],0)</f>
        <v>0</v>
      </c>
      <c r="AB941" s="402">
        <f>IF(ISNUMBER(D940),Dailies[[#This Row],[CIBC RESP]]-D940-Dailies[[#This Row],[CIBC RESP Principal Delta]],0)</f>
        <v>0</v>
      </c>
      <c r="AC941" s="402">
        <f>IF(ISNUMBER(E940),Dailies[[#This Row],[QT RRSP]]-E940-Dailies[[#This Row],[QT RRSP Principal Delta]],0)</f>
        <v>0</v>
      </c>
      <c r="AD941" s="402">
        <f>IF(ISNUMBER(G940),Dailies[[#This Row],[SunLife RRSP]]-G940-Dailies[[#This Row],[SunLife RRSP Principal Delta]],0)</f>
        <v>0</v>
      </c>
      <c r="AE941" s="315">
        <f>Dailies[[#This Row],[CIBC RRSP Daily $]]+Dailies[[#This Row],[QT RRSP Daily $]]+Dailies[[#This Row],[SunLife RRSP Daily $]]</f>
        <v>0</v>
      </c>
      <c r="AF941" s="315">
        <f>Dailies[[#This Row],[RRSP Daily $]]+Dailies[[#This Row],[CIBC RESP Daily $]]</f>
        <v>0</v>
      </c>
      <c r="AG941" s="401">
        <f>IF(ISNUMBER(AJ940),Dailies[[#This Row],[VOO]]-AJ940,0)</f>
        <v>0</v>
      </c>
      <c r="AH941" s="362">
        <f>Dailies[[#This Row],[RRSP Daily $]]/Dailies[[#This Row],[RRSP Total]]</f>
        <v>0</v>
      </c>
      <c r="AI941" s="363">
        <f>IF(Dailies[[#This Row],[CIBC RESP]]&gt;0,Dailies[[#This Row],[CIBC RESP Daily $]]/Dailies[[#This Row],[CIBC RESP]],0)</f>
        <v>0</v>
      </c>
      <c r="AJ941" s="315">
        <f>VLOOKUP(Dailies[[#This Row],[Date]],Quotes[],MATCH("VOO",Quotes[#Headers],EXACT_MATCH))</f>
        <v>260.14</v>
      </c>
      <c r="AK941" s="314">
        <f>Dailies[[#This Row],[VOO Daily $]]/Dailies[[#This Row],[VOO]]</f>
        <v>0</v>
      </c>
      <c r="AL941" s="314">
        <f>Dailies[[#This Row],[RRSP Daily %]]-Dailies[[#This Row],[VOO Daily %]]</f>
        <v>0</v>
      </c>
      <c r="AM941" s="413">
        <f t="shared" si="21"/>
        <v>279.81691542288536</v>
      </c>
      <c r="AR941" s="333"/>
      <c r="AS941" s="333"/>
      <c r="AT941" s="333"/>
      <c r="AU941" s="333"/>
      <c r="AV941" s="333"/>
    </row>
    <row r="942" spans="2:48" s="330" customFormat="1" ht="28.15" customHeight="1" x14ac:dyDescent="0.25">
      <c r="B942" s="359">
        <v>43948</v>
      </c>
      <c r="C942" s="360">
        <v>0</v>
      </c>
      <c r="D942" s="360">
        <v>35799.89</v>
      </c>
      <c r="E942" s="329">
        <v>302084.59000000003</v>
      </c>
      <c r="F942" s="329">
        <v>0</v>
      </c>
      <c r="G942" s="329">
        <v>9812</v>
      </c>
      <c r="H942" s="329"/>
      <c r="I942" s="329"/>
      <c r="J942" s="329"/>
      <c r="K942" s="329"/>
      <c r="L942" s="329"/>
      <c r="M942" s="329">
        <v>650000</v>
      </c>
      <c r="N942" s="329">
        <f t="shared" si="19"/>
        <v>23803</v>
      </c>
      <c r="O942" s="329">
        <f t="shared" si="18"/>
        <v>1600</v>
      </c>
      <c r="P942" s="329">
        <v>91683</v>
      </c>
      <c r="Q942" s="329">
        <v>0</v>
      </c>
      <c r="R942" s="315">
        <f>Dailies[[#This Row],[CIBC RRSP]]+Dailies[[#This Row],[QT RRSP]]+Dailies[[#This Row],[SunLife RRSP]]</f>
        <v>311896.59000000003</v>
      </c>
      <c r="S942" s="401">
        <f>S941+Dailies[[#This Row],[CIBC RRSP Principal Delta]]</f>
        <v>0</v>
      </c>
      <c r="T942" s="401">
        <f>T941+Dailies[[#This Row],[CIBC RESP Principal Delta]]</f>
        <v>37910.450000000004</v>
      </c>
      <c r="U942" s="402">
        <f>U941+Dailies[[#This Row],[QT RRSP Principal Delta]]</f>
        <v>333145.87</v>
      </c>
      <c r="V942" s="401">
        <f>V941+Dailies[[#This Row],[SunLife RRSP Principal Delta]]</f>
        <v>10257.61</v>
      </c>
      <c r="W942" s="315">
        <f>Dailies[[#This Row],[CIBC RRSP Principal]]+Dailies[[#This Row],[QT RRSP Principal]]+Dailies[[#This Row],[SunLife RRSP Principal]]</f>
        <v>343403.48</v>
      </c>
      <c r="X942" s="361">
        <f>Dailies[[#This Row],[CIBC RRSP Principal]]+Dailies[[#This Row],[CIBC RESP Principal]]+Dailies[[#This Row],[QT RRSP Principal]]+Dailies[[#This Row],[SunLife RRSP Principal]]</f>
        <v>381313.93</v>
      </c>
      <c r="Y942" s="315">
        <f>Dailies[[#This Row],[CIBC RRSP]]+Dailies[[#This Row],[CIBC RESP]]+Dailies[[#This Row],[QT RRSP]]+Dailies[[#This Row],[SunLife RRSP]]</f>
        <v>347696.48000000004</v>
      </c>
      <c r="Z942" s="313">
        <f>Dailies[[#This Row],[Portfolio Total]]+Dailies[[#This Row],[Home Equity]]+Dailies[[#This Row],[Car Equity]]+Dailies[[#This Row],[Valuables Equity]]+Dailies[[#This Row],[GSK Pension]]+Dailies[[#This Row],[Home Loan]]</f>
        <v>1114782.48</v>
      </c>
      <c r="AA942" s="402">
        <f>IF(ISNUMBER(C941),Dailies[[#This Row],[CIBC RRSP]]-C941-Dailies[[#This Row],[CIBC RRSP Principal Delta]],0)</f>
        <v>0</v>
      </c>
      <c r="AB942" s="402">
        <f>IF(ISNUMBER(D941),Dailies[[#This Row],[CIBC RESP]]-D941-Dailies[[#This Row],[CIBC RESP Principal Delta]],0)</f>
        <v>0</v>
      </c>
      <c r="AC942" s="402">
        <f>IF(ISNUMBER(E941),Dailies[[#This Row],[QT RRSP]]-E941-Dailies[[#This Row],[QT RRSP Principal Delta]],0)</f>
        <v>-1264.0599999999977</v>
      </c>
      <c r="AD942" s="402">
        <f>IF(ISNUMBER(G941),Dailies[[#This Row],[SunLife RRSP]]-G941-Dailies[[#This Row],[SunLife RRSP Principal Delta]],0)</f>
        <v>0</v>
      </c>
      <c r="AE942" s="315">
        <f>Dailies[[#This Row],[CIBC RRSP Daily $]]+Dailies[[#This Row],[QT RRSP Daily $]]+Dailies[[#This Row],[SunLife RRSP Daily $]]</f>
        <v>-1264.0599999999977</v>
      </c>
      <c r="AF942" s="315">
        <f>Dailies[[#This Row],[RRSP Daily $]]+Dailies[[#This Row],[CIBC RESP Daily $]]</f>
        <v>-1264.0599999999977</v>
      </c>
      <c r="AG942" s="401">
        <f>IF(ISNUMBER(AJ941),Dailies[[#This Row],[VOO]]-AJ941,0)</f>
        <v>3.7599999999999909</v>
      </c>
      <c r="AH942" s="362">
        <f>Dailies[[#This Row],[RRSP Daily $]]/Dailies[[#This Row],[RRSP Total]]</f>
        <v>-4.0528176342036881E-3</v>
      </c>
      <c r="AI942" s="363">
        <f>IF(Dailies[[#This Row],[CIBC RESP]]&gt;0,Dailies[[#This Row],[CIBC RESP Daily $]]/Dailies[[#This Row],[CIBC RESP]],0)</f>
        <v>0</v>
      </c>
      <c r="AJ942" s="315">
        <f>VLOOKUP(Dailies[[#This Row],[Date]],Quotes[],MATCH("VOO",Quotes[#Headers],EXACT_MATCH))</f>
        <v>263.89999999999998</v>
      </c>
      <c r="AK942" s="314">
        <f>Dailies[[#This Row],[VOO Daily $]]/Dailies[[#This Row],[VOO]]</f>
        <v>1.4247821144372836E-2</v>
      </c>
      <c r="AL942" s="314">
        <f>Dailies[[#This Row],[RRSP Daily %]]-Dailies[[#This Row],[VOO Daily %]]</f>
        <v>-1.8300638778576524E-2</v>
      </c>
      <c r="AM942" s="413">
        <f t="shared" si="21"/>
        <v>279.7195522388057</v>
      </c>
      <c r="AR942" s="333"/>
      <c r="AS942" s="333"/>
      <c r="AT942" s="333"/>
      <c r="AU942" s="333"/>
      <c r="AV942" s="333"/>
    </row>
    <row r="943" spans="2:48" s="330" customFormat="1" ht="28.15" customHeight="1" x14ac:dyDescent="0.25">
      <c r="B943" s="359">
        <v>43949</v>
      </c>
      <c r="C943" s="360">
        <v>0</v>
      </c>
      <c r="D943" s="360">
        <v>35799.89</v>
      </c>
      <c r="E943" s="329">
        <v>301317.86</v>
      </c>
      <c r="F943" s="329">
        <v>0</v>
      </c>
      <c r="G943" s="329">
        <v>9812</v>
      </c>
      <c r="H943" s="329"/>
      <c r="I943" s="329"/>
      <c r="J943" s="329"/>
      <c r="K943" s="329"/>
      <c r="L943" s="329"/>
      <c r="M943" s="329">
        <v>650000</v>
      </c>
      <c r="N943" s="329">
        <f t="shared" si="19"/>
        <v>23803</v>
      </c>
      <c r="O943" s="329">
        <f t="shared" si="18"/>
        <v>1600</v>
      </c>
      <c r="P943" s="329">
        <v>91683</v>
      </c>
      <c r="Q943" s="329">
        <v>0</v>
      </c>
      <c r="R943" s="315">
        <f>Dailies[[#This Row],[CIBC RRSP]]+Dailies[[#This Row],[QT RRSP]]+Dailies[[#This Row],[SunLife RRSP]]</f>
        <v>311129.86</v>
      </c>
      <c r="S943" s="401">
        <f>S942+Dailies[[#This Row],[CIBC RRSP Principal Delta]]</f>
        <v>0</v>
      </c>
      <c r="T943" s="401">
        <f>T942+Dailies[[#This Row],[CIBC RESP Principal Delta]]</f>
        <v>37910.450000000004</v>
      </c>
      <c r="U943" s="402">
        <f>U942+Dailies[[#This Row],[QT RRSP Principal Delta]]</f>
        <v>333145.87</v>
      </c>
      <c r="V943" s="401">
        <f>V942+Dailies[[#This Row],[SunLife RRSP Principal Delta]]</f>
        <v>10257.61</v>
      </c>
      <c r="W943" s="315">
        <f>Dailies[[#This Row],[CIBC RRSP Principal]]+Dailies[[#This Row],[QT RRSP Principal]]+Dailies[[#This Row],[SunLife RRSP Principal]]</f>
        <v>343403.48</v>
      </c>
      <c r="X943" s="361">
        <f>Dailies[[#This Row],[CIBC RRSP Principal]]+Dailies[[#This Row],[CIBC RESP Principal]]+Dailies[[#This Row],[QT RRSP Principal]]+Dailies[[#This Row],[SunLife RRSP Principal]]</f>
        <v>381313.93</v>
      </c>
      <c r="Y943" s="315">
        <f>Dailies[[#This Row],[CIBC RRSP]]+Dailies[[#This Row],[CIBC RESP]]+Dailies[[#This Row],[QT RRSP]]+Dailies[[#This Row],[SunLife RRSP]]</f>
        <v>346929.75</v>
      </c>
      <c r="Z943" s="313">
        <f>Dailies[[#This Row],[Portfolio Total]]+Dailies[[#This Row],[Home Equity]]+Dailies[[#This Row],[Car Equity]]+Dailies[[#This Row],[Valuables Equity]]+Dailies[[#This Row],[GSK Pension]]+Dailies[[#This Row],[Home Loan]]</f>
        <v>1114015.75</v>
      </c>
      <c r="AA943" s="402">
        <f>IF(ISNUMBER(C942),Dailies[[#This Row],[CIBC RRSP]]-C942-Dailies[[#This Row],[CIBC RRSP Principal Delta]],0)</f>
        <v>0</v>
      </c>
      <c r="AB943" s="402">
        <f>IF(ISNUMBER(D942),Dailies[[#This Row],[CIBC RESP]]-D942-Dailies[[#This Row],[CIBC RESP Principal Delta]],0)</f>
        <v>0</v>
      </c>
      <c r="AC943" s="402">
        <f>IF(ISNUMBER(E942),Dailies[[#This Row],[QT RRSP]]-E942-Dailies[[#This Row],[QT RRSP Principal Delta]],0)</f>
        <v>-766.73000000003958</v>
      </c>
      <c r="AD943" s="402">
        <f>IF(ISNUMBER(G942),Dailies[[#This Row],[SunLife RRSP]]-G942-Dailies[[#This Row],[SunLife RRSP Principal Delta]],0)</f>
        <v>0</v>
      </c>
      <c r="AE943" s="315">
        <f>Dailies[[#This Row],[CIBC RRSP Daily $]]+Dailies[[#This Row],[QT RRSP Daily $]]+Dailies[[#This Row],[SunLife RRSP Daily $]]</f>
        <v>-766.73000000003958</v>
      </c>
      <c r="AF943" s="315">
        <f>Dailies[[#This Row],[RRSP Daily $]]+Dailies[[#This Row],[CIBC RESP Daily $]]</f>
        <v>-766.73000000003958</v>
      </c>
      <c r="AG943" s="401">
        <f>IF(ISNUMBER(AJ942),Dailies[[#This Row],[VOO]]-AJ942,0)</f>
        <v>-1.2199999999999704</v>
      </c>
      <c r="AH943" s="362">
        <f>Dailies[[#This Row],[RRSP Daily $]]/Dailies[[#This Row],[RRSP Total]]</f>
        <v>-2.4643407739779128E-3</v>
      </c>
      <c r="AI943" s="363">
        <f>IF(Dailies[[#This Row],[CIBC RESP]]&gt;0,Dailies[[#This Row],[CIBC RESP Daily $]]/Dailies[[#This Row],[CIBC RESP]],0)</f>
        <v>0</v>
      </c>
      <c r="AJ943" s="315">
        <f>VLOOKUP(Dailies[[#This Row],[Date]],Quotes[],MATCH("VOO",Quotes[#Headers],EXACT_MATCH))</f>
        <v>262.68</v>
      </c>
      <c r="AK943" s="314">
        <f>Dailies[[#This Row],[VOO Daily $]]/Dailies[[#This Row],[VOO]]</f>
        <v>-4.6444342926753859E-3</v>
      </c>
      <c r="AL943" s="314">
        <f>Dailies[[#This Row],[RRSP Daily %]]-Dailies[[#This Row],[VOO Daily %]]</f>
        <v>2.1800935186974731E-3</v>
      </c>
      <c r="AM943" s="413">
        <f t="shared" si="21"/>
        <v>279.63353233830821</v>
      </c>
      <c r="AR943" s="333"/>
      <c r="AS943" s="333"/>
      <c r="AT943" s="333"/>
      <c r="AU943" s="333"/>
      <c r="AV943" s="333"/>
    </row>
    <row r="944" spans="2:48" s="330" customFormat="1" ht="28.15" customHeight="1" x14ac:dyDescent="0.25">
      <c r="B944" s="359">
        <v>43950</v>
      </c>
      <c r="C944" s="360">
        <v>0</v>
      </c>
      <c r="D944" s="360">
        <v>35799.89</v>
      </c>
      <c r="E944" s="329">
        <v>299917.56</v>
      </c>
      <c r="F944" s="329">
        <v>0</v>
      </c>
      <c r="G944" s="329">
        <v>9812</v>
      </c>
      <c r="H944" s="329"/>
      <c r="I944" s="329"/>
      <c r="J944" s="329"/>
      <c r="K944" s="329"/>
      <c r="L944" s="329"/>
      <c r="M944" s="329">
        <v>650000</v>
      </c>
      <c r="N944" s="329">
        <f t="shared" si="19"/>
        <v>23803</v>
      </c>
      <c r="O944" s="329">
        <f t="shared" si="18"/>
        <v>1600</v>
      </c>
      <c r="P944" s="329">
        <v>91683</v>
      </c>
      <c r="Q944" s="329">
        <v>0</v>
      </c>
      <c r="R944" s="315">
        <f>Dailies[[#This Row],[CIBC RRSP]]+Dailies[[#This Row],[QT RRSP]]+Dailies[[#This Row],[SunLife RRSP]]</f>
        <v>309729.56</v>
      </c>
      <c r="S944" s="401">
        <f>S943+Dailies[[#This Row],[CIBC RRSP Principal Delta]]</f>
        <v>0</v>
      </c>
      <c r="T944" s="401">
        <f>T943+Dailies[[#This Row],[CIBC RESP Principal Delta]]</f>
        <v>37910.450000000004</v>
      </c>
      <c r="U944" s="402">
        <f>U943+Dailies[[#This Row],[QT RRSP Principal Delta]]</f>
        <v>333145.87</v>
      </c>
      <c r="V944" s="401">
        <f>V943+Dailies[[#This Row],[SunLife RRSP Principal Delta]]</f>
        <v>10257.61</v>
      </c>
      <c r="W944" s="315">
        <f>Dailies[[#This Row],[CIBC RRSP Principal]]+Dailies[[#This Row],[QT RRSP Principal]]+Dailies[[#This Row],[SunLife RRSP Principal]]</f>
        <v>343403.48</v>
      </c>
      <c r="X944" s="361">
        <f>Dailies[[#This Row],[CIBC RRSP Principal]]+Dailies[[#This Row],[CIBC RESP Principal]]+Dailies[[#This Row],[QT RRSP Principal]]+Dailies[[#This Row],[SunLife RRSP Principal]]</f>
        <v>381313.93</v>
      </c>
      <c r="Y944" s="315">
        <f>Dailies[[#This Row],[CIBC RRSP]]+Dailies[[#This Row],[CIBC RESP]]+Dailies[[#This Row],[QT RRSP]]+Dailies[[#This Row],[SunLife RRSP]]</f>
        <v>345529.45</v>
      </c>
      <c r="Z944" s="313">
        <f>Dailies[[#This Row],[Portfolio Total]]+Dailies[[#This Row],[Home Equity]]+Dailies[[#This Row],[Car Equity]]+Dailies[[#This Row],[Valuables Equity]]+Dailies[[#This Row],[GSK Pension]]+Dailies[[#This Row],[Home Loan]]</f>
        <v>1112615.45</v>
      </c>
      <c r="AA944" s="402">
        <f>IF(ISNUMBER(C943),Dailies[[#This Row],[CIBC RRSP]]-C943-Dailies[[#This Row],[CIBC RRSP Principal Delta]],0)</f>
        <v>0</v>
      </c>
      <c r="AB944" s="402">
        <f>IF(ISNUMBER(D943),Dailies[[#This Row],[CIBC RESP]]-D943-Dailies[[#This Row],[CIBC RESP Principal Delta]],0)</f>
        <v>0</v>
      </c>
      <c r="AC944" s="402">
        <f>IF(ISNUMBER(E943),Dailies[[#This Row],[QT RRSP]]-E943-Dailies[[#This Row],[QT RRSP Principal Delta]],0)</f>
        <v>-1400.2999999999884</v>
      </c>
      <c r="AD944" s="402">
        <f>IF(ISNUMBER(G943),Dailies[[#This Row],[SunLife RRSP]]-G943-Dailies[[#This Row],[SunLife RRSP Principal Delta]],0)</f>
        <v>0</v>
      </c>
      <c r="AE944" s="315">
        <f>Dailies[[#This Row],[CIBC RRSP Daily $]]+Dailies[[#This Row],[QT RRSP Daily $]]+Dailies[[#This Row],[SunLife RRSP Daily $]]</f>
        <v>-1400.2999999999884</v>
      </c>
      <c r="AF944" s="315">
        <f>Dailies[[#This Row],[RRSP Daily $]]+Dailies[[#This Row],[CIBC RESP Daily $]]</f>
        <v>-1400.2999999999884</v>
      </c>
      <c r="AG944" s="401">
        <f>IF(ISNUMBER(AJ943),Dailies[[#This Row],[VOO]]-AJ943,0)</f>
        <v>6.7699999999999818</v>
      </c>
      <c r="AH944" s="362">
        <f>Dailies[[#This Row],[RRSP Daily $]]/Dailies[[#This Row],[RRSP Total]]</f>
        <v>-4.5210408719141577E-3</v>
      </c>
      <c r="AI944" s="363">
        <f>IF(Dailies[[#This Row],[CIBC RESP]]&gt;0,Dailies[[#This Row],[CIBC RESP Daily $]]/Dailies[[#This Row],[CIBC RESP]],0)</f>
        <v>0</v>
      </c>
      <c r="AJ944" s="315">
        <f>VLOOKUP(Dailies[[#This Row],[Date]],Quotes[],MATCH("VOO",Quotes[#Headers],EXACT_MATCH))</f>
        <v>269.45</v>
      </c>
      <c r="AK944" s="314">
        <f>Dailies[[#This Row],[VOO Daily $]]/Dailies[[#This Row],[VOO]]</f>
        <v>2.5125255149378297E-2</v>
      </c>
      <c r="AL944" s="314">
        <f>Dailies[[#This Row],[RRSP Daily %]]-Dailies[[#This Row],[VOO Daily %]]</f>
        <v>-2.9646296021292456E-2</v>
      </c>
      <c r="AM944" s="413">
        <f t="shared" si="21"/>
        <v>279.52686567164153</v>
      </c>
      <c r="AR944" s="333"/>
      <c r="AS944" s="333"/>
      <c r="AT944" s="333"/>
      <c r="AU944" s="333"/>
      <c r="AV944" s="333"/>
    </row>
    <row r="945" spans="2:48" s="330" customFormat="1" ht="28.15" customHeight="1" x14ac:dyDescent="0.25">
      <c r="B945" s="359">
        <v>43951</v>
      </c>
      <c r="C945" s="360">
        <v>0</v>
      </c>
      <c r="D945" s="360">
        <v>35186.25</v>
      </c>
      <c r="E945" s="329">
        <v>314392</v>
      </c>
      <c r="F945" s="329">
        <v>0</v>
      </c>
      <c r="G945" s="329">
        <v>10353.69</v>
      </c>
      <c r="H945" s="329"/>
      <c r="I945" s="329"/>
      <c r="J945" s="329"/>
      <c r="K945" s="329"/>
      <c r="L945" s="329"/>
      <c r="M945" s="329">
        <v>650000</v>
      </c>
      <c r="N945" s="329">
        <f t="shared" si="19"/>
        <v>23803</v>
      </c>
      <c r="O945" s="329">
        <f t="shared" si="18"/>
        <v>1600</v>
      </c>
      <c r="P945" s="329">
        <v>91683</v>
      </c>
      <c r="Q945" s="329">
        <v>0</v>
      </c>
      <c r="R945" s="315">
        <f>Dailies[[#This Row],[CIBC RRSP]]+Dailies[[#This Row],[QT RRSP]]+Dailies[[#This Row],[SunLife RRSP]]</f>
        <v>324745.69</v>
      </c>
      <c r="S945" s="401">
        <f>S944+Dailies[[#This Row],[CIBC RRSP Principal Delta]]</f>
        <v>0</v>
      </c>
      <c r="T945" s="401">
        <f>T944+Dailies[[#This Row],[CIBC RESP Principal Delta]]</f>
        <v>37910.450000000004</v>
      </c>
      <c r="U945" s="402">
        <f>U944+Dailies[[#This Row],[QT RRSP Principal Delta]]</f>
        <v>333145.87</v>
      </c>
      <c r="V945" s="401">
        <f>V944+Dailies[[#This Row],[SunLife RRSP Principal Delta]]</f>
        <v>10257.61</v>
      </c>
      <c r="W945" s="315">
        <f>Dailies[[#This Row],[CIBC RRSP Principal]]+Dailies[[#This Row],[QT RRSP Principal]]+Dailies[[#This Row],[SunLife RRSP Principal]]</f>
        <v>343403.48</v>
      </c>
      <c r="X945" s="361">
        <f>Dailies[[#This Row],[CIBC RRSP Principal]]+Dailies[[#This Row],[CIBC RESP Principal]]+Dailies[[#This Row],[QT RRSP Principal]]+Dailies[[#This Row],[SunLife RRSP Principal]]</f>
        <v>381313.93</v>
      </c>
      <c r="Y945" s="315">
        <f>Dailies[[#This Row],[CIBC RRSP]]+Dailies[[#This Row],[CIBC RESP]]+Dailies[[#This Row],[QT RRSP]]+Dailies[[#This Row],[SunLife RRSP]]</f>
        <v>359931.94</v>
      </c>
      <c r="Z945" s="313">
        <f>Dailies[[#This Row],[Portfolio Total]]+Dailies[[#This Row],[Home Equity]]+Dailies[[#This Row],[Car Equity]]+Dailies[[#This Row],[Valuables Equity]]+Dailies[[#This Row],[GSK Pension]]+Dailies[[#This Row],[Home Loan]]</f>
        <v>1127017.94</v>
      </c>
      <c r="AA945" s="402">
        <f>IF(ISNUMBER(C944),Dailies[[#This Row],[CIBC RRSP]]-C944-Dailies[[#This Row],[CIBC RRSP Principal Delta]],0)</f>
        <v>0</v>
      </c>
      <c r="AB945" s="402">
        <f>IF(ISNUMBER(D944),Dailies[[#This Row],[CIBC RESP]]-D944-Dailies[[#This Row],[CIBC RESP Principal Delta]],0)</f>
        <v>-613.63999999999942</v>
      </c>
      <c r="AC945" s="402">
        <f>IF(ISNUMBER(E944),Dailies[[#This Row],[QT RRSP]]-E944-Dailies[[#This Row],[QT RRSP Principal Delta]],0)</f>
        <v>14474.440000000002</v>
      </c>
      <c r="AD945" s="402">
        <f>IF(ISNUMBER(G944),Dailies[[#This Row],[SunLife RRSP]]-G944-Dailies[[#This Row],[SunLife RRSP Principal Delta]],0)</f>
        <v>541.69000000000051</v>
      </c>
      <c r="AE945" s="315">
        <f>Dailies[[#This Row],[CIBC RRSP Daily $]]+Dailies[[#This Row],[QT RRSP Daily $]]+Dailies[[#This Row],[SunLife RRSP Daily $]]</f>
        <v>15016.130000000003</v>
      </c>
      <c r="AF945" s="315">
        <f>Dailies[[#This Row],[RRSP Daily $]]+Dailies[[#This Row],[CIBC RESP Daily $]]</f>
        <v>14402.490000000003</v>
      </c>
      <c r="AG945" s="401">
        <f>IF(ISNUMBER(AJ944),Dailies[[#This Row],[VOO]]-AJ944,0)</f>
        <v>-2.3499999999999659</v>
      </c>
      <c r="AH945" s="362">
        <f>Dailies[[#This Row],[RRSP Daily $]]/Dailies[[#This Row],[RRSP Total]]</f>
        <v>4.623965910063349E-2</v>
      </c>
      <c r="AI945" s="363">
        <f>IF(Dailies[[#This Row],[CIBC RESP]]&gt;0,Dailies[[#This Row],[CIBC RESP Daily $]]/Dailies[[#This Row],[CIBC RESP]],0)</f>
        <v>-1.74397669544211E-2</v>
      </c>
      <c r="AJ945" s="315">
        <f>VLOOKUP(Dailies[[#This Row],[Date]],Quotes[],MATCH("VOO",Quotes[#Headers],EXACT_MATCH))</f>
        <v>267.10000000000002</v>
      </c>
      <c r="AK945" s="314">
        <f>Dailies[[#This Row],[VOO Daily $]]/Dailies[[#This Row],[VOO]]</f>
        <v>-8.7982029202544575E-3</v>
      </c>
      <c r="AL945" s="314">
        <f>Dailies[[#This Row],[RRSP Daily %]]-Dailies[[#This Row],[VOO Daily %]]</f>
        <v>5.5037862020887951E-2</v>
      </c>
      <c r="AM945" s="413">
        <f t="shared" si="21"/>
        <v>279.46781094527336</v>
      </c>
      <c r="AR945" s="333"/>
      <c r="AS945" s="333"/>
      <c r="AT945" s="333"/>
      <c r="AU945" s="333"/>
      <c r="AV945" s="333"/>
    </row>
    <row r="946" spans="2:48" s="330" customFormat="1" ht="28.15" customHeight="1" x14ac:dyDescent="0.25">
      <c r="B946" s="359">
        <v>43952</v>
      </c>
      <c r="C946" s="360">
        <v>0</v>
      </c>
      <c r="D946" s="360">
        <v>34935.69</v>
      </c>
      <c r="E946" s="329">
        <v>319609</v>
      </c>
      <c r="F946" s="329">
        <v>0</v>
      </c>
      <c r="G946" s="329">
        <v>10353.69</v>
      </c>
      <c r="H946" s="329"/>
      <c r="I946" s="329"/>
      <c r="J946" s="329"/>
      <c r="K946" s="329"/>
      <c r="L946" s="329"/>
      <c r="M946" s="329">
        <v>650000</v>
      </c>
      <c r="N946" s="329">
        <f t="shared" si="19"/>
        <v>23803</v>
      </c>
      <c r="O946" s="329">
        <f t="shared" si="18"/>
        <v>1600</v>
      </c>
      <c r="P946" s="329">
        <v>91683</v>
      </c>
      <c r="Q946" s="329">
        <v>0</v>
      </c>
      <c r="R946" s="315">
        <f>Dailies[[#This Row],[CIBC RRSP]]+Dailies[[#This Row],[QT RRSP]]+Dailies[[#This Row],[SunLife RRSP]]</f>
        <v>329962.69</v>
      </c>
      <c r="S946" s="401">
        <f>S945+Dailies[[#This Row],[CIBC RRSP Principal Delta]]</f>
        <v>0</v>
      </c>
      <c r="T946" s="401">
        <f>T945+Dailies[[#This Row],[CIBC RESP Principal Delta]]</f>
        <v>37910.450000000004</v>
      </c>
      <c r="U946" s="402">
        <f>U945+Dailies[[#This Row],[QT RRSP Principal Delta]]</f>
        <v>333145.87</v>
      </c>
      <c r="V946" s="401">
        <f>V945+Dailies[[#This Row],[SunLife RRSP Principal Delta]]</f>
        <v>10257.61</v>
      </c>
      <c r="W946" s="315">
        <f>Dailies[[#This Row],[CIBC RRSP Principal]]+Dailies[[#This Row],[QT RRSP Principal]]+Dailies[[#This Row],[SunLife RRSP Principal]]</f>
        <v>343403.48</v>
      </c>
      <c r="X946" s="361">
        <f>Dailies[[#This Row],[CIBC RRSP Principal]]+Dailies[[#This Row],[CIBC RESP Principal]]+Dailies[[#This Row],[QT RRSP Principal]]+Dailies[[#This Row],[SunLife RRSP Principal]]</f>
        <v>381313.93</v>
      </c>
      <c r="Y946" s="315">
        <f>Dailies[[#This Row],[CIBC RRSP]]+Dailies[[#This Row],[CIBC RESP]]+Dailies[[#This Row],[QT RRSP]]+Dailies[[#This Row],[SunLife RRSP]]</f>
        <v>364898.38</v>
      </c>
      <c r="Z946" s="313">
        <f>Dailies[[#This Row],[Portfolio Total]]+Dailies[[#This Row],[Home Equity]]+Dailies[[#This Row],[Car Equity]]+Dailies[[#This Row],[Valuables Equity]]+Dailies[[#This Row],[GSK Pension]]+Dailies[[#This Row],[Home Loan]]</f>
        <v>1131984.3799999999</v>
      </c>
      <c r="AA946" s="402">
        <f>IF(ISNUMBER(C945),Dailies[[#This Row],[CIBC RRSP]]-C945-Dailies[[#This Row],[CIBC RRSP Principal Delta]],0)</f>
        <v>0</v>
      </c>
      <c r="AB946" s="402">
        <f>IF(ISNUMBER(D945),Dailies[[#This Row],[CIBC RESP]]-D945-Dailies[[#This Row],[CIBC RESP Principal Delta]],0)</f>
        <v>-250.55999999999767</v>
      </c>
      <c r="AC946" s="402">
        <f>IF(ISNUMBER(E945),Dailies[[#This Row],[QT RRSP]]-E945-Dailies[[#This Row],[QT RRSP Principal Delta]],0)</f>
        <v>5217</v>
      </c>
      <c r="AD946" s="402">
        <f>IF(ISNUMBER(G945),Dailies[[#This Row],[SunLife RRSP]]-G945-Dailies[[#This Row],[SunLife RRSP Principal Delta]],0)</f>
        <v>0</v>
      </c>
      <c r="AE946" s="315">
        <f>Dailies[[#This Row],[CIBC RRSP Daily $]]+Dailies[[#This Row],[QT RRSP Daily $]]+Dailies[[#This Row],[SunLife RRSP Daily $]]</f>
        <v>5217</v>
      </c>
      <c r="AF946" s="315">
        <f>Dailies[[#This Row],[RRSP Daily $]]+Dailies[[#This Row],[CIBC RESP Daily $]]</f>
        <v>4966.4400000000023</v>
      </c>
      <c r="AG946" s="401">
        <f>IF(ISNUMBER(AJ945),Dailies[[#This Row],[VOO]]-AJ945,0)</f>
        <v>-7.2800000000000296</v>
      </c>
      <c r="AH946" s="362">
        <f>Dailies[[#This Row],[RRSP Daily $]]/Dailies[[#This Row],[RRSP Total]]</f>
        <v>1.5810878496596084E-2</v>
      </c>
      <c r="AI946" s="363">
        <f>IF(Dailies[[#This Row],[CIBC RESP]]&gt;0,Dailies[[#This Row],[CIBC RESP Daily $]]/Dailies[[#This Row],[CIBC RESP]],0)</f>
        <v>-7.172035245332142E-3</v>
      </c>
      <c r="AJ946" s="315">
        <f>VLOOKUP(Dailies[[#This Row],[Date]],Quotes[],MATCH("VOO",Quotes[#Headers],EXACT_MATCH))</f>
        <v>259.82</v>
      </c>
      <c r="AK946" s="314">
        <f>Dailies[[#This Row],[VOO Daily $]]/Dailies[[#This Row],[VOO]]</f>
        <v>-2.8019398044800362E-2</v>
      </c>
      <c r="AL946" s="314">
        <f>Dailies[[#This Row],[RRSP Daily %]]-Dailies[[#This Row],[VOO Daily %]]</f>
        <v>4.3830276541396443E-2</v>
      </c>
      <c r="AM946" s="413">
        <f t="shared" si="21"/>
        <v>279.3881094527361</v>
      </c>
      <c r="AR946" s="333"/>
      <c r="AS946" s="333"/>
      <c r="AT946" s="333"/>
      <c r="AU946" s="333"/>
      <c r="AV946" s="333"/>
    </row>
    <row r="947" spans="2:48" s="330" customFormat="1" ht="28.15" customHeight="1" x14ac:dyDescent="0.25">
      <c r="B947" s="359">
        <v>43953</v>
      </c>
      <c r="C947" s="360">
        <v>0</v>
      </c>
      <c r="D947" s="360">
        <v>34935.69</v>
      </c>
      <c r="E947" s="329">
        <v>319609</v>
      </c>
      <c r="F947" s="329">
        <v>0</v>
      </c>
      <c r="G947" s="329">
        <v>10353.69</v>
      </c>
      <c r="H947" s="329"/>
      <c r="I947" s="329"/>
      <c r="J947" s="329"/>
      <c r="K947" s="329"/>
      <c r="L947" s="329"/>
      <c r="M947" s="329">
        <v>650000</v>
      </c>
      <c r="N947" s="329">
        <f t="shared" si="19"/>
        <v>23803</v>
      </c>
      <c r="O947" s="329">
        <f t="shared" si="18"/>
        <v>1600</v>
      </c>
      <c r="P947" s="329">
        <v>91683</v>
      </c>
      <c r="Q947" s="329">
        <v>0</v>
      </c>
      <c r="R947" s="315">
        <f>Dailies[[#This Row],[CIBC RRSP]]+Dailies[[#This Row],[QT RRSP]]+Dailies[[#This Row],[SunLife RRSP]]</f>
        <v>329962.69</v>
      </c>
      <c r="S947" s="401">
        <f>S946+Dailies[[#This Row],[CIBC RRSP Principal Delta]]</f>
        <v>0</v>
      </c>
      <c r="T947" s="401">
        <f>T946+Dailies[[#This Row],[CIBC RESP Principal Delta]]</f>
        <v>37910.450000000004</v>
      </c>
      <c r="U947" s="402">
        <f>U946+Dailies[[#This Row],[QT RRSP Principal Delta]]</f>
        <v>333145.87</v>
      </c>
      <c r="V947" s="401">
        <f>V946+Dailies[[#This Row],[SunLife RRSP Principal Delta]]</f>
        <v>10257.61</v>
      </c>
      <c r="W947" s="315">
        <f>Dailies[[#This Row],[CIBC RRSP Principal]]+Dailies[[#This Row],[QT RRSP Principal]]+Dailies[[#This Row],[SunLife RRSP Principal]]</f>
        <v>343403.48</v>
      </c>
      <c r="X947" s="361">
        <f>Dailies[[#This Row],[CIBC RRSP Principal]]+Dailies[[#This Row],[CIBC RESP Principal]]+Dailies[[#This Row],[QT RRSP Principal]]+Dailies[[#This Row],[SunLife RRSP Principal]]</f>
        <v>381313.93</v>
      </c>
      <c r="Y947" s="315">
        <f>Dailies[[#This Row],[CIBC RRSP]]+Dailies[[#This Row],[CIBC RESP]]+Dailies[[#This Row],[QT RRSP]]+Dailies[[#This Row],[SunLife RRSP]]</f>
        <v>364898.38</v>
      </c>
      <c r="Z947" s="313">
        <f>Dailies[[#This Row],[Portfolio Total]]+Dailies[[#This Row],[Home Equity]]+Dailies[[#This Row],[Car Equity]]+Dailies[[#This Row],[Valuables Equity]]+Dailies[[#This Row],[GSK Pension]]+Dailies[[#This Row],[Home Loan]]</f>
        <v>1131984.3799999999</v>
      </c>
      <c r="AA947" s="402">
        <f>IF(ISNUMBER(C946),Dailies[[#This Row],[CIBC RRSP]]-C946-Dailies[[#This Row],[CIBC RRSP Principal Delta]],0)</f>
        <v>0</v>
      </c>
      <c r="AB947" s="402">
        <f>IF(ISNUMBER(D946),Dailies[[#This Row],[CIBC RESP]]-D946-Dailies[[#This Row],[CIBC RESP Principal Delta]],0)</f>
        <v>0</v>
      </c>
      <c r="AC947" s="402">
        <f>IF(ISNUMBER(E946),Dailies[[#This Row],[QT RRSP]]-E946-Dailies[[#This Row],[QT RRSP Principal Delta]],0)</f>
        <v>0</v>
      </c>
      <c r="AD947" s="402">
        <f>IF(ISNUMBER(G946),Dailies[[#This Row],[SunLife RRSP]]-G946-Dailies[[#This Row],[SunLife RRSP Principal Delta]],0)</f>
        <v>0</v>
      </c>
      <c r="AE947" s="315">
        <f>Dailies[[#This Row],[CIBC RRSP Daily $]]+Dailies[[#This Row],[QT RRSP Daily $]]+Dailies[[#This Row],[SunLife RRSP Daily $]]</f>
        <v>0</v>
      </c>
      <c r="AF947" s="315">
        <f>Dailies[[#This Row],[RRSP Daily $]]+Dailies[[#This Row],[CIBC RESP Daily $]]</f>
        <v>0</v>
      </c>
      <c r="AG947" s="401">
        <f>IF(ISNUMBER(AJ946),Dailies[[#This Row],[VOO]]-AJ946,0)</f>
        <v>0</v>
      </c>
      <c r="AH947" s="362">
        <f>Dailies[[#This Row],[RRSP Daily $]]/Dailies[[#This Row],[RRSP Total]]</f>
        <v>0</v>
      </c>
      <c r="AI947" s="363">
        <f>IF(Dailies[[#This Row],[CIBC RESP]]&gt;0,Dailies[[#This Row],[CIBC RESP Daily $]]/Dailies[[#This Row],[CIBC RESP]],0)</f>
        <v>0</v>
      </c>
      <c r="AJ947" s="315">
        <f>VLOOKUP(Dailies[[#This Row],[Date]],Quotes[],MATCH("VOO",Quotes[#Headers],EXACT_MATCH))</f>
        <v>259.82</v>
      </c>
      <c r="AK947" s="314">
        <f>Dailies[[#This Row],[VOO Daily $]]/Dailies[[#This Row],[VOO]]</f>
        <v>0</v>
      </c>
      <c r="AL947" s="314">
        <f>Dailies[[#This Row],[RRSP Daily %]]-Dailies[[#This Row],[VOO Daily %]]</f>
        <v>0</v>
      </c>
      <c r="AM947" s="413">
        <f t="shared" si="21"/>
        <v>279.31482587064653</v>
      </c>
      <c r="AR947" s="333"/>
      <c r="AS947" s="333"/>
      <c r="AT947" s="333"/>
      <c r="AU947" s="333"/>
      <c r="AV947" s="333"/>
    </row>
    <row r="948" spans="2:48" s="330" customFormat="1" ht="28.15" customHeight="1" x14ac:dyDescent="0.25">
      <c r="B948" s="359">
        <v>43954</v>
      </c>
      <c r="C948" s="360">
        <v>0</v>
      </c>
      <c r="D948" s="360">
        <v>34935.69</v>
      </c>
      <c r="E948" s="329">
        <v>319609</v>
      </c>
      <c r="F948" s="329">
        <v>0</v>
      </c>
      <c r="G948" s="329">
        <v>10353.69</v>
      </c>
      <c r="H948" s="329"/>
      <c r="I948" s="329"/>
      <c r="J948" s="329"/>
      <c r="K948" s="329"/>
      <c r="L948" s="329"/>
      <c r="M948" s="329">
        <v>650000</v>
      </c>
      <c r="N948" s="329">
        <f t="shared" si="19"/>
        <v>23803</v>
      </c>
      <c r="O948" s="329">
        <f t="shared" si="18"/>
        <v>1600</v>
      </c>
      <c r="P948" s="329">
        <v>91683</v>
      </c>
      <c r="Q948" s="329">
        <v>0</v>
      </c>
      <c r="R948" s="315">
        <f>Dailies[[#This Row],[CIBC RRSP]]+Dailies[[#This Row],[QT RRSP]]+Dailies[[#This Row],[SunLife RRSP]]</f>
        <v>329962.69</v>
      </c>
      <c r="S948" s="401">
        <f>S947+Dailies[[#This Row],[CIBC RRSP Principal Delta]]</f>
        <v>0</v>
      </c>
      <c r="T948" s="401">
        <f>T947+Dailies[[#This Row],[CIBC RESP Principal Delta]]</f>
        <v>37910.450000000004</v>
      </c>
      <c r="U948" s="402">
        <f>U947+Dailies[[#This Row],[QT RRSP Principal Delta]]</f>
        <v>333145.87</v>
      </c>
      <c r="V948" s="401">
        <f>V947+Dailies[[#This Row],[SunLife RRSP Principal Delta]]</f>
        <v>10257.61</v>
      </c>
      <c r="W948" s="315">
        <f>Dailies[[#This Row],[CIBC RRSP Principal]]+Dailies[[#This Row],[QT RRSP Principal]]+Dailies[[#This Row],[SunLife RRSP Principal]]</f>
        <v>343403.48</v>
      </c>
      <c r="X948" s="361">
        <f>Dailies[[#This Row],[CIBC RRSP Principal]]+Dailies[[#This Row],[CIBC RESP Principal]]+Dailies[[#This Row],[QT RRSP Principal]]+Dailies[[#This Row],[SunLife RRSP Principal]]</f>
        <v>381313.93</v>
      </c>
      <c r="Y948" s="315">
        <f>Dailies[[#This Row],[CIBC RRSP]]+Dailies[[#This Row],[CIBC RESP]]+Dailies[[#This Row],[QT RRSP]]+Dailies[[#This Row],[SunLife RRSP]]</f>
        <v>364898.38</v>
      </c>
      <c r="Z948" s="313">
        <f>Dailies[[#This Row],[Portfolio Total]]+Dailies[[#This Row],[Home Equity]]+Dailies[[#This Row],[Car Equity]]+Dailies[[#This Row],[Valuables Equity]]+Dailies[[#This Row],[GSK Pension]]+Dailies[[#This Row],[Home Loan]]</f>
        <v>1131984.3799999999</v>
      </c>
      <c r="AA948" s="402">
        <f>IF(ISNUMBER(C947),Dailies[[#This Row],[CIBC RRSP]]-C947-Dailies[[#This Row],[CIBC RRSP Principal Delta]],0)</f>
        <v>0</v>
      </c>
      <c r="AB948" s="402">
        <f>IF(ISNUMBER(D947),Dailies[[#This Row],[CIBC RESP]]-D947-Dailies[[#This Row],[CIBC RESP Principal Delta]],0)</f>
        <v>0</v>
      </c>
      <c r="AC948" s="402">
        <f>IF(ISNUMBER(E947),Dailies[[#This Row],[QT RRSP]]-E947-Dailies[[#This Row],[QT RRSP Principal Delta]],0)</f>
        <v>0</v>
      </c>
      <c r="AD948" s="402">
        <f>IF(ISNUMBER(G947),Dailies[[#This Row],[SunLife RRSP]]-G947-Dailies[[#This Row],[SunLife RRSP Principal Delta]],0)</f>
        <v>0</v>
      </c>
      <c r="AE948" s="315">
        <f>Dailies[[#This Row],[CIBC RRSP Daily $]]+Dailies[[#This Row],[QT RRSP Daily $]]+Dailies[[#This Row],[SunLife RRSP Daily $]]</f>
        <v>0</v>
      </c>
      <c r="AF948" s="315">
        <f>Dailies[[#This Row],[RRSP Daily $]]+Dailies[[#This Row],[CIBC RESP Daily $]]</f>
        <v>0</v>
      </c>
      <c r="AG948" s="401">
        <f>IF(ISNUMBER(AJ947),Dailies[[#This Row],[VOO]]-AJ947,0)</f>
        <v>0</v>
      </c>
      <c r="AH948" s="362">
        <f>Dailies[[#This Row],[RRSP Daily $]]/Dailies[[#This Row],[RRSP Total]]</f>
        <v>0</v>
      </c>
      <c r="AI948" s="363">
        <f>IF(Dailies[[#This Row],[CIBC RESP]]&gt;0,Dailies[[#This Row],[CIBC RESP Daily $]]/Dailies[[#This Row],[CIBC RESP]],0)</f>
        <v>0</v>
      </c>
      <c r="AJ948" s="315">
        <f>VLOOKUP(Dailies[[#This Row],[Date]],Quotes[],MATCH("VOO",Quotes[#Headers],EXACT_MATCH))</f>
        <v>259.82</v>
      </c>
      <c r="AK948" s="314">
        <f>Dailies[[#This Row],[VOO Daily $]]/Dailies[[#This Row],[VOO]]</f>
        <v>0</v>
      </c>
      <c r="AL948" s="314">
        <f>Dailies[[#This Row],[RRSP Daily %]]-Dailies[[#This Row],[VOO Daily %]]</f>
        <v>0</v>
      </c>
      <c r="AM948" s="413">
        <f t="shared" si="21"/>
        <v>279.27676616915397</v>
      </c>
      <c r="AR948" s="333"/>
      <c r="AS948" s="333"/>
      <c r="AT948" s="333"/>
      <c r="AU948" s="333"/>
      <c r="AV948" s="333"/>
    </row>
    <row r="949" spans="2:48" s="330" customFormat="1" ht="28.15" customHeight="1" x14ac:dyDescent="0.25">
      <c r="B949" s="359">
        <v>43955</v>
      </c>
      <c r="C949" s="360">
        <v>0</v>
      </c>
      <c r="D949" s="360">
        <v>35112</v>
      </c>
      <c r="E949" s="329">
        <v>310995.07</v>
      </c>
      <c r="F949" s="329">
        <v>0</v>
      </c>
      <c r="G949" s="329">
        <v>10353.69</v>
      </c>
      <c r="H949" s="329"/>
      <c r="I949" s="329"/>
      <c r="J949" s="329">
        <v>1075</v>
      </c>
      <c r="K949" s="329"/>
      <c r="L949" s="329"/>
      <c r="M949" s="329">
        <v>650000</v>
      </c>
      <c r="N949" s="329">
        <f t="shared" si="19"/>
        <v>23803</v>
      </c>
      <c r="O949" s="329">
        <f t="shared" si="18"/>
        <v>1600</v>
      </c>
      <c r="P949" s="329">
        <v>91683</v>
      </c>
      <c r="Q949" s="329">
        <v>0</v>
      </c>
      <c r="R949" s="315">
        <f>Dailies[[#This Row],[CIBC RRSP]]+Dailies[[#This Row],[QT RRSP]]+Dailies[[#This Row],[SunLife RRSP]]</f>
        <v>321348.76</v>
      </c>
      <c r="S949" s="401">
        <f>S948+Dailies[[#This Row],[CIBC RRSP Principal Delta]]</f>
        <v>0</v>
      </c>
      <c r="T949" s="401">
        <f>T948+Dailies[[#This Row],[CIBC RESP Principal Delta]]</f>
        <v>37910.450000000004</v>
      </c>
      <c r="U949" s="402">
        <f>U948+Dailies[[#This Row],[QT RRSP Principal Delta]]</f>
        <v>334220.87</v>
      </c>
      <c r="V949" s="401">
        <f>V948+Dailies[[#This Row],[SunLife RRSP Principal Delta]]</f>
        <v>10257.61</v>
      </c>
      <c r="W949" s="315">
        <f>Dailies[[#This Row],[CIBC RRSP Principal]]+Dailies[[#This Row],[QT RRSP Principal]]+Dailies[[#This Row],[SunLife RRSP Principal]]</f>
        <v>344478.48</v>
      </c>
      <c r="X949" s="361">
        <f>Dailies[[#This Row],[CIBC RRSP Principal]]+Dailies[[#This Row],[CIBC RESP Principal]]+Dailies[[#This Row],[QT RRSP Principal]]+Dailies[[#This Row],[SunLife RRSP Principal]]</f>
        <v>382388.93</v>
      </c>
      <c r="Y949" s="315">
        <f>Dailies[[#This Row],[CIBC RRSP]]+Dailies[[#This Row],[CIBC RESP]]+Dailies[[#This Row],[QT RRSP]]+Dailies[[#This Row],[SunLife RRSP]]</f>
        <v>356460.76</v>
      </c>
      <c r="Z949" s="313">
        <f>Dailies[[#This Row],[Portfolio Total]]+Dailies[[#This Row],[Home Equity]]+Dailies[[#This Row],[Car Equity]]+Dailies[[#This Row],[Valuables Equity]]+Dailies[[#This Row],[GSK Pension]]+Dailies[[#This Row],[Home Loan]]</f>
        <v>1123546.76</v>
      </c>
      <c r="AA949" s="402">
        <f>IF(ISNUMBER(C948),Dailies[[#This Row],[CIBC RRSP]]-C948-Dailies[[#This Row],[CIBC RRSP Principal Delta]],0)</f>
        <v>0</v>
      </c>
      <c r="AB949" s="402">
        <f>IF(ISNUMBER(D948),Dailies[[#This Row],[CIBC RESP]]-D948-Dailies[[#This Row],[CIBC RESP Principal Delta]],0)</f>
        <v>176.30999999999767</v>
      </c>
      <c r="AC949" s="402">
        <f>IF(ISNUMBER(E948),Dailies[[#This Row],[QT RRSP]]-E948-Dailies[[#This Row],[QT RRSP Principal Delta]],0)</f>
        <v>-9688.929999999993</v>
      </c>
      <c r="AD949" s="402">
        <f>IF(ISNUMBER(G948),Dailies[[#This Row],[SunLife RRSP]]-G948-Dailies[[#This Row],[SunLife RRSP Principal Delta]],0)</f>
        <v>0</v>
      </c>
      <c r="AE949" s="315">
        <f>Dailies[[#This Row],[CIBC RRSP Daily $]]+Dailies[[#This Row],[QT RRSP Daily $]]+Dailies[[#This Row],[SunLife RRSP Daily $]]</f>
        <v>-9688.929999999993</v>
      </c>
      <c r="AF949" s="315">
        <f>Dailies[[#This Row],[RRSP Daily $]]+Dailies[[#This Row],[CIBC RESP Daily $]]</f>
        <v>-9512.6199999999953</v>
      </c>
      <c r="AG949" s="401">
        <f>IF(ISNUMBER(AJ948),Dailies[[#This Row],[VOO]]-AJ948,0)</f>
        <v>0.81999999999999318</v>
      </c>
      <c r="AH949" s="362">
        <f>Dailies[[#This Row],[RRSP Daily $]]/Dailies[[#This Row],[RRSP Total]]</f>
        <v>-3.01508242944519E-2</v>
      </c>
      <c r="AI949" s="363">
        <f>IF(Dailies[[#This Row],[CIBC RESP]]&gt;0,Dailies[[#This Row],[CIBC RESP Daily $]]/Dailies[[#This Row],[CIBC RESP]],0)</f>
        <v>5.0213602187285733E-3</v>
      </c>
      <c r="AJ949" s="315">
        <f>VLOOKUP(Dailies[[#This Row],[Date]],Quotes[],MATCH("VOO",Quotes[#Headers],EXACT_MATCH))</f>
        <v>260.64</v>
      </c>
      <c r="AK949" s="314">
        <f>Dailies[[#This Row],[VOO Daily $]]/Dailies[[#This Row],[VOO]]</f>
        <v>3.1461019030079545E-3</v>
      </c>
      <c r="AL949" s="314">
        <f>Dailies[[#This Row],[RRSP Daily %]]-Dailies[[#This Row],[VOO Daily %]]</f>
        <v>-3.3296926197459852E-2</v>
      </c>
      <c r="AM949" s="413">
        <f t="shared" si="21"/>
        <v>279.23203980099476</v>
      </c>
      <c r="AR949" s="333"/>
      <c r="AS949" s="333"/>
      <c r="AT949" s="333"/>
      <c r="AU949" s="333"/>
      <c r="AV949" s="333"/>
    </row>
    <row r="950" spans="2:48" s="330" customFormat="1" ht="28.15" customHeight="1" x14ac:dyDescent="0.25">
      <c r="B950" s="359">
        <v>43956</v>
      </c>
      <c r="C950" s="360">
        <v>0</v>
      </c>
      <c r="D950" s="360">
        <v>35524.5</v>
      </c>
      <c r="E950" s="329">
        <v>310094.03999999998</v>
      </c>
      <c r="F950" s="329">
        <v>0</v>
      </c>
      <c r="G950" s="329">
        <v>10353.69</v>
      </c>
      <c r="H950" s="329"/>
      <c r="I950" s="329"/>
      <c r="J950" s="329"/>
      <c r="K950" s="329"/>
      <c r="L950" s="329"/>
      <c r="M950" s="329">
        <v>650000</v>
      </c>
      <c r="N950" s="329">
        <f t="shared" si="19"/>
        <v>23803</v>
      </c>
      <c r="O950" s="329">
        <f t="shared" si="18"/>
        <v>1600</v>
      </c>
      <c r="P950" s="329">
        <v>91683</v>
      </c>
      <c r="Q950" s="329">
        <v>0</v>
      </c>
      <c r="R950" s="315">
        <f>Dailies[[#This Row],[CIBC RRSP]]+Dailies[[#This Row],[QT RRSP]]+Dailies[[#This Row],[SunLife RRSP]]</f>
        <v>320447.73</v>
      </c>
      <c r="S950" s="401">
        <f>S949+Dailies[[#This Row],[CIBC RRSP Principal Delta]]</f>
        <v>0</v>
      </c>
      <c r="T950" s="401">
        <f>T949+Dailies[[#This Row],[CIBC RESP Principal Delta]]</f>
        <v>37910.450000000004</v>
      </c>
      <c r="U950" s="402">
        <f>U949+Dailies[[#This Row],[QT RRSP Principal Delta]]</f>
        <v>334220.87</v>
      </c>
      <c r="V950" s="401">
        <f>V949+Dailies[[#This Row],[SunLife RRSP Principal Delta]]</f>
        <v>10257.61</v>
      </c>
      <c r="W950" s="315">
        <f>Dailies[[#This Row],[CIBC RRSP Principal]]+Dailies[[#This Row],[QT RRSP Principal]]+Dailies[[#This Row],[SunLife RRSP Principal]]</f>
        <v>344478.48</v>
      </c>
      <c r="X950" s="361">
        <f>Dailies[[#This Row],[CIBC RRSP Principal]]+Dailies[[#This Row],[CIBC RESP Principal]]+Dailies[[#This Row],[QT RRSP Principal]]+Dailies[[#This Row],[SunLife RRSP Principal]]</f>
        <v>382388.93</v>
      </c>
      <c r="Y950" s="315">
        <f>Dailies[[#This Row],[CIBC RRSP]]+Dailies[[#This Row],[CIBC RESP]]+Dailies[[#This Row],[QT RRSP]]+Dailies[[#This Row],[SunLife RRSP]]</f>
        <v>355972.23</v>
      </c>
      <c r="Z950" s="313">
        <f>Dailies[[#This Row],[Portfolio Total]]+Dailies[[#This Row],[Home Equity]]+Dailies[[#This Row],[Car Equity]]+Dailies[[#This Row],[Valuables Equity]]+Dailies[[#This Row],[GSK Pension]]+Dailies[[#This Row],[Home Loan]]</f>
        <v>1123058.23</v>
      </c>
      <c r="AA950" s="402">
        <f>IF(ISNUMBER(C949),Dailies[[#This Row],[CIBC RRSP]]-C949-Dailies[[#This Row],[CIBC RRSP Principal Delta]],0)</f>
        <v>0</v>
      </c>
      <c r="AB950" s="402">
        <f>IF(ISNUMBER(D949),Dailies[[#This Row],[CIBC RESP]]-D949-Dailies[[#This Row],[CIBC RESP Principal Delta]],0)</f>
        <v>412.5</v>
      </c>
      <c r="AC950" s="402">
        <f>IF(ISNUMBER(E949),Dailies[[#This Row],[QT RRSP]]-E949-Dailies[[#This Row],[QT RRSP Principal Delta]],0)</f>
        <v>-901.03000000002794</v>
      </c>
      <c r="AD950" s="402">
        <f>IF(ISNUMBER(G949),Dailies[[#This Row],[SunLife RRSP]]-G949-Dailies[[#This Row],[SunLife RRSP Principal Delta]],0)</f>
        <v>0</v>
      </c>
      <c r="AE950" s="315">
        <f>Dailies[[#This Row],[CIBC RRSP Daily $]]+Dailies[[#This Row],[QT RRSP Daily $]]+Dailies[[#This Row],[SunLife RRSP Daily $]]</f>
        <v>-901.03000000002794</v>
      </c>
      <c r="AF950" s="315">
        <f>Dailies[[#This Row],[RRSP Daily $]]+Dailies[[#This Row],[CIBC RESP Daily $]]</f>
        <v>-488.53000000002794</v>
      </c>
      <c r="AG950" s="401">
        <f>IF(ISNUMBER(AJ949),Dailies[[#This Row],[VOO]]-AJ949,0)</f>
        <v>2.4000000000000341</v>
      </c>
      <c r="AH950" s="362">
        <f>Dailies[[#This Row],[RRSP Daily $]]/Dailies[[#This Row],[RRSP Total]]</f>
        <v>-2.8117846239698063E-3</v>
      </c>
      <c r="AI950" s="363">
        <f>IF(Dailies[[#This Row],[CIBC RESP]]&gt;0,Dailies[[#This Row],[CIBC RESP Daily $]]/Dailies[[#This Row],[CIBC RESP]],0)</f>
        <v>1.1611704598235021E-2</v>
      </c>
      <c r="AJ950" s="315">
        <f>VLOOKUP(Dailies[[#This Row],[Date]],Quotes[],MATCH("VOO",Quotes[#Headers],EXACT_MATCH))</f>
        <v>263.04000000000002</v>
      </c>
      <c r="AK950" s="314">
        <f>Dailies[[#This Row],[VOO Daily $]]/Dailies[[#This Row],[VOO]]</f>
        <v>9.1240875912410053E-3</v>
      </c>
      <c r="AL950" s="314">
        <f>Dailies[[#This Row],[RRSP Daily %]]-Dailies[[#This Row],[VOO Daily %]]</f>
        <v>-1.1935872215210811E-2</v>
      </c>
      <c r="AM950" s="413">
        <f t="shared" ref="AM950:AM951" si="22">AVERAGE(AJ734:AJ934)</f>
        <v>279.20363184079582</v>
      </c>
      <c r="AR950" s="333"/>
      <c r="AS950" s="333"/>
      <c r="AT950" s="333"/>
      <c r="AU950" s="333"/>
      <c r="AV950" s="333"/>
    </row>
    <row r="951" spans="2:48" s="330" customFormat="1" ht="28.15" customHeight="1" x14ac:dyDescent="0.25">
      <c r="B951" s="359">
        <v>43957</v>
      </c>
      <c r="C951" s="360">
        <v>0</v>
      </c>
      <c r="D951" s="360">
        <v>35697.75</v>
      </c>
      <c r="E951" s="329">
        <v>310094.03999999998</v>
      </c>
      <c r="F951" s="329">
        <v>0</v>
      </c>
      <c r="G951" s="329">
        <v>10353.69</v>
      </c>
      <c r="H951" s="329"/>
      <c r="I951" s="329"/>
      <c r="J951" s="329"/>
      <c r="K951" s="329"/>
      <c r="L951" s="329"/>
      <c r="M951" s="329">
        <v>650000</v>
      </c>
      <c r="N951" s="329">
        <f t="shared" si="19"/>
        <v>23803</v>
      </c>
      <c r="O951" s="329">
        <f t="shared" si="18"/>
        <v>1600</v>
      </c>
      <c r="P951" s="329">
        <v>91683</v>
      </c>
      <c r="Q951" s="329">
        <v>0</v>
      </c>
      <c r="R951" s="315">
        <f>Dailies[[#This Row],[CIBC RRSP]]+Dailies[[#This Row],[QT RRSP]]+Dailies[[#This Row],[SunLife RRSP]]</f>
        <v>320447.73</v>
      </c>
      <c r="S951" s="401">
        <f>S950+Dailies[[#This Row],[CIBC RRSP Principal Delta]]</f>
        <v>0</v>
      </c>
      <c r="T951" s="401">
        <f>T950+Dailies[[#This Row],[CIBC RESP Principal Delta]]</f>
        <v>37910.450000000004</v>
      </c>
      <c r="U951" s="402">
        <f>U950+Dailies[[#This Row],[QT RRSP Principal Delta]]</f>
        <v>334220.87</v>
      </c>
      <c r="V951" s="401">
        <f>V950+Dailies[[#This Row],[SunLife RRSP Principal Delta]]</f>
        <v>10257.61</v>
      </c>
      <c r="W951" s="315">
        <f>Dailies[[#This Row],[CIBC RRSP Principal]]+Dailies[[#This Row],[QT RRSP Principal]]+Dailies[[#This Row],[SunLife RRSP Principal]]</f>
        <v>344478.48</v>
      </c>
      <c r="X951" s="361">
        <f>Dailies[[#This Row],[CIBC RRSP Principal]]+Dailies[[#This Row],[CIBC RESP Principal]]+Dailies[[#This Row],[QT RRSP Principal]]+Dailies[[#This Row],[SunLife RRSP Principal]]</f>
        <v>382388.93</v>
      </c>
      <c r="Y951" s="315">
        <f>Dailies[[#This Row],[CIBC RRSP]]+Dailies[[#This Row],[CIBC RESP]]+Dailies[[#This Row],[QT RRSP]]+Dailies[[#This Row],[SunLife RRSP]]</f>
        <v>356145.48</v>
      </c>
      <c r="Z951" s="313">
        <f>Dailies[[#This Row],[Portfolio Total]]+Dailies[[#This Row],[Home Equity]]+Dailies[[#This Row],[Car Equity]]+Dailies[[#This Row],[Valuables Equity]]+Dailies[[#This Row],[GSK Pension]]+Dailies[[#This Row],[Home Loan]]</f>
        <v>1123231.48</v>
      </c>
      <c r="AA951" s="402">
        <f>IF(ISNUMBER(C950),Dailies[[#This Row],[CIBC RRSP]]-C950-Dailies[[#This Row],[CIBC RRSP Principal Delta]],0)</f>
        <v>0</v>
      </c>
      <c r="AB951" s="402">
        <f>IF(ISNUMBER(D950),Dailies[[#This Row],[CIBC RESP]]-D950-Dailies[[#This Row],[CIBC RESP Principal Delta]],0)</f>
        <v>173.25</v>
      </c>
      <c r="AC951" s="402">
        <f>IF(ISNUMBER(E950),Dailies[[#This Row],[QT RRSP]]-E950-Dailies[[#This Row],[QT RRSP Principal Delta]],0)</f>
        <v>0</v>
      </c>
      <c r="AD951" s="402">
        <f>IF(ISNUMBER(G950),Dailies[[#This Row],[SunLife RRSP]]-G950-Dailies[[#This Row],[SunLife RRSP Principal Delta]],0)</f>
        <v>0</v>
      </c>
      <c r="AE951" s="315">
        <f>Dailies[[#This Row],[CIBC RRSP Daily $]]+Dailies[[#This Row],[QT RRSP Daily $]]+Dailies[[#This Row],[SunLife RRSP Daily $]]</f>
        <v>0</v>
      </c>
      <c r="AF951" s="315">
        <f>Dailies[[#This Row],[RRSP Daily $]]+Dailies[[#This Row],[CIBC RESP Daily $]]</f>
        <v>173.25</v>
      </c>
      <c r="AG951" s="401">
        <f>IF(ISNUMBER(AJ950),Dailies[[#This Row],[VOO]]-AJ950,0)</f>
        <v>-1.7700000000000387</v>
      </c>
      <c r="AH951" s="362">
        <f>Dailies[[#This Row],[RRSP Daily $]]/Dailies[[#This Row],[RRSP Total]]</f>
        <v>0</v>
      </c>
      <c r="AI951" s="363">
        <f>IF(Dailies[[#This Row],[CIBC RESP]]&gt;0,Dailies[[#This Row],[CIBC RESP Daily $]]/Dailies[[#This Row],[CIBC RESP]],0)</f>
        <v>4.8532470533857175E-3</v>
      </c>
      <c r="AJ951" s="315">
        <f>VLOOKUP(Dailies[[#This Row],[Date]],Quotes[],MATCH("VOO",Quotes[#Headers],EXACT_MATCH))</f>
        <v>261.27</v>
      </c>
      <c r="AK951" s="314">
        <f>Dailies[[#This Row],[VOO Daily $]]/Dailies[[#This Row],[VOO]]</f>
        <v>-6.7746009874843603E-3</v>
      </c>
      <c r="AL951" s="314">
        <f>Dailies[[#This Row],[RRSP Daily %]]-Dailies[[#This Row],[VOO Daily %]]</f>
        <v>6.7746009874843603E-3</v>
      </c>
      <c r="AM951" s="413">
        <f t="shared" si="22"/>
        <v>279.17522388059683</v>
      </c>
      <c r="AR951" s="333"/>
      <c r="AS951" s="333"/>
      <c r="AT951" s="333"/>
      <c r="AU951" s="333"/>
      <c r="AV951" s="333"/>
    </row>
    <row r="952" spans="2:48" s="330" customFormat="1" ht="28.15" customHeight="1" x14ac:dyDescent="0.25">
      <c r="B952" s="359">
        <v>43958</v>
      </c>
      <c r="C952" s="360">
        <v>0</v>
      </c>
      <c r="D952" s="360">
        <v>35697.75</v>
      </c>
      <c r="E952" s="329">
        <v>305153.05</v>
      </c>
      <c r="F952" s="329">
        <v>0</v>
      </c>
      <c r="G952" s="329">
        <v>10353.69</v>
      </c>
      <c r="H952" s="329"/>
      <c r="I952" s="329"/>
      <c r="J952" s="329"/>
      <c r="K952" s="329"/>
      <c r="L952" s="329"/>
      <c r="M952" s="329">
        <v>650000</v>
      </c>
      <c r="N952" s="329">
        <f t="shared" si="19"/>
        <v>23803</v>
      </c>
      <c r="O952" s="329">
        <f t="shared" si="18"/>
        <v>1600</v>
      </c>
      <c r="P952" s="329">
        <v>91683</v>
      </c>
      <c r="Q952" s="329">
        <v>0</v>
      </c>
      <c r="R952" s="315">
        <f>Dailies[[#This Row],[CIBC RRSP]]+Dailies[[#This Row],[QT RRSP]]+Dailies[[#This Row],[SunLife RRSP]]</f>
        <v>315506.74</v>
      </c>
      <c r="S952" s="401">
        <f>S951+Dailies[[#This Row],[CIBC RRSP Principal Delta]]</f>
        <v>0</v>
      </c>
      <c r="T952" s="401">
        <f>T951+Dailies[[#This Row],[CIBC RESP Principal Delta]]</f>
        <v>37910.450000000004</v>
      </c>
      <c r="U952" s="402">
        <f>U951+Dailies[[#This Row],[QT RRSP Principal Delta]]</f>
        <v>334220.87</v>
      </c>
      <c r="V952" s="401">
        <f>V951+Dailies[[#This Row],[SunLife RRSP Principal Delta]]</f>
        <v>10257.61</v>
      </c>
      <c r="W952" s="315">
        <f>Dailies[[#This Row],[CIBC RRSP Principal]]+Dailies[[#This Row],[QT RRSP Principal]]+Dailies[[#This Row],[SunLife RRSP Principal]]</f>
        <v>344478.48</v>
      </c>
      <c r="X952" s="361">
        <f>Dailies[[#This Row],[CIBC RRSP Principal]]+Dailies[[#This Row],[CIBC RESP Principal]]+Dailies[[#This Row],[QT RRSP Principal]]+Dailies[[#This Row],[SunLife RRSP Principal]]</f>
        <v>382388.93</v>
      </c>
      <c r="Y952" s="315">
        <f>Dailies[[#This Row],[CIBC RRSP]]+Dailies[[#This Row],[CIBC RESP]]+Dailies[[#This Row],[QT RRSP]]+Dailies[[#This Row],[SunLife RRSP]]</f>
        <v>351204.49</v>
      </c>
      <c r="Z952" s="313">
        <f>Dailies[[#This Row],[Portfolio Total]]+Dailies[[#This Row],[Home Equity]]+Dailies[[#This Row],[Car Equity]]+Dailies[[#This Row],[Valuables Equity]]+Dailies[[#This Row],[GSK Pension]]+Dailies[[#This Row],[Home Loan]]</f>
        <v>1118290.49</v>
      </c>
      <c r="AA952" s="402">
        <f>IF(ISNUMBER(C951),Dailies[[#This Row],[CIBC RRSP]]-C951-Dailies[[#This Row],[CIBC RRSP Principal Delta]],0)</f>
        <v>0</v>
      </c>
      <c r="AB952" s="402">
        <f>IF(ISNUMBER(D951),Dailies[[#This Row],[CIBC RESP]]-D951-Dailies[[#This Row],[CIBC RESP Principal Delta]],0)</f>
        <v>0</v>
      </c>
      <c r="AC952" s="402">
        <f>IF(ISNUMBER(E951),Dailies[[#This Row],[QT RRSP]]-E951-Dailies[[#This Row],[QT RRSP Principal Delta]],0)</f>
        <v>-4940.9899999999907</v>
      </c>
      <c r="AD952" s="402">
        <f>IF(ISNUMBER(G951),Dailies[[#This Row],[SunLife RRSP]]-G951-Dailies[[#This Row],[SunLife RRSP Principal Delta]],0)</f>
        <v>0</v>
      </c>
      <c r="AE952" s="315">
        <f>Dailies[[#This Row],[CIBC RRSP Daily $]]+Dailies[[#This Row],[QT RRSP Daily $]]+Dailies[[#This Row],[SunLife RRSP Daily $]]</f>
        <v>-4940.9899999999907</v>
      </c>
      <c r="AF952" s="315">
        <f>Dailies[[#This Row],[RRSP Daily $]]+Dailies[[#This Row],[CIBC RESP Daily $]]</f>
        <v>-4940.9899999999907</v>
      </c>
      <c r="AG952" s="401">
        <f>IF(ISNUMBER(AJ951),Dailies[[#This Row],[VOO]]-AJ951,0)</f>
        <v>3.0900000000000318</v>
      </c>
      <c r="AH952" s="362">
        <f>Dailies[[#This Row],[RRSP Daily $]]/Dailies[[#This Row],[RRSP Total]]</f>
        <v>-1.5660489535025433E-2</v>
      </c>
      <c r="AI952" s="363">
        <f>IF(Dailies[[#This Row],[CIBC RESP]]&gt;0,Dailies[[#This Row],[CIBC RESP Daily $]]/Dailies[[#This Row],[CIBC RESP]],0)</f>
        <v>0</v>
      </c>
      <c r="AJ952" s="315">
        <f>VLOOKUP(Dailies[[#This Row],[Date]],Quotes[],MATCH("VOO",Quotes[#Headers],EXACT_MATCH))</f>
        <v>264.36</v>
      </c>
      <c r="AK952" s="314">
        <f>Dailies[[#This Row],[VOO Daily $]]/Dailies[[#This Row],[VOO]]</f>
        <v>1.1688606445755907E-2</v>
      </c>
      <c r="AL952" s="314">
        <f>Dailies[[#This Row],[RRSP Daily %]]-Dailies[[#This Row],[VOO Daily %]]</f>
        <v>-2.7349095980781342E-2</v>
      </c>
      <c r="AM952" s="413">
        <f t="shared" ref="AM952" si="23">AVERAGE(AJ736:AJ936)</f>
        <v>279.09701492537289</v>
      </c>
      <c r="AR952" s="333"/>
      <c r="AS952" s="333"/>
      <c r="AT952" s="333"/>
      <c r="AU952" s="333"/>
      <c r="AV952" s="333"/>
    </row>
    <row r="953" spans="2:48" s="330" customFormat="1" ht="28.15" customHeight="1" x14ac:dyDescent="0.25">
      <c r="B953" s="359">
        <v>43959</v>
      </c>
      <c r="C953" s="360">
        <v>0</v>
      </c>
      <c r="D953" s="360">
        <v>36836.25</v>
      </c>
      <c r="E953" s="419">
        <v>283027.56</v>
      </c>
      <c r="F953" s="419">
        <v>0</v>
      </c>
      <c r="G953" s="329">
        <v>10353.69</v>
      </c>
      <c r="H953" s="329"/>
      <c r="I953" s="329"/>
      <c r="J953" s="329"/>
      <c r="K953" s="329"/>
      <c r="L953" s="329"/>
      <c r="M953" s="329">
        <v>650000</v>
      </c>
      <c r="N953" s="329">
        <f t="shared" si="19"/>
        <v>23803</v>
      </c>
      <c r="O953" s="329">
        <f t="shared" si="18"/>
        <v>1600</v>
      </c>
      <c r="P953" s="329">
        <v>91683</v>
      </c>
      <c r="Q953" s="329">
        <v>0</v>
      </c>
      <c r="R953" s="315">
        <f>Dailies[[#This Row],[CIBC RRSP]]+Dailies[[#This Row],[QT RRSP]]+Dailies[[#This Row],[SunLife RRSP]]</f>
        <v>293381.25</v>
      </c>
      <c r="S953" s="401">
        <f>S952+Dailies[[#This Row],[CIBC RRSP Principal Delta]]</f>
        <v>0</v>
      </c>
      <c r="T953" s="401">
        <f>T952+Dailies[[#This Row],[CIBC RESP Principal Delta]]</f>
        <v>37910.450000000004</v>
      </c>
      <c r="U953" s="402">
        <f>U952+Dailies[[#This Row],[QT RRSP Principal Delta]]</f>
        <v>334220.87</v>
      </c>
      <c r="V953" s="401">
        <f>V952+Dailies[[#This Row],[SunLife RRSP Principal Delta]]</f>
        <v>10257.61</v>
      </c>
      <c r="W953" s="315">
        <f>Dailies[[#This Row],[CIBC RRSP Principal]]+Dailies[[#This Row],[QT RRSP Principal]]+Dailies[[#This Row],[SunLife RRSP Principal]]</f>
        <v>344478.48</v>
      </c>
      <c r="X953" s="361">
        <f>Dailies[[#This Row],[CIBC RRSP Principal]]+Dailies[[#This Row],[CIBC RESP Principal]]+Dailies[[#This Row],[QT RRSP Principal]]+Dailies[[#This Row],[SunLife RRSP Principal]]</f>
        <v>382388.93</v>
      </c>
      <c r="Y953" s="315">
        <f>Dailies[[#This Row],[CIBC RRSP]]+Dailies[[#This Row],[CIBC RESP]]+Dailies[[#This Row],[QT RRSP]]+Dailies[[#This Row],[SunLife RRSP]]</f>
        <v>330217.5</v>
      </c>
      <c r="Z953" s="313">
        <f>Dailies[[#This Row],[Portfolio Total]]+Dailies[[#This Row],[Home Equity]]+Dailies[[#This Row],[Car Equity]]+Dailies[[#This Row],[Valuables Equity]]+Dailies[[#This Row],[GSK Pension]]+Dailies[[#This Row],[Home Loan]]</f>
        <v>1097303.5</v>
      </c>
      <c r="AA953" s="402">
        <f>IF(ISNUMBER(C952),Dailies[[#This Row],[CIBC RRSP]]-C952-Dailies[[#This Row],[CIBC RRSP Principal Delta]],0)</f>
        <v>0</v>
      </c>
      <c r="AB953" s="402">
        <f>IF(ISNUMBER(D952),Dailies[[#This Row],[CIBC RESP]]-D952-Dailies[[#This Row],[CIBC RESP Principal Delta]],0)</f>
        <v>1138.5</v>
      </c>
      <c r="AC953" s="402">
        <f>IF(ISNUMBER(E952),Dailies[[#This Row],[QT RRSP]]-E952-Dailies[[#This Row],[QT RRSP Principal Delta]],0)</f>
        <v>-22125.489999999991</v>
      </c>
      <c r="AD953" s="402">
        <f>IF(ISNUMBER(G952),Dailies[[#This Row],[SunLife RRSP]]-G952-Dailies[[#This Row],[SunLife RRSP Principal Delta]],0)</f>
        <v>0</v>
      </c>
      <c r="AE953" s="315">
        <f>Dailies[[#This Row],[CIBC RRSP Daily $]]+Dailies[[#This Row],[QT RRSP Daily $]]+Dailies[[#This Row],[SunLife RRSP Daily $]]</f>
        <v>-22125.489999999991</v>
      </c>
      <c r="AF953" s="315">
        <f>Dailies[[#This Row],[RRSP Daily $]]+Dailies[[#This Row],[CIBC RESP Daily $]]</f>
        <v>-20986.989999999991</v>
      </c>
      <c r="AG953" s="401">
        <f>IF(ISNUMBER(AJ952),Dailies[[#This Row],[VOO]]-AJ952,0)</f>
        <v>4.4199999999999591</v>
      </c>
      <c r="AH953" s="362">
        <f>Dailies[[#This Row],[RRSP Daily $]]/Dailies[[#This Row],[RRSP Total]]</f>
        <v>-7.5415487526895433E-2</v>
      </c>
      <c r="AI953" s="363">
        <f>IF(Dailies[[#This Row],[CIBC RESP]]&gt;0,Dailies[[#This Row],[CIBC RESP Daily $]]/Dailies[[#This Row],[CIBC RESP]],0)</f>
        <v>3.0907054871220606E-2</v>
      </c>
      <c r="AJ953" s="315">
        <f>VLOOKUP(Dailies[[#This Row],[Date]],Quotes[],MATCH("VOO",Quotes[#Headers],EXACT_MATCH))</f>
        <v>268.77999999999997</v>
      </c>
      <c r="AK953" s="314">
        <f>Dailies[[#This Row],[VOO Daily $]]/Dailies[[#This Row],[VOO]]</f>
        <v>1.6444675943150383E-2</v>
      </c>
      <c r="AL953" s="314">
        <f>Dailies[[#This Row],[RRSP Daily %]]-Dailies[[#This Row],[VOO Daily %]]</f>
        <v>-9.1860163470045816E-2</v>
      </c>
      <c r="AM953" s="413">
        <f t="shared" ref="AM953:AM956" si="24">AVERAGE(AJ737:AJ937)</f>
        <v>279.02786069651717</v>
      </c>
      <c r="AR953" s="333"/>
      <c r="AS953" s="333"/>
      <c r="AT953" s="333"/>
      <c r="AU953" s="333"/>
      <c r="AV953" s="333"/>
    </row>
    <row r="954" spans="2:48" s="330" customFormat="1" ht="28.15" customHeight="1" x14ac:dyDescent="0.25">
      <c r="B954" s="359">
        <v>43960</v>
      </c>
      <c r="C954" s="360">
        <v>0</v>
      </c>
      <c r="D954" s="360">
        <v>36836.25</v>
      </c>
      <c r="E954" s="419">
        <v>283027.56</v>
      </c>
      <c r="F954" s="419">
        <v>0</v>
      </c>
      <c r="G954" s="329">
        <v>10353.69</v>
      </c>
      <c r="H954" s="329"/>
      <c r="I954" s="329"/>
      <c r="J954" s="329"/>
      <c r="K954" s="329"/>
      <c r="L954" s="329"/>
      <c r="M954" s="329">
        <v>650000</v>
      </c>
      <c r="N954" s="329">
        <f t="shared" si="19"/>
        <v>23803</v>
      </c>
      <c r="O954" s="329">
        <f t="shared" si="18"/>
        <v>1600</v>
      </c>
      <c r="P954" s="329">
        <v>91683</v>
      </c>
      <c r="Q954" s="329">
        <v>0</v>
      </c>
      <c r="R954" s="315">
        <f>Dailies[[#This Row],[CIBC RRSP]]+Dailies[[#This Row],[QT RRSP]]+Dailies[[#This Row],[SunLife RRSP]]</f>
        <v>293381.25</v>
      </c>
      <c r="S954" s="401">
        <f>S953+Dailies[[#This Row],[CIBC RRSP Principal Delta]]</f>
        <v>0</v>
      </c>
      <c r="T954" s="401">
        <f>T953+Dailies[[#This Row],[CIBC RESP Principal Delta]]</f>
        <v>37910.450000000004</v>
      </c>
      <c r="U954" s="402">
        <f>U953+Dailies[[#This Row],[QT RRSP Principal Delta]]</f>
        <v>334220.87</v>
      </c>
      <c r="V954" s="401">
        <f>V953+Dailies[[#This Row],[SunLife RRSP Principal Delta]]</f>
        <v>10257.61</v>
      </c>
      <c r="W954" s="315">
        <f>Dailies[[#This Row],[CIBC RRSP Principal]]+Dailies[[#This Row],[QT RRSP Principal]]+Dailies[[#This Row],[SunLife RRSP Principal]]</f>
        <v>344478.48</v>
      </c>
      <c r="X954" s="361">
        <f>Dailies[[#This Row],[CIBC RRSP Principal]]+Dailies[[#This Row],[CIBC RESP Principal]]+Dailies[[#This Row],[QT RRSP Principal]]+Dailies[[#This Row],[SunLife RRSP Principal]]</f>
        <v>382388.93</v>
      </c>
      <c r="Y954" s="315">
        <f>Dailies[[#This Row],[CIBC RRSP]]+Dailies[[#This Row],[CIBC RESP]]+Dailies[[#This Row],[QT RRSP]]+Dailies[[#This Row],[SunLife RRSP]]</f>
        <v>330217.5</v>
      </c>
      <c r="Z954" s="313">
        <f>Dailies[[#This Row],[Portfolio Total]]+Dailies[[#This Row],[Home Equity]]+Dailies[[#This Row],[Car Equity]]+Dailies[[#This Row],[Valuables Equity]]+Dailies[[#This Row],[GSK Pension]]+Dailies[[#This Row],[Home Loan]]</f>
        <v>1097303.5</v>
      </c>
      <c r="AA954" s="402">
        <f>IF(ISNUMBER(C953),Dailies[[#This Row],[CIBC RRSP]]-C953-Dailies[[#This Row],[CIBC RRSP Principal Delta]],0)</f>
        <v>0</v>
      </c>
      <c r="AB954" s="402">
        <f>IF(ISNUMBER(D953),Dailies[[#This Row],[CIBC RESP]]-D953-Dailies[[#This Row],[CIBC RESP Principal Delta]],0)</f>
        <v>0</v>
      </c>
      <c r="AC954" s="402">
        <f>IF(ISNUMBER(E953),Dailies[[#This Row],[QT RRSP]]-E953-Dailies[[#This Row],[QT RRSP Principal Delta]],0)</f>
        <v>0</v>
      </c>
      <c r="AD954" s="402">
        <f>IF(ISNUMBER(G953),Dailies[[#This Row],[SunLife RRSP]]-G953-Dailies[[#This Row],[SunLife RRSP Principal Delta]],0)</f>
        <v>0</v>
      </c>
      <c r="AE954" s="315">
        <f>Dailies[[#This Row],[CIBC RRSP Daily $]]+Dailies[[#This Row],[QT RRSP Daily $]]+Dailies[[#This Row],[SunLife RRSP Daily $]]</f>
        <v>0</v>
      </c>
      <c r="AF954" s="315">
        <f>Dailies[[#This Row],[RRSP Daily $]]+Dailies[[#This Row],[CIBC RESP Daily $]]</f>
        <v>0</v>
      </c>
      <c r="AG954" s="401">
        <f>IF(ISNUMBER(AJ953),Dailies[[#This Row],[VOO]]-AJ953,0)</f>
        <v>0</v>
      </c>
      <c r="AH954" s="362">
        <f>Dailies[[#This Row],[RRSP Daily $]]/Dailies[[#This Row],[RRSP Total]]</f>
        <v>0</v>
      </c>
      <c r="AI954" s="363">
        <f>IF(Dailies[[#This Row],[CIBC RESP]]&gt;0,Dailies[[#This Row],[CIBC RESP Daily $]]/Dailies[[#This Row],[CIBC RESP]],0)</f>
        <v>0</v>
      </c>
      <c r="AJ954" s="315">
        <f>VLOOKUP(Dailies[[#This Row],[Date]],Quotes[],MATCH("VOO",Quotes[#Headers],EXACT_MATCH))</f>
        <v>268.77999999999997</v>
      </c>
      <c r="AK954" s="314">
        <f>Dailies[[#This Row],[VOO Daily $]]/Dailies[[#This Row],[VOO]]</f>
        <v>0</v>
      </c>
      <c r="AL954" s="314">
        <f>Dailies[[#This Row],[RRSP Daily %]]-Dailies[[#This Row],[VOO Daily %]]</f>
        <v>0</v>
      </c>
      <c r="AM954" s="413">
        <f t="shared" si="24"/>
        <v>278.95845771144252</v>
      </c>
      <c r="AR954" s="333"/>
      <c r="AS954" s="333"/>
      <c r="AT954" s="333"/>
      <c r="AU954" s="333"/>
      <c r="AV954" s="333"/>
    </row>
    <row r="955" spans="2:48" s="330" customFormat="1" ht="28.15" customHeight="1" x14ac:dyDescent="0.25">
      <c r="B955" s="359">
        <v>43961</v>
      </c>
      <c r="C955" s="360">
        <v>0</v>
      </c>
      <c r="D955" s="360">
        <v>36836.25</v>
      </c>
      <c r="E955" s="419">
        <v>283027.56</v>
      </c>
      <c r="F955" s="419">
        <v>0</v>
      </c>
      <c r="G955" s="329">
        <v>10353.69</v>
      </c>
      <c r="H955" s="329"/>
      <c r="I955" s="329"/>
      <c r="J955" s="329"/>
      <c r="K955" s="329"/>
      <c r="L955" s="329"/>
      <c r="M955" s="329">
        <v>650000</v>
      </c>
      <c r="N955" s="329">
        <f t="shared" si="19"/>
        <v>23803</v>
      </c>
      <c r="O955" s="329">
        <f t="shared" si="18"/>
        <v>1600</v>
      </c>
      <c r="P955" s="329">
        <v>91683</v>
      </c>
      <c r="Q955" s="329">
        <v>0</v>
      </c>
      <c r="R955" s="315">
        <f>Dailies[[#This Row],[CIBC RRSP]]+Dailies[[#This Row],[QT RRSP]]+Dailies[[#This Row],[SunLife RRSP]]</f>
        <v>293381.25</v>
      </c>
      <c r="S955" s="401">
        <f>S954+Dailies[[#This Row],[CIBC RRSP Principal Delta]]</f>
        <v>0</v>
      </c>
      <c r="T955" s="401">
        <f>T954+Dailies[[#This Row],[CIBC RESP Principal Delta]]</f>
        <v>37910.450000000004</v>
      </c>
      <c r="U955" s="402">
        <f>U954+Dailies[[#This Row],[QT RRSP Principal Delta]]</f>
        <v>334220.87</v>
      </c>
      <c r="V955" s="401">
        <f>V954+Dailies[[#This Row],[SunLife RRSP Principal Delta]]</f>
        <v>10257.61</v>
      </c>
      <c r="W955" s="315">
        <f>Dailies[[#This Row],[CIBC RRSP Principal]]+Dailies[[#This Row],[QT RRSP Principal]]+Dailies[[#This Row],[SunLife RRSP Principal]]</f>
        <v>344478.48</v>
      </c>
      <c r="X955" s="361">
        <f>Dailies[[#This Row],[CIBC RRSP Principal]]+Dailies[[#This Row],[CIBC RESP Principal]]+Dailies[[#This Row],[QT RRSP Principal]]+Dailies[[#This Row],[SunLife RRSP Principal]]</f>
        <v>382388.93</v>
      </c>
      <c r="Y955" s="315">
        <f>Dailies[[#This Row],[CIBC RRSP]]+Dailies[[#This Row],[CIBC RESP]]+Dailies[[#This Row],[QT RRSP]]+Dailies[[#This Row],[SunLife RRSP]]</f>
        <v>330217.5</v>
      </c>
      <c r="Z955" s="313">
        <f>Dailies[[#This Row],[Portfolio Total]]+Dailies[[#This Row],[Home Equity]]+Dailies[[#This Row],[Car Equity]]+Dailies[[#This Row],[Valuables Equity]]+Dailies[[#This Row],[GSK Pension]]+Dailies[[#This Row],[Home Loan]]</f>
        <v>1097303.5</v>
      </c>
      <c r="AA955" s="402">
        <f>IF(ISNUMBER(C954),Dailies[[#This Row],[CIBC RRSP]]-C954-Dailies[[#This Row],[CIBC RRSP Principal Delta]],0)</f>
        <v>0</v>
      </c>
      <c r="AB955" s="402">
        <f>IF(ISNUMBER(D954),Dailies[[#This Row],[CIBC RESP]]-D954-Dailies[[#This Row],[CIBC RESP Principal Delta]],0)</f>
        <v>0</v>
      </c>
      <c r="AC955" s="402">
        <f>IF(ISNUMBER(E954),Dailies[[#This Row],[QT RRSP]]-E954-Dailies[[#This Row],[QT RRSP Principal Delta]],0)</f>
        <v>0</v>
      </c>
      <c r="AD955" s="402">
        <f>IF(ISNUMBER(G954),Dailies[[#This Row],[SunLife RRSP]]-G954-Dailies[[#This Row],[SunLife RRSP Principal Delta]],0)</f>
        <v>0</v>
      </c>
      <c r="AE955" s="315">
        <f>Dailies[[#This Row],[CIBC RRSP Daily $]]+Dailies[[#This Row],[QT RRSP Daily $]]+Dailies[[#This Row],[SunLife RRSP Daily $]]</f>
        <v>0</v>
      </c>
      <c r="AF955" s="315">
        <f>Dailies[[#This Row],[RRSP Daily $]]+Dailies[[#This Row],[CIBC RESP Daily $]]</f>
        <v>0</v>
      </c>
      <c r="AG955" s="401">
        <f>IF(ISNUMBER(AJ954),Dailies[[#This Row],[VOO]]-AJ954,0)</f>
        <v>0</v>
      </c>
      <c r="AH955" s="362">
        <f>Dailies[[#This Row],[RRSP Daily $]]/Dailies[[#This Row],[RRSP Total]]</f>
        <v>0</v>
      </c>
      <c r="AI955" s="363">
        <f>IF(Dailies[[#This Row],[CIBC RESP]]&gt;0,Dailies[[#This Row],[CIBC RESP Daily $]]/Dailies[[#This Row],[CIBC RESP]],0)</f>
        <v>0</v>
      </c>
      <c r="AJ955" s="315">
        <f>VLOOKUP(Dailies[[#This Row],[Date]],Quotes[],MATCH("VOO",Quotes[#Headers],EXACT_MATCH))</f>
        <v>268.77999999999997</v>
      </c>
      <c r="AK955" s="314">
        <f>Dailies[[#This Row],[VOO Daily $]]/Dailies[[#This Row],[VOO]]</f>
        <v>0</v>
      </c>
      <c r="AL955" s="314">
        <f>Dailies[[#This Row],[RRSP Daily %]]-Dailies[[#This Row],[VOO Daily %]]</f>
        <v>0</v>
      </c>
      <c r="AM955" s="413">
        <f t="shared" si="24"/>
        <v>278.90756218905443</v>
      </c>
      <c r="AR955" s="333"/>
      <c r="AS955" s="333"/>
      <c r="AT955" s="333"/>
      <c r="AU955" s="333"/>
      <c r="AV955" s="333"/>
    </row>
    <row r="956" spans="2:48" s="330" customFormat="1" ht="28.15" customHeight="1" x14ac:dyDescent="0.25">
      <c r="B956" s="359">
        <v>43962</v>
      </c>
      <c r="C956" s="360">
        <v>0</v>
      </c>
      <c r="D956" s="360">
        <v>38123.25</v>
      </c>
      <c r="E956" s="329">
        <v>291790</v>
      </c>
      <c r="F956" s="329">
        <v>0</v>
      </c>
      <c r="G956" s="329">
        <v>10353.69</v>
      </c>
      <c r="H956" s="329"/>
      <c r="I956" s="329"/>
      <c r="J956" s="329"/>
      <c r="K956" s="329"/>
      <c r="L956" s="329"/>
      <c r="M956" s="329">
        <v>650000</v>
      </c>
      <c r="N956" s="329">
        <f t="shared" si="19"/>
        <v>23803</v>
      </c>
      <c r="O956" s="329">
        <f t="shared" si="18"/>
        <v>1600</v>
      </c>
      <c r="P956" s="329">
        <v>91683</v>
      </c>
      <c r="Q956" s="329">
        <v>0</v>
      </c>
      <c r="R956" s="315">
        <f>Dailies[[#This Row],[CIBC RRSP]]+Dailies[[#This Row],[QT RRSP]]+Dailies[[#This Row],[SunLife RRSP]]</f>
        <v>302143.69</v>
      </c>
      <c r="S956" s="401">
        <f>S955+Dailies[[#This Row],[CIBC RRSP Principal Delta]]</f>
        <v>0</v>
      </c>
      <c r="T956" s="401">
        <f>T955+Dailies[[#This Row],[CIBC RESP Principal Delta]]</f>
        <v>37910.450000000004</v>
      </c>
      <c r="U956" s="402">
        <f>U955+Dailies[[#This Row],[QT RRSP Principal Delta]]</f>
        <v>334220.87</v>
      </c>
      <c r="V956" s="401">
        <f>V955+Dailies[[#This Row],[SunLife RRSP Principal Delta]]</f>
        <v>10257.61</v>
      </c>
      <c r="W956" s="315">
        <f>Dailies[[#This Row],[CIBC RRSP Principal]]+Dailies[[#This Row],[QT RRSP Principal]]+Dailies[[#This Row],[SunLife RRSP Principal]]</f>
        <v>344478.48</v>
      </c>
      <c r="X956" s="361">
        <f>Dailies[[#This Row],[CIBC RRSP Principal]]+Dailies[[#This Row],[CIBC RESP Principal]]+Dailies[[#This Row],[QT RRSP Principal]]+Dailies[[#This Row],[SunLife RRSP Principal]]</f>
        <v>382388.93</v>
      </c>
      <c r="Y956" s="315">
        <f>Dailies[[#This Row],[CIBC RRSP]]+Dailies[[#This Row],[CIBC RESP]]+Dailies[[#This Row],[QT RRSP]]+Dailies[[#This Row],[SunLife RRSP]]</f>
        <v>340266.94</v>
      </c>
      <c r="Z956" s="313">
        <f>Dailies[[#This Row],[Portfolio Total]]+Dailies[[#This Row],[Home Equity]]+Dailies[[#This Row],[Car Equity]]+Dailies[[#This Row],[Valuables Equity]]+Dailies[[#This Row],[GSK Pension]]+Dailies[[#This Row],[Home Loan]]</f>
        <v>1107352.94</v>
      </c>
      <c r="AA956" s="402">
        <f>IF(ISNUMBER(C955),Dailies[[#This Row],[CIBC RRSP]]-C955-Dailies[[#This Row],[CIBC RRSP Principal Delta]],0)</f>
        <v>0</v>
      </c>
      <c r="AB956" s="402">
        <f>IF(ISNUMBER(D955),Dailies[[#This Row],[CIBC RESP]]-D955-Dailies[[#This Row],[CIBC RESP Principal Delta]],0)</f>
        <v>1287</v>
      </c>
      <c r="AC956" s="402">
        <f>IF(ISNUMBER(E955),Dailies[[#This Row],[QT RRSP]]-E955-Dailies[[#This Row],[QT RRSP Principal Delta]],0)</f>
        <v>8762.4400000000023</v>
      </c>
      <c r="AD956" s="402">
        <f>IF(ISNUMBER(G955),Dailies[[#This Row],[SunLife RRSP]]-G955-Dailies[[#This Row],[SunLife RRSP Principal Delta]],0)</f>
        <v>0</v>
      </c>
      <c r="AE956" s="315">
        <f>Dailies[[#This Row],[CIBC RRSP Daily $]]+Dailies[[#This Row],[QT RRSP Daily $]]+Dailies[[#This Row],[SunLife RRSP Daily $]]</f>
        <v>8762.4400000000023</v>
      </c>
      <c r="AF956" s="315">
        <f>Dailies[[#This Row],[RRSP Daily $]]+Dailies[[#This Row],[CIBC RESP Daily $]]</f>
        <v>10049.440000000002</v>
      </c>
      <c r="AG956" s="401">
        <f>IF(ISNUMBER(AJ955),Dailies[[#This Row],[VOO]]-AJ955,0)</f>
        <v>4.0000000000020464E-2</v>
      </c>
      <c r="AH956" s="362">
        <f>Dailies[[#This Row],[RRSP Daily $]]/Dailies[[#This Row],[RRSP Total]]</f>
        <v>2.9000903510511843E-2</v>
      </c>
      <c r="AI956" s="363">
        <f>IF(Dailies[[#This Row],[CIBC RESP]]&gt;0,Dailies[[#This Row],[CIBC RESP Daily $]]/Dailies[[#This Row],[CIBC RESP]],0)</f>
        <v>3.3758926639255574E-2</v>
      </c>
      <c r="AJ956" s="315">
        <f>VLOOKUP(Dailies[[#This Row],[Date]],Quotes[],MATCH("VOO",Quotes[#Headers],EXACT_MATCH))</f>
        <v>268.82</v>
      </c>
      <c r="AK956" s="314">
        <f>Dailies[[#This Row],[VOO Daily $]]/Dailies[[#This Row],[VOO]]</f>
        <v>1.4879845249617018E-4</v>
      </c>
      <c r="AL956" s="314">
        <f>Dailies[[#This Row],[RRSP Daily %]]-Dailies[[#This Row],[VOO Daily %]]</f>
        <v>2.8852105058015672E-2</v>
      </c>
      <c r="AM956" s="413">
        <f t="shared" si="24"/>
        <v>278.86243781094498</v>
      </c>
      <c r="AR956" s="333"/>
      <c r="AS956" s="333"/>
      <c r="AT956" s="333"/>
      <c r="AU956" s="333"/>
      <c r="AV956" s="333"/>
    </row>
    <row r="957" spans="2:48" s="330" customFormat="1" ht="28.15" customHeight="1" x14ac:dyDescent="0.25">
      <c r="B957" s="359">
        <v>43963</v>
      </c>
      <c r="C957" s="360">
        <v>0</v>
      </c>
      <c r="D957" s="360">
        <v>37422</v>
      </c>
      <c r="E957" s="329">
        <v>289174</v>
      </c>
      <c r="F957" s="329">
        <v>0</v>
      </c>
      <c r="G957" s="329">
        <v>10353.69</v>
      </c>
      <c r="H957" s="329"/>
      <c r="I957" s="329"/>
      <c r="J957" s="329"/>
      <c r="K957" s="329"/>
      <c r="L957" s="329"/>
      <c r="M957" s="329">
        <v>650000</v>
      </c>
      <c r="N957" s="329">
        <f t="shared" si="19"/>
        <v>23803</v>
      </c>
      <c r="O957" s="329">
        <f t="shared" si="18"/>
        <v>1600</v>
      </c>
      <c r="P957" s="329">
        <v>91683</v>
      </c>
      <c r="Q957" s="329">
        <v>0</v>
      </c>
      <c r="R957" s="315">
        <f>Dailies[[#This Row],[CIBC RRSP]]+Dailies[[#This Row],[QT RRSP]]+Dailies[[#This Row],[SunLife RRSP]]</f>
        <v>299527.69</v>
      </c>
      <c r="S957" s="401">
        <f>S956+Dailies[[#This Row],[CIBC RRSP Principal Delta]]</f>
        <v>0</v>
      </c>
      <c r="T957" s="401">
        <f>T956+Dailies[[#This Row],[CIBC RESP Principal Delta]]</f>
        <v>37910.450000000004</v>
      </c>
      <c r="U957" s="402">
        <f>U956+Dailies[[#This Row],[QT RRSP Principal Delta]]</f>
        <v>334220.87</v>
      </c>
      <c r="V957" s="401">
        <f>V956+Dailies[[#This Row],[SunLife RRSP Principal Delta]]</f>
        <v>10257.61</v>
      </c>
      <c r="W957" s="315">
        <f>Dailies[[#This Row],[CIBC RRSP Principal]]+Dailies[[#This Row],[QT RRSP Principal]]+Dailies[[#This Row],[SunLife RRSP Principal]]</f>
        <v>344478.48</v>
      </c>
      <c r="X957" s="361">
        <f>Dailies[[#This Row],[CIBC RRSP Principal]]+Dailies[[#This Row],[CIBC RESP Principal]]+Dailies[[#This Row],[QT RRSP Principal]]+Dailies[[#This Row],[SunLife RRSP Principal]]</f>
        <v>382388.93</v>
      </c>
      <c r="Y957" s="315">
        <f>Dailies[[#This Row],[CIBC RRSP]]+Dailies[[#This Row],[CIBC RESP]]+Dailies[[#This Row],[QT RRSP]]+Dailies[[#This Row],[SunLife RRSP]]</f>
        <v>336949.69</v>
      </c>
      <c r="Z957" s="313">
        <f>Dailies[[#This Row],[Portfolio Total]]+Dailies[[#This Row],[Home Equity]]+Dailies[[#This Row],[Car Equity]]+Dailies[[#This Row],[Valuables Equity]]+Dailies[[#This Row],[GSK Pension]]+Dailies[[#This Row],[Home Loan]]</f>
        <v>1104035.69</v>
      </c>
      <c r="AA957" s="402">
        <f>IF(ISNUMBER(C956),Dailies[[#This Row],[CIBC RRSP]]-C956-Dailies[[#This Row],[CIBC RRSP Principal Delta]],0)</f>
        <v>0</v>
      </c>
      <c r="AB957" s="402">
        <f>IF(ISNUMBER(D956),Dailies[[#This Row],[CIBC RESP]]-D956-Dailies[[#This Row],[CIBC RESP Principal Delta]],0)</f>
        <v>-701.25</v>
      </c>
      <c r="AC957" s="402">
        <f>IF(ISNUMBER(E956),Dailies[[#This Row],[QT RRSP]]-E956-Dailies[[#This Row],[QT RRSP Principal Delta]],0)</f>
        <v>-2616</v>
      </c>
      <c r="AD957" s="402">
        <f>IF(ISNUMBER(G956),Dailies[[#This Row],[SunLife RRSP]]-G956-Dailies[[#This Row],[SunLife RRSP Principal Delta]],0)</f>
        <v>0</v>
      </c>
      <c r="AE957" s="315">
        <f>Dailies[[#This Row],[CIBC RRSP Daily $]]+Dailies[[#This Row],[QT RRSP Daily $]]+Dailies[[#This Row],[SunLife RRSP Daily $]]</f>
        <v>-2616</v>
      </c>
      <c r="AF957" s="315">
        <f>Dailies[[#This Row],[RRSP Daily $]]+Dailies[[#This Row],[CIBC RESP Daily $]]</f>
        <v>-3317.25</v>
      </c>
      <c r="AG957" s="401">
        <f>IF(ISNUMBER(AJ956),Dailies[[#This Row],[VOO]]-AJ956,0)</f>
        <v>-5.4099999999999682</v>
      </c>
      <c r="AH957" s="362">
        <f>Dailies[[#This Row],[RRSP Daily $]]/Dailies[[#This Row],[RRSP Total]]</f>
        <v>-8.7337501250719096E-3</v>
      </c>
      <c r="AI957" s="363">
        <f>IF(Dailies[[#This Row],[CIBC RESP]]&gt;0,Dailies[[#This Row],[CIBC RESP Daily $]]/Dailies[[#This Row],[CIBC RESP]],0)</f>
        <v>-1.8738977072310405E-2</v>
      </c>
      <c r="AJ957" s="315">
        <f>VLOOKUP(Dailies[[#This Row],[Date]],Quotes[],MATCH("VOO",Quotes[#Headers],EXACT_MATCH))</f>
        <v>263.41000000000003</v>
      </c>
      <c r="AK957" s="314">
        <f>Dailies[[#This Row],[VOO Daily $]]/Dailies[[#This Row],[VOO]]</f>
        <v>-2.0538324285334527E-2</v>
      </c>
      <c r="AL957" s="314">
        <f>Dailies[[#This Row],[RRSP Daily %]]-Dailies[[#This Row],[VOO Daily %]]</f>
        <v>1.1804574160262617E-2</v>
      </c>
      <c r="AM957" s="413">
        <f t="shared" ref="AM957" si="25">AVERAGE(AJ741:AJ941)</f>
        <v>278.83810945273603</v>
      </c>
      <c r="AR957" s="333"/>
      <c r="AS957" s="333"/>
      <c r="AT957" s="333"/>
      <c r="AU957" s="333"/>
      <c r="AV957" s="333"/>
    </row>
    <row r="958" spans="2:48" s="330" customFormat="1" ht="28.15" customHeight="1" x14ac:dyDescent="0.25">
      <c r="B958" s="359">
        <v>43964</v>
      </c>
      <c r="C958" s="360">
        <v>0</v>
      </c>
      <c r="D958" s="360">
        <v>36333</v>
      </c>
      <c r="E958" s="329">
        <v>284700</v>
      </c>
      <c r="F958" s="329">
        <v>0</v>
      </c>
      <c r="G958" s="329">
        <v>10353.69</v>
      </c>
      <c r="H958" s="329"/>
      <c r="I958" s="329"/>
      <c r="J958" s="329"/>
      <c r="K958" s="329"/>
      <c r="L958" s="329"/>
      <c r="M958" s="329">
        <v>650000</v>
      </c>
      <c r="N958" s="329">
        <f t="shared" si="19"/>
        <v>23803</v>
      </c>
      <c r="O958" s="329">
        <f t="shared" si="18"/>
        <v>1600</v>
      </c>
      <c r="P958" s="329">
        <v>91683</v>
      </c>
      <c r="Q958" s="329">
        <v>0</v>
      </c>
      <c r="R958" s="315">
        <f>Dailies[[#This Row],[CIBC RRSP]]+Dailies[[#This Row],[QT RRSP]]+Dailies[[#This Row],[SunLife RRSP]]</f>
        <v>295053.69</v>
      </c>
      <c r="S958" s="401">
        <f>S957+Dailies[[#This Row],[CIBC RRSP Principal Delta]]</f>
        <v>0</v>
      </c>
      <c r="T958" s="401">
        <f>T957+Dailies[[#This Row],[CIBC RESP Principal Delta]]</f>
        <v>37910.450000000004</v>
      </c>
      <c r="U958" s="402">
        <f>U957+Dailies[[#This Row],[QT RRSP Principal Delta]]</f>
        <v>334220.87</v>
      </c>
      <c r="V958" s="401">
        <f>V957+Dailies[[#This Row],[SunLife RRSP Principal Delta]]</f>
        <v>10257.61</v>
      </c>
      <c r="W958" s="315">
        <f>Dailies[[#This Row],[CIBC RRSP Principal]]+Dailies[[#This Row],[QT RRSP Principal]]+Dailies[[#This Row],[SunLife RRSP Principal]]</f>
        <v>344478.48</v>
      </c>
      <c r="X958" s="361">
        <f>Dailies[[#This Row],[CIBC RRSP Principal]]+Dailies[[#This Row],[CIBC RESP Principal]]+Dailies[[#This Row],[QT RRSP Principal]]+Dailies[[#This Row],[SunLife RRSP Principal]]</f>
        <v>382388.93</v>
      </c>
      <c r="Y958" s="315">
        <f>Dailies[[#This Row],[CIBC RRSP]]+Dailies[[#This Row],[CIBC RESP]]+Dailies[[#This Row],[QT RRSP]]+Dailies[[#This Row],[SunLife RRSP]]</f>
        <v>331386.69</v>
      </c>
      <c r="Z958" s="313">
        <f>Dailies[[#This Row],[Portfolio Total]]+Dailies[[#This Row],[Home Equity]]+Dailies[[#This Row],[Car Equity]]+Dailies[[#This Row],[Valuables Equity]]+Dailies[[#This Row],[GSK Pension]]+Dailies[[#This Row],[Home Loan]]</f>
        <v>1098472.69</v>
      </c>
      <c r="AA958" s="402">
        <f>IF(ISNUMBER(C957),Dailies[[#This Row],[CIBC RRSP]]-C957-Dailies[[#This Row],[CIBC RRSP Principal Delta]],0)</f>
        <v>0</v>
      </c>
      <c r="AB958" s="402">
        <f>IF(ISNUMBER(D957),Dailies[[#This Row],[CIBC RESP]]-D957-Dailies[[#This Row],[CIBC RESP Principal Delta]],0)</f>
        <v>-1089</v>
      </c>
      <c r="AC958" s="402">
        <f>IF(ISNUMBER(E957),Dailies[[#This Row],[QT RRSP]]-E957-Dailies[[#This Row],[QT RRSP Principal Delta]],0)</f>
        <v>-4474</v>
      </c>
      <c r="AD958" s="402">
        <f>IF(ISNUMBER(G957),Dailies[[#This Row],[SunLife RRSP]]-G957-Dailies[[#This Row],[SunLife RRSP Principal Delta]],0)</f>
        <v>0</v>
      </c>
      <c r="AE958" s="315">
        <f>Dailies[[#This Row],[CIBC RRSP Daily $]]+Dailies[[#This Row],[QT RRSP Daily $]]+Dailies[[#This Row],[SunLife RRSP Daily $]]</f>
        <v>-4474</v>
      </c>
      <c r="AF958" s="315">
        <f>Dailies[[#This Row],[RRSP Daily $]]+Dailies[[#This Row],[CIBC RESP Daily $]]</f>
        <v>-5563</v>
      </c>
      <c r="AG958" s="401">
        <f>IF(ISNUMBER(AJ957),Dailies[[#This Row],[VOO]]-AJ957,0)</f>
        <v>-4.6700000000000159</v>
      </c>
      <c r="AH958" s="362">
        <f>Dailies[[#This Row],[RRSP Daily $]]/Dailies[[#This Row],[RRSP Total]]</f>
        <v>-1.5163341966677318E-2</v>
      </c>
      <c r="AI958" s="363">
        <f>IF(Dailies[[#This Row],[CIBC RESP]]&gt;0,Dailies[[#This Row],[CIBC RESP Daily $]]/Dailies[[#This Row],[CIBC RESP]],0)</f>
        <v>-2.9972752043596729E-2</v>
      </c>
      <c r="AJ958" s="315">
        <f>VLOOKUP(Dailies[[#This Row],[Date]],Quotes[],MATCH("VOO",Quotes[#Headers],EXACT_MATCH))</f>
        <v>258.74</v>
      </c>
      <c r="AK958" s="314">
        <f>Dailies[[#This Row],[VOO Daily $]]/Dailies[[#This Row],[VOO]]</f>
        <v>-1.8049006724897641E-2</v>
      </c>
      <c r="AL958" s="314">
        <f>Dailies[[#This Row],[RRSP Daily %]]-Dailies[[#This Row],[VOO Daily %]]</f>
        <v>2.8856647582203229E-3</v>
      </c>
      <c r="AM958" s="413">
        <f t="shared" ref="AM958:AM959" si="26">AVERAGE(AJ742:AJ942)</f>
        <v>278.82019900497488</v>
      </c>
      <c r="AR958" s="333"/>
      <c r="AS958" s="333"/>
      <c r="AT958" s="333"/>
      <c r="AU958" s="333"/>
      <c r="AV958" s="333"/>
    </row>
    <row r="959" spans="2:48" s="330" customFormat="1" ht="28.15" customHeight="1" x14ac:dyDescent="0.25">
      <c r="B959" s="359">
        <v>43965</v>
      </c>
      <c r="C959" s="360">
        <v>0</v>
      </c>
      <c r="D959" s="360">
        <v>35475</v>
      </c>
      <c r="E959" s="329">
        <v>286973.58</v>
      </c>
      <c r="F959" s="329">
        <v>0</v>
      </c>
      <c r="G959" s="329">
        <v>10353.69</v>
      </c>
      <c r="H959" s="329"/>
      <c r="I959" s="329"/>
      <c r="J959" s="329"/>
      <c r="K959" s="329"/>
      <c r="L959" s="329"/>
      <c r="M959" s="329">
        <v>650000</v>
      </c>
      <c r="N959" s="329">
        <f t="shared" si="19"/>
        <v>23803</v>
      </c>
      <c r="O959" s="329">
        <f t="shared" si="18"/>
        <v>1600</v>
      </c>
      <c r="P959" s="329">
        <v>91683</v>
      </c>
      <c r="Q959" s="329">
        <v>0</v>
      </c>
      <c r="R959" s="315">
        <f>Dailies[[#This Row],[CIBC RRSP]]+Dailies[[#This Row],[QT RRSP]]+Dailies[[#This Row],[SunLife RRSP]]</f>
        <v>297327.27</v>
      </c>
      <c r="S959" s="401">
        <f>S958+Dailies[[#This Row],[CIBC RRSP Principal Delta]]</f>
        <v>0</v>
      </c>
      <c r="T959" s="401">
        <f>T958+Dailies[[#This Row],[CIBC RESP Principal Delta]]</f>
        <v>37910.450000000004</v>
      </c>
      <c r="U959" s="402">
        <f>U958+Dailies[[#This Row],[QT RRSP Principal Delta]]</f>
        <v>334220.87</v>
      </c>
      <c r="V959" s="401">
        <f>V958+Dailies[[#This Row],[SunLife RRSP Principal Delta]]</f>
        <v>10257.61</v>
      </c>
      <c r="W959" s="315">
        <f>Dailies[[#This Row],[CIBC RRSP Principal]]+Dailies[[#This Row],[QT RRSP Principal]]+Dailies[[#This Row],[SunLife RRSP Principal]]</f>
        <v>344478.48</v>
      </c>
      <c r="X959" s="361">
        <f>Dailies[[#This Row],[CIBC RRSP Principal]]+Dailies[[#This Row],[CIBC RESP Principal]]+Dailies[[#This Row],[QT RRSP Principal]]+Dailies[[#This Row],[SunLife RRSP Principal]]</f>
        <v>382388.93</v>
      </c>
      <c r="Y959" s="315">
        <f>Dailies[[#This Row],[CIBC RRSP]]+Dailies[[#This Row],[CIBC RESP]]+Dailies[[#This Row],[QT RRSP]]+Dailies[[#This Row],[SunLife RRSP]]</f>
        <v>332802.27</v>
      </c>
      <c r="Z959" s="313">
        <f>Dailies[[#This Row],[Portfolio Total]]+Dailies[[#This Row],[Home Equity]]+Dailies[[#This Row],[Car Equity]]+Dailies[[#This Row],[Valuables Equity]]+Dailies[[#This Row],[GSK Pension]]+Dailies[[#This Row],[Home Loan]]</f>
        <v>1099888.27</v>
      </c>
      <c r="AA959" s="402">
        <f>IF(ISNUMBER(C958),Dailies[[#This Row],[CIBC RRSP]]-C958-Dailies[[#This Row],[CIBC RRSP Principal Delta]],0)</f>
        <v>0</v>
      </c>
      <c r="AB959" s="402">
        <f>IF(ISNUMBER(D958),Dailies[[#This Row],[CIBC RESP]]-D958-Dailies[[#This Row],[CIBC RESP Principal Delta]],0)</f>
        <v>-858</v>
      </c>
      <c r="AC959" s="402">
        <f>IF(ISNUMBER(E958),Dailies[[#This Row],[QT RRSP]]-E958-Dailies[[#This Row],[QT RRSP Principal Delta]],0)</f>
        <v>2273.5800000000163</v>
      </c>
      <c r="AD959" s="402">
        <f>IF(ISNUMBER(G958),Dailies[[#This Row],[SunLife RRSP]]-G958-Dailies[[#This Row],[SunLife RRSP Principal Delta]],0)</f>
        <v>0</v>
      </c>
      <c r="AE959" s="315">
        <f>Dailies[[#This Row],[CIBC RRSP Daily $]]+Dailies[[#This Row],[QT RRSP Daily $]]+Dailies[[#This Row],[SunLife RRSP Daily $]]</f>
        <v>2273.5800000000163</v>
      </c>
      <c r="AF959" s="315">
        <f>Dailies[[#This Row],[RRSP Daily $]]+Dailies[[#This Row],[CIBC RESP Daily $]]</f>
        <v>1415.5800000000163</v>
      </c>
      <c r="AG959" s="401">
        <f>IF(ISNUMBER(AJ958),Dailies[[#This Row],[VOO]]-AJ958,0)</f>
        <v>3.1200000000000045</v>
      </c>
      <c r="AH959" s="362">
        <f>Dailies[[#This Row],[RRSP Daily $]]/Dailies[[#This Row],[RRSP Total]]</f>
        <v>7.6467254416320981E-3</v>
      </c>
      <c r="AI959" s="363">
        <f>IF(Dailies[[#This Row],[CIBC RESP]]&gt;0,Dailies[[#This Row],[CIBC RESP Daily $]]/Dailies[[#This Row],[CIBC RESP]],0)</f>
        <v>-2.4186046511627906E-2</v>
      </c>
      <c r="AJ959" s="315">
        <f>VLOOKUP(Dailies[[#This Row],[Date]],Quotes[],MATCH("VOO",Quotes[#Headers],EXACT_MATCH))</f>
        <v>261.86</v>
      </c>
      <c r="AK959" s="314">
        <f>Dailies[[#This Row],[VOO Daily $]]/Dailies[[#This Row],[VOO]]</f>
        <v>1.191476361414498E-2</v>
      </c>
      <c r="AL959" s="314">
        <f>Dailies[[#This Row],[RRSP Daily %]]-Dailies[[#This Row],[VOO Daily %]]</f>
        <v>-4.2680381725128816E-3</v>
      </c>
      <c r="AM959" s="413">
        <f t="shared" si="26"/>
        <v>278.78716417910425</v>
      </c>
      <c r="AR959" s="333"/>
      <c r="AS959" s="333"/>
      <c r="AT959" s="333"/>
      <c r="AU959" s="333"/>
      <c r="AV959" s="333"/>
    </row>
    <row r="960" spans="2:48" s="330" customFormat="1" ht="28.15" customHeight="1" x14ac:dyDescent="0.25">
      <c r="B960" s="359">
        <v>43966</v>
      </c>
      <c r="C960" s="360">
        <v>0</v>
      </c>
      <c r="D960" s="360">
        <v>36234</v>
      </c>
      <c r="E960" s="329">
        <v>289398</v>
      </c>
      <c r="F960" s="329">
        <v>0</v>
      </c>
      <c r="G960" s="329">
        <v>11527</v>
      </c>
      <c r="H960" s="329"/>
      <c r="I960" s="329"/>
      <c r="J960" s="329"/>
      <c r="K960" s="329"/>
      <c r="L960" s="329"/>
      <c r="M960" s="329">
        <v>650000</v>
      </c>
      <c r="N960" s="329">
        <f t="shared" si="19"/>
        <v>23803</v>
      </c>
      <c r="O960" s="329">
        <f t="shared" si="18"/>
        <v>1600</v>
      </c>
      <c r="P960" s="329">
        <v>91683</v>
      </c>
      <c r="Q960" s="329">
        <v>0</v>
      </c>
      <c r="R960" s="315">
        <f>Dailies[[#This Row],[CIBC RRSP]]+Dailies[[#This Row],[QT RRSP]]+Dailies[[#This Row],[SunLife RRSP]]</f>
        <v>300925</v>
      </c>
      <c r="S960" s="401">
        <f>S959+Dailies[[#This Row],[CIBC RRSP Principal Delta]]</f>
        <v>0</v>
      </c>
      <c r="T960" s="401">
        <f>T959+Dailies[[#This Row],[CIBC RESP Principal Delta]]</f>
        <v>37910.450000000004</v>
      </c>
      <c r="U960" s="402">
        <f>U959+Dailies[[#This Row],[QT RRSP Principal Delta]]</f>
        <v>334220.87</v>
      </c>
      <c r="V960" s="401">
        <f>V959+Dailies[[#This Row],[SunLife RRSP Principal Delta]]</f>
        <v>10257.61</v>
      </c>
      <c r="W960" s="315">
        <f>Dailies[[#This Row],[CIBC RRSP Principal]]+Dailies[[#This Row],[QT RRSP Principal]]+Dailies[[#This Row],[SunLife RRSP Principal]]</f>
        <v>344478.48</v>
      </c>
      <c r="X960" s="361">
        <f>Dailies[[#This Row],[CIBC RRSP Principal]]+Dailies[[#This Row],[CIBC RESP Principal]]+Dailies[[#This Row],[QT RRSP Principal]]+Dailies[[#This Row],[SunLife RRSP Principal]]</f>
        <v>382388.93</v>
      </c>
      <c r="Y960" s="315">
        <f>Dailies[[#This Row],[CIBC RRSP]]+Dailies[[#This Row],[CIBC RESP]]+Dailies[[#This Row],[QT RRSP]]+Dailies[[#This Row],[SunLife RRSP]]</f>
        <v>337159</v>
      </c>
      <c r="Z960" s="313">
        <f>Dailies[[#This Row],[Portfolio Total]]+Dailies[[#This Row],[Home Equity]]+Dailies[[#This Row],[Car Equity]]+Dailies[[#This Row],[Valuables Equity]]+Dailies[[#This Row],[GSK Pension]]+Dailies[[#This Row],[Home Loan]]</f>
        <v>1104245</v>
      </c>
      <c r="AA960" s="402">
        <f>IF(ISNUMBER(C959),Dailies[[#This Row],[CIBC RRSP]]-C959-Dailies[[#This Row],[CIBC RRSP Principal Delta]],0)</f>
        <v>0</v>
      </c>
      <c r="AB960" s="402">
        <f>IF(ISNUMBER(D959),Dailies[[#This Row],[CIBC RESP]]-D959-Dailies[[#This Row],[CIBC RESP Principal Delta]],0)</f>
        <v>759</v>
      </c>
      <c r="AC960" s="402">
        <f>IF(ISNUMBER(E959),Dailies[[#This Row],[QT RRSP]]-E959-Dailies[[#This Row],[QT RRSP Principal Delta]],0)</f>
        <v>2424.4199999999837</v>
      </c>
      <c r="AD960" s="402">
        <f>IF(ISNUMBER(G959),Dailies[[#This Row],[SunLife RRSP]]-G959-Dailies[[#This Row],[SunLife RRSP Principal Delta]],0)</f>
        <v>1173.3099999999995</v>
      </c>
      <c r="AE960" s="315">
        <f>Dailies[[#This Row],[CIBC RRSP Daily $]]+Dailies[[#This Row],[QT RRSP Daily $]]+Dailies[[#This Row],[SunLife RRSP Daily $]]</f>
        <v>3597.7299999999832</v>
      </c>
      <c r="AF960" s="315">
        <f>Dailies[[#This Row],[RRSP Daily $]]+Dailies[[#This Row],[CIBC RESP Daily $]]</f>
        <v>4356.7299999999832</v>
      </c>
      <c r="AG960" s="401">
        <f>IF(ISNUMBER(AJ959),Dailies[[#This Row],[VOO]]-AJ959,0)</f>
        <v>1.1800000000000068</v>
      </c>
      <c r="AH960" s="362">
        <f>Dailies[[#This Row],[RRSP Daily $]]/Dailies[[#This Row],[RRSP Total]]</f>
        <v>1.1955570324831712E-2</v>
      </c>
      <c r="AI960" s="363">
        <f>IF(Dailies[[#This Row],[CIBC RESP]]&gt;0,Dailies[[#This Row],[CIBC RESP Daily $]]/Dailies[[#This Row],[CIBC RESP]],0)</f>
        <v>2.0947176684881604E-2</v>
      </c>
      <c r="AJ960" s="315">
        <f>VLOOKUP(Dailies[[#This Row],[Date]],Quotes[],MATCH("VOO",Quotes[#Headers],EXACT_MATCH))</f>
        <v>263.04000000000002</v>
      </c>
      <c r="AK960" s="314">
        <f>Dailies[[#This Row],[VOO Daily $]]/Dailies[[#This Row],[VOO]]</f>
        <v>4.4860097323601231E-3</v>
      </c>
      <c r="AL960" s="314">
        <f>Dailies[[#This Row],[RRSP Daily %]]-Dailies[[#This Row],[VOO Daily %]]</f>
        <v>7.4695605924715892E-3</v>
      </c>
      <c r="AM960" s="413">
        <f t="shared" ref="AM960:AM963" si="27">AVERAGE(AJ744:AJ944)</f>
        <v>278.77383084577087</v>
      </c>
      <c r="AR960" s="333"/>
      <c r="AS960" s="333"/>
      <c r="AT960" s="333"/>
      <c r="AU960" s="333"/>
      <c r="AV960" s="333"/>
    </row>
    <row r="961" spans="2:48" s="330" customFormat="1" ht="28.15" customHeight="1" x14ac:dyDescent="0.25">
      <c r="B961" s="359">
        <v>43967</v>
      </c>
      <c r="C961" s="360">
        <v>0</v>
      </c>
      <c r="D961" s="360">
        <v>36234</v>
      </c>
      <c r="E961" s="329">
        <v>289398</v>
      </c>
      <c r="F961" s="329">
        <v>0</v>
      </c>
      <c r="G961" s="329">
        <v>11527</v>
      </c>
      <c r="H961" s="329"/>
      <c r="I961" s="329"/>
      <c r="J961" s="329"/>
      <c r="K961" s="329"/>
      <c r="L961" s="329"/>
      <c r="M961" s="329">
        <v>650000</v>
      </c>
      <c r="N961" s="329">
        <f t="shared" si="19"/>
        <v>23803</v>
      </c>
      <c r="O961" s="329">
        <f t="shared" si="18"/>
        <v>1600</v>
      </c>
      <c r="P961" s="329">
        <v>91683</v>
      </c>
      <c r="Q961" s="329">
        <v>0</v>
      </c>
      <c r="R961" s="315">
        <f>Dailies[[#This Row],[CIBC RRSP]]+Dailies[[#This Row],[QT RRSP]]+Dailies[[#This Row],[SunLife RRSP]]</f>
        <v>300925</v>
      </c>
      <c r="S961" s="401">
        <f>S960+Dailies[[#This Row],[CIBC RRSP Principal Delta]]</f>
        <v>0</v>
      </c>
      <c r="T961" s="401">
        <f>T960+Dailies[[#This Row],[CIBC RESP Principal Delta]]</f>
        <v>37910.450000000004</v>
      </c>
      <c r="U961" s="402">
        <f>U960+Dailies[[#This Row],[QT RRSP Principal Delta]]</f>
        <v>334220.87</v>
      </c>
      <c r="V961" s="401">
        <f>V960+Dailies[[#This Row],[SunLife RRSP Principal Delta]]</f>
        <v>10257.61</v>
      </c>
      <c r="W961" s="315">
        <f>Dailies[[#This Row],[CIBC RRSP Principal]]+Dailies[[#This Row],[QT RRSP Principal]]+Dailies[[#This Row],[SunLife RRSP Principal]]</f>
        <v>344478.48</v>
      </c>
      <c r="X961" s="361">
        <f>Dailies[[#This Row],[CIBC RRSP Principal]]+Dailies[[#This Row],[CIBC RESP Principal]]+Dailies[[#This Row],[QT RRSP Principal]]+Dailies[[#This Row],[SunLife RRSP Principal]]</f>
        <v>382388.93</v>
      </c>
      <c r="Y961" s="315">
        <f>Dailies[[#This Row],[CIBC RRSP]]+Dailies[[#This Row],[CIBC RESP]]+Dailies[[#This Row],[QT RRSP]]+Dailies[[#This Row],[SunLife RRSP]]</f>
        <v>337159</v>
      </c>
      <c r="Z961" s="313">
        <f>Dailies[[#This Row],[Portfolio Total]]+Dailies[[#This Row],[Home Equity]]+Dailies[[#This Row],[Car Equity]]+Dailies[[#This Row],[Valuables Equity]]+Dailies[[#This Row],[GSK Pension]]+Dailies[[#This Row],[Home Loan]]</f>
        <v>1104245</v>
      </c>
      <c r="AA961" s="402">
        <f>IF(ISNUMBER(C960),Dailies[[#This Row],[CIBC RRSP]]-C960-Dailies[[#This Row],[CIBC RRSP Principal Delta]],0)</f>
        <v>0</v>
      </c>
      <c r="AB961" s="402">
        <f>IF(ISNUMBER(D960),Dailies[[#This Row],[CIBC RESP]]-D960-Dailies[[#This Row],[CIBC RESP Principal Delta]],0)</f>
        <v>0</v>
      </c>
      <c r="AC961" s="402">
        <f>IF(ISNUMBER(E960),Dailies[[#This Row],[QT RRSP]]-E960-Dailies[[#This Row],[QT RRSP Principal Delta]],0)</f>
        <v>0</v>
      </c>
      <c r="AD961" s="402">
        <f>IF(ISNUMBER(G960),Dailies[[#This Row],[SunLife RRSP]]-G960-Dailies[[#This Row],[SunLife RRSP Principal Delta]],0)</f>
        <v>0</v>
      </c>
      <c r="AE961" s="315">
        <f>Dailies[[#This Row],[CIBC RRSP Daily $]]+Dailies[[#This Row],[QT RRSP Daily $]]+Dailies[[#This Row],[SunLife RRSP Daily $]]</f>
        <v>0</v>
      </c>
      <c r="AF961" s="315">
        <f>Dailies[[#This Row],[RRSP Daily $]]+Dailies[[#This Row],[CIBC RESP Daily $]]</f>
        <v>0</v>
      </c>
      <c r="AG961" s="401">
        <f>IF(ISNUMBER(AJ960),Dailies[[#This Row],[VOO]]-AJ960,0)</f>
        <v>0</v>
      </c>
      <c r="AH961" s="362">
        <f>Dailies[[#This Row],[RRSP Daily $]]/Dailies[[#This Row],[RRSP Total]]</f>
        <v>0</v>
      </c>
      <c r="AI961" s="363">
        <f>IF(Dailies[[#This Row],[CIBC RESP]]&gt;0,Dailies[[#This Row],[CIBC RESP Daily $]]/Dailies[[#This Row],[CIBC RESP]],0)</f>
        <v>0</v>
      </c>
      <c r="AJ961" s="315">
        <f>VLOOKUP(Dailies[[#This Row],[Date]],Quotes[],MATCH("VOO",Quotes[#Headers],EXACT_MATCH))</f>
        <v>263.04000000000002</v>
      </c>
      <c r="AK961" s="314">
        <f>Dailies[[#This Row],[VOO Daily $]]/Dailies[[#This Row],[VOO]]</f>
        <v>0</v>
      </c>
      <c r="AL961" s="314">
        <f>Dailies[[#This Row],[RRSP Daily %]]-Dailies[[#This Row],[VOO Daily %]]</f>
        <v>0</v>
      </c>
      <c r="AM961" s="413">
        <f t="shared" si="27"/>
        <v>278.74880597014896</v>
      </c>
      <c r="AR961" s="333"/>
      <c r="AS961" s="333"/>
      <c r="AT961" s="333"/>
      <c r="AU961" s="333"/>
      <c r="AV961" s="333"/>
    </row>
    <row r="962" spans="2:48" s="330" customFormat="1" ht="28.15" customHeight="1" x14ac:dyDescent="0.25">
      <c r="B962" s="359">
        <v>43968</v>
      </c>
      <c r="C962" s="360">
        <v>0</v>
      </c>
      <c r="D962" s="360">
        <v>36234</v>
      </c>
      <c r="E962" s="329">
        <v>289398</v>
      </c>
      <c r="F962" s="329">
        <v>0</v>
      </c>
      <c r="G962" s="329">
        <v>11527</v>
      </c>
      <c r="H962" s="329"/>
      <c r="I962" s="329"/>
      <c r="J962" s="329"/>
      <c r="K962" s="329"/>
      <c r="L962" s="329"/>
      <c r="M962" s="329">
        <v>650000</v>
      </c>
      <c r="N962" s="329">
        <f t="shared" si="19"/>
        <v>23803</v>
      </c>
      <c r="O962" s="329">
        <f t="shared" si="18"/>
        <v>1600</v>
      </c>
      <c r="P962" s="329">
        <v>91683</v>
      </c>
      <c r="Q962" s="329">
        <v>0</v>
      </c>
      <c r="R962" s="315">
        <f>Dailies[[#This Row],[CIBC RRSP]]+Dailies[[#This Row],[QT RRSP]]+Dailies[[#This Row],[SunLife RRSP]]</f>
        <v>300925</v>
      </c>
      <c r="S962" s="401">
        <f>S961+Dailies[[#This Row],[CIBC RRSP Principal Delta]]</f>
        <v>0</v>
      </c>
      <c r="T962" s="401">
        <f>T961+Dailies[[#This Row],[CIBC RESP Principal Delta]]</f>
        <v>37910.450000000004</v>
      </c>
      <c r="U962" s="402">
        <f>U961+Dailies[[#This Row],[QT RRSP Principal Delta]]</f>
        <v>334220.87</v>
      </c>
      <c r="V962" s="401">
        <f>V961+Dailies[[#This Row],[SunLife RRSP Principal Delta]]</f>
        <v>10257.61</v>
      </c>
      <c r="W962" s="315">
        <f>Dailies[[#This Row],[CIBC RRSP Principal]]+Dailies[[#This Row],[QT RRSP Principal]]+Dailies[[#This Row],[SunLife RRSP Principal]]</f>
        <v>344478.48</v>
      </c>
      <c r="X962" s="361">
        <f>Dailies[[#This Row],[CIBC RRSP Principal]]+Dailies[[#This Row],[CIBC RESP Principal]]+Dailies[[#This Row],[QT RRSP Principal]]+Dailies[[#This Row],[SunLife RRSP Principal]]</f>
        <v>382388.93</v>
      </c>
      <c r="Y962" s="315">
        <f>Dailies[[#This Row],[CIBC RRSP]]+Dailies[[#This Row],[CIBC RESP]]+Dailies[[#This Row],[QT RRSP]]+Dailies[[#This Row],[SunLife RRSP]]</f>
        <v>337159</v>
      </c>
      <c r="Z962" s="313">
        <f>Dailies[[#This Row],[Portfolio Total]]+Dailies[[#This Row],[Home Equity]]+Dailies[[#This Row],[Car Equity]]+Dailies[[#This Row],[Valuables Equity]]+Dailies[[#This Row],[GSK Pension]]+Dailies[[#This Row],[Home Loan]]</f>
        <v>1104245</v>
      </c>
      <c r="AA962" s="402">
        <f>IF(ISNUMBER(C961),Dailies[[#This Row],[CIBC RRSP]]-C961-Dailies[[#This Row],[CIBC RRSP Principal Delta]],0)</f>
        <v>0</v>
      </c>
      <c r="AB962" s="402">
        <f>IF(ISNUMBER(D961),Dailies[[#This Row],[CIBC RESP]]-D961-Dailies[[#This Row],[CIBC RESP Principal Delta]],0)</f>
        <v>0</v>
      </c>
      <c r="AC962" s="402">
        <f>IF(ISNUMBER(E961),Dailies[[#This Row],[QT RRSP]]-E961-Dailies[[#This Row],[QT RRSP Principal Delta]],0)</f>
        <v>0</v>
      </c>
      <c r="AD962" s="402">
        <f>IF(ISNUMBER(G961),Dailies[[#This Row],[SunLife RRSP]]-G961-Dailies[[#This Row],[SunLife RRSP Principal Delta]],0)</f>
        <v>0</v>
      </c>
      <c r="AE962" s="315">
        <f>Dailies[[#This Row],[CIBC RRSP Daily $]]+Dailies[[#This Row],[QT RRSP Daily $]]+Dailies[[#This Row],[SunLife RRSP Daily $]]</f>
        <v>0</v>
      </c>
      <c r="AF962" s="315">
        <f>Dailies[[#This Row],[RRSP Daily $]]+Dailies[[#This Row],[CIBC RESP Daily $]]</f>
        <v>0</v>
      </c>
      <c r="AG962" s="401">
        <f>IF(ISNUMBER(AJ961),Dailies[[#This Row],[VOO]]-AJ961,0)</f>
        <v>0</v>
      </c>
      <c r="AH962" s="362">
        <f>Dailies[[#This Row],[RRSP Daily $]]/Dailies[[#This Row],[RRSP Total]]</f>
        <v>0</v>
      </c>
      <c r="AI962" s="363">
        <f>IF(Dailies[[#This Row],[CIBC RESP]]&gt;0,Dailies[[#This Row],[CIBC RESP Daily $]]/Dailies[[#This Row],[CIBC RESP]],0)</f>
        <v>0</v>
      </c>
      <c r="AJ962" s="315">
        <f>VLOOKUP(Dailies[[#This Row],[Date]],Quotes[],MATCH("VOO",Quotes[#Headers],EXACT_MATCH))</f>
        <v>263.04000000000002</v>
      </c>
      <c r="AK962" s="314">
        <f>Dailies[[#This Row],[VOO Daily $]]/Dailies[[#This Row],[VOO]]</f>
        <v>0</v>
      </c>
      <c r="AL962" s="314">
        <f>Dailies[[#This Row],[RRSP Daily %]]-Dailies[[#This Row],[VOO Daily %]]</f>
        <v>0</v>
      </c>
      <c r="AM962" s="413">
        <f t="shared" si="27"/>
        <v>278.6875621890544</v>
      </c>
      <c r="AR962" s="333"/>
      <c r="AS962" s="333"/>
      <c r="AT962" s="333"/>
      <c r="AU962" s="333"/>
      <c r="AV962" s="333"/>
    </row>
    <row r="963" spans="2:48" s="330" customFormat="1" ht="28.15" customHeight="1" x14ac:dyDescent="0.25">
      <c r="B963" s="359">
        <v>43969</v>
      </c>
      <c r="C963" s="360">
        <v>0</v>
      </c>
      <c r="D963" s="360">
        <v>36234</v>
      </c>
      <c r="E963" s="329">
        <v>290124</v>
      </c>
      <c r="F963" s="329">
        <v>0</v>
      </c>
      <c r="G963" s="329">
        <v>11527</v>
      </c>
      <c r="H963" s="329"/>
      <c r="I963" s="329"/>
      <c r="J963" s="329"/>
      <c r="K963" s="329"/>
      <c r="L963" s="329"/>
      <c r="M963" s="329">
        <v>650000</v>
      </c>
      <c r="N963" s="329">
        <f t="shared" si="19"/>
        <v>23803</v>
      </c>
      <c r="O963" s="329">
        <f t="shared" si="18"/>
        <v>1600</v>
      </c>
      <c r="P963" s="329">
        <v>91683</v>
      </c>
      <c r="Q963" s="329">
        <v>0</v>
      </c>
      <c r="R963" s="315">
        <f>Dailies[[#This Row],[CIBC RRSP]]+Dailies[[#This Row],[QT RRSP]]+Dailies[[#This Row],[SunLife RRSP]]</f>
        <v>301651</v>
      </c>
      <c r="S963" s="401">
        <f>S962+Dailies[[#This Row],[CIBC RRSP Principal Delta]]</f>
        <v>0</v>
      </c>
      <c r="T963" s="401">
        <f>T962+Dailies[[#This Row],[CIBC RESP Principal Delta]]</f>
        <v>37910.450000000004</v>
      </c>
      <c r="U963" s="402">
        <f>U962+Dailies[[#This Row],[QT RRSP Principal Delta]]</f>
        <v>334220.87</v>
      </c>
      <c r="V963" s="401">
        <f>V962+Dailies[[#This Row],[SunLife RRSP Principal Delta]]</f>
        <v>10257.61</v>
      </c>
      <c r="W963" s="315">
        <f>Dailies[[#This Row],[CIBC RRSP Principal]]+Dailies[[#This Row],[QT RRSP Principal]]+Dailies[[#This Row],[SunLife RRSP Principal]]</f>
        <v>344478.48</v>
      </c>
      <c r="X963" s="361">
        <f>Dailies[[#This Row],[CIBC RRSP Principal]]+Dailies[[#This Row],[CIBC RESP Principal]]+Dailies[[#This Row],[QT RRSP Principal]]+Dailies[[#This Row],[SunLife RRSP Principal]]</f>
        <v>382388.93</v>
      </c>
      <c r="Y963" s="315">
        <f>Dailies[[#This Row],[CIBC RRSP]]+Dailies[[#This Row],[CIBC RESP]]+Dailies[[#This Row],[QT RRSP]]+Dailies[[#This Row],[SunLife RRSP]]</f>
        <v>337885</v>
      </c>
      <c r="Z963" s="313">
        <f>Dailies[[#This Row],[Portfolio Total]]+Dailies[[#This Row],[Home Equity]]+Dailies[[#This Row],[Car Equity]]+Dailies[[#This Row],[Valuables Equity]]+Dailies[[#This Row],[GSK Pension]]+Dailies[[#This Row],[Home Loan]]</f>
        <v>1104971</v>
      </c>
      <c r="AA963" s="402">
        <f>IF(ISNUMBER(C962),Dailies[[#This Row],[CIBC RRSP]]-C962-Dailies[[#This Row],[CIBC RRSP Principal Delta]],0)</f>
        <v>0</v>
      </c>
      <c r="AB963" s="402">
        <f>IF(ISNUMBER(D962),Dailies[[#This Row],[CIBC RESP]]-D962-Dailies[[#This Row],[CIBC RESP Principal Delta]],0)</f>
        <v>0</v>
      </c>
      <c r="AC963" s="402">
        <f>IF(ISNUMBER(E962),Dailies[[#This Row],[QT RRSP]]-E962-Dailies[[#This Row],[QT RRSP Principal Delta]],0)</f>
        <v>726</v>
      </c>
      <c r="AD963" s="402">
        <f>IF(ISNUMBER(G962),Dailies[[#This Row],[SunLife RRSP]]-G962-Dailies[[#This Row],[SunLife RRSP Principal Delta]],0)</f>
        <v>0</v>
      </c>
      <c r="AE963" s="315">
        <f>Dailies[[#This Row],[CIBC RRSP Daily $]]+Dailies[[#This Row],[QT RRSP Daily $]]+Dailies[[#This Row],[SunLife RRSP Daily $]]</f>
        <v>726</v>
      </c>
      <c r="AF963" s="315">
        <f>Dailies[[#This Row],[RRSP Daily $]]+Dailies[[#This Row],[CIBC RESP Daily $]]</f>
        <v>726</v>
      </c>
      <c r="AG963" s="401">
        <f>IF(ISNUMBER(AJ962),Dailies[[#This Row],[VOO]]-AJ962,0)</f>
        <v>8.0399999999999636</v>
      </c>
      <c r="AH963" s="362">
        <f>Dailies[[#This Row],[RRSP Daily $]]/Dailies[[#This Row],[RRSP Total]]</f>
        <v>2.4067548259412369E-3</v>
      </c>
      <c r="AI963" s="363">
        <f>IF(Dailies[[#This Row],[CIBC RESP]]&gt;0,Dailies[[#This Row],[CIBC RESP Daily $]]/Dailies[[#This Row],[CIBC RESP]],0)</f>
        <v>0</v>
      </c>
      <c r="AJ963" s="315">
        <f>VLOOKUP(Dailies[[#This Row],[Date]],Quotes[],MATCH("VOO",Quotes[#Headers],EXACT_MATCH))</f>
        <v>271.08</v>
      </c>
      <c r="AK963" s="314">
        <f>Dailies[[#This Row],[VOO Daily $]]/Dailies[[#This Row],[VOO]]</f>
        <v>2.9659141212925941E-2</v>
      </c>
      <c r="AL963" s="314">
        <f>Dailies[[#This Row],[RRSP Daily %]]-Dailies[[#This Row],[VOO Daily %]]</f>
        <v>-2.7252386386984705E-2</v>
      </c>
      <c r="AM963" s="413">
        <f t="shared" si="27"/>
        <v>278.62756218905446</v>
      </c>
      <c r="AR963" s="333"/>
      <c r="AS963" s="333"/>
      <c r="AT963" s="333"/>
      <c r="AU963" s="333"/>
      <c r="AV963" s="333"/>
    </row>
    <row r="964" spans="2:48" s="330" customFormat="1" ht="28.15" customHeight="1" x14ac:dyDescent="0.25">
      <c r="B964" s="359">
        <v>43970</v>
      </c>
      <c r="C964" s="360">
        <v>0</v>
      </c>
      <c r="D964" s="360">
        <v>36877.5</v>
      </c>
      <c r="E964" s="329">
        <v>301169</v>
      </c>
      <c r="F964" s="329">
        <v>0</v>
      </c>
      <c r="G964" s="329">
        <v>11527</v>
      </c>
      <c r="H964" s="329"/>
      <c r="I964" s="329">
        <v>210</v>
      </c>
      <c r="J964" s="329"/>
      <c r="K964" s="329"/>
      <c r="L964" s="329"/>
      <c r="M964" s="329">
        <v>650000</v>
      </c>
      <c r="N964" s="329">
        <f t="shared" si="19"/>
        <v>23803</v>
      </c>
      <c r="O964" s="329">
        <f t="shared" si="18"/>
        <v>1600</v>
      </c>
      <c r="P964" s="329">
        <v>91683</v>
      </c>
      <c r="Q964" s="329">
        <v>0</v>
      </c>
      <c r="R964" s="315">
        <f>Dailies[[#This Row],[CIBC RRSP]]+Dailies[[#This Row],[QT RRSP]]+Dailies[[#This Row],[SunLife RRSP]]</f>
        <v>312696</v>
      </c>
      <c r="S964" s="401">
        <f>S963+Dailies[[#This Row],[CIBC RRSP Principal Delta]]</f>
        <v>0</v>
      </c>
      <c r="T964" s="401">
        <f>T963+Dailies[[#This Row],[CIBC RESP Principal Delta]]</f>
        <v>38120.450000000004</v>
      </c>
      <c r="U964" s="402">
        <f>U963+Dailies[[#This Row],[QT RRSP Principal Delta]]</f>
        <v>334220.87</v>
      </c>
      <c r="V964" s="401">
        <f>V963+Dailies[[#This Row],[SunLife RRSP Principal Delta]]</f>
        <v>10257.61</v>
      </c>
      <c r="W964" s="315">
        <f>Dailies[[#This Row],[CIBC RRSP Principal]]+Dailies[[#This Row],[QT RRSP Principal]]+Dailies[[#This Row],[SunLife RRSP Principal]]</f>
        <v>344478.48</v>
      </c>
      <c r="X964" s="361">
        <f>Dailies[[#This Row],[CIBC RRSP Principal]]+Dailies[[#This Row],[CIBC RESP Principal]]+Dailies[[#This Row],[QT RRSP Principal]]+Dailies[[#This Row],[SunLife RRSP Principal]]</f>
        <v>382598.93</v>
      </c>
      <c r="Y964" s="315">
        <f>Dailies[[#This Row],[CIBC RRSP]]+Dailies[[#This Row],[CIBC RESP]]+Dailies[[#This Row],[QT RRSP]]+Dailies[[#This Row],[SunLife RRSP]]</f>
        <v>349573.5</v>
      </c>
      <c r="Z964" s="313">
        <f>Dailies[[#This Row],[Portfolio Total]]+Dailies[[#This Row],[Home Equity]]+Dailies[[#This Row],[Car Equity]]+Dailies[[#This Row],[Valuables Equity]]+Dailies[[#This Row],[GSK Pension]]+Dailies[[#This Row],[Home Loan]]</f>
        <v>1116659.5</v>
      </c>
      <c r="AA964" s="402">
        <f>IF(ISNUMBER(C963),Dailies[[#This Row],[CIBC RRSP]]-C963-Dailies[[#This Row],[CIBC RRSP Principal Delta]],0)</f>
        <v>0</v>
      </c>
      <c r="AB964" s="402">
        <f>IF(ISNUMBER(D963),Dailies[[#This Row],[CIBC RESP]]-D963-Dailies[[#This Row],[CIBC RESP Principal Delta]],0)</f>
        <v>433.5</v>
      </c>
      <c r="AC964" s="402">
        <f>IF(ISNUMBER(E963),Dailies[[#This Row],[QT RRSP]]-E963-Dailies[[#This Row],[QT RRSP Principal Delta]],0)</f>
        <v>11045</v>
      </c>
      <c r="AD964" s="402">
        <f>IF(ISNUMBER(G963),Dailies[[#This Row],[SunLife RRSP]]-G963-Dailies[[#This Row],[SunLife RRSP Principal Delta]],0)</f>
        <v>0</v>
      </c>
      <c r="AE964" s="315">
        <f>Dailies[[#This Row],[CIBC RRSP Daily $]]+Dailies[[#This Row],[QT RRSP Daily $]]+Dailies[[#This Row],[SunLife RRSP Daily $]]</f>
        <v>11045</v>
      </c>
      <c r="AF964" s="315">
        <f>Dailies[[#This Row],[RRSP Daily $]]+Dailies[[#This Row],[CIBC RESP Daily $]]</f>
        <v>11478.5</v>
      </c>
      <c r="AG964" s="401">
        <f>IF(ISNUMBER(AJ963),Dailies[[#This Row],[VOO]]-AJ963,0)</f>
        <v>-2.5600000000000023</v>
      </c>
      <c r="AH964" s="362">
        <f>Dailies[[#This Row],[RRSP Daily $]]/Dailies[[#This Row],[RRSP Total]]</f>
        <v>3.5321846138102179E-2</v>
      </c>
      <c r="AI964" s="363">
        <f>IF(Dailies[[#This Row],[CIBC RESP]]&gt;0,Dailies[[#This Row],[CIBC RESP Daily $]]/Dailies[[#This Row],[CIBC RESP]],0)</f>
        <v>1.1755135245068131E-2</v>
      </c>
      <c r="AJ964" s="315">
        <f>VLOOKUP(Dailies[[#This Row],[Date]],Quotes[],MATCH("VOO",Quotes[#Headers],EXACT_MATCH))</f>
        <v>268.52</v>
      </c>
      <c r="AK964" s="314">
        <f>Dailies[[#This Row],[VOO Daily $]]/Dailies[[#This Row],[VOO]]</f>
        <v>-9.5337405035006793E-3</v>
      </c>
      <c r="AL964" s="314">
        <f>Dailies[[#This Row],[RRSP Daily %]]-Dailies[[#This Row],[VOO Daily %]]</f>
        <v>4.4855586641602857E-2</v>
      </c>
      <c r="AM964" s="413">
        <f t="shared" ref="AM964" si="28">AVERAGE(AJ748:AJ948)</f>
        <v>278.55447761194006</v>
      </c>
      <c r="AR964" s="333"/>
      <c r="AS964" s="333"/>
      <c r="AT964" s="333"/>
      <c r="AU964" s="333"/>
      <c r="AV964" s="333"/>
    </row>
    <row r="965" spans="2:48" s="330" customFormat="1" ht="28.15" customHeight="1" x14ac:dyDescent="0.25">
      <c r="B965" s="359">
        <v>43971</v>
      </c>
      <c r="C965" s="360">
        <v>0</v>
      </c>
      <c r="D965" s="360">
        <v>36877.5</v>
      </c>
      <c r="E965" s="329">
        <v>303666</v>
      </c>
      <c r="F965" s="329">
        <v>0</v>
      </c>
      <c r="G965" s="329">
        <v>11527</v>
      </c>
      <c r="H965" s="329"/>
      <c r="I965" s="329"/>
      <c r="J965" s="329"/>
      <c r="K965" s="329"/>
      <c r="L965" s="329"/>
      <c r="M965" s="329">
        <v>650000</v>
      </c>
      <c r="N965" s="329">
        <f t="shared" si="19"/>
        <v>23803</v>
      </c>
      <c r="O965" s="329">
        <f t="shared" si="18"/>
        <v>1600</v>
      </c>
      <c r="P965" s="329">
        <v>91683</v>
      </c>
      <c r="Q965" s="329">
        <v>0</v>
      </c>
      <c r="R965" s="315">
        <f>Dailies[[#This Row],[CIBC RRSP]]+Dailies[[#This Row],[QT RRSP]]+Dailies[[#This Row],[SunLife RRSP]]</f>
        <v>315193</v>
      </c>
      <c r="S965" s="401">
        <f>S964+Dailies[[#This Row],[CIBC RRSP Principal Delta]]</f>
        <v>0</v>
      </c>
      <c r="T965" s="401">
        <f>T964+Dailies[[#This Row],[CIBC RESP Principal Delta]]</f>
        <v>38120.450000000004</v>
      </c>
      <c r="U965" s="402">
        <f>U964+Dailies[[#This Row],[QT RRSP Principal Delta]]</f>
        <v>334220.87</v>
      </c>
      <c r="V965" s="401">
        <f>V964+Dailies[[#This Row],[SunLife RRSP Principal Delta]]</f>
        <v>10257.61</v>
      </c>
      <c r="W965" s="315">
        <f>Dailies[[#This Row],[CIBC RRSP Principal]]+Dailies[[#This Row],[QT RRSP Principal]]+Dailies[[#This Row],[SunLife RRSP Principal]]</f>
        <v>344478.48</v>
      </c>
      <c r="X965" s="361">
        <f>Dailies[[#This Row],[CIBC RRSP Principal]]+Dailies[[#This Row],[CIBC RESP Principal]]+Dailies[[#This Row],[QT RRSP Principal]]+Dailies[[#This Row],[SunLife RRSP Principal]]</f>
        <v>382598.93</v>
      </c>
      <c r="Y965" s="315">
        <f>Dailies[[#This Row],[CIBC RRSP]]+Dailies[[#This Row],[CIBC RESP]]+Dailies[[#This Row],[QT RRSP]]+Dailies[[#This Row],[SunLife RRSP]]</f>
        <v>352070.5</v>
      </c>
      <c r="Z965" s="313">
        <f>Dailies[[#This Row],[Portfolio Total]]+Dailies[[#This Row],[Home Equity]]+Dailies[[#This Row],[Car Equity]]+Dailies[[#This Row],[Valuables Equity]]+Dailies[[#This Row],[GSK Pension]]+Dailies[[#This Row],[Home Loan]]</f>
        <v>1119156.5</v>
      </c>
      <c r="AA965" s="402">
        <f>IF(ISNUMBER(C964),Dailies[[#This Row],[CIBC RRSP]]-C964-Dailies[[#This Row],[CIBC RRSP Principal Delta]],0)</f>
        <v>0</v>
      </c>
      <c r="AB965" s="402">
        <f>IF(ISNUMBER(D964),Dailies[[#This Row],[CIBC RESP]]-D964-Dailies[[#This Row],[CIBC RESP Principal Delta]],0)</f>
        <v>0</v>
      </c>
      <c r="AC965" s="402">
        <f>IF(ISNUMBER(E964),Dailies[[#This Row],[QT RRSP]]-E964-Dailies[[#This Row],[QT RRSP Principal Delta]],0)</f>
        <v>2497</v>
      </c>
      <c r="AD965" s="402">
        <f>IF(ISNUMBER(G964),Dailies[[#This Row],[SunLife RRSP]]-G964-Dailies[[#This Row],[SunLife RRSP Principal Delta]],0)</f>
        <v>0</v>
      </c>
      <c r="AE965" s="315">
        <f>Dailies[[#This Row],[CIBC RRSP Daily $]]+Dailies[[#This Row],[QT RRSP Daily $]]+Dailies[[#This Row],[SunLife RRSP Daily $]]</f>
        <v>2497</v>
      </c>
      <c r="AF965" s="315">
        <f>Dailies[[#This Row],[RRSP Daily $]]+Dailies[[#This Row],[CIBC RESP Daily $]]</f>
        <v>2497</v>
      </c>
      <c r="AG965" s="401">
        <f>IF(ISNUMBER(AJ964),Dailies[[#This Row],[VOO]]-AJ964,0)</f>
        <v>4.3799999999999955</v>
      </c>
      <c r="AH965" s="362">
        <f>Dailies[[#This Row],[RRSP Daily $]]/Dailies[[#This Row],[RRSP Total]]</f>
        <v>7.9221302503545438E-3</v>
      </c>
      <c r="AI965" s="363">
        <f>IF(Dailies[[#This Row],[CIBC RESP]]&gt;0,Dailies[[#This Row],[CIBC RESP Daily $]]/Dailies[[#This Row],[CIBC RESP]],0)</f>
        <v>0</v>
      </c>
      <c r="AJ965" s="315">
        <f>VLOOKUP(Dailies[[#This Row],[Date]],Quotes[],MATCH("VOO",Quotes[#Headers],EXACT_MATCH))</f>
        <v>272.89999999999998</v>
      </c>
      <c r="AK965" s="314">
        <f>Dailies[[#This Row],[VOO Daily $]]/Dailies[[#This Row],[VOO]]</f>
        <v>1.6049835104433842E-2</v>
      </c>
      <c r="AL965" s="314">
        <f>Dailies[[#This Row],[RRSP Daily %]]-Dailies[[#This Row],[VOO Daily %]]</f>
        <v>-8.1277048540792981E-3</v>
      </c>
      <c r="AM965" s="413">
        <f t="shared" ref="AM965" si="29">AVERAGE(AJ749:AJ949)</f>
        <v>278.48761194029822</v>
      </c>
      <c r="AR965" s="333"/>
      <c r="AS965" s="333"/>
      <c r="AT965" s="333"/>
      <c r="AU965" s="333"/>
      <c r="AV965" s="333"/>
    </row>
    <row r="966" spans="2:48" s="330" customFormat="1" ht="28.15" customHeight="1" x14ac:dyDescent="0.25">
      <c r="B966" s="359">
        <v>43972</v>
      </c>
      <c r="C966" s="360">
        <v>0</v>
      </c>
      <c r="D966" s="360">
        <v>36234</v>
      </c>
      <c r="E966" s="329">
        <v>307960</v>
      </c>
      <c r="F966" s="329">
        <v>0</v>
      </c>
      <c r="G966" s="329">
        <v>11527</v>
      </c>
      <c r="H966" s="329"/>
      <c r="I966" s="329"/>
      <c r="J966" s="329"/>
      <c r="K966" s="329"/>
      <c r="L966" s="329"/>
      <c r="M966" s="329">
        <v>650000</v>
      </c>
      <c r="N966" s="329">
        <f t="shared" si="19"/>
        <v>23803</v>
      </c>
      <c r="O966" s="329">
        <f t="shared" si="18"/>
        <v>1600</v>
      </c>
      <c r="P966" s="329">
        <v>91683</v>
      </c>
      <c r="Q966" s="329">
        <v>0</v>
      </c>
      <c r="R966" s="315">
        <f>Dailies[[#This Row],[CIBC RRSP]]+Dailies[[#This Row],[QT RRSP]]+Dailies[[#This Row],[SunLife RRSP]]</f>
        <v>319487</v>
      </c>
      <c r="S966" s="401">
        <f>S965+Dailies[[#This Row],[CIBC RRSP Principal Delta]]</f>
        <v>0</v>
      </c>
      <c r="T966" s="401">
        <f>T965+Dailies[[#This Row],[CIBC RESP Principal Delta]]</f>
        <v>38120.450000000004</v>
      </c>
      <c r="U966" s="402">
        <f>U965+Dailies[[#This Row],[QT RRSP Principal Delta]]</f>
        <v>334220.87</v>
      </c>
      <c r="V966" s="401">
        <f>V965+Dailies[[#This Row],[SunLife RRSP Principal Delta]]</f>
        <v>10257.61</v>
      </c>
      <c r="W966" s="315">
        <f>Dailies[[#This Row],[CIBC RRSP Principal]]+Dailies[[#This Row],[QT RRSP Principal]]+Dailies[[#This Row],[SunLife RRSP Principal]]</f>
        <v>344478.48</v>
      </c>
      <c r="X966" s="361">
        <f>Dailies[[#This Row],[CIBC RRSP Principal]]+Dailies[[#This Row],[CIBC RESP Principal]]+Dailies[[#This Row],[QT RRSP Principal]]+Dailies[[#This Row],[SunLife RRSP Principal]]</f>
        <v>382598.93</v>
      </c>
      <c r="Y966" s="315">
        <f>Dailies[[#This Row],[CIBC RRSP]]+Dailies[[#This Row],[CIBC RESP]]+Dailies[[#This Row],[QT RRSP]]+Dailies[[#This Row],[SunLife RRSP]]</f>
        <v>355721</v>
      </c>
      <c r="Z966" s="313">
        <f>Dailies[[#This Row],[Portfolio Total]]+Dailies[[#This Row],[Home Equity]]+Dailies[[#This Row],[Car Equity]]+Dailies[[#This Row],[Valuables Equity]]+Dailies[[#This Row],[GSK Pension]]+Dailies[[#This Row],[Home Loan]]</f>
        <v>1122807</v>
      </c>
      <c r="AA966" s="402">
        <f>IF(ISNUMBER(C965),Dailies[[#This Row],[CIBC RRSP]]-C965-Dailies[[#This Row],[CIBC RRSP Principal Delta]],0)</f>
        <v>0</v>
      </c>
      <c r="AB966" s="402">
        <f>IF(ISNUMBER(D965),Dailies[[#This Row],[CIBC RESP]]-D965-Dailies[[#This Row],[CIBC RESP Principal Delta]],0)</f>
        <v>-643.5</v>
      </c>
      <c r="AC966" s="402">
        <f>IF(ISNUMBER(E965),Dailies[[#This Row],[QT RRSP]]-E965-Dailies[[#This Row],[QT RRSP Principal Delta]],0)</f>
        <v>4294</v>
      </c>
      <c r="AD966" s="402">
        <f>IF(ISNUMBER(G965),Dailies[[#This Row],[SunLife RRSP]]-G965-Dailies[[#This Row],[SunLife RRSP Principal Delta]],0)</f>
        <v>0</v>
      </c>
      <c r="AE966" s="315">
        <f>Dailies[[#This Row],[CIBC RRSP Daily $]]+Dailies[[#This Row],[QT RRSP Daily $]]+Dailies[[#This Row],[SunLife RRSP Daily $]]</f>
        <v>4294</v>
      </c>
      <c r="AF966" s="315">
        <f>Dailies[[#This Row],[RRSP Daily $]]+Dailies[[#This Row],[CIBC RESP Daily $]]</f>
        <v>3650.5</v>
      </c>
      <c r="AG966" s="401">
        <f>IF(ISNUMBER(AJ965),Dailies[[#This Row],[VOO]]-AJ965,0)</f>
        <v>-1.9599999999999795</v>
      </c>
      <c r="AH966" s="362">
        <f>Dailies[[#This Row],[RRSP Daily $]]/Dailies[[#This Row],[RRSP Total]]</f>
        <v>1.3440296475286944E-2</v>
      </c>
      <c r="AI966" s="363">
        <f>IF(Dailies[[#This Row],[CIBC RESP]]&gt;0,Dailies[[#This Row],[CIBC RESP Daily $]]/Dailies[[#This Row],[CIBC RESP]],0)</f>
        <v>-1.7759562841530054E-2</v>
      </c>
      <c r="AJ966" s="315">
        <f>VLOOKUP(Dailies[[#This Row],[Date]],Quotes[],MATCH("VOO",Quotes[#Headers],EXACT_MATCH))</f>
        <v>270.94</v>
      </c>
      <c r="AK966" s="314">
        <f>Dailies[[#This Row],[VOO Daily $]]/Dailies[[#This Row],[VOO]]</f>
        <v>-7.2340739647153594E-3</v>
      </c>
      <c r="AL966" s="314">
        <f>Dailies[[#This Row],[RRSP Daily %]]-Dailies[[#This Row],[VOO Daily %]]</f>
        <v>2.0674370440002303E-2</v>
      </c>
      <c r="AM966" s="413">
        <f t="shared" ref="AM966" si="30">AVERAGE(AJ750:AJ950)</f>
        <v>278.42900497512409</v>
      </c>
      <c r="AR966" s="333"/>
      <c r="AS966" s="333"/>
      <c r="AT966" s="333"/>
      <c r="AU966" s="333"/>
      <c r="AV966" s="333"/>
    </row>
    <row r="967" spans="2:48" s="330" customFormat="1" ht="28.15" customHeight="1" x14ac:dyDescent="0.25">
      <c r="B967" s="359">
        <v>43973</v>
      </c>
      <c r="C967" s="360">
        <v>0</v>
      </c>
      <c r="D967" s="360">
        <v>36234</v>
      </c>
      <c r="E967" s="329">
        <v>339099.35</v>
      </c>
      <c r="F967" s="329">
        <v>47024.94</v>
      </c>
      <c r="G967" s="329">
        <v>11527</v>
      </c>
      <c r="H967" s="329">
        <v>24000</v>
      </c>
      <c r="I967" s="329"/>
      <c r="J967" s="329"/>
      <c r="K967" s="329">
        <v>47000</v>
      </c>
      <c r="L967" s="329"/>
      <c r="M967" s="329">
        <v>650000</v>
      </c>
      <c r="N967" s="329">
        <f t="shared" si="19"/>
        <v>23803</v>
      </c>
      <c r="O967" s="329">
        <f t="shared" si="18"/>
        <v>1600</v>
      </c>
      <c r="P967" s="329">
        <v>91683</v>
      </c>
      <c r="Q967" s="329">
        <v>-71000</v>
      </c>
      <c r="R967" s="315">
        <f>Dailies[[#This Row],[CIBC RRSP]]+Dailies[[#This Row],[QT RRSP]]+Dailies[[#This Row],[SunLife RRSP]]</f>
        <v>350626.35</v>
      </c>
      <c r="S967" s="401">
        <f>S966+Dailies[[#This Row],[CIBC RRSP Principal Delta]]</f>
        <v>24000</v>
      </c>
      <c r="T967" s="401">
        <f>T966+Dailies[[#This Row],[CIBC RESP Principal Delta]]</f>
        <v>38120.450000000004</v>
      </c>
      <c r="U967" s="402">
        <f>U966+Dailies[[#This Row],[QT RRSP Principal Delta]]</f>
        <v>334220.87</v>
      </c>
      <c r="V967" s="401">
        <f>V966+Dailies[[#This Row],[SunLife RRSP Principal Delta]]</f>
        <v>10257.61</v>
      </c>
      <c r="W967" s="315">
        <f>Dailies[[#This Row],[CIBC RRSP Principal]]+Dailies[[#This Row],[QT RRSP Principal]]+Dailies[[#This Row],[SunLife RRSP Principal]]</f>
        <v>368478.48</v>
      </c>
      <c r="X967" s="361">
        <f>Dailies[[#This Row],[CIBC RRSP Principal]]+Dailies[[#This Row],[CIBC RESP Principal]]+Dailies[[#This Row],[QT RRSP Principal]]+Dailies[[#This Row],[SunLife RRSP Principal]]</f>
        <v>406598.93</v>
      </c>
      <c r="Y967" s="315">
        <f>Dailies[[#This Row],[CIBC RRSP]]+Dailies[[#This Row],[CIBC RESP]]+Dailies[[#This Row],[QT RRSP]]+Dailies[[#This Row],[SunLife RRSP]]</f>
        <v>386860.35</v>
      </c>
      <c r="Z967" s="313">
        <f>Dailies[[#This Row],[Portfolio Total]]+Dailies[[#This Row],[Home Equity]]+Dailies[[#This Row],[Car Equity]]+Dailies[[#This Row],[Valuables Equity]]+Dailies[[#This Row],[GSK Pension]]+Dailies[[#This Row],[Home Loan]]</f>
        <v>1082946.3500000001</v>
      </c>
      <c r="AA967" s="402">
        <f>IF(ISNUMBER(C966),Dailies[[#This Row],[CIBC RRSP]]-C966-Dailies[[#This Row],[CIBC RRSP Principal Delta]],0)</f>
        <v>-24000</v>
      </c>
      <c r="AB967" s="402">
        <f>IF(ISNUMBER(D966),Dailies[[#This Row],[CIBC RESP]]-D966-Dailies[[#This Row],[CIBC RESP Principal Delta]],0)</f>
        <v>0</v>
      </c>
      <c r="AC967" s="402">
        <f>IF(ISNUMBER(E966),Dailies[[#This Row],[QT RRSP]]-E966-Dailies[[#This Row],[QT RRSP Principal Delta]],0)</f>
        <v>31139.349999999977</v>
      </c>
      <c r="AD967" s="402">
        <f>IF(ISNUMBER(G966),Dailies[[#This Row],[SunLife RRSP]]-G966-Dailies[[#This Row],[SunLife RRSP Principal Delta]],0)</f>
        <v>0</v>
      </c>
      <c r="AE967" s="315">
        <f>Dailies[[#This Row],[CIBC RRSP Daily $]]+Dailies[[#This Row],[QT RRSP Daily $]]+Dailies[[#This Row],[SunLife RRSP Daily $]]</f>
        <v>7139.3499999999767</v>
      </c>
      <c r="AF967" s="315">
        <f>Dailies[[#This Row],[RRSP Daily $]]+Dailies[[#This Row],[CIBC RESP Daily $]]</f>
        <v>7139.3499999999767</v>
      </c>
      <c r="AG967" s="401">
        <f>IF(ISNUMBER(AJ966),Dailies[[#This Row],[VOO]]-AJ966,0)</f>
        <v>0</v>
      </c>
      <c r="AH967" s="362">
        <f>Dailies[[#This Row],[RRSP Daily $]]/Dailies[[#This Row],[RRSP Total]]</f>
        <v>2.0361704133189013E-2</v>
      </c>
      <c r="AI967" s="363">
        <f>IF(Dailies[[#This Row],[CIBC RESP]]&gt;0,Dailies[[#This Row],[CIBC RESP Daily $]]/Dailies[[#This Row],[CIBC RESP]],0)</f>
        <v>0</v>
      </c>
      <c r="AJ967" s="315">
        <f>VLOOKUP(Dailies[[#This Row],[Date]],Quotes[],MATCH("VOO",Quotes[#Headers],EXACT_MATCH))</f>
        <v>270.94</v>
      </c>
      <c r="AK967" s="314">
        <f>Dailies[[#This Row],[VOO Daily $]]/Dailies[[#This Row],[VOO]]</f>
        <v>0</v>
      </c>
      <c r="AL967" s="314">
        <f>Dailies[[#This Row],[RRSP Daily %]]-Dailies[[#This Row],[VOO Daily %]]</f>
        <v>2.0361704133189013E-2</v>
      </c>
      <c r="AM967" s="413">
        <f t="shared" ref="AM967" si="31">AVERAGE(AJ751:AJ951)</f>
        <v>278.36721393034793</v>
      </c>
      <c r="AR967" s="333"/>
      <c r="AS967" s="333"/>
      <c r="AT967" s="333"/>
      <c r="AU967" s="333"/>
      <c r="AV967" s="333"/>
    </row>
    <row r="968" spans="2:48" s="330" customFormat="1" ht="28.15" customHeight="1" x14ac:dyDescent="0.25">
      <c r="B968" s="359">
        <v>43974</v>
      </c>
      <c r="C968" s="360">
        <v>0</v>
      </c>
      <c r="D968" s="360">
        <v>36234</v>
      </c>
      <c r="E968" s="329">
        <v>339099.35</v>
      </c>
      <c r="F968" s="329">
        <v>47024.94</v>
      </c>
      <c r="G968" s="329">
        <v>11527</v>
      </c>
      <c r="H968" s="329"/>
      <c r="I968" s="329"/>
      <c r="J968" s="329"/>
      <c r="K968" s="329"/>
      <c r="L968" s="329"/>
      <c r="M968" s="329">
        <v>650000</v>
      </c>
      <c r="N968" s="329">
        <f t="shared" si="19"/>
        <v>23803</v>
      </c>
      <c r="O968" s="329">
        <f t="shared" si="18"/>
        <v>1600</v>
      </c>
      <c r="P968" s="329">
        <v>91683</v>
      </c>
      <c r="Q968" s="329">
        <v>0</v>
      </c>
      <c r="R968" s="315">
        <f>Dailies[[#This Row],[CIBC RRSP]]+Dailies[[#This Row],[QT RRSP]]+Dailies[[#This Row],[SunLife RRSP]]</f>
        <v>350626.35</v>
      </c>
      <c r="S968" s="401">
        <f>S967+Dailies[[#This Row],[CIBC RRSP Principal Delta]]</f>
        <v>24000</v>
      </c>
      <c r="T968" s="401">
        <f>T967+Dailies[[#This Row],[CIBC RESP Principal Delta]]</f>
        <v>38120.450000000004</v>
      </c>
      <c r="U968" s="402">
        <f>U967+Dailies[[#This Row],[QT RRSP Principal Delta]]</f>
        <v>334220.87</v>
      </c>
      <c r="V968" s="401">
        <f>V967+Dailies[[#This Row],[SunLife RRSP Principal Delta]]</f>
        <v>10257.61</v>
      </c>
      <c r="W968" s="315">
        <f>Dailies[[#This Row],[CIBC RRSP Principal]]+Dailies[[#This Row],[QT RRSP Principal]]+Dailies[[#This Row],[SunLife RRSP Principal]]</f>
        <v>368478.48</v>
      </c>
      <c r="X968" s="361">
        <f>Dailies[[#This Row],[CIBC RRSP Principal]]+Dailies[[#This Row],[CIBC RESP Principal]]+Dailies[[#This Row],[QT RRSP Principal]]+Dailies[[#This Row],[SunLife RRSP Principal]]</f>
        <v>406598.93</v>
      </c>
      <c r="Y968" s="315">
        <f>Dailies[[#This Row],[CIBC RRSP]]+Dailies[[#This Row],[CIBC RESP]]+Dailies[[#This Row],[QT RRSP]]+Dailies[[#This Row],[SunLife RRSP]]</f>
        <v>386860.35</v>
      </c>
      <c r="Z968" s="313">
        <f>Dailies[[#This Row],[Portfolio Total]]+Dailies[[#This Row],[Home Equity]]+Dailies[[#This Row],[Car Equity]]+Dailies[[#This Row],[Valuables Equity]]+Dailies[[#This Row],[GSK Pension]]+Dailies[[#This Row],[Home Loan]]</f>
        <v>1153946.3500000001</v>
      </c>
      <c r="AA968" s="402">
        <f>IF(ISNUMBER(C967),Dailies[[#This Row],[CIBC RRSP]]-C967-Dailies[[#This Row],[CIBC RRSP Principal Delta]],0)</f>
        <v>0</v>
      </c>
      <c r="AB968" s="402">
        <f>IF(ISNUMBER(D967),Dailies[[#This Row],[CIBC RESP]]-D967-Dailies[[#This Row],[CIBC RESP Principal Delta]],0)</f>
        <v>0</v>
      </c>
      <c r="AC968" s="402">
        <f>IF(ISNUMBER(E967),Dailies[[#This Row],[QT RRSP]]-E967-Dailies[[#This Row],[QT RRSP Principal Delta]],0)</f>
        <v>0</v>
      </c>
      <c r="AD968" s="402">
        <f>IF(ISNUMBER(G967),Dailies[[#This Row],[SunLife RRSP]]-G967-Dailies[[#This Row],[SunLife RRSP Principal Delta]],0)</f>
        <v>0</v>
      </c>
      <c r="AE968" s="315">
        <f>Dailies[[#This Row],[CIBC RRSP Daily $]]+Dailies[[#This Row],[QT RRSP Daily $]]+Dailies[[#This Row],[SunLife RRSP Daily $]]</f>
        <v>0</v>
      </c>
      <c r="AF968" s="315">
        <f>Dailies[[#This Row],[RRSP Daily $]]+Dailies[[#This Row],[CIBC RESP Daily $]]</f>
        <v>0</v>
      </c>
      <c r="AG968" s="401">
        <f>IF(ISNUMBER(AJ967),Dailies[[#This Row],[VOO]]-AJ967,0)</f>
        <v>0</v>
      </c>
      <c r="AH968" s="362">
        <f>Dailies[[#This Row],[RRSP Daily $]]/Dailies[[#This Row],[RRSP Total]]</f>
        <v>0</v>
      </c>
      <c r="AI968" s="363">
        <f>IF(Dailies[[#This Row],[CIBC RESP]]&gt;0,Dailies[[#This Row],[CIBC RESP Daily $]]/Dailies[[#This Row],[CIBC RESP]],0)</f>
        <v>0</v>
      </c>
      <c r="AJ968" s="315">
        <f>VLOOKUP(Dailies[[#This Row],[Date]],Quotes[],MATCH("VOO",Quotes[#Headers],EXACT_MATCH))</f>
        <v>270.94</v>
      </c>
      <c r="AK968" s="314">
        <f>Dailies[[#This Row],[VOO Daily $]]/Dailies[[#This Row],[VOO]]</f>
        <v>0</v>
      </c>
      <c r="AL968" s="314">
        <f>Dailies[[#This Row],[RRSP Daily %]]-Dailies[[#This Row],[VOO Daily %]]</f>
        <v>0</v>
      </c>
      <c r="AM968" s="413">
        <f t="shared" ref="AM968:AM973" si="32">AVERAGE(AJ752:AJ952)</f>
        <v>278.32079601990023</v>
      </c>
      <c r="AR968" s="333"/>
      <c r="AS968" s="333"/>
      <c r="AT968" s="333"/>
      <c r="AU968" s="333"/>
      <c r="AV968" s="333"/>
    </row>
    <row r="969" spans="2:48" s="330" customFormat="1" ht="28.15" customHeight="1" x14ac:dyDescent="0.25">
      <c r="B969" s="359">
        <v>43975</v>
      </c>
      <c r="C969" s="360">
        <v>0</v>
      </c>
      <c r="D969" s="360">
        <v>36234</v>
      </c>
      <c r="E969" s="329">
        <v>339099.35</v>
      </c>
      <c r="F969" s="329">
        <v>47024.94</v>
      </c>
      <c r="G969" s="329">
        <v>11527</v>
      </c>
      <c r="H969" s="329"/>
      <c r="I969" s="329"/>
      <c r="J969" s="329"/>
      <c r="K969" s="329"/>
      <c r="L969" s="329"/>
      <c r="M969" s="329">
        <v>650000</v>
      </c>
      <c r="N969" s="329">
        <f t="shared" si="19"/>
        <v>23803</v>
      </c>
      <c r="O969" s="329">
        <f t="shared" si="18"/>
        <v>1600</v>
      </c>
      <c r="P969" s="329">
        <v>91683</v>
      </c>
      <c r="Q969" s="329">
        <v>0</v>
      </c>
      <c r="R969" s="315">
        <f>Dailies[[#This Row],[CIBC RRSP]]+Dailies[[#This Row],[QT RRSP]]+Dailies[[#This Row],[SunLife RRSP]]</f>
        <v>350626.35</v>
      </c>
      <c r="S969" s="401">
        <f>S968+Dailies[[#This Row],[CIBC RRSP Principal Delta]]</f>
        <v>24000</v>
      </c>
      <c r="T969" s="401">
        <f>T968+Dailies[[#This Row],[CIBC RESP Principal Delta]]</f>
        <v>38120.450000000004</v>
      </c>
      <c r="U969" s="402">
        <f>U968+Dailies[[#This Row],[QT RRSP Principal Delta]]</f>
        <v>334220.87</v>
      </c>
      <c r="V969" s="401">
        <f>V968+Dailies[[#This Row],[SunLife RRSP Principal Delta]]</f>
        <v>10257.61</v>
      </c>
      <c r="W969" s="315">
        <f>Dailies[[#This Row],[CIBC RRSP Principal]]+Dailies[[#This Row],[QT RRSP Principal]]+Dailies[[#This Row],[SunLife RRSP Principal]]</f>
        <v>368478.48</v>
      </c>
      <c r="X969" s="361">
        <f>Dailies[[#This Row],[CIBC RRSP Principal]]+Dailies[[#This Row],[CIBC RESP Principal]]+Dailies[[#This Row],[QT RRSP Principal]]+Dailies[[#This Row],[SunLife RRSP Principal]]</f>
        <v>406598.93</v>
      </c>
      <c r="Y969" s="315">
        <f>Dailies[[#This Row],[CIBC RRSP]]+Dailies[[#This Row],[CIBC RESP]]+Dailies[[#This Row],[QT RRSP]]+Dailies[[#This Row],[SunLife RRSP]]</f>
        <v>386860.35</v>
      </c>
      <c r="Z969" s="313">
        <f>Dailies[[#This Row],[Portfolio Total]]+Dailies[[#This Row],[Home Equity]]+Dailies[[#This Row],[Car Equity]]+Dailies[[#This Row],[Valuables Equity]]+Dailies[[#This Row],[GSK Pension]]+Dailies[[#This Row],[Home Loan]]</f>
        <v>1153946.3500000001</v>
      </c>
      <c r="AA969" s="402">
        <f>IF(ISNUMBER(C968),Dailies[[#This Row],[CIBC RRSP]]-C968-Dailies[[#This Row],[CIBC RRSP Principal Delta]],0)</f>
        <v>0</v>
      </c>
      <c r="AB969" s="402">
        <f>IF(ISNUMBER(D968),Dailies[[#This Row],[CIBC RESP]]-D968-Dailies[[#This Row],[CIBC RESP Principal Delta]],0)</f>
        <v>0</v>
      </c>
      <c r="AC969" s="402">
        <f>IF(ISNUMBER(E968),Dailies[[#This Row],[QT RRSP]]-E968-Dailies[[#This Row],[QT RRSP Principal Delta]],0)</f>
        <v>0</v>
      </c>
      <c r="AD969" s="402">
        <f>IF(ISNUMBER(G968),Dailies[[#This Row],[SunLife RRSP]]-G968-Dailies[[#This Row],[SunLife RRSP Principal Delta]],0)</f>
        <v>0</v>
      </c>
      <c r="AE969" s="315">
        <f>Dailies[[#This Row],[CIBC RRSP Daily $]]+Dailies[[#This Row],[QT RRSP Daily $]]+Dailies[[#This Row],[SunLife RRSP Daily $]]</f>
        <v>0</v>
      </c>
      <c r="AF969" s="315">
        <f>Dailies[[#This Row],[RRSP Daily $]]+Dailies[[#This Row],[CIBC RESP Daily $]]</f>
        <v>0</v>
      </c>
      <c r="AG969" s="401">
        <f>IF(ISNUMBER(AJ968),Dailies[[#This Row],[VOO]]-AJ968,0)</f>
        <v>0</v>
      </c>
      <c r="AH969" s="362">
        <f>Dailies[[#This Row],[RRSP Daily $]]/Dailies[[#This Row],[RRSP Total]]</f>
        <v>0</v>
      </c>
      <c r="AI969" s="363">
        <f>IF(Dailies[[#This Row],[CIBC RESP]]&gt;0,Dailies[[#This Row],[CIBC RESP Daily $]]/Dailies[[#This Row],[CIBC RESP]],0)</f>
        <v>0</v>
      </c>
      <c r="AJ969" s="315">
        <f>VLOOKUP(Dailies[[#This Row],[Date]],Quotes[],MATCH("VOO",Quotes[#Headers],EXACT_MATCH))</f>
        <v>270.94</v>
      </c>
      <c r="AK969" s="314">
        <f>Dailies[[#This Row],[VOO Daily $]]/Dailies[[#This Row],[VOO]]</f>
        <v>0</v>
      </c>
      <c r="AL969" s="314">
        <f>Dailies[[#This Row],[RRSP Daily %]]-Dailies[[#This Row],[VOO Daily %]]</f>
        <v>0</v>
      </c>
      <c r="AM969" s="413">
        <f t="shared" si="32"/>
        <v>278.29636815920367</v>
      </c>
      <c r="AR969" s="333"/>
      <c r="AS969" s="333"/>
      <c r="AT969" s="333"/>
      <c r="AU969" s="333"/>
      <c r="AV969" s="333"/>
    </row>
    <row r="970" spans="2:48" s="330" customFormat="1" ht="28.15" customHeight="1" x14ac:dyDescent="0.25">
      <c r="B970" s="359">
        <v>43976</v>
      </c>
      <c r="C970" s="360">
        <v>0</v>
      </c>
      <c r="D970" s="360">
        <f>288.75+36143.25</f>
        <v>36432</v>
      </c>
      <c r="E970" s="329">
        <v>338692.18</v>
      </c>
      <c r="F970" s="329">
        <v>47768.33</v>
      </c>
      <c r="G970" s="329">
        <v>11527</v>
      </c>
      <c r="H970" s="329"/>
      <c r="I970" s="329"/>
      <c r="J970" s="329"/>
      <c r="K970" s="329"/>
      <c r="L970" s="329"/>
      <c r="M970" s="329">
        <v>650000</v>
      </c>
      <c r="N970" s="329">
        <f t="shared" si="19"/>
        <v>23803</v>
      </c>
      <c r="O970" s="329">
        <f t="shared" si="18"/>
        <v>1600</v>
      </c>
      <c r="P970" s="329">
        <v>91683</v>
      </c>
      <c r="Q970" s="329">
        <v>0</v>
      </c>
      <c r="R970" s="315">
        <f>Dailies[[#This Row],[CIBC RRSP]]+Dailies[[#This Row],[QT RRSP]]+Dailies[[#This Row],[SunLife RRSP]]</f>
        <v>350219.18</v>
      </c>
      <c r="S970" s="401">
        <f>S969+Dailies[[#This Row],[CIBC RRSP Principal Delta]]</f>
        <v>24000</v>
      </c>
      <c r="T970" s="401">
        <f>T969+Dailies[[#This Row],[CIBC RESP Principal Delta]]</f>
        <v>38120.450000000004</v>
      </c>
      <c r="U970" s="402">
        <f>U969+Dailies[[#This Row],[QT RRSP Principal Delta]]</f>
        <v>334220.87</v>
      </c>
      <c r="V970" s="401">
        <f>V969+Dailies[[#This Row],[SunLife RRSP Principal Delta]]</f>
        <v>10257.61</v>
      </c>
      <c r="W970" s="315">
        <f>Dailies[[#This Row],[CIBC RRSP Principal]]+Dailies[[#This Row],[QT RRSP Principal]]+Dailies[[#This Row],[SunLife RRSP Principal]]</f>
        <v>368478.48</v>
      </c>
      <c r="X970" s="361">
        <f>Dailies[[#This Row],[CIBC RRSP Principal]]+Dailies[[#This Row],[CIBC RESP Principal]]+Dailies[[#This Row],[QT RRSP Principal]]+Dailies[[#This Row],[SunLife RRSP Principal]]</f>
        <v>406598.93</v>
      </c>
      <c r="Y970" s="315">
        <f>Dailies[[#This Row],[CIBC RRSP]]+Dailies[[#This Row],[CIBC RESP]]+Dailies[[#This Row],[QT RRSP]]+Dailies[[#This Row],[SunLife RRSP]]</f>
        <v>386651.18</v>
      </c>
      <c r="Z970" s="313">
        <f>Dailies[[#This Row],[Portfolio Total]]+Dailies[[#This Row],[Home Equity]]+Dailies[[#This Row],[Car Equity]]+Dailies[[#This Row],[Valuables Equity]]+Dailies[[#This Row],[GSK Pension]]+Dailies[[#This Row],[Home Loan]]</f>
        <v>1153737.18</v>
      </c>
      <c r="AA970" s="402">
        <f>IF(ISNUMBER(C969),Dailies[[#This Row],[CIBC RRSP]]-C969-Dailies[[#This Row],[CIBC RRSP Principal Delta]],0)</f>
        <v>0</v>
      </c>
      <c r="AB970" s="402">
        <f>IF(ISNUMBER(D969),Dailies[[#This Row],[CIBC RESP]]-D969-Dailies[[#This Row],[CIBC RESP Principal Delta]],0)</f>
        <v>198</v>
      </c>
      <c r="AC970" s="402">
        <f>IF(ISNUMBER(E969),Dailies[[#This Row],[QT RRSP]]-E969-Dailies[[#This Row],[QT RRSP Principal Delta]],0)</f>
        <v>-407.1699999999837</v>
      </c>
      <c r="AD970" s="402">
        <f>IF(ISNUMBER(G969),Dailies[[#This Row],[SunLife RRSP]]-G969-Dailies[[#This Row],[SunLife RRSP Principal Delta]],0)</f>
        <v>0</v>
      </c>
      <c r="AE970" s="315">
        <f>Dailies[[#This Row],[CIBC RRSP Daily $]]+Dailies[[#This Row],[QT RRSP Daily $]]+Dailies[[#This Row],[SunLife RRSP Daily $]]</f>
        <v>-407.1699999999837</v>
      </c>
      <c r="AF970" s="315">
        <f>Dailies[[#This Row],[RRSP Daily $]]+Dailies[[#This Row],[CIBC RESP Daily $]]</f>
        <v>-209.1699999999837</v>
      </c>
      <c r="AG970" s="401">
        <f>IF(ISNUMBER(AJ969),Dailies[[#This Row],[VOO]]-AJ969,0)</f>
        <v>0</v>
      </c>
      <c r="AH970" s="362">
        <f>Dailies[[#This Row],[RRSP Daily $]]/Dailies[[#This Row],[RRSP Total]]</f>
        <v>-1.1626147945409035E-3</v>
      </c>
      <c r="AI970" s="363">
        <f>IF(Dailies[[#This Row],[CIBC RESP]]&gt;0,Dailies[[#This Row],[CIBC RESP Daily $]]/Dailies[[#This Row],[CIBC RESP]],0)</f>
        <v>5.434782608695652E-3</v>
      </c>
      <c r="AJ970" s="315">
        <f>VLOOKUP(Dailies[[#This Row],[Date]],Quotes[],MATCH("VOO",Quotes[#Headers],EXACT_MATCH))</f>
        <v>270.94</v>
      </c>
      <c r="AK970" s="314">
        <f>Dailies[[#This Row],[VOO Daily $]]/Dailies[[#This Row],[VOO]]</f>
        <v>0</v>
      </c>
      <c r="AL970" s="314">
        <f>Dailies[[#This Row],[RRSP Daily %]]-Dailies[[#This Row],[VOO Daily %]]</f>
        <v>-1.1626147945409035E-3</v>
      </c>
      <c r="AM970" s="413">
        <f t="shared" si="32"/>
        <v>278.26243781094496</v>
      </c>
      <c r="AR970" s="333"/>
      <c r="AS970" s="333"/>
      <c r="AT970" s="333"/>
      <c r="AU970" s="333"/>
      <c r="AV970" s="333"/>
    </row>
    <row r="971" spans="2:48" s="330" customFormat="1" ht="28.15" customHeight="1" x14ac:dyDescent="0.25">
      <c r="B971" s="359">
        <v>43977</v>
      </c>
      <c r="C971" s="360">
        <v>0</v>
      </c>
      <c r="D971" s="360">
        <v>36143.25</v>
      </c>
      <c r="E971" s="329">
        <v>317560.74</v>
      </c>
      <c r="F971" s="328">
        <v>47796.56</v>
      </c>
      <c r="G971" s="329">
        <v>11527</v>
      </c>
      <c r="H971" s="329"/>
      <c r="I971" s="329"/>
      <c r="J971" s="329"/>
      <c r="K971" s="329"/>
      <c r="L971" s="329"/>
      <c r="M971" s="329">
        <v>650000</v>
      </c>
      <c r="N971" s="329">
        <f t="shared" si="19"/>
        <v>23803</v>
      </c>
      <c r="O971" s="329">
        <f t="shared" si="18"/>
        <v>1600</v>
      </c>
      <c r="P971" s="329">
        <v>91683</v>
      </c>
      <c r="Q971" s="329">
        <v>0</v>
      </c>
      <c r="R971" s="315">
        <f>Dailies[[#This Row],[CIBC RRSP]]+Dailies[[#This Row],[QT RRSP]]+Dailies[[#This Row],[SunLife RRSP]]</f>
        <v>329087.74</v>
      </c>
      <c r="S971" s="401">
        <f>S970+Dailies[[#This Row],[CIBC RRSP Principal Delta]]</f>
        <v>24000</v>
      </c>
      <c r="T971" s="401">
        <f>T970+Dailies[[#This Row],[CIBC RESP Principal Delta]]</f>
        <v>38120.450000000004</v>
      </c>
      <c r="U971" s="402">
        <f>U970+Dailies[[#This Row],[QT RRSP Principal Delta]]</f>
        <v>334220.87</v>
      </c>
      <c r="V971" s="401">
        <f>V970+Dailies[[#This Row],[SunLife RRSP Principal Delta]]</f>
        <v>10257.61</v>
      </c>
      <c r="W971" s="315">
        <f>Dailies[[#This Row],[CIBC RRSP Principal]]+Dailies[[#This Row],[QT RRSP Principal]]+Dailies[[#This Row],[SunLife RRSP Principal]]</f>
        <v>368478.48</v>
      </c>
      <c r="X971" s="361">
        <f>Dailies[[#This Row],[CIBC RRSP Principal]]+Dailies[[#This Row],[CIBC RESP Principal]]+Dailies[[#This Row],[QT RRSP Principal]]+Dailies[[#This Row],[SunLife RRSP Principal]]</f>
        <v>406598.93</v>
      </c>
      <c r="Y971" s="315">
        <f>Dailies[[#This Row],[CIBC RRSP]]+Dailies[[#This Row],[CIBC RESP]]+Dailies[[#This Row],[QT RRSP]]+Dailies[[#This Row],[SunLife RRSP]]</f>
        <v>365230.99</v>
      </c>
      <c r="Z971" s="313">
        <f>Dailies[[#This Row],[Portfolio Total]]+Dailies[[#This Row],[Home Equity]]+Dailies[[#This Row],[Car Equity]]+Dailies[[#This Row],[Valuables Equity]]+Dailies[[#This Row],[GSK Pension]]+Dailies[[#This Row],[Home Loan]]</f>
        <v>1132316.99</v>
      </c>
      <c r="AA971" s="402">
        <f>IF(ISNUMBER(C970),Dailies[[#This Row],[CIBC RRSP]]-C970-Dailies[[#This Row],[CIBC RRSP Principal Delta]],0)</f>
        <v>0</v>
      </c>
      <c r="AB971" s="402">
        <f>IF(ISNUMBER(D970),Dailies[[#This Row],[CIBC RESP]]-D970-Dailies[[#This Row],[CIBC RESP Principal Delta]],0)</f>
        <v>-288.75</v>
      </c>
      <c r="AC971" s="402">
        <f>IF(ISNUMBER(E970),Dailies[[#This Row],[QT RRSP]]-E970-Dailies[[#This Row],[QT RRSP Principal Delta]],0)</f>
        <v>-21131.440000000002</v>
      </c>
      <c r="AD971" s="402">
        <f>IF(ISNUMBER(G970),Dailies[[#This Row],[SunLife RRSP]]-G970-Dailies[[#This Row],[SunLife RRSP Principal Delta]],0)</f>
        <v>0</v>
      </c>
      <c r="AE971" s="315">
        <f>Dailies[[#This Row],[CIBC RRSP Daily $]]+Dailies[[#This Row],[QT RRSP Daily $]]+Dailies[[#This Row],[SunLife RRSP Daily $]]</f>
        <v>-21131.440000000002</v>
      </c>
      <c r="AF971" s="315">
        <f>Dailies[[#This Row],[RRSP Daily $]]+Dailies[[#This Row],[CIBC RESP Daily $]]</f>
        <v>-21420.190000000002</v>
      </c>
      <c r="AG971" s="401">
        <f>IF(ISNUMBER(AJ970),Dailies[[#This Row],[VOO]]-AJ970,0)</f>
        <v>0</v>
      </c>
      <c r="AH971" s="362">
        <f>Dailies[[#This Row],[RRSP Daily $]]/Dailies[[#This Row],[RRSP Total]]</f>
        <v>-6.4212176363665219E-2</v>
      </c>
      <c r="AI971" s="363">
        <f>IF(Dailies[[#This Row],[CIBC RESP]]&gt;0,Dailies[[#This Row],[CIBC RESP Daily $]]/Dailies[[#This Row],[CIBC RESP]],0)</f>
        <v>-7.9890435973522019E-3</v>
      </c>
      <c r="AJ971" s="315">
        <f>VLOOKUP(Dailies[[#This Row],[Date]],Quotes[],MATCH("VOO",Quotes[#Headers],EXACT_MATCH))</f>
        <v>270.94</v>
      </c>
      <c r="AK971" s="314">
        <f>Dailies[[#This Row],[VOO Daily $]]/Dailies[[#This Row],[VOO]]</f>
        <v>0</v>
      </c>
      <c r="AL971" s="314">
        <f>Dailies[[#This Row],[RRSP Daily %]]-Dailies[[#This Row],[VOO Daily %]]</f>
        <v>-6.4212176363665219E-2</v>
      </c>
      <c r="AM971" s="413">
        <f t="shared" si="32"/>
        <v>278.23333333333306</v>
      </c>
      <c r="AR971" s="333"/>
      <c r="AS971" s="333"/>
      <c r="AT971" s="333"/>
      <c r="AU971" s="333"/>
      <c r="AV971" s="333"/>
    </row>
    <row r="972" spans="2:48" s="330" customFormat="1" ht="28.15" customHeight="1" x14ac:dyDescent="0.25">
      <c r="B972" s="359">
        <v>43978</v>
      </c>
      <c r="C972" s="360">
        <v>0</v>
      </c>
      <c r="D972" s="360">
        <v>36473.25</v>
      </c>
      <c r="E972" s="329">
        <v>299971</v>
      </c>
      <c r="F972" s="329">
        <v>48492</v>
      </c>
      <c r="G972" s="329">
        <v>11527</v>
      </c>
      <c r="H972" s="329"/>
      <c r="I972" s="329"/>
      <c r="J972" s="329"/>
      <c r="K972" s="329"/>
      <c r="L972" s="329"/>
      <c r="M972" s="329">
        <v>650000</v>
      </c>
      <c r="N972" s="329">
        <f t="shared" si="19"/>
        <v>23803</v>
      </c>
      <c r="O972" s="329">
        <f t="shared" si="18"/>
        <v>1600</v>
      </c>
      <c r="P972" s="329">
        <v>91683</v>
      </c>
      <c r="Q972" s="329">
        <v>0</v>
      </c>
      <c r="R972" s="315">
        <f>Dailies[[#This Row],[CIBC RRSP]]+Dailies[[#This Row],[QT RRSP]]+Dailies[[#This Row],[SunLife RRSP]]</f>
        <v>311498</v>
      </c>
      <c r="S972" s="401">
        <f>S971+Dailies[[#This Row],[CIBC RRSP Principal Delta]]</f>
        <v>24000</v>
      </c>
      <c r="T972" s="401">
        <f>T971+Dailies[[#This Row],[CIBC RESP Principal Delta]]</f>
        <v>38120.450000000004</v>
      </c>
      <c r="U972" s="402">
        <f>U971+Dailies[[#This Row],[QT RRSP Principal Delta]]</f>
        <v>334220.87</v>
      </c>
      <c r="V972" s="401">
        <f>V971+Dailies[[#This Row],[SunLife RRSP Principal Delta]]</f>
        <v>10257.61</v>
      </c>
      <c r="W972" s="315">
        <f>Dailies[[#This Row],[CIBC RRSP Principal]]+Dailies[[#This Row],[QT RRSP Principal]]+Dailies[[#This Row],[SunLife RRSP Principal]]</f>
        <v>368478.48</v>
      </c>
      <c r="X972" s="361">
        <f>Dailies[[#This Row],[CIBC RRSP Principal]]+Dailies[[#This Row],[CIBC RESP Principal]]+Dailies[[#This Row],[QT RRSP Principal]]+Dailies[[#This Row],[SunLife RRSP Principal]]</f>
        <v>406598.93</v>
      </c>
      <c r="Y972" s="315">
        <f>Dailies[[#This Row],[CIBC RRSP]]+Dailies[[#This Row],[CIBC RESP]]+Dailies[[#This Row],[QT RRSP]]+Dailies[[#This Row],[SunLife RRSP]]</f>
        <v>347971.25</v>
      </c>
      <c r="Z972" s="313">
        <f>Dailies[[#This Row],[Portfolio Total]]+Dailies[[#This Row],[Home Equity]]+Dailies[[#This Row],[Car Equity]]+Dailies[[#This Row],[Valuables Equity]]+Dailies[[#This Row],[GSK Pension]]+Dailies[[#This Row],[Home Loan]]</f>
        <v>1115057.25</v>
      </c>
      <c r="AA972" s="402">
        <f>IF(ISNUMBER(C971),Dailies[[#This Row],[CIBC RRSP]]-C971-Dailies[[#This Row],[CIBC RRSP Principal Delta]],0)</f>
        <v>0</v>
      </c>
      <c r="AB972" s="402">
        <f>IF(ISNUMBER(D971),Dailies[[#This Row],[CIBC RESP]]-D971-Dailies[[#This Row],[CIBC RESP Principal Delta]],0)</f>
        <v>330</v>
      </c>
      <c r="AC972" s="402">
        <f>IF(ISNUMBER(E971),Dailies[[#This Row],[QT RRSP]]-E971-Dailies[[#This Row],[QT RRSP Principal Delta]],0)</f>
        <v>-17589.739999999991</v>
      </c>
      <c r="AD972" s="402">
        <f>IF(ISNUMBER(G971),Dailies[[#This Row],[SunLife RRSP]]-G971-Dailies[[#This Row],[SunLife RRSP Principal Delta]],0)</f>
        <v>0</v>
      </c>
      <c r="AE972" s="315">
        <f>Dailies[[#This Row],[CIBC RRSP Daily $]]+Dailies[[#This Row],[QT RRSP Daily $]]+Dailies[[#This Row],[SunLife RRSP Daily $]]</f>
        <v>-17589.739999999991</v>
      </c>
      <c r="AF972" s="315">
        <f>Dailies[[#This Row],[RRSP Daily $]]+Dailies[[#This Row],[CIBC RESP Daily $]]</f>
        <v>-17259.739999999991</v>
      </c>
      <c r="AG972" s="401">
        <f>IF(ISNUMBER(AJ971),Dailies[[#This Row],[VOO]]-AJ971,0)</f>
        <v>0</v>
      </c>
      <c r="AH972" s="362">
        <f>Dailies[[#This Row],[RRSP Daily $]]/Dailies[[#This Row],[RRSP Total]]</f>
        <v>-5.6468227725378621E-2</v>
      </c>
      <c r="AI972" s="363">
        <f>IF(Dailies[[#This Row],[CIBC RESP]]&gt;0,Dailies[[#This Row],[CIBC RESP Daily $]]/Dailies[[#This Row],[CIBC RESP]],0)</f>
        <v>9.0477267586518886E-3</v>
      </c>
      <c r="AJ972" s="315">
        <f>VLOOKUP(Dailies[[#This Row],[Date]],Quotes[],MATCH("VOO",Quotes[#Headers],EXACT_MATCH))</f>
        <v>270.94</v>
      </c>
      <c r="AK972" s="314">
        <f>Dailies[[#This Row],[VOO Daily $]]/Dailies[[#This Row],[VOO]]</f>
        <v>0</v>
      </c>
      <c r="AL972" s="314">
        <f>Dailies[[#This Row],[RRSP Daily %]]-Dailies[[#This Row],[VOO Daily %]]</f>
        <v>-5.6468227725378621E-2</v>
      </c>
      <c r="AM972" s="413">
        <f t="shared" si="32"/>
        <v>278.20039800994999</v>
      </c>
      <c r="AR972" s="333"/>
      <c r="AS972" s="333"/>
      <c r="AT972" s="333"/>
      <c r="AU972" s="333"/>
      <c r="AV972" s="333"/>
    </row>
    <row r="973" spans="2:48" s="330" customFormat="1" ht="28.15" customHeight="1" x14ac:dyDescent="0.25">
      <c r="B973" s="359">
        <v>43979</v>
      </c>
      <c r="C973" s="360">
        <v>0</v>
      </c>
      <c r="D973" s="360">
        <v>36753.75</v>
      </c>
      <c r="E973" s="329">
        <v>303091</v>
      </c>
      <c r="F973" s="329">
        <v>48445</v>
      </c>
      <c r="G973" s="329">
        <v>11527</v>
      </c>
      <c r="H973" s="329"/>
      <c r="I973" s="329"/>
      <c r="J973" s="329"/>
      <c r="K973" s="329"/>
      <c r="L973" s="329"/>
      <c r="M973" s="329">
        <v>650000</v>
      </c>
      <c r="N973" s="329">
        <f t="shared" si="19"/>
        <v>23803</v>
      </c>
      <c r="O973" s="329">
        <f t="shared" si="18"/>
        <v>1600</v>
      </c>
      <c r="P973" s="329">
        <v>91683</v>
      </c>
      <c r="Q973" s="329">
        <v>0</v>
      </c>
      <c r="R973" s="315">
        <f>Dailies[[#This Row],[CIBC RRSP]]+Dailies[[#This Row],[QT RRSP]]+Dailies[[#This Row],[SunLife RRSP]]</f>
        <v>314618</v>
      </c>
      <c r="S973" s="401">
        <f>S972+Dailies[[#This Row],[CIBC RRSP Principal Delta]]</f>
        <v>24000</v>
      </c>
      <c r="T973" s="401">
        <f>T972+Dailies[[#This Row],[CIBC RESP Principal Delta]]</f>
        <v>38120.450000000004</v>
      </c>
      <c r="U973" s="402">
        <f>U972+Dailies[[#This Row],[QT RRSP Principal Delta]]</f>
        <v>334220.87</v>
      </c>
      <c r="V973" s="401">
        <f>V972+Dailies[[#This Row],[SunLife RRSP Principal Delta]]</f>
        <v>10257.61</v>
      </c>
      <c r="W973" s="315">
        <f>Dailies[[#This Row],[CIBC RRSP Principal]]+Dailies[[#This Row],[QT RRSP Principal]]+Dailies[[#This Row],[SunLife RRSP Principal]]</f>
        <v>368478.48</v>
      </c>
      <c r="X973" s="361">
        <f>Dailies[[#This Row],[CIBC RRSP Principal]]+Dailies[[#This Row],[CIBC RESP Principal]]+Dailies[[#This Row],[QT RRSP Principal]]+Dailies[[#This Row],[SunLife RRSP Principal]]</f>
        <v>406598.93</v>
      </c>
      <c r="Y973" s="315">
        <f>Dailies[[#This Row],[CIBC RRSP]]+Dailies[[#This Row],[CIBC RESP]]+Dailies[[#This Row],[QT RRSP]]+Dailies[[#This Row],[SunLife RRSP]]</f>
        <v>351371.75</v>
      </c>
      <c r="Z973" s="313">
        <f>Dailies[[#This Row],[Portfolio Total]]+Dailies[[#This Row],[Home Equity]]+Dailies[[#This Row],[Car Equity]]+Dailies[[#This Row],[Valuables Equity]]+Dailies[[#This Row],[GSK Pension]]+Dailies[[#This Row],[Home Loan]]</f>
        <v>1118457.75</v>
      </c>
      <c r="AA973" s="402">
        <f>IF(ISNUMBER(C972),Dailies[[#This Row],[CIBC RRSP]]-C972-Dailies[[#This Row],[CIBC RRSP Principal Delta]],0)</f>
        <v>0</v>
      </c>
      <c r="AB973" s="402">
        <f>IF(ISNUMBER(D972),Dailies[[#This Row],[CIBC RESP]]-D972-Dailies[[#This Row],[CIBC RESP Principal Delta]],0)</f>
        <v>280.5</v>
      </c>
      <c r="AC973" s="402">
        <f>IF(ISNUMBER(E972),Dailies[[#This Row],[QT RRSP]]-E972-Dailies[[#This Row],[QT RRSP Principal Delta]],0)</f>
        <v>3120</v>
      </c>
      <c r="AD973" s="402">
        <f>IF(ISNUMBER(G972),Dailies[[#This Row],[SunLife RRSP]]-G972-Dailies[[#This Row],[SunLife RRSP Principal Delta]],0)</f>
        <v>0</v>
      </c>
      <c r="AE973" s="315">
        <f>Dailies[[#This Row],[CIBC RRSP Daily $]]+Dailies[[#This Row],[QT RRSP Daily $]]+Dailies[[#This Row],[SunLife RRSP Daily $]]</f>
        <v>3120</v>
      </c>
      <c r="AF973" s="315">
        <f>Dailies[[#This Row],[RRSP Daily $]]+Dailies[[#This Row],[CIBC RESP Daily $]]</f>
        <v>3400.5</v>
      </c>
      <c r="AG973" s="401">
        <f>IF(ISNUMBER(AJ972),Dailies[[#This Row],[VOO]]-AJ972,0)</f>
        <v>0</v>
      </c>
      <c r="AH973" s="362">
        <f>Dailies[[#This Row],[RRSP Daily $]]/Dailies[[#This Row],[RRSP Total]]</f>
        <v>9.916787977801652E-3</v>
      </c>
      <c r="AI973" s="363">
        <f>IF(Dailies[[#This Row],[CIBC RESP]]&gt;0,Dailies[[#This Row],[CIBC RESP Daily $]]/Dailies[[#This Row],[CIBC RESP]],0)</f>
        <v>7.6318742985409648E-3</v>
      </c>
      <c r="AJ973" s="315">
        <f>VLOOKUP(Dailies[[#This Row],[Date]],Quotes[],MATCH("VOO",Quotes[#Headers],EXACT_MATCH))</f>
        <v>270.94</v>
      </c>
      <c r="AK973" s="314">
        <f>Dailies[[#This Row],[VOO Daily $]]/Dailies[[#This Row],[VOO]]</f>
        <v>0</v>
      </c>
      <c r="AL973" s="314">
        <f>Dailies[[#This Row],[RRSP Daily %]]-Dailies[[#This Row],[VOO Daily %]]</f>
        <v>9.916787977801652E-3</v>
      </c>
      <c r="AM973" s="413">
        <f t="shared" si="32"/>
        <v>278.13830845771122</v>
      </c>
      <c r="AR973" s="333"/>
      <c r="AS973" s="333"/>
      <c r="AT973" s="333"/>
      <c r="AU973" s="333"/>
      <c r="AV973" s="333"/>
    </row>
    <row r="974" spans="2:48" s="330" customFormat="1" ht="28.15" customHeight="1" x14ac:dyDescent="0.25">
      <c r="B974" s="359">
        <v>43980</v>
      </c>
      <c r="C974" s="360">
        <v>0</v>
      </c>
      <c r="D974" s="360">
        <v>37430.94</v>
      </c>
      <c r="E974" s="329">
        <v>303397</v>
      </c>
      <c r="F974" s="329">
        <v>48681</v>
      </c>
      <c r="G974" s="329">
        <v>11527</v>
      </c>
      <c r="H974" s="329"/>
      <c r="I974" s="329"/>
      <c r="J974" s="329"/>
      <c r="K974" s="329"/>
      <c r="L974" s="329"/>
      <c r="M974" s="329">
        <v>650000</v>
      </c>
      <c r="N974" s="329">
        <f t="shared" si="19"/>
        <v>23803</v>
      </c>
      <c r="O974" s="329">
        <f t="shared" si="18"/>
        <v>1600</v>
      </c>
      <c r="P974" s="329">
        <v>91683</v>
      </c>
      <c r="Q974" s="329">
        <v>0</v>
      </c>
      <c r="R974" s="315">
        <f>Dailies[[#This Row],[CIBC RRSP]]+Dailies[[#This Row],[QT RRSP]]+Dailies[[#This Row],[SunLife RRSP]]</f>
        <v>314924</v>
      </c>
      <c r="S974" s="401">
        <f>S973+Dailies[[#This Row],[CIBC RRSP Principal Delta]]</f>
        <v>24000</v>
      </c>
      <c r="T974" s="401">
        <f>T973+Dailies[[#This Row],[CIBC RESP Principal Delta]]</f>
        <v>38120.450000000004</v>
      </c>
      <c r="U974" s="402">
        <f>U973+Dailies[[#This Row],[QT RRSP Principal Delta]]</f>
        <v>334220.87</v>
      </c>
      <c r="V974" s="401">
        <f>V973+Dailies[[#This Row],[SunLife RRSP Principal Delta]]</f>
        <v>10257.61</v>
      </c>
      <c r="W974" s="315">
        <f>Dailies[[#This Row],[CIBC RRSP Principal]]+Dailies[[#This Row],[QT RRSP Principal]]+Dailies[[#This Row],[SunLife RRSP Principal]]</f>
        <v>368478.48</v>
      </c>
      <c r="X974" s="361">
        <f>Dailies[[#This Row],[CIBC RRSP Principal]]+Dailies[[#This Row],[CIBC RESP Principal]]+Dailies[[#This Row],[QT RRSP Principal]]+Dailies[[#This Row],[SunLife RRSP Principal]]</f>
        <v>406598.93</v>
      </c>
      <c r="Y974" s="315">
        <f>Dailies[[#This Row],[CIBC RRSP]]+Dailies[[#This Row],[CIBC RESP]]+Dailies[[#This Row],[QT RRSP]]+Dailies[[#This Row],[SunLife RRSP]]</f>
        <v>352354.94</v>
      </c>
      <c r="Z974" s="313">
        <f>Dailies[[#This Row],[Portfolio Total]]+Dailies[[#This Row],[Home Equity]]+Dailies[[#This Row],[Car Equity]]+Dailies[[#This Row],[Valuables Equity]]+Dailies[[#This Row],[GSK Pension]]+Dailies[[#This Row],[Home Loan]]</f>
        <v>1119440.94</v>
      </c>
      <c r="AA974" s="402">
        <f>IF(ISNUMBER(C973),Dailies[[#This Row],[CIBC RRSP]]-C973-Dailies[[#This Row],[CIBC RRSP Principal Delta]],0)</f>
        <v>0</v>
      </c>
      <c r="AB974" s="402">
        <f>IF(ISNUMBER(D973),Dailies[[#This Row],[CIBC RESP]]-D973-Dailies[[#This Row],[CIBC RESP Principal Delta]],0)</f>
        <v>677.19000000000233</v>
      </c>
      <c r="AC974" s="402">
        <f>IF(ISNUMBER(E973),Dailies[[#This Row],[QT RRSP]]-E973-Dailies[[#This Row],[QT RRSP Principal Delta]],0)</f>
        <v>306</v>
      </c>
      <c r="AD974" s="402">
        <f>IF(ISNUMBER(G973),Dailies[[#This Row],[SunLife RRSP]]-G973-Dailies[[#This Row],[SunLife RRSP Principal Delta]],0)</f>
        <v>0</v>
      </c>
      <c r="AE974" s="315">
        <f>Dailies[[#This Row],[CIBC RRSP Daily $]]+Dailies[[#This Row],[QT RRSP Daily $]]+Dailies[[#This Row],[SunLife RRSP Daily $]]</f>
        <v>306</v>
      </c>
      <c r="AF974" s="315">
        <f>Dailies[[#This Row],[RRSP Daily $]]+Dailies[[#This Row],[CIBC RESP Daily $]]</f>
        <v>983.19000000000233</v>
      </c>
      <c r="AG974" s="401">
        <f>IF(ISNUMBER(AJ973),Dailies[[#This Row],[VOO]]-AJ973,0)</f>
        <v>0</v>
      </c>
      <c r="AH974" s="362">
        <f>Dailies[[#This Row],[RRSP Daily $]]/Dailies[[#This Row],[RRSP Total]]</f>
        <v>9.7166300440741258E-4</v>
      </c>
      <c r="AI974" s="363">
        <f>IF(Dailies[[#This Row],[CIBC RESP]]&gt;0,Dailies[[#This Row],[CIBC RESP Daily $]]/Dailies[[#This Row],[CIBC RESP]],0)</f>
        <v>1.8091717707329879E-2</v>
      </c>
      <c r="AJ974" s="315">
        <f>VLOOKUP(Dailies[[#This Row],[Date]],Quotes[],MATCH("VOO",Quotes[#Headers],EXACT_MATCH))</f>
        <v>270.94</v>
      </c>
      <c r="AK974" s="314">
        <f>Dailies[[#This Row],[VOO Daily $]]/Dailies[[#This Row],[VOO]]</f>
        <v>0</v>
      </c>
      <c r="AL974" s="314">
        <f>Dailies[[#This Row],[RRSP Daily %]]-Dailies[[#This Row],[VOO Daily %]]</f>
        <v>9.7166300440741258E-4</v>
      </c>
      <c r="AM974" s="413">
        <f t="shared" ref="AM974" si="33">AVERAGE(AJ758:AJ958)</f>
        <v>278.0472636815918</v>
      </c>
      <c r="AR974" s="333"/>
      <c r="AS974" s="333"/>
      <c r="AT974" s="333"/>
      <c r="AU974" s="333"/>
      <c r="AV974" s="333"/>
    </row>
    <row r="975" spans="2:48" s="330" customFormat="1" ht="28.15" customHeight="1" x14ac:dyDescent="0.25">
      <c r="B975" s="359">
        <v>43981</v>
      </c>
      <c r="C975" s="360">
        <v>0</v>
      </c>
      <c r="D975" s="360">
        <v>37430.94</v>
      </c>
      <c r="E975" s="329">
        <v>303397</v>
      </c>
      <c r="F975" s="329">
        <v>48681</v>
      </c>
      <c r="G975" s="329">
        <v>11527</v>
      </c>
      <c r="H975" s="329"/>
      <c r="I975" s="329"/>
      <c r="J975" s="329"/>
      <c r="K975" s="329"/>
      <c r="L975" s="329"/>
      <c r="M975" s="329">
        <v>650000</v>
      </c>
      <c r="N975" s="329">
        <f t="shared" si="19"/>
        <v>23803</v>
      </c>
      <c r="O975" s="329">
        <f t="shared" si="18"/>
        <v>1600</v>
      </c>
      <c r="P975" s="329">
        <v>91683</v>
      </c>
      <c r="Q975" s="329">
        <v>0</v>
      </c>
      <c r="R975" s="315">
        <f>Dailies[[#This Row],[CIBC RRSP]]+Dailies[[#This Row],[QT RRSP]]+Dailies[[#This Row],[SunLife RRSP]]</f>
        <v>314924</v>
      </c>
      <c r="S975" s="401">
        <f>S974+Dailies[[#This Row],[CIBC RRSP Principal Delta]]</f>
        <v>24000</v>
      </c>
      <c r="T975" s="401">
        <f>T974+Dailies[[#This Row],[CIBC RESP Principal Delta]]</f>
        <v>38120.450000000004</v>
      </c>
      <c r="U975" s="402">
        <f>U974+Dailies[[#This Row],[QT RRSP Principal Delta]]</f>
        <v>334220.87</v>
      </c>
      <c r="V975" s="401">
        <f>V974+Dailies[[#This Row],[SunLife RRSP Principal Delta]]</f>
        <v>10257.61</v>
      </c>
      <c r="W975" s="315">
        <f>Dailies[[#This Row],[CIBC RRSP Principal]]+Dailies[[#This Row],[QT RRSP Principal]]+Dailies[[#This Row],[SunLife RRSP Principal]]</f>
        <v>368478.48</v>
      </c>
      <c r="X975" s="361">
        <f>Dailies[[#This Row],[CIBC RRSP Principal]]+Dailies[[#This Row],[CIBC RESP Principal]]+Dailies[[#This Row],[QT RRSP Principal]]+Dailies[[#This Row],[SunLife RRSP Principal]]</f>
        <v>406598.93</v>
      </c>
      <c r="Y975" s="315">
        <f>Dailies[[#This Row],[CIBC RRSP]]+Dailies[[#This Row],[CIBC RESP]]+Dailies[[#This Row],[QT RRSP]]+Dailies[[#This Row],[SunLife RRSP]]</f>
        <v>352354.94</v>
      </c>
      <c r="Z975" s="313">
        <f>Dailies[[#This Row],[Portfolio Total]]+Dailies[[#This Row],[Home Equity]]+Dailies[[#This Row],[Car Equity]]+Dailies[[#This Row],[Valuables Equity]]+Dailies[[#This Row],[GSK Pension]]+Dailies[[#This Row],[Home Loan]]</f>
        <v>1119440.94</v>
      </c>
      <c r="AA975" s="402">
        <f>IF(ISNUMBER(C974),Dailies[[#This Row],[CIBC RRSP]]-C974-Dailies[[#This Row],[CIBC RRSP Principal Delta]],0)</f>
        <v>0</v>
      </c>
      <c r="AB975" s="402">
        <f>IF(ISNUMBER(D974),Dailies[[#This Row],[CIBC RESP]]-D974-Dailies[[#This Row],[CIBC RESP Principal Delta]],0)</f>
        <v>0</v>
      </c>
      <c r="AC975" s="402">
        <f>IF(ISNUMBER(E974),Dailies[[#This Row],[QT RRSP]]-E974-Dailies[[#This Row],[QT RRSP Principal Delta]],0)</f>
        <v>0</v>
      </c>
      <c r="AD975" s="402">
        <f>IF(ISNUMBER(G974),Dailies[[#This Row],[SunLife RRSP]]-G974-Dailies[[#This Row],[SunLife RRSP Principal Delta]],0)</f>
        <v>0</v>
      </c>
      <c r="AE975" s="315">
        <f>Dailies[[#This Row],[CIBC RRSP Daily $]]+Dailies[[#This Row],[QT RRSP Daily $]]+Dailies[[#This Row],[SunLife RRSP Daily $]]</f>
        <v>0</v>
      </c>
      <c r="AF975" s="315">
        <f>Dailies[[#This Row],[RRSP Daily $]]+Dailies[[#This Row],[CIBC RESP Daily $]]</f>
        <v>0</v>
      </c>
      <c r="AG975" s="401">
        <f>IF(ISNUMBER(AJ974),Dailies[[#This Row],[VOO]]-AJ974,0)</f>
        <v>0</v>
      </c>
      <c r="AH975" s="362">
        <f>Dailies[[#This Row],[RRSP Daily $]]/Dailies[[#This Row],[RRSP Total]]</f>
        <v>0</v>
      </c>
      <c r="AI975" s="363">
        <f>IF(Dailies[[#This Row],[CIBC RESP]]&gt;0,Dailies[[#This Row],[CIBC RESP Daily $]]/Dailies[[#This Row],[CIBC RESP]],0)</f>
        <v>0</v>
      </c>
      <c r="AJ975" s="315">
        <f>VLOOKUP(Dailies[[#This Row],[Date]],Quotes[],MATCH("VOO",Quotes[#Headers],EXACT_MATCH))</f>
        <v>270.94</v>
      </c>
      <c r="AK975" s="314">
        <f>Dailies[[#This Row],[VOO Daily $]]/Dailies[[#This Row],[VOO]]</f>
        <v>0</v>
      </c>
      <c r="AL975" s="314">
        <f>Dailies[[#This Row],[RRSP Daily %]]-Dailies[[#This Row],[VOO Daily %]]</f>
        <v>0</v>
      </c>
      <c r="AM975" s="413">
        <f t="shared" ref="AM975" si="34">AVERAGE(AJ759:AJ959)</f>
        <v>277.97174129353209</v>
      </c>
      <c r="AR975" s="333"/>
      <c r="AS975" s="333"/>
      <c r="AT975" s="333"/>
      <c r="AU975" s="333"/>
      <c r="AV975" s="333"/>
    </row>
    <row r="976" spans="2:48" s="330" customFormat="1" ht="28.15" customHeight="1" x14ac:dyDescent="0.25">
      <c r="B976" s="359">
        <v>43982</v>
      </c>
      <c r="C976" s="360">
        <v>0</v>
      </c>
      <c r="D976" s="360">
        <v>37430.94</v>
      </c>
      <c r="E976" s="329">
        <v>303397</v>
      </c>
      <c r="F976" s="329">
        <v>48681</v>
      </c>
      <c r="G976" s="329">
        <v>11527</v>
      </c>
      <c r="H976" s="329"/>
      <c r="I976" s="329"/>
      <c r="J976" s="329"/>
      <c r="K976" s="329"/>
      <c r="L976" s="329"/>
      <c r="M976" s="329">
        <v>650000</v>
      </c>
      <c r="N976" s="329">
        <f t="shared" si="19"/>
        <v>23803</v>
      </c>
      <c r="O976" s="329">
        <f t="shared" si="18"/>
        <v>1600</v>
      </c>
      <c r="P976" s="329">
        <v>91683</v>
      </c>
      <c r="Q976" s="329">
        <v>0</v>
      </c>
      <c r="R976" s="315">
        <f>Dailies[[#This Row],[CIBC RRSP]]+Dailies[[#This Row],[QT RRSP]]+Dailies[[#This Row],[SunLife RRSP]]</f>
        <v>314924</v>
      </c>
      <c r="S976" s="401">
        <f>S975+Dailies[[#This Row],[CIBC RRSP Principal Delta]]</f>
        <v>24000</v>
      </c>
      <c r="T976" s="401">
        <f>T975+Dailies[[#This Row],[CIBC RESP Principal Delta]]</f>
        <v>38120.450000000004</v>
      </c>
      <c r="U976" s="402">
        <f>U975+Dailies[[#This Row],[QT RRSP Principal Delta]]</f>
        <v>334220.87</v>
      </c>
      <c r="V976" s="401">
        <f>V975+Dailies[[#This Row],[SunLife RRSP Principal Delta]]</f>
        <v>10257.61</v>
      </c>
      <c r="W976" s="315">
        <f>Dailies[[#This Row],[CIBC RRSP Principal]]+Dailies[[#This Row],[QT RRSP Principal]]+Dailies[[#This Row],[SunLife RRSP Principal]]</f>
        <v>368478.48</v>
      </c>
      <c r="X976" s="361">
        <f>Dailies[[#This Row],[CIBC RRSP Principal]]+Dailies[[#This Row],[CIBC RESP Principal]]+Dailies[[#This Row],[QT RRSP Principal]]+Dailies[[#This Row],[SunLife RRSP Principal]]</f>
        <v>406598.93</v>
      </c>
      <c r="Y976" s="315">
        <f>Dailies[[#This Row],[CIBC RRSP]]+Dailies[[#This Row],[CIBC RESP]]+Dailies[[#This Row],[QT RRSP]]+Dailies[[#This Row],[SunLife RRSP]]</f>
        <v>352354.94</v>
      </c>
      <c r="Z976" s="313">
        <f>Dailies[[#This Row],[Portfolio Total]]+Dailies[[#This Row],[Home Equity]]+Dailies[[#This Row],[Car Equity]]+Dailies[[#This Row],[Valuables Equity]]+Dailies[[#This Row],[GSK Pension]]+Dailies[[#This Row],[Home Loan]]</f>
        <v>1119440.94</v>
      </c>
      <c r="AA976" s="402">
        <f>IF(ISNUMBER(C975),Dailies[[#This Row],[CIBC RRSP]]-C975-Dailies[[#This Row],[CIBC RRSP Principal Delta]],0)</f>
        <v>0</v>
      </c>
      <c r="AB976" s="402">
        <f>IF(ISNUMBER(D975),Dailies[[#This Row],[CIBC RESP]]-D975-Dailies[[#This Row],[CIBC RESP Principal Delta]],0)</f>
        <v>0</v>
      </c>
      <c r="AC976" s="402">
        <f>IF(ISNUMBER(E975),Dailies[[#This Row],[QT RRSP]]-E975-Dailies[[#This Row],[QT RRSP Principal Delta]],0)</f>
        <v>0</v>
      </c>
      <c r="AD976" s="402">
        <f>IF(ISNUMBER(G975),Dailies[[#This Row],[SunLife RRSP]]-G975-Dailies[[#This Row],[SunLife RRSP Principal Delta]],0)</f>
        <v>0</v>
      </c>
      <c r="AE976" s="315">
        <f>Dailies[[#This Row],[CIBC RRSP Daily $]]+Dailies[[#This Row],[QT RRSP Daily $]]+Dailies[[#This Row],[SunLife RRSP Daily $]]</f>
        <v>0</v>
      </c>
      <c r="AF976" s="315">
        <f>Dailies[[#This Row],[RRSP Daily $]]+Dailies[[#This Row],[CIBC RESP Daily $]]</f>
        <v>0</v>
      </c>
      <c r="AG976" s="401">
        <f>IF(ISNUMBER(AJ975),Dailies[[#This Row],[VOO]]-AJ975,0)</f>
        <v>0</v>
      </c>
      <c r="AH976" s="362">
        <f>Dailies[[#This Row],[RRSP Daily $]]/Dailies[[#This Row],[RRSP Total]]</f>
        <v>0</v>
      </c>
      <c r="AI976" s="363">
        <f>IF(Dailies[[#This Row],[CIBC RESP]]&gt;0,Dailies[[#This Row],[CIBC RESP Daily $]]/Dailies[[#This Row],[CIBC RESP]],0)</f>
        <v>0</v>
      </c>
      <c r="AJ976" s="315">
        <f>VLOOKUP(Dailies[[#This Row],[Date]],Quotes[],MATCH("VOO",Quotes[#Headers],EXACT_MATCH))</f>
        <v>270.94</v>
      </c>
      <c r="AK976" s="314">
        <f>Dailies[[#This Row],[VOO Daily $]]/Dailies[[#This Row],[VOO]]</f>
        <v>0</v>
      </c>
      <c r="AL976" s="314">
        <f>Dailies[[#This Row],[RRSP Daily %]]-Dailies[[#This Row],[VOO Daily %]]</f>
        <v>0</v>
      </c>
      <c r="AM976" s="413">
        <f t="shared" ref="AM976:AM977" si="35">AVERAGE(AJ760:AJ960)</f>
        <v>277.90208955223858</v>
      </c>
      <c r="AR976" s="333"/>
      <c r="AS976" s="333"/>
      <c r="AT976" s="333"/>
      <c r="AU976" s="333"/>
      <c r="AV976" s="333"/>
    </row>
    <row r="977" spans="2:48" s="330" customFormat="1" ht="28.15" customHeight="1" x14ac:dyDescent="0.25">
      <c r="B977" s="359"/>
      <c r="C977" s="360">
        <v>0</v>
      </c>
      <c r="D977" s="360"/>
      <c r="E977" s="329"/>
      <c r="F977" s="329"/>
      <c r="G977" s="329">
        <v>11527</v>
      </c>
      <c r="H977" s="329"/>
      <c r="I977" s="329"/>
      <c r="J977" s="329"/>
      <c r="K977" s="329"/>
      <c r="L977" s="329"/>
      <c r="M977" s="329">
        <v>650000</v>
      </c>
      <c r="N977" s="329">
        <f t="shared" si="19"/>
        <v>23803</v>
      </c>
      <c r="O977" s="329">
        <f t="shared" si="18"/>
        <v>1600</v>
      </c>
      <c r="P977" s="329">
        <v>91683</v>
      </c>
      <c r="Q977" s="329">
        <v>0</v>
      </c>
      <c r="R977" s="315">
        <f>Dailies[[#This Row],[CIBC RRSP]]+Dailies[[#This Row],[QT RRSP]]+Dailies[[#This Row],[SunLife RRSP]]</f>
        <v>11527</v>
      </c>
      <c r="S977" s="401">
        <f>S976+Dailies[[#This Row],[CIBC RRSP Principal Delta]]</f>
        <v>24000</v>
      </c>
      <c r="T977" s="401">
        <f>T976+Dailies[[#This Row],[CIBC RESP Principal Delta]]</f>
        <v>38120.450000000004</v>
      </c>
      <c r="U977" s="402">
        <f>U976+Dailies[[#This Row],[QT RRSP Principal Delta]]</f>
        <v>334220.87</v>
      </c>
      <c r="V977" s="401">
        <f>V976+Dailies[[#This Row],[SunLife RRSP Principal Delta]]</f>
        <v>10257.61</v>
      </c>
      <c r="W977" s="315">
        <f>Dailies[[#This Row],[CIBC RRSP Principal]]+Dailies[[#This Row],[QT RRSP Principal]]+Dailies[[#This Row],[SunLife RRSP Principal]]</f>
        <v>368478.48</v>
      </c>
      <c r="X977" s="361">
        <f>Dailies[[#This Row],[CIBC RRSP Principal]]+Dailies[[#This Row],[CIBC RESP Principal]]+Dailies[[#This Row],[QT RRSP Principal]]+Dailies[[#This Row],[SunLife RRSP Principal]]</f>
        <v>406598.93</v>
      </c>
      <c r="Y977" s="315">
        <f>Dailies[[#This Row],[CIBC RRSP]]+Dailies[[#This Row],[CIBC RESP]]+Dailies[[#This Row],[QT RRSP]]+Dailies[[#This Row],[SunLife RRSP]]</f>
        <v>11527</v>
      </c>
      <c r="Z977" s="313">
        <f>Dailies[[#This Row],[Portfolio Total]]+Dailies[[#This Row],[Home Equity]]+Dailies[[#This Row],[Car Equity]]+Dailies[[#This Row],[Valuables Equity]]+Dailies[[#This Row],[GSK Pension]]+Dailies[[#This Row],[Home Loan]]</f>
        <v>778613</v>
      </c>
      <c r="AA977" s="402">
        <f>IF(ISNUMBER(C976),Dailies[[#This Row],[CIBC RRSP]]-C976-Dailies[[#This Row],[CIBC RRSP Principal Delta]],0)</f>
        <v>0</v>
      </c>
      <c r="AB977" s="402">
        <f>IF(ISNUMBER(D976),Dailies[[#This Row],[CIBC RESP]]-D976-Dailies[[#This Row],[CIBC RESP Principal Delta]],0)</f>
        <v>-37430.94</v>
      </c>
      <c r="AC977" s="402">
        <f>IF(ISNUMBER(E976),Dailies[[#This Row],[QT RRSP]]-E976-Dailies[[#This Row],[QT RRSP Principal Delta]],0)</f>
        <v>-303397</v>
      </c>
      <c r="AD977" s="402">
        <f>IF(ISNUMBER(G976),Dailies[[#This Row],[SunLife RRSP]]-G976-Dailies[[#This Row],[SunLife RRSP Principal Delta]],0)</f>
        <v>0</v>
      </c>
      <c r="AE977" s="315">
        <f>Dailies[[#This Row],[CIBC RRSP Daily $]]+Dailies[[#This Row],[QT RRSP Daily $]]+Dailies[[#This Row],[SunLife RRSP Daily $]]</f>
        <v>-303397</v>
      </c>
      <c r="AF977" s="315">
        <f>Dailies[[#This Row],[RRSP Daily $]]+Dailies[[#This Row],[CIBC RESP Daily $]]</f>
        <v>-340827.94</v>
      </c>
      <c r="AG977" s="401" t="e">
        <f>IF(ISNUMBER(AJ976),Dailies[[#This Row],[VOO]]-AJ976,0)</f>
        <v>#N/A</v>
      </c>
      <c r="AH977" s="362">
        <f>Dailies[[#This Row],[RRSP Daily $]]/Dailies[[#This Row],[RRSP Total]]</f>
        <v>-26.32055174806975</v>
      </c>
      <c r="AI977" s="363">
        <f>IF(Dailies[[#This Row],[CIBC RESP]]&gt;0,Dailies[[#This Row],[CIBC RESP Daily $]]/Dailies[[#This Row],[CIBC RESP]],0)</f>
        <v>0</v>
      </c>
      <c r="AJ977" s="315" t="e">
        <f>VLOOKUP(Dailies[[#This Row],[Date]],Quotes[],MATCH("VOO",Quotes[#Headers],EXACT_MATCH))</f>
        <v>#N/A</v>
      </c>
      <c r="AK977" s="314" t="e">
        <f>Dailies[[#This Row],[VOO Daily $]]/Dailies[[#This Row],[VOO]]</f>
        <v>#N/A</v>
      </c>
      <c r="AL977" s="314" t="e">
        <f>Dailies[[#This Row],[RRSP Daily %]]-Dailies[[#This Row],[VOO Daily %]]</f>
        <v>#N/A</v>
      </c>
      <c r="AM977" s="413">
        <f t="shared" si="35"/>
        <v>277.82442786069623</v>
      </c>
      <c r="AR977" s="333"/>
      <c r="AS977" s="333"/>
      <c r="AT977" s="333"/>
      <c r="AU977" s="333"/>
      <c r="AV977" s="333"/>
    </row>
    <row r="978" spans="2:48" s="330" customFormat="1" ht="28.15" customHeight="1" x14ac:dyDescent="0.25">
      <c r="B978" s="338"/>
      <c r="C978" s="339"/>
      <c r="D978" s="339"/>
      <c r="E978" s="340"/>
      <c r="F978" s="340"/>
      <c r="G978" s="296"/>
      <c r="H978" s="296"/>
      <c r="N978" s="296"/>
      <c r="O978" s="296"/>
      <c r="P978" s="296"/>
      <c r="Q978" s="296"/>
      <c r="S978" s="408"/>
      <c r="T978" s="408"/>
      <c r="U978" s="408"/>
      <c r="V978" s="408"/>
      <c r="AA978" s="403"/>
      <c r="AB978" s="408"/>
      <c r="AC978" s="408"/>
      <c r="AD978" s="408"/>
      <c r="AE978" s="296"/>
      <c r="AF978" s="296"/>
      <c r="AG978" s="408"/>
      <c r="AI978" s="296"/>
      <c r="AJ978" s="296"/>
      <c r="AK978" s="296"/>
      <c r="AM978" s="414"/>
      <c r="AR978" s="333"/>
      <c r="AS978" s="333"/>
      <c r="AT978" s="333"/>
      <c r="AU978" s="333"/>
      <c r="AV978" s="333"/>
    </row>
    <row r="979" spans="2:48" s="330" customFormat="1" ht="28.15" customHeight="1" x14ac:dyDescent="0.25">
      <c r="B979" s="331"/>
      <c r="C979" s="332"/>
      <c r="D979" s="332"/>
      <c r="E979" s="333"/>
      <c r="F979" s="333"/>
      <c r="S979" s="403"/>
      <c r="T979" s="403"/>
      <c r="U979" s="403"/>
      <c r="V979" s="403"/>
      <c r="AA979" s="403"/>
      <c r="AB979" s="403"/>
      <c r="AC979" s="403"/>
      <c r="AD979" s="403"/>
      <c r="AG979" s="403"/>
      <c r="AM979" s="415"/>
      <c r="AR979" s="333"/>
      <c r="AS979" s="333"/>
      <c r="AT979" s="333"/>
      <c r="AU979" s="333"/>
      <c r="AV979" s="333"/>
    </row>
    <row r="980" spans="2:48" s="330" customFormat="1" ht="28.15" customHeight="1" x14ac:dyDescent="0.25">
      <c r="B980" s="331"/>
      <c r="C980" s="332"/>
      <c r="D980" s="332"/>
      <c r="E980" s="333"/>
      <c r="F980" s="333"/>
      <c r="S980" s="403"/>
      <c r="T980" s="403"/>
      <c r="U980" s="403"/>
      <c r="V980" s="403"/>
      <c r="AA980" s="403"/>
      <c r="AB980" s="403"/>
      <c r="AC980" s="403"/>
      <c r="AD980" s="403"/>
      <c r="AG980" s="403"/>
      <c r="AM980" s="415"/>
      <c r="AR980" s="333"/>
      <c r="AS980" s="333"/>
      <c r="AT980" s="333"/>
      <c r="AU980" s="333"/>
      <c r="AV980" s="333"/>
    </row>
    <row r="981" spans="2:48" s="330" customFormat="1" ht="28.15" customHeight="1" x14ac:dyDescent="0.25">
      <c r="B981" s="331"/>
      <c r="C981" s="332"/>
      <c r="D981" s="332"/>
      <c r="E981" s="333"/>
      <c r="F981" s="333"/>
      <c r="S981" s="403"/>
      <c r="T981" s="403"/>
      <c r="U981" s="403"/>
      <c r="V981" s="403"/>
      <c r="AA981" s="403"/>
      <c r="AB981" s="403"/>
      <c r="AC981" s="403"/>
      <c r="AD981" s="403"/>
      <c r="AG981" s="403"/>
      <c r="AM981" s="415"/>
      <c r="AR981" s="333"/>
      <c r="AS981" s="333"/>
      <c r="AT981" s="333"/>
      <c r="AU981" s="333"/>
      <c r="AV981" s="333"/>
    </row>
    <row r="982" spans="2:48" s="330" customFormat="1" ht="28.15" customHeight="1" x14ac:dyDescent="0.25">
      <c r="B982" s="331"/>
      <c r="C982" s="332"/>
      <c r="D982" s="332"/>
      <c r="E982" s="333"/>
      <c r="F982" s="333"/>
      <c r="S982" s="403"/>
      <c r="T982" s="403"/>
      <c r="U982" s="403"/>
      <c r="V982" s="403"/>
      <c r="AA982" s="403"/>
      <c r="AB982" s="403"/>
      <c r="AC982" s="403"/>
      <c r="AD982" s="403"/>
      <c r="AG982" s="403"/>
      <c r="AM982" s="415"/>
      <c r="AR982" s="333"/>
      <c r="AS982" s="333"/>
      <c r="AT982" s="333"/>
      <c r="AU982" s="333"/>
      <c r="AV982" s="333"/>
    </row>
    <row r="983" spans="2:48" s="330" customFormat="1" ht="28.15" customHeight="1" x14ac:dyDescent="0.25">
      <c r="B983" s="331"/>
      <c r="C983" s="332"/>
      <c r="D983" s="332"/>
      <c r="E983" s="333"/>
      <c r="F983" s="333"/>
      <c r="S983" s="403"/>
      <c r="T983" s="403"/>
      <c r="U983" s="403"/>
      <c r="V983" s="403"/>
      <c r="AA983" s="403"/>
      <c r="AB983" s="403"/>
      <c r="AC983" s="403"/>
      <c r="AD983" s="403"/>
      <c r="AG983" s="403"/>
      <c r="AM983" s="415"/>
      <c r="AR983" s="333"/>
      <c r="AS983" s="333"/>
      <c r="AT983" s="333"/>
      <c r="AU983" s="333"/>
      <c r="AV983" s="333"/>
    </row>
    <row r="984" spans="2:48" s="330" customFormat="1" ht="28.15" customHeight="1" x14ac:dyDescent="0.25">
      <c r="B984" s="331"/>
      <c r="C984" s="332"/>
      <c r="D984" s="332"/>
      <c r="E984" s="333"/>
      <c r="F984" s="333"/>
      <c r="S984" s="403"/>
      <c r="T984" s="403"/>
      <c r="U984" s="403"/>
      <c r="V984" s="403"/>
      <c r="AA984" s="403"/>
      <c r="AB984" s="403"/>
      <c r="AC984" s="403"/>
      <c r="AD984" s="403"/>
      <c r="AG984" s="403"/>
      <c r="AM984" s="415"/>
      <c r="AR984" s="333"/>
      <c r="AS984" s="333"/>
      <c r="AT984" s="333"/>
      <c r="AU984" s="333"/>
      <c r="AV984" s="333"/>
    </row>
    <row r="985" spans="2:48" s="330" customFormat="1" ht="28.15" customHeight="1" x14ac:dyDescent="0.25">
      <c r="B985" s="331"/>
      <c r="C985" s="332"/>
      <c r="D985" s="332"/>
      <c r="E985" s="333"/>
      <c r="F985" s="333"/>
      <c r="S985" s="403"/>
      <c r="T985" s="403"/>
      <c r="U985" s="403"/>
      <c r="V985" s="403"/>
      <c r="AA985" s="403"/>
      <c r="AB985" s="403"/>
      <c r="AC985" s="403"/>
      <c r="AD985" s="403"/>
      <c r="AG985" s="403"/>
      <c r="AM985" s="415"/>
      <c r="AR985" s="333"/>
      <c r="AS985" s="333"/>
      <c r="AT985" s="333"/>
      <c r="AU985" s="333"/>
      <c r="AV985" s="333"/>
    </row>
    <row r="986" spans="2:48" s="330" customFormat="1" ht="28.15" customHeight="1" x14ac:dyDescent="0.25">
      <c r="B986" s="331"/>
      <c r="C986" s="332"/>
      <c r="D986" s="332"/>
      <c r="E986" s="333"/>
      <c r="F986" s="333"/>
      <c r="S986" s="403"/>
      <c r="T986" s="403"/>
      <c r="U986" s="403"/>
      <c r="V986" s="403"/>
      <c r="AA986" s="403"/>
      <c r="AB986" s="403"/>
      <c r="AC986" s="403"/>
      <c r="AD986" s="403"/>
      <c r="AG986" s="403"/>
      <c r="AM986" s="415"/>
      <c r="AR986" s="333"/>
      <c r="AS986" s="333"/>
      <c r="AT986" s="333"/>
      <c r="AU986" s="333"/>
      <c r="AV986" s="333"/>
    </row>
    <row r="987" spans="2:48" s="330" customFormat="1" ht="28.15" customHeight="1" x14ac:dyDescent="0.25">
      <c r="B987" s="331"/>
      <c r="C987" s="332"/>
      <c r="D987" s="332"/>
      <c r="E987" s="333"/>
      <c r="F987" s="333"/>
      <c r="S987" s="403"/>
      <c r="T987" s="403"/>
      <c r="U987" s="403"/>
      <c r="V987" s="403"/>
      <c r="AA987" s="403"/>
      <c r="AB987" s="403"/>
      <c r="AC987" s="403"/>
      <c r="AD987" s="403"/>
      <c r="AG987" s="403"/>
      <c r="AM987" s="415"/>
      <c r="AR987" s="333"/>
      <c r="AS987" s="333"/>
      <c r="AT987" s="333"/>
      <c r="AU987" s="333"/>
      <c r="AV987" s="333"/>
    </row>
    <row r="988" spans="2:48" s="330" customFormat="1" ht="28.15" customHeight="1" x14ac:dyDescent="0.25">
      <c r="B988" s="331"/>
      <c r="C988" s="332"/>
      <c r="D988" s="332"/>
      <c r="E988" s="333"/>
      <c r="F988" s="333"/>
      <c r="S988" s="403"/>
      <c r="T988" s="403"/>
      <c r="U988" s="403"/>
      <c r="V988" s="403"/>
      <c r="AA988" s="403"/>
      <c r="AB988" s="403"/>
      <c r="AC988" s="403"/>
      <c r="AD988" s="403"/>
      <c r="AG988" s="403"/>
      <c r="AM988" s="415"/>
      <c r="AR988" s="333"/>
      <c r="AS988" s="333"/>
      <c r="AT988" s="333"/>
      <c r="AU988" s="333"/>
      <c r="AV988" s="333"/>
    </row>
    <row r="989" spans="2:48" s="330" customFormat="1" ht="28.15" customHeight="1" x14ac:dyDescent="0.25">
      <c r="B989" s="331"/>
      <c r="C989" s="332"/>
      <c r="D989" s="332"/>
      <c r="E989" s="333"/>
      <c r="F989" s="333"/>
      <c r="S989" s="403"/>
      <c r="T989" s="403"/>
      <c r="U989" s="403"/>
      <c r="V989" s="403"/>
      <c r="AA989" s="403"/>
      <c r="AB989" s="403"/>
      <c r="AC989" s="403"/>
      <c r="AD989" s="403"/>
      <c r="AG989" s="403"/>
      <c r="AM989" s="415"/>
      <c r="AR989" s="333"/>
      <c r="AS989" s="333"/>
      <c r="AT989" s="333"/>
      <c r="AU989" s="333"/>
      <c r="AV989" s="333"/>
    </row>
    <row r="990" spans="2:48" s="330" customFormat="1" ht="28.15" customHeight="1" x14ac:dyDescent="0.25">
      <c r="B990" s="331"/>
      <c r="C990" s="332"/>
      <c r="D990" s="332"/>
      <c r="E990" s="333"/>
      <c r="F990" s="333"/>
      <c r="S990" s="403"/>
      <c r="T990" s="403"/>
      <c r="U990" s="403"/>
      <c r="V990" s="403"/>
      <c r="AA990" s="403"/>
      <c r="AB990" s="403"/>
      <c r="AC990" s="403"/>
      <c r="AD990" s="403"/>
      <c r="AG990" s="403"/>
      <c r="AM990" s="415"/>
      <c r="AR990" s="333"/>
      <c r="AS990" s="333"/>
      <c r="AT990" s="333"/>
      <c r="AU990" s="333"/>
      <c r="AV990" s="333"/>
    </row>
    <row r="991" spans="2:48" s="330" customFormat="1" ht="28.15" customHeight="1" x14ac:dyDescent="0.25">
      <c r="B991" s="331"/>
      <c r="C991" s="332"/>
      <c r="D991" s="332"/>
      <c r="E991" s="333"/>
      <c r="F991" s="333"/>
      <c r="S991" s="403"/>
      <c r="T991" s="403"/>
      <c r="U991" s="403"/>
      <c r="V991" s="403"/>
      <c r="AA991" s="403"/>
      <c r="AB991" s="403"/>
      <c r="AC991" s="403"/>
      <c r="AD991" s="403"/>
      <c r="AG991" s="403"/>
      <c r="AM991" s="415"/>
      <c r="AR991" s="333"/>
      <c r="AS991" s="333"/>
      <c r="AT991" s="333"/>
      <c r="AU991" s="333"/>
      <c r="AV991" s="333"/>
    </row>
    <row r="992" spans="2:48" s="330" customFormat="1" ht="28.15" customHeight="1" x14ac:dyDescent="0.25">
      <c r="B992" s="331"/>
      <c r="C992" s="332"/>
      <c r="D992" s="332"/>
      <c r="E992" s="333"/>
      <c r="F992" s="333"/>
      <c r="S992" s="403"/>
      <c r="T992" s="403"/>
      <c r="U992" s="403"/>
      <c r="V992" s="403"/>
      <c r="AA992" s="403"/>
      <c r="AB992" s="403"/>
      <c r="AC992" s="403"/>
      <c r="AD992" s="403"/>
      <c r="AG992" s="403"/>
      <c r="AM992" s="415"/>
      <c r="AR992" s="333"/>
      <c r="AS992" s="333"/>
      <c r="AT992" s="333"/>
      <c r="AU992" s="333"/>
      <c r="AV992" s="333"/>
    </row>
    <row r="993" spans="2:48" s="330" customFormat="1" ht="28.15" customHeight="1" x14ac:dyDescent="0.25">
      <c r="B993" s="331"/>
      <c r="C993" s="332"/>
      <c r="D993" s="332"/>
      <c r="E993" s="333"/>
      <c r="F993" s="333"/>
      <c r="S993" s="403"/>
      <c r="T993" s="403"/>
      <c r="U993" s="403"/>
      <c r="V993" s="403"/>
      <c r="AA993" s="403"/>
      <c r="AB993" s="403"/>
      <c r="AC993" s="403"/>
      <c r="AD993" s="403"/>
      <c r="AG993" s="403"/>
      <c r="AM993" s="415"/>
      <c r="AR993" s="333"/>
      <c r="AS993" s="333"/>
      <c r="AT993" s="333"/>
      <c r="AU993" s="333"/>
      <c r="AV993" s="333"/>
    </row>
    <row r="994" spans="2:48" s="330" customFormat="1" ht="28.15" customHeight="1" x14ac:dyDescent="0.25">
      <c r="B994" s="331"/>
      <c r="C994" s="332"/>
      <c r="D994" s="332"/>
      <c r="E994" s="333"/>
      <c r="F994" s="333"/>
      <c r="S994" s="403"/>
      <c r="T994" s="403"/>
      <c r="U994" s="403"/>
      <c r="V994" s="403"/>
      <c r="AA994" s="403"/>
      <c r="AB994" s="403"/>
      <c r="AC994" s="403"/>
      <c r="AD994" s="403"/>
      <c r="AG994" s="403"/>
      <c r="AM994" s="415"/>
      <c r="AR994" s="333"/>
      <c r="AS994" s="333"/>
      <c r="AT994" s="333"/>
      <c r="AU994" s="333"/>
      <c r="AV994" s="333"/>
    </row>
    <row r="995" spans="2:48" s="330" customFormat="1" ht="28.15" customHeight="1" x14ac:dyDescent="0.25">
      <c r="B995" s="331"/>
      <c r="C995" s="332"/>
      <c r="D995" s="332"/>
      <c r="E995" s="333"/>
      <c r="F995" s="333"/>
      <c r="S995" s="403"/>
      <c r="T995" s="403"/>
      <c r="U995" s="403"/>
      <c r="V995" s="403"/>
      <c r="AA995" s="403"/>
      <c r="AB995" s="403"/>
      <c r="AC995" s="403"/>
      <c r="AD995" s="403"/>
      <c r="AG995" s="403"/>
      <c r="AM995" s="415"/>
      <c r="AR995" s="333"/>
      <c r="AS995" s="333"/>
      <c r="AT995" s="333"/>
      <c r="AU995" s="333"/>
      <c r="AV995" s="333"/>
    </row>
    <row r="996" spans="2:48" s="330" customFormat="1" ht="28.15" customHeight="1" x14ac:dyDescent="0.25">
      <c r="B996" s="331"/>
      <c r="C996" s="332"/>
      <c r="D996" s="332"/>
      <c r="E996" s="333"/>
      <c r="F996" s="333"/>
      <c r="S996" s="403"/>
      <c r="T996" s="403"/>
      <c r="U996" s="403"/>
      <c r="V996" s="403"/>
      <c r="AA996" s="403"/>
      <c r="AB996" s="403"/>
      <c r="AC996" s="403"/>
      <c r="AD996" s="403"/>
      <c r="AG996" s="403"/>
      <c r="AM996" s="415"/>
      <c r="AR996" s="333"/>
      <c r="AS996" s="333"/>
      <c r="AT996" s="333"/>
      <c r="AU996" s="333"/>
      <c r="AV996" s="333"/>
    </row>
    <row r="997" spans="2:48" s="330" customFormat="1" ht="28.15" customHeight="1" x14ac:dyDescent="0.25">
      <c r="B997" s="331"/>
      <c r="C997" s="332"/>
      <c r="D997" s="332"/>
      <c r="E997" s="333"/>
      <c r="F997" s="333"/>
      <c r="S997" s="403"/>
      <c r="T997" s="403"/>
      <c r="U997" s="403"/>
      <c r="V997" s="403"/>
      <c r="AA997" s="403"/>
      <c r="AB997" s="403"/>
      <c r="AC997" s="403"/>
      <c r="AD997" s="403"/>
      <c r="AG997" s="403"/>
      <c r="AM997" s="415"/>
      <c r="AR997" s="333"/>
      <c r="AS997" s="333"/>
      <c r="AT997" s="333"/>
      <c r="AU997" s="333"/>
      <c r="AV997" s="333"/>
    </row>
    <row r="998" spans="2:48" s="330" customFormat="1" ht="28.15" customHeight="1" x14ac:dyDescent="0.25">
      <c r="B998" s="331"/>
      <c r="C998" s="332"/>
      <c r="D998" s="332"/>
      <c r="E998" s="333"/>
      <c r="F998" s="333"/>
      <c r="S998" s="403"/>
      <c r="T998" s="403"/>
      <c r="U998" s="403"/>
      <c r="V998" s="403"/>
      <c r="AA998" s="403"/>
      <c r="AB998" s="403"/>
      <c r="AC998" s="403"/>
      <c r="AD998" s="403"/>
      <c r="AG998" s="403"/>
      <c r="AM998" s="415"/>
      <c r="AR998" s="333"/>
      <c r="AS998" s="333"/>
      <c r="AT998" s="333"/>
      <c r="AU998" s="333"/>
      <c r="AV998" s="333"/>
    </row>
    <row r="999" spans="2:48" s="330" customFormat="1" ht="28.15" customHeight="1" x14ac:dyDescent="0.25">
      <c r="B999" s="331"/>
      <c r="C999" s="332"/>
      <c r="D999" s="332"/>
      <c r="E999" s="333"/>
      <c r="F999" s="333"/>
      <c r="S999" s="403"/>
      <c r="T999" s="403"/>
      <c r="U999" s="403"/>
      <c r="V999" s="403"/>
      <c r="AA999" s="403"/>
      <c r="AB999" s="403"/>
      <c r="AC999" s="403"/>
      <c r="AD999" s="403"/>
      <c r="AG999" s="403"/>
      <c r="AM999" s="415"/>
      <c r="AR999" s="333"/>
      <c r="AS999" s="333"/>
      <c r="AT999" s="333"/>
      <c r="AU999" s="333"/>
      <c r="AV999" s="333"/>
    </row>
    <row r="1000" spans="2:48" s="330" customFormat="1" ht="28.15" customHeight="1" x14ac:dyDescent="0.25">
      <c r="B1000" s="331"/>
      <c r="C1000" s="332"/>
      <c r="D1000" s="332"/>
      <c r="E1000" s="333"/>
      <c r="F1000" s="333"/>
      <c r="S1000" s="403"/>
      <c r="T1000" s="403"/>
      <c r="U1000" s="403"/>
      <c r="V1000" s="403"/>
      <c r="AA1000" s="403"/>
      <c r="AB1000" s="403"/>
      <c r="AC1000" s="403"/>
      <c r="AD1000" s="403"/>
      <c r="AG1000" s="403"/>
      <c r="AM1000" s="415"/>
      <c r="AR1000" s="333"/>
      <c r="AS1000" s="333"/>
      <c r="AT1000" s="333"/>
      <c r="AU1000" s="333"/>
      <c r="AV1000" s="333"/>
    </row>
    <row r="1001" spans="2:48" s="330" customFormat="1" ht="28.15" customHeight="1" x14ac:dyDescent="0.25">
      <c r="B1001" s="331"/>
      <c r="C1001" s="332"/>
      <c r="D1001" s="332"/>
      <c r="E1001" s="333"/>
      <c r="F1001" s="333"/>
      <c r="S1001" s="403"/>
      <c r="T1001" s="403"/>
      <c r="U1001" s="403"/>
      <c r="V1001" s="403"/>
      <c r="AA1001" s="403"/>
      <c r="AB1001" s="403"/>
      <c r="AC1001" s="403"/>
      <c r="AD1001" s="403"/>
      <c r="AG1001" s="403"/>
      <c r="AM1001" s="415"/>
      <c r="AR1001" s="333"/>
      <c r="AS1001" s="333"/>
      <c r="AT1001" s="333"/>
      <c r="AU1001" s="333"/>
      <c r="AV1001" s="333"/>
    </row>
    <row r="1002" spans="2:48" s="330" customFormat="1" ht="28.15" customHeight="1" x14ac:dyDescent="0.25">
      <c r="B1002" s="331"/>
      <c r="C1002" s="332"/>
      <c r="D1002" s="332"/>
      <c r="E1002" s="333"/>
      <c r="F1002" s="333"/>
      <c r="S1002" s="403"/>
      <c r="T1002" s="403"/>
      <c r="U1002" s="403"/>
      <c r="V1002" s="403"/>
      <c r="AA1002" s="403"/>
      <c r="AB1002" s="403"/>
      <c r="AC1002" s="403"/>
      <c r="AD1002" s="403"/>
      <c r="AG1002" s="403"/>
      <c r="AM1002" s="415"/>
      <c r="AR1002" s="333"/>
      <c r="AS1002" s="333"/>
      <c r="AT1002" s="333"/>
      <c r="AU1002" s="333"/>
      <c r="AV1002" s="333"/>
    </row>
    <row r="1003" spans="2:48" s="330" customFormat="1" ht="28.15" customHeight="1" x14ac:dyDescent="0.25">
      <c r="B1003" s="331"/>
      <c r="C1003" s="332"/>
      <c r="D1003" s="332"/>
      <c r="E1003" s="333"/>
      <c r="F1003" s="333"/>
      <c r="S1003" s="403"/>
      <c r="T1003" s="403"/>
      <c r="U1003" s="403"/>
      <c r="V1003" s="403"/>
      <c r="AA1003" s="403"/>
      <c r="AB1003" s="403"/>
      <c r="AC1003" s="403"/>
      <c r="AD1003" s="403"/>
      <c r="AG1003" s="403"/>
      <c r="AM1003" s="415"/>
      <c r="AR1003" s="333"/>
      <c r="AS1003" s="333"/>
      <c r="AT1003" s="333"/>
      <c r="AU1003" s="333"/>
      <c r="AV1003" s="333"/>
    </row>
    <row r="1004" spans="2:48" s="330" customFormat="1" ht="28.15" customHeight="1" x14ac:dyDescent="0.25">
      <c r="B1004" s="331"/>
      <c r="C1004" s="332"/>
      <c r="D1004" s="332"/>
      <c r="E1004" s="333"/>
      <c r="F1004" s="333"/>
      <c r="S1004" s="403"/>
      <c r="T1004" s="403"/>
      <c r="U1004" s="403"/>
      <c r="V1004" s="403"/>
      <c r="AA1004" s="403"/>
      <c r="AB1004" s="403"/>
      <c r="AC1004" s="403"/>
      <c r="AD1004" s="403"/>
      <c r="AG1004" s="403"/>
      <c r="AM1004" s="415"/>
      <c r="AR1004" s="333"/>
      <c r="AS1004" s="333"/>
      <c r="AT1004" s="333"/>
      <c r="AU1004" s="333"/>
      <c r="AV1004" s="333"/>
    </row>
    <row r="1005" spans="2:48" s="330" customFormat="1" ht="28.15" customHeight="1" x14ac:dyDescent="0.25">
      <c r="B1005" s="331"/>
      <c r="C1005" s="332"/>
      <c r="D1005" s="332"/>
      <c r="E1005" s="333"/>
      <c r="F1005" s="333"/>
      <c r="S1005" s="403"/>
      <c r="T1005" s="403"/>
      <c r="U1005" s="403"/>
      <c r="V1005" s="403"/>
      <c r="AA1005" s="403"/>
      <c r="AB1005" s="403"/>
      <c r="AC1005" s="403"/>
      <c r="AD1005" s="403"/>
      <c r="AG1005" s="403"/>
      <c r="AM1005" s="415"/>
      <c r="AR1005" s="333"/>
      <c r="AS1005" s="333"/>
      <c r="AT1005" s="333"/>
      <c r="AU1005" s="333"/>
      <c r="AV1005" s="333"/>
    </row>
    <row r="1006" spans="2:48" s="330" customFormat="1" ht="28.15" customHeight="1" x14ac:dyDescent="0.25">
      <c r="B1006" s="331"/>
      <c r="C1006" s="332"/>
      <c r="D1006" s="332"/>
      <c r="E1006" s="333"/>
      <c r="F1006" s="333"/>
      <c r="S1006" s="403"/>
      <c r="T1006" s="403"/>
      <c r="U1006" s="403"/>
      <c r="V1006" s="403"/>
      <c r="AA1006" s="403"/>
      <c r="AB1006" s="403"/>
      <c r="AC1006" s="403"/>
      <c r="AD1006" s="403"/>
      <c r="AG1006" s="403"/>
      <c r="AM1006" s="415"/>
      <c r="AR1006" s="333"/>
      <c r="AS1006" s="333"/>
      <c r="AT1006" s="333"/>
      <c r="AU1006" s="333"/>
      <c r="AV1006" s="333"/>
    </row>
    <row r="1007" spans="2:48" s="330" customFormat="1" ht="28.15" customHeight="1" x14ac:dyDescent="0.25">
      <c r="B1007" s="331"/>
      <c r="C1007" s="332"/>
      <c r="D1007" s="332"/>
      <c r="E1007" s="333"/>
      <c r="F1007" s="333"/>
      <c r="S1007" s="403"/>
      <c r="T1007" s="403"/>
      <c r="U1007" s="403"/>
      <c r="V1007" s="403"/>
      <c r="AA1007" s="403"/>
      <c r="AB1007" s="403"/>
      <c r="AC1007" s="403"/>
      <c r="AD1007" s="403"/>
      <c r="AG1007" s="403"/>
      <c r="AM1007" s="415"/>
      <c r="AR1007" s="333"/>
      <c r="AS1007" s="333"/>
      <c r="AT1007" s="333"/>
      <c r="AU1007" s="333"/>
      <c r="AV1007" s="333"/>
    </row>
    <row r="1008" spans="2:48" s="330" customFormat="1" ht="28.15" customHeight="1" x14ac:dyDescent="0.25">
      <c r="B1008" s="331"/>
      <c r="C1008" s="332"/>
      <c r="D1008" s="332"/>
      <c r="E1008" s="333"/>
      <c r="F1008" s="333"/>
      <c r="S1008" s="403"/>
      <c r="T1008" s="403"/>
      <c r="U1008" s="403"/>
      <c r="V1008" s="403"/>
      <c r="AA1008" s="403"/>
      <c r="AB1008" s="403"/>
      <c r="AC1008" s="403"/>
      <c r="AD1008" s="403"/>
      <c r="AG1008" s="403"/>
      <c r="AM1008" s="415"/>
      <c r="AR1008" s="333"/>
      <c r="AS1008" s="333"/>
      <c r="AT1008" s="333"/>
      <c r="AU1008" s="333"/>
      <c r="AV1008" s="333"/>
    </row>
    <row r="1009" spans="2:48" s="330" customFormat="1" ht="28.15" customHeight="1" x14ac:dyDescent="0.25">
      <c r="B1009" s="331"/>
      <c r="C1009" s="332"/>
      <c r="D1009" s="332"/>
      <c r="E1009" s="333"/>
      <c r="F1009" s="333"/>
      <c r="S1009" s="403"/>
      <c r="T1009" s="403"/>
      <c r="U1009" s="403"/>
      <c r="V1009" s="403"/>
      <c r="AA1009" s="403"/>
      <c r="AB1009" s="403"/>
      <c r="AC1009" s="403"/>
      <c r="AD1009" s="403"/>
      <c r="AG1009" s="403"/>
      <c r="AM1009" s="415"/>
      <c r="AR1009" s="333"/>
      <c r="AS1009" s="333"/>
      <c r="AT1009" s="333"/>
      <c r="AU1009" s="333"/>
      <c r="AV1009" s="333"/>
    </row>
    <row r="1010" spans="2:48" s="330" customFormat="1" ht="28.15" customHeight="1" x14ac:dyDescent="0.25">
      <c r="B1010" s="331"/>
      <c r="C1010" s="332"/>
      <c r="D1010" s="332"/>
      <c r="E1010" s="333"/>
      <c r="F1010" s="333"/>
      <c r="S1010" s="403"/>
      <c r="T1010" s="403"/>
      <c r="U1010" s="403"/>
      <c r="V1010" s="403"/>
      <c r="AA1010" s="403"/>
      <c r="AB1010" s="403"/>
      <c r="AC1010" s="403"/>
      <c r="AD1010" s="403"/>
      <c r="AG1010" s="403"/>
      <c r="AM1010" s="415"/>
      <c r="AR1010" s="333"/>
      <c r="AS1010" s="333"/>
      <c r="AT1010" s="333"/>
      <c r="AU1010" s="333"/>
      <c r="AV1010" s="333"/>
    </row>
    <row r="1011" spans="2:48" s="330" customFormat="1" ht="28.15" customHeight="1" x14ac:dyDescent="0.25">
      <c r="B1011" s="331"/>
      <c r="C1011" s="332"/>
      <c r="D1011" s="332"/>
      <c r="E1011" s="333"/>
      <c r="F1011" s="333"/>
      <c r="S1011" s="403"/>
      <c r="T1011" s="403"/>
      <c r="U1011" s="403"/>
      <c r="V1011" s="403"/>
      <c r="AA1011" s="403"/>
      <c r="AB1011" s="403"/>
      <c r="AC1011" s="403"/>
      <c r="AD1011" s="403"/>
      <c r="AG1011" s="403"/>
      <c r="AM1011" s="415"/>
      <c r="AR1011" s="333"/>
      <c r="AS1011" s="333"/>
      <c r="AT1011" s="333"/>
      <c r="AU1011" s="333"/>
      <c r="AV1011" s="333"/>
    </row>
    <row r="1012" spans="2:48" s="330" customFormat="1" ht="28.15" customHeight="1" x14ac:dyDescent="0.25">
      <c r="B1012" s="331"/>
      <c r="C1012" s="332"/>
      <c r="D1012" s="332"/>
      <c r="E1012" s="333"/>
      <c r="F1012" s="333"/>
      <c r="S1012" s="403"/>
      <c r="T1012" s="403"/>
      <c r="U1012" s="403"/>
      <c r="V1012" s="403"/>
      <c r="AA1012" s="403"/>
      <c r="AB1012" s="403"/>
      <c r="AC1012" s="403"/>
      <c r="AD1012" s="403"/>
      <c r="AG1012" s="403"/>
      <c r="AM1012" s="415"/>
      <c r="AR1012" s="333"/>
      <c r="AS1012" s="333"/>
      <c r="AT1012" s="333"/>
      <c r="AU1012" s="333"/>
      <c r="AV1012" s="333"/>
    </row>
    <row r="1013" spans="2:48" s="330" customFormat="1" ht="28.15" customHeight="1" x14ac:dyDescent="0.25">
      <c r="B1013" s="331"/>
      <c r="C1013" s="332"/>
      <c r="D1013" s="332"/>
      <c r="E1013" s="333"/>
      <c r="F1013" s="333"/>
      <c r="S1013" s="403"/>
      <c r="T1013" s="403"/>
      <c r="U1013" s="403"/>
      <c r="V1013" s="403"/>
      <c r="AA1013" s="403"/>
      <c r="AB1013" s="403"/>
      <c r="AC1013" s="403"/>
      <c r="AD1013" s="403"/>
      <c r="AG1013" s="403"/>
      <c r="AM1013" s="415"/>
      <c r="AR1013" s="333"/>
      <c r="AS1013" s="333"/>
      <c r="AT1013" s="333"/>
      <c r="AU1013" s="333"/>
      <c r="AV1013" s="333"/>
    </row>
    <row r="1014" spans="2:48" s="330" customFormat="1" ht="28.15" customHeight="1" x14ac:dyDescent="0.25">
      <c r="B1014" s="331"/>
      <c r="C1014" s="332"/>
      <c r="D1014" s="332"/>
      <c r="E1014" s="333"/>
      <c r="F1014" s="333"/>
      <c r="S1014" s="403"/>
      <c r="T1014" s="403"/>
      <c r="U1014" s="403"/>
      <c r="V1014" s="403"/>
      <c r="AA1014" s="403"/>
      <c r="AB1014" s="403"/>
      <c r="AC1014" s="403"/>
      <c r="AD1014" s="403"/>
      <c r="AG1014" s="403"/>
      <c r="AM1014" s="415"/>
      <c r="AR1014" s="333"/>
      <c r="AS1014" s="333"/>
      <c r="AT1014" s="333"/>
      <c r="AU1014" s="333"/>
      <c r="AV1014" s="333"/>
    </row>
    <row r="1015" spans="2:48" s="330" customFormat="1" ht="28.15" customHeight="1" x14ac:dyDescent="0.25">
      <c r="B1015" s="331"/>
      <c r="C1015" s="332"/>
      <c r="D1015" s="332"/>
      <c r="E1015" s="333"/>
      <c r="F1015" s="333"/>
      <c r="S1015" s="403"/>
      <c r="T1015" s="403"/>
      <c r="U1015" s="403"/>
      <c r="V1015" s="403"/>
      <c r="AA1015" s="403"/>
      <c r="AB1015" s="403"/>
      <c r="AC1015" s="403"/>
      <c r="AD1015" s="403"/>
      <c r="AG1015" s="403"/>
      <c r="AM1015" s="415"/>
      <c r="AR1015" s="333"/>
      <c r="AS1015" s="333"/>
      <c r="AT1015" s="333"/>
      <c r="AU1015" s="333"/>
      <c r="AV1015" s="333"/>
    </row>
    <row r="1016" spans="2:48" s="330" customFormat="1" ht="28.15" customHeight="1" x14ac:dyDescent="0.25">
      <c r="B1016" s="331"/>
      <c r="C1016" s="332"/>
      <c r="D1016" s="332"/>
      <c r="E1016" s="333"/>
      <c r="F1016" s="333"/>
      <c r="S1016" s="403"/>
      <c r="T1016" s="403"/>
      <c r="U1016" s="403"/>
      <c r="V1016" s="403"/>
      <c r="AA1016" s="403"/>
      <c r="AB1016" s="403"/>
      <c r="AC1016" s="403"/>
      <c r="AD1016" s="403"/>
      <c r="AG1016" s="403"/>
      <c r="AM1016" s="415"/>
      <c r="AR1016" s="333"/>
      <c r="AS1016" s="333"/>
      <c r="AT1016" s="333"/>
      <c r="AU1016" s="333"/>
      <c r="AV1016" s="333"/>
    </row>
    <row r="1017" spans="2:48" s="330" customFormat="1" ht="28.15" customHeight="1" x14ac:dyDescent="0.25">
      <c r="B1017" s="331"/>
      <c r="C1017" s="332"/>
      <c r="D1017" s="332"/>
      <c r="E1017" s="333"/>
      <c r="F1017" s="333"/>
      <c r="S1017" s="403"/>
      <c r="T1017" s="403"/>
      <c r="U1017" s="403"/>
      <c r="V1017" s="403"/>
      <c r="AA1017" s="403"/>
      <c r="AB1017" s="403"/>
      <c r="AC1017" s="403"/>
      <c r="AD1017" s="403"/>
      <c r="AG1017" s="403"/>
      <c r="AM1017" s="415"/>
      <c r="AR1017" s="333"/>
      <c r="AS1017" s="333"/>
      <c r="AT1017" s="333"/>
      <c r="AU1017" s="333"/>
      <c r="AV1017" s="333"/>
    </row>
    <row r="1018" spans="2:48" s="330" customFormat="1" ht="28.15" customHeight="1" x14ac:dyDescent="0.25">
      <c r="B1018" s="331"/>
      <c r="C1018" s="332"/>
      <c r="D1018" s="332"/>
      <c r="E1018" s="333"/>
      <c r="F1018" s="333"/>
      <c r="S1018" s="403"/>
      <c r="T1018" s="403"/>
      <c r="U1018" s="403"/>
      <c r="V1018" s="403"/>
      <c r="AA1018" s="403"/>
      <c r="AB1018" s="403"/>
      <c r="AC1018" s="403"/>
      <c r="AD1018" s="403"/>
      <c r="AG1018" s="403"/>
      <c r="AM1018" s="415"/>
      <c r="AR1018" s="333"/>
      <c r="AS1018" s="333"/>
      <c r="AT1018" s="333"/>
      <c r="AU1018" s="333"/>
      <c r="AV1018" s="333"/>
    </row>
    <row r="1019" spans="2:48" s="330" customFormat="1" ht="28.15" customHeight="1" x14ac:dyDescent="0.25">
      <c r="B1019" s="331"/>
      <c r="C1019" s="332"/>
      <c r="D1019" s="332"/>
      <c r="E1019" s="333"/>
      <c r="F1019" s="333"/>
      <c r="S1019" s="403"/>
      <c r="T1019" s="403"/>
      <c r="U1019" s="403"/>
      <c r="V1019" s="403"/>
      <c r="AA1019" s="403"/>
      <c r="AB1019" s="403"/>
      <c r="AC1019" s="403"/>
      <c r="AD1019" s="403"/>
      <c r="AG1019" s="403"/>
      <c r="AM1019" s="415"/>
      <c r="AR1019" s="333"/>
      <c r="AS1019" s="333"/>
      <c r="AT1019" s="333"/>
      <c r="AU1019" s="333"/>
      <c r="AV1019" s="333"/>
    </row>
    <row r="1020" spans="2:48" s="330" customFormat="1" ht="28.15" customHeight="1" x14ac:dyDescent="0.25">
      <c r="B1020" s="331"/>
      <c r="C1020" s="332"/>
      <c r="D1020" s="332"/>
      <c r="E1020" s="333"/>
      <c r="F1020" s="333"/>
      <c r="S1020" s="403"/>
      <c r="T1020" s="403"/>
      <c r="U1020" s="403"/>
      <c r="V1020" s="403"/>
      <c r="AA1020" s="403"/>
      <c r="AB1020" s="403"/>
      <c r="AC1020" s="403"/>
      <c r="AD1020" s="403"/>
      <c r="AG1020" s="403"/>
      <c r="AM1020" s="415"/>
      <c r="AR1020" s="333"/>
      <c r="AS1020" s="333"/>
      <c r="AT1020" s="333"/>
      <c r="AU1020" s="333"/>
      <c r="AV1020" s="333"/>
    </row>
    <row r="1021" spans="2:48" s="330" customFormat="1" ht="28.15" customHeight="1" x14ac:dyDescent="0.25">
      <c r="B1021" s="331"/>
      <c r="C1021" s="332"/>
      <c r="D1021" s="332"/>
      <c r="E1021" s="333"/>
      <c r="F1021" s="333"/>
      <c r="S1021" s="403"/>
      <c r="T1021" s="403"/>
      <c r="U1021" s="403"/>
      <c r="V1021" s="403"/>
      <c r="AA1021" s="403"/>
      <c r="AB1021" s="403"/>
      <c r="AC1021" s="403"/>
      <c r="AD1021" s="403"/>
      <c r="AG1021" s="403"/>
      <c r="AM1021" s="415"/>
      <c r="AR1021" s="333"/>
      <c r="AS1021" s="333"/>
      <c r="AT1021" s="333"/>
      <c r="AU1021" s="333"/>
      <c r="AV1021" s="333"/>
    </row>
    <row r="1022" spans="2:48" s="330" customFormat="1" ht="28.15" customHeight="1" x14ac:dyDescent="0.25">
      <c r="B1022" s="331"/>
      <c r="C1022" s="332"/>
      <c r="D1022" s="332"/>
      <c r="E1022" s="333"/>
      <c r="F1022" s="333"/>
      <c r="S1022" s="403"/>
      <c r="T1022" s="403"/>
      <c r="U1022" s="403"/>
      <c r="V1022" s="403"/>
      <c r="AA1022" s="403"/>
      <c r="AB1022" s="403"/>
      <c r="AC1022" s="403"/>
      <c r="AD1022" s="403"/>
      <c r="AG1022" s="403"/>
      <c r="AM1022" s="415"/>
      <c r="AR1022" s="333"/>
      <c r="AS1022" s="333"/>
      <c r="AT1022" s="333"/>
      <c r="AU1022" s="333"/>
      <c r="AV1022" s="333"/>
    </row>
    <row r="1023" spans="2:48" s="330" customFormat="1" ht="28.15" customHeight="1" x14ac:dyDescent="0.25">
      <c r="B1023" s="331"/>
      <c r="C1023" s="332"/>
      <c r="D1023" s="332"/>
      <c r="E1023" s="333"/>
      <c r="F1023" s="333"/>
      <c r="S1023" s="403"/>
      <c r="T1023" s="403"/>
      <c r="U1023" s="403"/>
      <c r="V1023" s="403"/>
      <c r="AA1023" s="403"/>
      <c r="AB1023" s="403"/>
      <c r="AC1023" s="403"/>
      <c r="AD1023" s="403"/>
      <c r="AG1023" s="403"/>
      <c r="AM1023" s="415"/>
      <c r="AR1023" s="333"/>
      <c r="AS1023" s="333"/>
      <c r="AT1023" s="333"/>
      <c r="AU1023" s="333"/>
      <c r="AV1023" s="333"/>
    </row>
    <row r="1024" spans="2:48" s="330" customFormat="1" ht="28.15" customHeight="1" x14ac:dyDescent="0.25">
      <c r="B1024" s="331"/>
      <c r="C1024" s="332"/>
      <c r="D1024" s="332"/>
      <c r="E1024" s="333"/>
      <c r="F1024" s="333"/>
      <c r="S1024" s="403"/>
      <c r="T1024" s="403"/>
      <c r="U1024" s="403"/>
      <c r="V1024" s="403"/>
      <c r="AA1024" s="403"/>
      <c r="AB1024" s="403"/>
      <c r="AC1024" s="403"/>
      <c r="AD1024" s="403"/>
      <c r="AG1024" s="403"/>
      <c r="AM1024" s="415"/>
      <c r="AR1024" s="333"/>
      <c r="AS1024" s="333"/>
      <c r="AT1024" s="333"/>
      <c r="AU1024" s="333"/>
      <c r="AV1024" s="333"/>
    </row>
    <row r="1025" spans="2:48" s="330" customFormat="1" ht="28.15" customHeight="1" x14ac:dyDescent="0.25">
      <c r="B1025" s="331"/>
      <c r="C1025" s="332"/>
      <c r="D1025" s="332"/>
      <c r="E1025" s="333"/>
      <c r="F1025" s="333"/>
      <c r="S1025" s="403"/>
      <c r="T1025" s="403"/>
      <c r="U1025" s="403"/>
      <c r="V1025" s="403"/>
      <c r="AA1025" s="403"/>
      <c r="AB1025" s="403"/>
      <c r="AC1025" s="403"/>
      <c r="AD1025" s="403"/>
      <c r="AG1025" s="403"/>
      <c r="AM1025" s="415"/>
      <c r="AR1025" s="333"/>
      <c r="AS1025" s="333"/>
      <c r="AT1025" s="333"/>
      <c r="AU1025" s="333"/>
      <c r="AV1025" s="333"/>
    </row>
    <row r="1026" spans="2:48" s="330" customFormat="1" ht="28.15" customHeight="1" x14ac:dyDescent="0.25">
      <c r="B1026" s="331"/>
      <c r="C1026" s="332"/>
      <c r="D1026" s="332"/>
      <c r="E1026" s="333"/>
      <c r="F1026" s="333"/>
      <c r="S1026" s="403"/>
      <c r="T1026" s="403"/>
      <c r="U1026" s="403"/>
      <c r="V1026" s="403"/>
      <c r="AA1026" s="403"/>
      <c r="AB1026" s="403"/>
      <c r="AC1026" s="403"/>
      <c r="AD1026" s="403"/>
      <c r="AG1026" s="403"/>
      <c r="AM1026" s="415"/>
      <c r="AR1026" s="333"/>
      <c r="AS1026" s="333"/>
      <c r="AT1026" s="333"/>
      <c r="AU1026" s="333"/>
      <c r="AV1026" s="333"/>
    </row>
    <row r="1027" spans="2:48" s="330" customFormat="1" ht="28.15" customHeight="1" x14ac:dyDescent="0.25">
      <c r="B1027" s="331"/>
      <c r="C1027" s="332"/>
      <c r="D1027" s="332"/>
      <c r="E1027" s="333"/>
      <c r="F1027" s="333"/>
      <c r="S1027" s="403"/>
      <c r="T1027" s="403"/>
      <c r="U1027" s="403"/>
      <c r="V1027" s="403"/>
      <c r="AA1027" s="403"/>
      <c r="AB1027" s="403"/>
      <c r="AC1027" s="403"/>
      <c r="AD1027" s="403"/>
      <c r="AG1027" s="403"/>
      <c r="AM1027" s="415"/>
      <c r="AR1027" s="333"/>
      <c r="AS1027" s="333"/>
      <c r="AT1027" s="333"/>
      <c r="AU1027" s="333"/>
      <c r="AV1027" s="333"/>
    </row>
    <row r="1028" spans="2:48" s="330" customFormat="1" ht="28.15" customHeight="1" x14ac:dyDescent="0.25">
      <c r="B1028" s="331"/>
      <c r="C1028" s="332"/>
      <c r="D1028" s="332"/>
      <c r="E1028" s="333"/>
      <c r="F1028" s="333"/>
      <c r="S1028" s="403"/>
      <c r="T1028" s="403"/>
      <c r="U1028" s="403"/>
      <c r="V1028" s="403"/>
      <c r="AA1028" s="403"/>
      <c r="AB1028" s="403"/>
      <c r="AC1028" s="403"/>
      <c r="AD1028" s="403"/>
      <c r="AG1028" s="403"/>
      <c r="AM1028" s="415"/>
      <c r="AR1028" s="333"/>
      <c r="AS1028" s="333"/>
      <c r="AT1028" s="333"/>
      <c r="AU1028" s="333"/>
      <c r="AV1028" s="333"/>
    </row>
    <row r="1029" spans="2:48" s="330" customFormat="1" ht="28.15" customHeight="1" x14ac:dyDescent="0.25">
      <c r="B1029" s="331"/>
      <c r="C1029" s="332"/>
      <c r="D1029" s="332"/>
      <c r="E1029" s="333"/>
      <c r="F1029" s="333"/>
      <c r="S1029" s="403"/>
      <c r="T1029" s="403"/>
      <c r="U1029" s="403"/>
      <c r="V1029" s="403"/>
      <c r="AA1029" s="403"/>
      <c r="AB1029" s="403"/>
      <c r="AC1029" s="403"/>
      <c r="AD1029" s="403"/>
      <c r="AG1029" s="403"/>
      <c r="AM1029" s="415"/>
      <c r="AR1029" s="333"/>
      <c r="AS1029" s="333"/>
      <c r="AT1029" s="333"/>
      <c r="AU1029" s="333"/>
      <c r="AV1029" s="333"/>
    </row>
    <row r="1030" spans="2:48" s="330" customFormat="1" ht="28.15" customHeight="1" x14ac:dyDescent="0.25">
      <c r="B1030" s="331"/>
      <c r="C1030" s="332"/>
      <c r="D1030" s="332"/>
      <c r="E1030" s="333"/>
      <c r="F1030" s="333"/>
      <c r="S1030" s="403"/>
      <c r="T1030" s="403"/>
      <c r="U1030" s="403"/>
      <c r="V1030" s="403"/>
      <c r="AA1030" s="403"/>
      <c r="AB1030" s="403"/>
      <c r="AC1030" s="403"/>
      <c r="AD1030" s="403"/>
      <c r="AG1030" s="403"/>
      <c r="AM1030" s="415"/>
      <c r="AR1030" s="333"/>
      <c r="AS1030" s="333"/>
      <c r="AT1030" s="333"/>
      <c r="AU1030" s="333"/>
      <c r="AV1030" s="333"/>
    </row>
    <row r="1031" spans="2:48" s="330" customFormat="1" ht="28.15" customHeight="1" x14ac:dyDescent="0.25">
      <c r="B1031" s="331"/>
      <c r="C1031" s="332"/>
      <c r="D1031" s="332"/>
      <c r="E1031" s="333"/>
      <c r="F1031" s="333"/>
      <c r="S1031" s="403"/>
      <c r="T1031" s="403"/>
      <c r="U1031" s="403"/>
      <c r="V1031" s="403"/>
      <c r="AA1031" s="403"/>
      <c r="AB1031" s="403"/>
      <c r="AC1031" s="403"/>
      <c r="AD1031" s="403"/>
      <c r="AG1031" s="403"/>
      <c r="AM1031" s="415"/>
      <c r="AR1031" s="333"/>
      <c r="AS1031" s="333"/>
      <c r="AT1031" s="333"/>
      <c r="AU1031" s="333"/>
      <c r="AV1031" s="333"/>
    </row>
    <row r="1032" spans="2:48" s="330" customFormat="1" ht="28.15" customHeight="1" x14ac:dyDescent="0.25">
      <c r="B1032" s="331"/>
      <c r="C1032" s="332"/>
      <c r="D1032" s="332"/>
      <c r="E1032" s="333"/>
      <c r="F1032" s="333"/>
      <c r="S1032" s="403"/>
      <c r="T1032" s="403"/>
      <c r="U1032" s="403"/>
      <c r="V1032" s="403"/>
      <c r="AA1032" s="403"/>
      <c r="AB1032" s="403"/>
      <c r="AC1032" s="403"/>
      <c r="AD1032" s="403"/>
      <c r="AG1032" s="403"/>
      <c r="AM1032" s="415"/>
      <c r="AR1032" s="333"/>
      <c r="AS1032" s="333"/>
      <c r="AT1032" s="333"/>
      <c r="AU1032" s="333"/>
      <c r="AV1032" s="333"/>
    </row>
    <row r="1033" spans="2:48" s="330" customFormat="1" ht="28.15" customHeight="1" x14ac:dyDescent="0.25">
      <c r="B1033" s="331"/>
      <c r="C1033" s="332"/>
      <c r="D1033" s="332"/>
      <c r="E1033" s="333"/>
      <c r="F1033" s="333"/>
      <c r="S1033" s="403"/>
      <c r="T1033" s="403"/>
      <c r="U1033" s="403"/>
      <c r="V1033" s="403"/>
      <c r="AA1033" s="403"/>
      <c r="AB1033" s="403"/>
      <c r="AC1033" s="403"/>
      <c r="AD1033" s="403"/>
      <c r="AG1033" s="403"/>
      <c r="AM1033" s="415"/>
      <c r="AR1033" s="333"/>
      <c r="AS1033" s="333"/>
      <c r="AT1033" s="333"/>
      <c r="AU1033" s="333"/>
      <c r="AV1033" s="333"/>
    </row>
    <row r="1034" spans="2:48" s="330" customFormat="1" ht="28.15" customHeight="1" x14ac:dyDescent="0.25">
      <c r="B1034" s="331"/>
      <c r="C1034" s="332"/>
      <c r="D1034" s="332"/>
      <c r="E1034" s="333"/>
      <c r="F1034" s="333"/>
      <c r="S1034" s="403"/>
      <c r="T1034" s="403"/>
      <c r="U1034" s="403"/>
      <c r="V1034" s="403"/>
      <c r="AA1034" s="403"/>
      <c r="AB1034" s="403"/>
      <c r="AC1034" s="403"/>
      <c r="AD1034" s="403"/>
      <c r="AG1034" s="403"/>
      <c r="AM1034" s="415"/>
      <c r="AR1034" s="333"/>
      <c r="AS1034" s="333"/>
      <c r="AT1034" s="333"/>
      <c r="AU1034" s="333"/>
      <c r="AV1034" s="333"/>
    </row>
    <row r="1035" spans="2:48" s="330" customFormat="1" ht="28.15" customHeight="1" x14ac:dyDescent="0.25">
      <c r="B1035" s="331"/>
      <c r="C1035" s="332"/>
      <c r="D1035" s="332"/>
      <c r="E1035" s="333"/>
      <c r="F1035" s="333"/>
      <c r="S1035" s="403"/>
      <c r="T1035" s="403"/>
      <c r="U1035" s="403"/>
      <c r="V1035" s="403"/>
      <c r="AA1035" s="403"/>
      <c r="AB1035" s="403"/>
      <c r="AC1035" s="403"/>
      <c r="AD1035" s="403"/>
      <c r="AG1035" s="403"/>
      <c r="AM1035" s="415"/>
      <c r="AR1035" s="333"/>
      <c r="AS1035" s="333"/>
      <c r="AT1035" s="333"/>
      <c r="AU1035" s="333"/>
      <c r="AV1035" s="333"/>
    </row>
    <row r="1036" spans="2:48" s="330" customFormat="1" ht="28.15" customHeight="1" x14ac:dyDescent="0.25">
      <c r="B1036" s="331"/>
      <c r="C1036" s="332"/>
      <c r="D1036" s="332"/>
      <c r="E1036" s="333"/>
      <c r="F1036" s="333"/>
      <c r="S1036" s="403"/>
      <c r="T1036" s="403"/>
      <c r="U1036" s="403"/>
      <c r="V1036" s="403"/>
      <c r="AA1036" s="403"/>
      <c r="AB1036" s="403"/>
      <c r="AC1036" s="403"/>
      <c r="AD1036" s="403"/>
      <c r="AG1036" s="403"/>
      <c r="AM1036" s="415"/>
      <c r="AR1036" s="333"/>
      <c r="AS1036" s="333"/>
      <c r="AT1036" s="333"/>
      <c r="AU1036" s="333"/>
      <c r="AV1036" s="333"/>
    </row>
    <row r="1037" spans="2:48" s="330" customFormat="1" ht="28.15" customHeight="1" x14ac:dyDescent="0.25">
      <c r="B1037" s="331"/>
      <c r="C1037" s="332"/>
      <c r="D1037" s="332"/>
      <c r="E1037" s="333"/>
      <c r="F1037" s="333"/>
      <c r="S1037" s="403"/>
      <c r="T1037" s="403"/>
      <c r="U1037" s="403"/>
      <c r="V1037" s="403"/>
      <c r="AA1037" s="403"/>
      <c r="AB1037" s="403"/>
      <c r="AC1037" s="403"/>
      <c r="AD1037" s="403"/>
      <c r="AG1037" s="403"/>
      <c r="AM1037" s="415"/>
      <c r="AR1037" s="333"/>
      <c r="AS1037" s="333"/>
      <c r="AT1037" s="333"/>
      <c r="AU1037" s="333"/>
      <c r="AV1037" s="333"/>
    </row>
    <row r="1038" spans="2:48" s="330" customFormat="1" ht="28.15" customHeight="1" x14ac:dyDescent="0.25">
      <c r="B1038" s="331"/>
      <c r="C1038" s="332"/>
      <c r="D1038" s="332"/>
      <c r="E1038" s="333"/>
      <c r="F1038" s="333"/>
      <c r="S1038" s="403"/>
      <c r="T1038" s="403"/>
      <c r="U1038" s="403"/>
      <c r="V1038" s="403"/>
      <c r="AA1038" s="403"/>
      <c r="AB1038" s="403"/>
      <c r="AC1038" s="403"/>
      <c r="AD1038" s="403"/>
      <c r="AG1038" s="403"/>
      <c r="AM1038" s="415"/>
      <c r="AR1038" s="333"/>
      <c r="AS1038" s="333"/>
      <c r="AT1038" s="333"/>
      <c r="AU1038" s="333"/>
      <c r="AV1038" s="333"/>
    </row>
    <row r="1039" spans="2:48" s="330" customFormat="1" ht="28.15" customHeight="1" x14ac:dyDescent="0.25">
      <c r="B1039" s="331"/>
      <c r="C1039" s="332"/>
      <c r="D1039" s="332"/>
      <c r="E1039" s="333"/>
      <c r="F1039" s="333"/>
      <c r="S1039" s="403"/>
      <c r="T1039" s="403"/>
      <c r="U1039" s="403"/>
      <c r="V1039" s="403"/>
      <c r="AA1039" s="403"/>
      <c r="AB1039" s="403"/>
      <c r="AC1039" s="403"/>
      <c r="AD1039" s="403"/>
      <c r="AG1039" s="403"/>
      <c r="AM1039" s="415"/>
      <c r="AR1039" s="333"/>
      <c r="AS1039" s="333"/>
      <c r="AT1039" s="333"/>
      <c r="AU1039" s="333"/>
      <c r="AV1039" s="333"/>
    </row>
    <row r="1040" spans="2:48" s="330" customFormat="1" ht="28.15" customHeight="1" x14ac:dyDescent="0.25">
      <c r="B1040" s="331"/>
      <c r="C1040" s="332"/>
      <c r="D1040" s="332"/>
      <c r="E1040" s="333"/>
      <c r="F1040" s="333"/>
      <c r="S1040" s="403"/>
      <c r="T1040" s="403"/>
      <c r="U1040" s="403"/>
      <c r="V1040" s="403"/>
      <c r="AA1040" s="403"/>
      <c r="AB1040" s="403"/>
      <c r="AC1040" s="403"/>
      <c r="AD1040" s="403"/>
      <c r="AG1040" s="403"/>
      <c r="AM1040" s="415"/>
      <c r="AR1040" s="333"/>
      <c r="AS1040" s="333"/>
      <c r="AT1040" s="333"/>
      <c r="AU1040" s="333"/>
      <c r="AV1040" s="333"/>
    </row>
    <row r="1041" spans="2:48" s="330" customFormat="1" ht="28.15" customHeight="1" x14ac:dyDescent="0.25">
      <c r="B1041" s="331"/>
      <c r="C1041" s="332"/>
      <c r="D1041" s="332"/>
      <c r="E1041" s="333"/>
      <c r="F1041" s="333"/>
      <c r="S1041" s="403"/>
      <c r="T1041" s="403"/>
      <c r="U1041" s="403"/>
      <c r="V1041" s="403"/>
      <c r="AA1041" s="403"/>
      <c r="AB1041" s="403"/>
      <c r="AC1041" s="403"/>
      <c r="AD1041" s="403"/>
      <c r="AG1041" s="403"/>
      <c r="AM1041" s="415"/>
      <c r="AR1041" s="333"/>
      <c r="AS1041" s="333"/>
      <c r="AT1041" s="333"/>
      <c r="AU1041" s="333"/>
      <c r="AV1041" s="333"/>
    </row>
    <row r="1042" spans="2:48" s="330" customFormat="1" ht="28.15" customHeight="1" x14ac:dyDescent="0.25">
      <c r="B1042" s="331"/>
      <c r="C1042" s="332"/>
      <c r="D1042" s="332"/>
      <c r="E1042" s="333"/>
      <c r="F1042" s="333"/>
      <c r="S1042" s="403"/>
      <c r="T1042" s="403"/>
      <c r="U1042" s="403"/>
      <c r="V1042" s="403"/>
      <c r="AA1042" s="403"/>
      <c r="AB1042" s="403"/>
      <c r="AC1042" s="403"/>
      <c r="AD1042" s="403"/>
      <c r="AG1042" s="403"/>
      <c r="AM1042" s="415"/>
      <c r="AR1042" s="333"/>
      <c r="AS1042" s="333"/>
      <c r="AT1042" s="333"/>
      <c r="AU1042" s="333"/>
      <c r="AV1042" s="333"/>
    </row>
    <row r="1043" spans="2:48" s="330" customFormat="1" ht="28.15" customHeight="1" x14ac:dyDescent="0.25">
      <c r="B1043" s="331"/>
      <c r="C1043" s="332"/>
      <c r="D1043" s="332"/>
      <c r="E1043" s="333"/>
      <c r="F1043" s="333"/>
      <c r="S1043" s="403"/>
      <c r="T1043" s="403"/>
      <c r="U1043" s="403"/>
      <c r="V1043" s="403"/>
      <c r="AA1043" s="403"/>
      <c r="AB1043" s="403"/>
      <c r="AC1043" s="403"/>
      <c r="AD1043" s="403"/>
      <c r="AG1043" s="403"/>
      <c r="AM1043" s="415"/>
      <c r="AR1043" s="333"/>
      <c r="AS1043" s="333"/>
      <c r="AT1043" s="333"/>
      <c r="AU1043" s="333"/>
      <c r="AV1043" s="333"/>
    </row>
    <row r="1044" spans="2:48" s="330" customFormat="1" ht="28.15" customHeight="1" x14ac:dyDescent="0.25">
      <c r="B1044" s="331"/>
      <c r="C1044" s="332"/>
      <c r="D1044" s="332"/>
      <c r="E1044" s="333"/>
      <c r="F1044" s="333"/>
      <c r="S1044" s="403"/>
      <c r="T1044" s="403"/>
      <c r="U1044" s="403"/>
      <c r="V1044" s="403"/>
      <c r="AA1044" s="403"/>
      <c r="AB1044" s="403"/>
      <c r="AC1044" s="403"/>
      <c r="AD1044" s="403"/>
      <c r="AG1044" s="403"/>
      <c r="AM1044" s="415"/>
      <c r="AR1044" s="333"/>
      <c r="AS1044" s="333"/>
      <c r="AT1044" s="333"/>
      <c r="AU1044" s="333"/>
      <c r="AV1044" s="333"/>
    </row>
    <row r="1045" spans="2:48" s="330" customFormat="1" ht="28.15" customHeight="1" x14ac:dyDescent="0.25">
      <c r="B1045" s="331"/>
      <c r="C1045" s="332"/>
      <c r="D1045" s="332"/>
      <c r="E1045" s="333"/>
      <c r="F1045" s="333"/>
      <c r="S1045" s="403"/>
      <c r="T1045" s="403"/>
      <c r="U1045" s="403"/>
      <c r="V1045" s="403"/>
      <c r="AA1045" s="403"/>
      <c r="AB1045" s="403"/>
      <c r="AC1045" s="403"/>
      <c r="AD1045" s="403"/>
      <c r="AG1045" s="403"/>
      <c r="AM1045" s="415"/>
      <c r="AR1045" s="333"/>
      <c r="AS1045" s="333"/>
      <c r="AT1045" s="333"/>
      <c r="AU1045" s="333"/>
      <c r="AV1045" s="333"/>
    </row>
    <row r="1046" spans="2:48" s="330" customFormat="1" ht="28.15" customHeight="1" x14ac:dyDescent="0.25">
      <c r="B1046" s="331"/>
      <c r="C1046" s="332"/>
      <c r="D1046" s="332"/>
      <c r="E1046" s="333"/>
      <c r="F1046" s="333"/>
      <c r="S1046" s="403"/>
      <c r="T1046" s="403"/>
      <c r="U1046" s="403"/>
      <c r="V1046" s="403"/>
      <c r="AA1046" s="403"/>
      <c r="AB1046" s="403"/>
      <c r="AC1046" s="403"/>
      <c r="AD1046" s="403"/>
      <c r="AG1046" s="403"/>
      <c r="AM1046" s="415"/>
      <c r="AR1046" s="333"/>
      <c r="AS1046" s="333"/>
      <c r="AT1046" s="333"/>
      <c r="AU1046" s="333"/>
      <c r="AV1046" s="333"/>
    </row>
    <row r="1047" spans="2:48" s="330" customFormat="1" ht="28.15" customHeight="1" x14ac:dyDescent="0.25">
      <c r="B1047" s="331"/>
      <c r="C1047" s="332"/>
      <c r="D1047" s="332"/>
      <c r="E1047" s="333"/>
      <c r="F1047" s="333"/>
      <c r="S1047" s="403"/>
      <c r="T1047" s="403"/>
      <c r="U1047" s="403"/>
      <c r="V1047" s="403"/>
      <c r="AA1047" s="403"/>
      <c r="AB1047" s="403"/>
      <c r="AC1047" s="403"/>
      <c r="AD1047" s="403"/>
      <c r="AG1047" s="403"/>
      <c r="AM1047" s="415"/>
      <c r="AR1047" s="333"/>
      <c r="AS1047" s="333"/>
      <c r="AT1047" s="333"/>
      <c r="AU1047" s="333"/>
      <c r="AV1047" s="333"/>
    </row>
    <row r="1048" spans="2:48" s="330" customFormat="1" ht="28.15" customHeight="1" x14ac:dyDescent="0.25">
      <c r="B1048" s="331"/>
      <c r="C1048" s="332"/>
      <c r="D1048" s="332"/>
      <c r="E1048" s="333"/>
      <c r="F1048" s="333"/>
      <c r="S1048" s="403"/>
      <c r="T1048" s="403"/>
      <c r="U1048" s="403"/>
      <c r="V1048" s="403"/>
      <c r="AA1048" s="403"/>
      <c r="AB1048" s="403"/>
      <c r="AC1048" s="403"/>
      <c r="AD1048" s="403"/>
      <c r="AG1048" s="403"/>
      <c r="AM1048" s="415"/>
      <c r="AR1048" s="333"/>
      <c r="AS1048" s="333"/>
      <c r="AT1048" s="333"/>
      <c r="AU1048" s="333"/>
      <c r="AV1048" s="333"/>
    </row>
    <row r="1049" spans="2:48" s="330" customFormat="1" ht="28.15" customHeight="1" x14ac:dyDescent="0.25">
      <c r="B1049" s="331"/>
      <c r="C1049" s="332"/>
      <c r="D1049" s="332"/>
      <c r="E1049" s="333"/>
      <c r="F1049" s="333"/>
      <c r="S1049" s="403"/>
      <c r="T1049" s="403"/>
      <c r="U1049" s="403"/>
      <c r="V1049" s="403"/>
      <c r="AA1049" s="403"/>
      <c r="AB1049" s="403"/>
      <c r="AC1049" s="403"/>
      <c r="AD1049" s="403"/>
      <c r="AG1049" s="403"/>
      <c r="AM1049" s="415"/>
      <c r="AR1049" s="333"/>
      <c r="AS1049" s="333"/>
      <c r="AT1049" s="333"/>
      <c r="AU1049" s="333"/>
      <c r="AV1049" s="333"/>
    </row>
    <row r="1050" spans="2:48" s="330" customFormat="1" ht="28.15" customHeight="1" x14ac:dyDescent="0.25">
      <c r="B1050" s="331"/>
      <c r="C1050" s="332"/>
      <c r="D1050" s="332"/>
      <c r="E1050" s="333"/>
      <c r="F1050" s="333"/>
      <c r="S1050" s="403"/>
      <c r="T1050" s="403"/>
      <c r="U1050" s="403"/>
      <c r="V1050" s="403"/>
      <c r="AA1050" s="403"/>
      <c r="AB1050" s="403"/>
      <c r="AC1050" s="403"/>
      <c r="AD1050" s="403"/>
      <c r="AG1050" s="403"/>
      <c r="AM1050" s="415"/>
      <c r="AR1050" s="333"/>
      <c r="AS1050" s="333"/>
      <c r="AT1050" s="333"/>
      <c r="AU1050" s="333"/>
      <c r="AV1050" s="333"/>
    </row>
    <row r="1051" spans="2:48" s="330" customFormat="1" ht="28.15" customHeight="1" x14ac:dyDescent="0.25">
      <c r="B1051" s="331"/>
      <c r="C1051" s="332"/>
      <c r="D1051" s="332"/>
      <c r="E1051" s="333"/>
      <c r="F1051" s="333"/>
      <c r="S1051" s="403"/>
      <c r="T1051" s="403"/>
      <c r="U1051" s="403"/>
      <c r="V1051" s="403"/>
      <c r="AA1051" s="403"/>
      <c r="AB1051" s="403"/>
      <c r="AC1051" s="403"/>
      <c r="AD1051" s="403"/>
      <c r="AG1051" s="403"/>
      <c r="AM1051" s="415"/>
      <c r="AR1051" s="333"/>
      <c r="AS1051" s="333"/>
      <c r="AT1051" s="333"/>
      <c r="AU1051" s="333"/>
      <c r="AV1051" s="333"/>
    </row>
    <row r="1052" spans="2:48" s="330" customFormat="1" ht="28.15" customHeight="1" x14ac:dyDescent="0.25">
      <c r="B1052" s="331"/>
      <c r="C1052" s="332"/>
      <c r="D1052" s="332"/>
      <c r="E1052" s="333"/>
      <c r="F1052" s="333"/>
      <c r="S1052" s="403"/>
      <c r="T1052" s="403"/>
      <c r="U1052" s="403"/>
      <c r="V1052" s="403"/>
      <c r="AA1052" s="403"/>
      <c r="AB1052" s="403"/>
      <c r="AC1052" s="403"/>
      <c r="AD1052" s="403"/>
      <c r="AG1052" s="403"/>
      <c r="AM1052" s="415"/>
      <c r="AR1052" s="333"/>
      <c r="AS1052" s="333"/>
      <c r="AT1052" s="333"/>
      <c r="AU1052" s="333"/>
      <c r="AV1052" s="333"/>
    </row>
    <row r="1053" spans="2:48" s="330" customFormat="1" ht="28.15" customHeight="1" x14ac:dyDescent="0.25">
      <c r="B1053" s="331"/>
      <c r="C1053" s="332"/>
      <c r="D1053" s="332"/>
      <c r="E1053" s="333"/>
      <c r="F1053" s="333"/>
      <c r="S1053" s="403"/>
      <c r="T1053" s="403"/>
      <c r="U1053" s="403"/>
      <c r="V1053" s="403"/>
      <c r="AA1053" s="403"/>
      <c r="AB1053" s="403"/>
      <c r="AC1053" s="403"/>
      <c r="AD1053" s="403"/>
      <c r="AG1053" s="403"/>
      <c r="AM1053" s="415"/>
      <c r="AR1053" s="333"/>
      <c r="AS1053" s="333"/>
      <c r="AT1053" s="333"/>
      <c r="AU1053" s="333"/>
      <c r="AV1053" s="333"/>
    </row>
    <row r="1054" spans="2:48" s="330" customFormat="1" ht="28.15" customHeight="1" x14ac:dyDescent="0.25">
      <c r="B1054" s="331"/>
      <c r="C1054" s="332"/>
      <c r="D1054" s="332"/>
      <c r="E1054" s="333"/>
      <c r="F1054" s="333"/>
      <c r="S1054" s="403"/>
      <c r="T1054" s="403"/>
      <c r="U1054" s="403"/>
      <c r="V1054" s="403"/>
      <c r="AA1054" s="403"/>
      <c r="AB1054" s="403"/>
      <c r="AC1054" s="403"/>
      <c r="AD1054" s="403"/>
      <c r="AG1054" s="403"/>
      <c r="AM1054" s="415"/>
      <c r="AR1054" s="333"/>
      <c r="AS1054" s="333"/>
      <c r="AT1054" s="333"/>
      <c r="AU1054" s="333"/>
      <c r="AV1054" s="333"/>
    </row>
    <row r="1055" spans="2:48" s="330" customFormat="1" ht="28.15" customHeight="1" x14ac:dyDescent="0.25">
      <c r="B1055" s="331"/>
      <c r="C1055" s="332"/>
      <c r="D1055" s="332"/>
      <c r="E1055" s="333"/>
      <c r="F1055" s="333"/>
      <c r="S1055" s="403"/>
      <c r="T1055" s="403"/>
      <c r="U1055" s="403"/>
      <c r="V1055" s="403"/>
      <c r="AA1055" s="403"/>
      <c r="AB1055" s="403"/>
      <c r="AC1055" s="403"/>
      <c r="AD1055" s="403"/>
      <c r="AG1055" s="403"/>
      <c r="AM1055" s="415"/>
      <c r="AR1055" s="333"/>
      <c r="AS1055" s="333"/>
      <c r="AT1055" s="333"/>
      <c r="AU1055" s="333"/>
      <c r="AV1055" s="333"/>
    </row>
    <row r="1056" spans="2:48" s="330" customFormat="1" ht="28.15" customHeight="1" x14ac:dyDescent="0.25">
      <c r="B1056" s="331"/>
      <c r="C1056" s="332"/>
      <c r="D1056" s="332"/>
      <c r="E1056" s="333"/>
      <c r="F1056" s="333"/>
      <c r="S1056" s="403"/>
      <c r="T1056" s="403"/>
      <c r="U1056" s="403"/>
      <c r="V1056" s="403"/>
      <c r="AA1056" s="403"/>
      <c r="AB1056" s="403"/>
      <c r="AC1056" s="403"/>
      <c r="AD1056" s="403"/>
      <c r="AG1056" s="403"/>
      <c r="AM1056" s="415"/>
      <c r="AR1056" s="333"/>
      <c r="AS1056" s="333"/>
      <c r="AT1056" s="333"/>
      <c r="AU1056" s="333"/>
      <c r="AV1056" s="333"/>
    </row>
    <row r="1057" spans="2:48" s="330" customFormat="1" ht="28.15" customHeight="1" x14ac:dyDescent="0.25">
      <c r="B1057" s="331"/>
      <c r="C1057" s="332"/>
      <c r="D1057" s="332"/>
      <c r="E1057" s="333"/>
      <c r="F1057" s="333"/>
      <c r="S1057" s="403"/>
      <c r="T1057" s="403"/>
      <c r="U1057" s="403"/>
      <c r="V1057" s="403"/>
      <c r="AA1057" s="403"/>
      <c r="AB1057" s="403"/>
      <c r="AC1057" s="403"/>
      <c r="AD1057" s="403"/>
      <c r="AG1057" s="403"/>
      <c r="AM1057" s="415"/>
      <c r="AR1057" s="333"/>
      <c r="AS1057" s="333"/>
      <c r="AT1057" s="333"/>
      <c r="AU1057" s="333"/>
      <c r="AV1057" s="333"/>
    </row>
    <row r="1058" spans="2:48" s="330" customFormat="1" ht="28.15" customHeight="1" x14ac:dyDescent="0.25">
      <c r="B1058" s="331"/>
      <c r="C1058" s="332"/>
      <c r="D1058" s="332"/>
      <c r="E1058" s="333"/>
      <c r="F1058" s="333"/>
      <c r="S1058" s="403"/>
      <c r="T1058" s="403"/>
      <c r="U1058" s="403"/>
      <c r="V1058" s="403"/>
      <c r="AA1058" s="403"/>
      <c r="AB1058" s="403"/>
      <c r="AC1058" s="403"/>
      <c r="AD1058" s="403"/>
      <c r="AG1058" s="403"/>
      <c r="AM1058" s="415"/>
      <c r="AR1058" s="333"/>
      <c r="AS1058" s="333"/>
      <c r="AT1058" s="333"/>
      <c r="AU1058" s="333"/>
      <c r="AV1058" s="333"/>
    </row>
    <row r="1059" spans="2:48" s="330" customFormat="1" ht="28.15" customHeight="1" x14ac:dyDescent="0.25">
      <c r="B1059" s="331"/>
      <c r="C1059" s="332"/>
      <c r="D1059" s="332"/>
      <c r="E1059" s="333"/>
      <c r="F1059" s="333"/>
      <c r="S1059" s="403"/>
      <c r="T1059" s="403"/>
      <c r="U1059" s="403"/>
      <c r="V1059" s="403"/>
      <c r="AA1059" s="403"/>
      <c r="AB1059" s="403"/>
      <c r="AC1059" s="403"/>
      <c r="AD1059" s="403"/>
      <c r="AG1059" s="403"/>
      <c r="AM1059" s="415"/>
      <c r="AR1059" s="333"/>
      <c r="AS1059" s="333"/>
      <c r="AT1059" s="333"/>
      <c r="AU1059" s="333"/>
      <c r="AV1059" s="333"/>
    </row>
    <row r="1060" spans="2:48" s="330" customFormat="1" ht="28.15" customHeight="1" x14ac:dyDescent="0.25">
      <c r="B1060" s="331"/>
      <c r="C1060" s="332"/>
      <c r="D1060" s="332"/>
      <c r="E1060" s="333"/>
      <c r="F1060" s="333"/>
      <c r="S1060" s="403"/>
      <c r="T1060" s="403"/>
      <c r="U1060" s="403"/>
      <c r="V1060" s="403"/>
      <c r="AA1060" s="403"/>
      <c r="AB1060" s="403"/>
      <c r="AC1060" s="403"/>
      <c r="AD1060" s="403"/>
      <c r="AG1060" s="403"/>
      <c r="AM1060" s="415"/>
      <c r="AR1060" s="333"/>
      <c r="AS1060" s="333"/>
      <c r="AT1060" s="333"/>
      <c r="AU1060" s="333"/>
      <c r="AV1060" s="333"/>
    </row>
    <row r="1061" spans="2:48" s="330" customFormat="1" ht="28.15" customHeight="1" x14ac:dyDescent="0.25">
      <c r="B1061" s="331"/>
      <c r="C1061" s="332"/>
      <c r="D1061" s="332"/>
      <c r="E1061" s="333"/>
      <c r="F1061" s="333"/>
      <c r="S1061" s="403"/>
      <c r="T1061" s="403"/>
      <c r="U1061" s="403"/>
      <c r="V1061" s="403"/>
      <c r="AA1061" s="403"/>
      <c r="AB1061" s="403"/>
      <c r="AC1061" s="403"/>
      <c r="AD1061" s="403"/>
      <c r="AG1061" s="403"/>
      <c r="AM1061" s="415"/>
      <c r="AR1061" s="333"/>
      <c r="AS1061" s="333"/>
      <c r="AT1061" s="333"/>
      <c r="AU1061" s="333"/>
      <c r="AV1061" s="333"/>
    </row>
    <row r="1062" spans="2:48" s="330" customFormat="1" ht="28.15" customHeight="1" x14ac:dyDescent="0.25">
      <c r="B1062" s="331"/>
      <c r="C1062" s="332"/>
      <c r="D1062" s="332"/>
      <c r="E1062" s="333"/>
      <c r="F1062" s="333"/>
      <c r="S1062" s="403"/>
      <c r="T1062" s="403"/>
      <c r="U1062" s="403"/>
      <c r="V1062" s="403"/>
      <c r="AA1062" s="403"/>
      <c r="AB1062" s="403"/>
      <c r="AC1062" s="403"/>
      <c r="AD1062" s="403"/>
      <c r="AG1062" s="403"/>
      <c r="AM1062" s="415"/>
      <c r="AR1062" s="333"/>
      <c r="AS1062" s="333"/>
      <c r="AT1062" s="333"/>
      <c r="AU1062" s="333"/>
      <c r="AV1062" s="333"/>
    </row>
    <row r="1063" spans="2:48" s="330" customFormat="1" ht="28.15" customHeight="1" x14ac:dyDescent="0.25">
      <c r="B1063" s="331"/>
      <c r="C1063" s="332"/>
      <c r="D1063" s="332"/>
      <c r="E1063" s="333"/>
      <c r="F1063" s="333"/>
      <c r="S1063" s="403"/>
      <c r="T1063" s="403"/>
      <c r="U1063" s="403"/>
      <c r="V1063" s="403"/>
      <c r="AA1063" s="403"/>
      <c r="AB1063" s="403"/>
      <c r="AC1063" s="403"/>
      <c r="AD1063" s="403"/>
      <c r="AG1063" s="403"/>
      <c r="AM1063" s="415"/>
      <c r="AR1063" s="333"/>
      <c r="AS1063" s="333"/>
      <c r="AT1063" s="333"/>
      <c r="AU1063" s="333"/>
      <c r="AV1063" s="333"/>
    </row>
    <row r="1064" spans="2:48" s="330" customFormat="1" ht="28.15" customHeight="1" x14ac:dyDescent="0.25">
      <c r="B1064" s="331"/>
      <c r="C1064" s="332"/>
      <c r="D1064" s="332"/>
      <c r="E1064" s="333"/>
      <c r="F1064" s="333"/>
      <c r="S1064" s="403"/>
      <c r="T1064" s="403"/>
      <c r="U1064" s="403"/>
      <c r="V1064" s="403"/>
      <c r="AA1064" s="403"/>
      <c r="AB1064" s="403"/>
      <c r="AC1064" s="403"/>
      <c r="AD1064" s="403"/>
      <c r="AG1064" s="403"/>
      <c r="AM1064" s="415"/>
      <c r="AR1064" s="333"/>
      <c r="AS1064" s="333"/>
      <c r="AT1064" s="333"/>
      <c r="AU1064" s="333"/>
      <c r="AV1064" s="333"/>
    </row>
    <row r="1065" spans="2:48" s="330" customFormat="1" ht="28.15" customHeight="1" x14ac:dyDescent="0.25">
      <c r="B1065" s="331"/>
      <c r="C1065" s="332"/>
      <c r="D1065" s="332"/>
      <c r="E1065" s="333"/>
      <c r="F1065" s="333"/>
      <c r="S1065" s="403"/>
      <c r="T1065" s="403"/>
      <c r="U1065" s="403"/>
      <c r="V1065" s="403"/>
      <c r="AA1065" s="403"/>
      <c r="AB1065" s="403"/>
      <c r="AC1065" s="403"/>
      <c r="AD1065" s="403"/>
      <c r="AG1065" s="403"/>
      <c r="AM1065" s="415"/>
      <c r="AR1065" s="333"/>
      <c r="AS1065" s="333"/>
      <c r="AT1065" s="333"/>
      <c r="AU1065" s="333"/>
      <c r="AV1065" s="333"/>
    </row>
    <row r="1066" spans="2:48" s="330" customFormat="1" ht="28.15" customHeight="1" x14ac:dyDescent="0.25">
      <c r="B1066" s="331"/>
      <c r="C1066" s="332"/>
      <c r="D1066" s="332"/>
      <c r="E1066" s="333"/>
      <c r="F1066" s="333"/>
      <c r="S1066" s="403"/>
      <c r="T1066" s="403"/>
      <c r="U1066" s="403"/>
      <c r="V1066" s="403"/>
      <c r="AA1066" s="403"/>
      <c r="AB1066" s="403"/>
      <c r="AC1066" s="403"/>
      <c r="AD1066" s="403"/>
      <c r="AG1066" s="403"/>
      <c r="AM1066" s="415"/>
      <c r="AR1066" s="333"/>
      <c r="AS1066" s="333"/>
      <c r="AT1066" s="333"/>
      <c r="AU1066" s="333"/>
      <c r="AV1066" s="333"/>
    </row>
    <row r="1067" spans="2:48" s="330" customFormat="1" ht="28.15" customHeight="1" x14ac:dyDescent="0.25">
      <c r="B1067" s="331"/>
      <c r="C1067" s="332"/>
      <c r="D1067" s="332"/>
      <c r="E1067" s="333"/>
      <c r="F1067" s="333"/>
      <c r="S1067" s="403"/>
      <c r="T1067" s="403"/>
      <c r="U1067" s="403"/>
      <c r="V1067" s="403"/>
      <c r="AA1067" s="403"/>
      <c r="AB1067" s="403"/>
      <c r="AC1067" s="403"/>
      <c r="AD1067" s="403"/>
      <c r="AG1067" s="403"/>
      <c r="AM1067" s="415"/>
      <c r="AR1067" s="333"/>
      <c r="AS1067" s="333"/>
      <c r="AT1067" s="333"/>
      <c r="AU1067" s="333"/>
      <c r="AV1067" s="333"/>
    </row>
    <row r="1068" spans="2:48" s="330" customFormat="1" ht="28.15" customHeight="1" x14ac:dyDescent="0.25">
      <c r="B1068" s="331"/>
      <c r="C1068" s="332"/>
      <c r="D1068" s="332"/>
      <c r="E1068" s="333"/>
      <c r="F1068" s="333"/>
      <c r="S1068" s="403"/>
      <c r="T1068" s="403"/>
      <c r="U1068" s="403"/>
      <c r="V1068" s="403"/>
      <c r="AA1068" s="403"/>
      <c r="AB1068" s="403"/>
      <c r="AC1068" s="403"/>
      <c r="AD1068" s="403"/>
      <c r="AG1068" s="403"/>
      <c r="AM1068" s="415"/>
      <c r="AR1068" s="333"/>
      <c r="AS1068" s="333"/>
      <c r="AT1068" s="333"/>
      <c r="AU1068" s="333"/>
      <c r="AV1068" s="333"/>
    </row>
    <row r="1069" spans="2:48" s="330" customFormat="1" ht="28.15" customHeight="1" x14ac:dyDescent="0.25">
      <c r="B1069" s="331"/>
      <c r="C1069" s="332"/>
      <c r="D1069" s="332"/>
      <c r="E1069" s="333"/>
      <c r="F1069" s="333"/>
      <c r="S1069" s="403"/>
      <c r="T1069" s="403"/>
      <c r="U1069" s="403"/>
      <c r="V1069" s="403"/>
      <c r="AA1069" s="403"/>
      <c r="AB1069" s="403"/>
      <c r="AC1069" s="403"/>
      <c r="AD1069" s="403"/>
      <c r="AG1069" s="403"/>
      <c r="AM1069" s="415"/>
      <c r="AR1069" s="333"/>
      <c r="AS1069" s="333"/>
      <c r="AT1069" s="333"/>
      <c r="AU1069" s="333"/>
      <c r="AV1069" s="333"/>
    </row>
    <row r="1070" spans="2:48" s="330" customFormat="1" ht="28.15" customHeight="1" x14ac:dyDescent="0.25">
      <c r="B1070" s="331"/>
      <c r="C1070" s="332"/>
      <c r="D1070" s="332"/>
      <c r="E1070" s="333"/>
      <c r="F1070" s="333"/>
      <c r="S1070" s="403"/>
      <c r="T1070" s="403"/>
      <c r="U1070" s="403"/>
      <c r="V1070" s="403"/>
      <c r="AA1070" s="403"/>
      <c r="AB1070" s="403"/>
      <c r="AC1070" s="403"/>
      <c r="AD1070" s="403"/>
      <c r="AG1070" s="403"/>
      <c r="AM1070" s="415"/>
      <c r="AR1070" s="333"/>
      <c r="AS1070" s="333"/>
      <c r="AT1070" s="333"/>
      <c r="AU1070" s="333"/>
      <c r="AV1070" s="333"/>
    </row>
    <row r="1071" spans="2:48" s="330" customFormat="1" ht="28.15" customHeight="1" x14ac:dyDescent="0.25">
      <c r="B1071" s="331"/>
      <c r="C1071" s="332"/>
      <c r="D1071" s="332"/>
      <c r="E1071" s="333"/>
      <c r="F1071" s="333"/>
      <c r="S1071" s="403"/>
      <c r="T1071" s="403"/>
      <c r="U1071" s="403"/>
      <c r="V1071" s="403"/>
      <c r="AA1071" s="403"/>
      <c r="AB1071" s="403"/>
      <c r="AC1071" s="403"/>
      <c r="AD1071" s="403"/>
      <c r="AG1071" s="403"/>
      <c r="AM1071" s="415"/>
      <c r="AR1071" s="333"/>
      <c r="AS1071" s="333"/>
      <c r="AT1071" s="333"/>
      <c r="AU1071" s="333"/>
      <c r="AV1071" s="333"/>
    </row>
    <row r="1072" spans="2:48" s="330" customFormat="1" ht="28.15" customHeight="1" x14ac:dyDescent="0.25">
      <c r="B1072" s="331"/>
      <c r="C1072" s="332"/>
      <c r="D1072" s="332"/>
      <c r="E1072" s="333"/>
      <c r="F1072" s="333"/>
      <c r="S1072" s="403"/>
      <c r="T1072" s="403"/>
      <c r="U1072" s="403"/>
      <c r="V1072" s="403"/>
      <c r="AA1072" s="403"/>
      <c r="AB1072" s="403"/>
      <c r="AC1072" s="403"/>
      <c r="AD1072" s="403"/>
      <c r="AG1072" s="403"/>
      <c r="AM1072" s="415"/>
      <c r="AR1072" s="333"/>
      <c r="AS1072" s="333"/>
      <c r="AT1072" s="333"/>
      <c r="AU1072" s="333"/>
      <c r="AV1072" s="333"/>
    </row>
    <row r="1073" spans="2:48" s="330" customFormat="1" ht="28.15" customHeight="1" x14ac:dyDescent="0.25">
      <c r="B1073" s="331"/>
      <c r="C1073" s="332"/>
      <c r="D1073" s="332"/>
      <c r="E1073" s="333"/>
      <c r="F1073" s="333"/>
      <c r="S1073" s="403"/>
      <c r="T1073" s="403"/>
      <c r="U1073" s="403"/>
      <c r="V1073" s="403"/>
      <c r="AA1073" s="403"/>
      <c r="AB1073" s="403"/>
      <c r="AC1073" s="403"/>
      <c r="AD1073" s="403"/>
      <c r="AG1073" s="403"/>
      <c r="AM1073" s="415"/>
      <c r="AR1073" s="333"/>
      <c r="AS1073" s="333"/>
      <c r="AT1073" s="333"/>
      <c r="AU1073" s="333"/>
      <c r="AV1073" s="333"/>
    </row>
    <row r="1074" spans="2:48" s="330" customFormat="1" ht="28.15" customHeight="1" x14ac:dyDescent="0.25">
      <c r="B1074" s="331"/>
      <c r="C1074" s="332"/>
      <c r="D1074" s="332"/>
      <c r="E1074" s="333"/>
      <c r="F1074" s="333"/>
      <c r="S1074" s="403"/>
      <c r="T1074" s="403"/>
      <c r="U1074" s="403"/>
      <c r="V1074" s="403"/>
      <c r="AA1074" s="403"/>
      <c r="AB1074" s="403"/>
      <c r="AC1074" s="403"/>
      <c r="AD1074" s="403"/>
      <c r="AG1074" s="403"/>
      <c r="AM1074" s="415"/>
      <c r="AR1074" s="333"/>
      <c r="AS1074" s="333"/>
      <c r="AT1074" s="333"/>
      <c r="AU1074" s="333"/>
      <c r="AV1074" s="333"/>
    </row>
    <row r="1075" spans="2:48" s="330" customFormat="1" ht="28.15" customHeight="1" x14ac:dyDescent="0.25">
      <c r="B1075" s="331"/>
      <c r="C1075" s="332"/>
      <c r="D1075" s="332"/>
      <c r="E1075" s="333"/>
      <c r="F1075" s="333"/>
      <c r="S1075" s="403"/>
      <c r="T1075" s="403"/>
      <c r="U1075" s="403"/>
      <c r="V1075" s="403"/>
      <c r="AA1075" s="403"/>
      <c r="AB1075" s="403"/>
      <c r="AC1075" s="403"/>
      <c r="AD1075" s="403"/>
      <c r="AG1075" s="403"/>
      <c r="AM1075" s="415"/>
      <c r="AR1075" s="333"/>
      <c r="AS1075" s="333"/>
      <c r="AT1075" s="333"/>
      <c r="AU1075" s="333"/>
      <c r="AV1075" s="333"/>
    </row>
    <row r="1076" spans="2:48" s="330" customFormat="1" ht="28.15" customHeight="1" x14ac:dyDescent="0.25">
      <c r="B1076" s="331"/>
      <c r="C1076" s="332"/>
      <c r="D1076" s="332"/>
      <c r="E1076" s="333"/>
      <c r="F1076" s="333"/>
      <c r="S1076" s="403"/>
      <c r="T1076" s="403"/>
      <c r="U1076" s="403"/>
      <c r="V1076" s="403"/>
      <c r="AA1076" s="403"/>
      <c r="AB1076" s="403"/>
      <c r="AC1076" s="403"/>
      <c r="AD1076" s="403"/>
      <c r="AG1076" s="403"/>
      <c r="AM1076" s="415"/>
      <c r="AR1076" s="333"/>
      <c r="AS1076" s="333"/>
      <c r="AT1076" s="333"/>
      <c r="AU1076" s="333"/>
      <c r="AV1076" s="333"/>
    </row>
    <row r="1077" spans="2:48" s="330" customFormat="1" ht="28.15" customHeight="1" x14ac:dyDescent="0.25">
      <c r="B1077" s="331"/>
      <c r="C1077" s="332"/>
      <c r="D1077" s="332"/>
      <c r="E1077" s="333"/>
      <c r="F1077" s="333"/>
      <c r="S1077" s="403"/>
      <c r="T1077" s="403"/>
      <c r="U1077" s="403"/>
      <c r="V1077" s="403"/>
      <c r="AA1077" s="403"/>
      <c r="AB1077" s="403"/>
      <c r="AC1077" s="403"/>
      <c r="AD1077" s="403"/>
      <c r="AG1077" s="403"/>
      <c r="AM1077" s="415"/>
      <c r="AR1077" s="333"/>
      <c r="AS1077" s="333"/>
      <c r="AT1077" s="333"/>
      <c r="AU1077" s="333"/>
      <c r="AV1077" s="333"/>
    </row>
    <row r="1078" spans="2:48" s="330" customFormat="1" ht="28.15" customHeight="1" x14ac:dyDescent="0.25">
      <c r="B1078" s="331"/>
      <c r="C1078" s="332"/>
      <c r="D1078" s="332"/>
      <c r="E1078" s="333"/>
      <c r="F1078" s="333"/>
      <c r="S1078" s="403"/>
      <c r="T1078" s="403"/>
      <c r="U1078" s="403"/>
      <c r="V1078" s="403"/>
      <c r="AA1078" s="403"/>
      <c r="AB1078" s="403"/>
      <c r="AC1078" s="403"/>
      <c r="AD1078" s="403"/>
      <c r="AG1078" s="403"/>
      <c r="AM1078" s="415"/>
      <c r="AR1078" s="333"/>
      <c r="AS1078" s="333"/>
      <c r="AT1078" s="333"/>
      <c r="AU1078" s="333"/>
      <c r="AV1078" s="333"/>
    </row>
    <row r="1079" spans="2:48" s="330" customFormat="1" ht="28.15" customHeight="1" x14ac:dyDescent="0.25">
      <c r="B1079" s="331"/>
      <c r="C1079" s="332"/>
      <c r="D1079" s="332"/>
      <c r="E1079" s="333"/>
      <c r="F1079" s="333"/>
      <c r="S1079" s="403"/>
      <c r="T1079" s="403"/>
      <c r="U1079" s="403"/>
      <c r="V1079" s="403"/>
      <c r="AA1079" s="403"/>
      <c r="AB1079" s="403"/>
      <c r="AC1079" s="403"/>
      <c r="AD1079" s="403"/>
      <c r="AG1079" s="403"/>
      <c r="AM1079" s="415"/>
      <c r="AR1079" s="333"/>
      <c r="AS1079" s="333"/>
      <c r="AT1079" s="333"/>
      <c r="AU1079" s="333"/>
      <c r="AV1079" s="333"/>
    </row>
    <row r="1080" spans="2:48" s="330" customFormat="1" ht="28.15" customHeight="1" x14ac:dyDescent="0.25">
      <c r="B1080" s="331"/>
      <c r="C1080" s="332"/>
      <c r="D1080" s="332"/>
      <c r="E1080" s="333"/>
      <c r="F1080" s="333"/>
      <c r="S1080" s="403"/>
      <c r="T1080" s="403"/>
      <c r="U1080" s="403"/>
      <c r="V1080" s="403"/>
      <c r="AA1080" s="403"/>
      <c r="AB1080" s="403"/>
      <c r="AC1080" s="403"/>
      <c r="AD1080" s="403"/>
      <c r="AG1080" s="403"/>
      <c r="AM1080" s="415"/>
      <c r="AR1080" s="333"/>
      <c r="AS1080" s="333"/>
      <c r="AT1080" s="333"/>
      <c r="AU1080" s="333"/>
      <c r="AV1080" s="333"/>
    </row>
    <row r="1081" spans="2:48" s="330" customFormat="1" ht="28.15" customHeight="1" x14ac:dyDescent="0.25">
      <c r="B1081" s="331"/>
      <c r="C1081" s="332"/>
      <c r="D1081" s="332"/>
      <c r="E1081" s="333"/>
      <c r="F1081" s="333"/>
      <c r="S1081" s="403"/>
      <c r="T1081" s="403"/>
      <c r="U1081" s="403"/>
      <c r="V1081" s="403"/>
      <c r="AA1081" s="403"/>
      <c r="AB1081" s="403"/>
      <c r="AC1081" s="403"/>
      <c r="AD1081" s="403"/>
      <c r="AG1081" s="403"/>
      <c r="AM1081" s="415"/>
      <c r="AR1081" s="333"/>
      <c r="AS1081" s="333"/>
      <c r="AT1081" s="333"/>
      <c r="AU1081" s="333"/>
      <c r="AV1081" s="333"/>
    </row>
    <row r="1082" spans="2:48" s="330" customFormat="1" ht="28.15" customHeight="1" x14ac:dyDescent="0.25">
      <c r="B1082" s="331"/>
      <c r="C1082" s="332"/>
      <c r="D1082" s="332"/>
      <c r="E1082" s="333"/>
      <c r="F1082" s="333"/>
      <c r="S1082" s="403"/>
      <c r="T1082" s="403"/>
      <c r="U1082" s="403"/>
      <c r="V1082" s="403"/>
      <c r="AA1082" s="403"/>
      <c r="AB1082" s="403"/>
      <c r="AC1082" s="403"/>
      <c r="AD1082" s="403"/>
      <c r="AG1082" s="403"/>
      <c r="AM1082" s="415"/>
      <c r="AR1082" s="333"/>
      <c r="AS1082" s="333"/>
      <c r="AT1082" s="333"/>
      <c r="AU1082" s="333"/>
      <c r="AV1082" s="333"/>
    </row>
    <row r="1083" spans="2:48" s="330" customFormat="1" ht="28.15" customHeight="1" x14ac:dyDescent="0.25">
      <c r="B1083" s="331"/>
      <c r="C1083" s="332"/>
      <c r="D1083" s="332"/>
      <c r="E1083" s="333"/>
      <c r="F1083" s="333"/>
      <c r="S1083" s="403"/>
      <c r="T1083" s="403"/>
      <c r="U1083" s="403"/>
      <c r="V1083" s="403"/>
      <c r="AA1083" s="403"/>
      <c r="AB1083" s="403"/>
      <c r="AC1083" s="403"/>
      <c r="AD1083" s="403"/>
      <c r="AG1083" s="403"/>
      <c r="AM1083" s="415"/>
      <c r="AR1083" s="333"/>
      <c r="AS1083" s="333"/>
      <c r="AT1083" s="333"/>
      <c r="AU1083" s="333"/>
      <c r="AV1083" s="333"/>
    </row>
    <row r="1084" spans="2:48" s="330" customFormat="1" ht="28.15" customHeight="1" x14ac:dyDescent="0.25">
      <c r="B1084" s="331"/>
      <c r="C1084" s="332"/>
      <c r="D1084" s="332"/>
      <c r="E1084" s="333"/>
      <c r="F1084" s="333"/>
      <c r="S1084" s="403"/>
      <c r="T1084" s="403"/>
      <c r="U1084" s="403"/>
      <c r="V1084" s="403"/>
      <c r="AA1084" s="403"/>
      <c r="AB1084" s="403"/>
      <c r="AC1084" s="403"/>
      <c r="AD1084" s="403"/>
      <c r="AG1084" s="403"/>
      <c r="AM1084" s="415"/>
      <c r="AR1084" s="333"/>
      <c r="AS1084" s="333"/>
      <c r="AT1084" s="333"/>
      <c r="AU1084" s="333"/>
      <c r="AV1084" s="333"/>
    </row>
    <row r="1085" spans="2:48" s="330" customFormat="1" ht="28.15" customHeight="1" x14ac:dyDescent="0.25">
      <c r="B1085" s="331"/>
      <c r="C1085" s="332"/>
      <c r="D1085" s="332"/>
      <c r="E1085" s="333"/>
      <c r="F1085" s="333"/>
      <c r="S1085" s="403"/>
      <c r="T1085" s="403"/>
      <c r="U1085" s="403"/>
      <c r="V1085" s="403"/>
      <c r="AA1085" s="403"/>
      <c r="AB1085" s="403"/>
      <c r="AC1085" s="403"/>
      <c r="AD1085" s="403"/>
      <c r="AG1085" s="403"/>
      <c r="AM1085" s="415"/>
      <c r="AR1085" s="333"/>
      <c r="AS1085" s="333"/>
      <c r="AT1085" s="333"/>
      <c r="AU1085" s="333"/>
      <c r="AV1085" s="333"/>
    </row>
    <row r="1086" spans="2:48" s="330" customFormat="1" ht="28.15" customHeight="1" x14ac:dyDescent="0.25">
      <c r="B1086" s="331"/>
      <c r="C1086" s="332"/>
      <c r="D1086" s="332"/>
      <c r="E1086" s="333"/>
      <c r="F1086" s="333"/>
      <c r="S1086" s="403"/>
      <c r="T1086" s="403"/>
      <c r="U1086" s="403"/>
      <c r="V1086" s="403"/>
      <c r="AA1086" s="403"/>
      <c r="AB1086" s="403"/>
      <c r="AC1086" s="403"/>
      <c r="AD1086" s="403"/>
      <c r="AG1086" s="403"/>
      <c r="AM1086" s="415"/>
      <c r="AR1086" s="333"/>
      <c r="AS1086" s="333"/>
      <c r="AT1086" s="333"/>
      <c r="AU1086" s="333"/>
      <c r="AV1086" s="333"/>
    </row>
    <row r="1087" spans="2:48" s="330" customFormat="1" ht="28.15" customHeight="1" x14ac:dyDescent="0.25">
      <c r="B1087" s="331"/>
      <c r="C1087" s="332"/>
      <c r="D1087" s="332"/>
      <c r="E1087" s="333"/>
      <c r="F1087" s="333"/>
      <c r="S1087" s="403"/>
      <c r="T1087" s="403"/>
      <c r="U1087" s="403"/>
      <c r="V1087" s="403"/>
      <c r="AA1087" s="403"/>
      <c r="AB1087" s="403"/>
      <c r="AC1087" s="403"/>
      <c r="AD1087" s="403"/>
      <c r="AG1087" s="403"/>
      <c r="AM1087" s="415"/>
      <c r="AR1087" s="333"/>
      <c r="AS1087" s="333"/>
      <c r="AT1087" s="333"/>
      <c r="AU1087" s="333"/>
      <c r="AV1087" s="333"/>
    </row>
    <row r="1088" spans="2:48" s="330" customFormat="1" ht="28.15" customHeight="1" x14ac:dyDescent="0.25">
      <c r="B1088" s="331"/>
      <c r="C1088" s="332"/>
      <c r="D1088" s="332"/>
      <c r="E1088" s="333"/>
      <c r="F1088" s="333"/>
      <c r="S1088" s="403"/>
      <c r="T1088" s="403"/>
      <c r="U1088" s="403"/>
      <c r="V1088" s="403"/>
      <c r="AA1088" s="403"/>
      <c r="AB1088" s="403"/>
      <c r="AC1088" s="403"/>
      <c r="AD1088" s="403"/>
      <c r="AG1088" s="403"/>
      <c r="AM1088" s="415"/>
      <c r="AR1088" s="333"/>
      <c r="AS1088" s="333"/>
      <c r="AT1088" s="333"/>
      <c r="AU1088" s="333"/>
      <c r="AV1088" s="333"/>
    </row>
    <row r="1089" spans="2:48" s="330" customFormat="1" ht="28.15" customHeight="1" x14ac:dyDescent="0.25">
      <c r="B1089" s="331"/>
      <c r="C1089" s="332"/>
      <c r="D1089" s="332"/>
      <c r="E1089" s="333"/>
      <c r="F1089" s="333"/>
      <c r="S1089" s="403"/>
      <c r="T1089" s="403"/>
      <c r="U1089" s="403"/>
      <c r="V1089" s="403"/>
      <c r="AA1089" s="403"/>
      <c r="AB1089" s="403"/>
      <c r="AC1089" s="403"/>
      <c r="AD1089" s="403"/>
      <c r="AG1089" s="403"/>
      <c r="AM1089" s="415"/>
      <c r="AR1089" s="333"/>
      <c r="AS1089" s="333"/>
      <c r="AT1089" s="333"/>
      <c r="AU1089" s="333"/>
      <c r="AV1089" s="333"/>
    </row>
    <row r="1090" spans="2:48" s="330" customFormat="1" ht="28.15" customHeight="1" x14ac:dyDescent="0.25">
      <c r="B1090" s="331"/>
      <c r="C1090" s="332"/>
      <c r="D1090" s="332"/>
      <c r="E1090" s="333"/>
      <c r="F1090" s="333"/>
      <c r="S1090" s="403"/>
      <c r="T1090" s="403"/>
      <c r="U1090" s="403"/>
      <c r="V1090" s="403"/>
      <c r="AA1090" s="403"/>
      <c r="AB1090" s="403"/>
      <c r="AC1090" s="403"/>
      <c r="AD1090" s="403"/>
      <c r="AG1090" s="403"/>
      <c r="AM1090" s="415"/>
      <c r="AR1090" s="333"/>
      <c r="AS1090" s="333"/>
      <c r="AT1090" s="333"/>
      <c r="AU1090" s="333"/>
      <c r="AV1090" s="333"/>
    </row>
    <row r="1091" spans="2:48" s="330" customFormat="1" ht="28.15" customHeight="1" x14ac:dyDescent="0.25">
      <c r="B1091" s="331"/>
      <c r="C1091" s="332"/>
      <c r="D1091" s="332"/>
      <c r="E1091" s="333"/>
      <c r="F1091" s="333"/>
      <c r="S1091" s="403"/>
      <c r="T1091" s="403"/>
      <c r="U1091" s="403"/>
      <c r="V1091" s="403"/>
      <c r="AA1091" s="403"/>
      <c r="AB1091" s="403"/>
      <c r="AC1091" s="403"/>
      <c r="AD1091" s="403"/>
      <c r="AG1091" s="403"/>
      <c r="AM1091" s="415"/>
      <c r="AR1091" s="333"/>
      <c r="AS1091" s="333"/>
      <c r="AT1091" s="333"/>
      <c r="AU1091" s="333"/>
      <c r="AV1091" s="333"/>
    </row>
    <row r="1092" spans="2:48" s="330" customFormat="1" ht="28.15" customHeight="1" x14ac:dyDescent="0.25">
      <c r="B1092" s="331"/>
      <c r="C1092" s="332"/>
      <c r="D1092" s="332"/>
      <c r="E1092" s="333"/>
      <c r="F1092" s="333"/>
      <c r="S1092" s="403"/>
      <c r="T1092" s="403"/>
      <c r="U1092" s="403"/>
      <c r="V1092" s="403"/>
      <c r="AA1092" s="403"/>
      <c r="AB1092" s="403"/>
      <c r="AC1092" s="403"/>
      <c r="AD1092" s="403"/>
      <c r="AG1092" s="403"/>
      <c r="AM1092" s="415"/>
      <c r="AR1092" s="333"/>
      <c r="AS1092" s="333"/>
      <c r="AT1092" s="333"/>
      <c r="AU1092" s="333"/>
      <c r="AV1092" s="333"/>
    </row>
    <row r="1093" spans="2:48" s="330" customFormat="1" ht="28.15" customHeight="1" x14ac:dyDescent="0.25">
      <c r="B1093" s="331"/>
      <c r="C1093" s="332"/>
      <c r="D1093" s="332"/>
      <c r="E1093" s="333"/>
      <c r="F1093" s="333"/>
      <c r="S1093" s="403"/>
      <c r="T1093" s="403"/>
      <c r="U1093" s="403"/>
      <c r="V1093" s="403"/>
      <c r="AA1093" s="403"/>
      <c r="AB1093" s="403"/>
      <c r="AC1093" s="403"/>
      <c r="AD1093" s="403"/>
      <c r="AG1093" s="403"/>
      <c r="AM1093" s="415"/>
      <c r="AR1093" s="333"/>
      <c r="AS1093" s="333"/>
      <c r="AT1093" s="333"/>
      <c r="AU1093" s="333"/>
      <c r="AV1093" s="333"/>
    </row>
    <row r="1094" spans="2:48" s="330" customFormat="1" ht="28.15" customHeight="1" x14ac:dyDescent="0.25">
      <c r="B1094" s="331"/>
      <c r="C1094" s="332"/>
      <c r="D1094" s="332"/>
      <c r="E1094" s="333"/>
      <c r="F1094" s="333"/>
      <c r="S1094" s="403"/>
      <c r="T1094" s="403"/>
      <c r="U1094" s="403"/>
      <c r="V1094" s="403"/>
      <c r="AA1094" s="403"/>
      <c r="AB1094" s="403"/>
      <c r="AC1094" s="403"/>
      <c r="AD1094" s="403"/>
      <c r="AG1094" s="403"/>
      <c r="AM1094" s="415"/>
      <c r="AR1094" s="333"/>
      <c r="AS1094" s="333"/>
      <c r="AT1094" s="333"/>
      <c r="AU1094" s="333"/>
      <c r="AV1094" s="333"/>
    </row>
    <row r="1095" spans="2:48" s="330" customFormat="1" ht="28.15" customHeight="1" x14ac:dyDescent="0.25">
      <c r="B1095" s="331"/>
      <c r="C1095" s="332"/>
      <c r="D1095" s="332"/>
      <c r="E1095" s="333"/>
      <c r="F1095" s="333"/>
      <c r="S1095" s="403"/>
      <c r="T1095" s="403"/>
      <c r="U1095" s="403"/>
      <c r="V1095" s="403"/>
      <c r="AA1095" s="403"/>
      <c r="AB1095" s="403"/>
      <c r="AC1095" s="403"/>
      <c r="AD1095" s="403"/>
      <c r="AG1095" s="403"/>
      <c r="AM1095" s="415"/>
      <c r="AR1095" s="333"/>
      <c r="AS1095" s="333"/>
      <c r="AT1095" s="333"/>
      <c r="AU1095" s="333"/>
      <c r="AV1095" s="333"/>
    </row>
    <row r="1096" spans="2:48" s="330" customFormat="1" ht="28.15" customHeight="1" x14ac:dyDescent="0.25">
      <c r="B1096" s="331"/>
      <c r="C1096" s="332"/>
      <c r="D1096" s="332"/>
      <c r="E1096" s="333"/>
      <c r="F1096" s="333"/>
      <c r="S1096" s="403"/>
      <c r="T1096" s="403"/>
      <c r="U1096" s="403"/>
      <c r="V1096" s="403"/>
      <c r="AA1096" s="403"/>
      <c r="AB1096" s="403"/>
      <c r="AC1096" s="403"/>
      <c r="AD1096" s="403"/>
      <c r="AG1096" s="403"/>
      <c r="AM1096" s="415"/>
      <c r="AR1096" s="333"/>
      <c r="AS1096" s="333"/>
      <c r="AT1096" s="333"/>
      <c r="AU1096" s="333"/>
      <c r="AV1096" s="333"/>
    </row>
    <row r="1097" spans="2:48" s="330" customFormat="1" ht="28.15" customHeight="1" x14ac:dyDescent="0.25">
      <c r="B1097" s="331"/>
      <c r="C1097" s="332"/>
      <c r="D1097" s="332"/>
      <c r="E1097" s="333"/>
      <c r="F1097" s="333"/>
      <c r="S1097" s="403"/>
      <c r="T1097" s="403"/>
      <c r="U1097" s="403"/>
      <c r="V1097" s="403"/>
      <c r="AA1097" s="403"/>
      <c r="AB1097" s="403"/>
      <c r="AC1097" s="403"/>
      <c r="AD1097" s="403"/>
      <c r="AG1097" s="403"/>
      <c r="AM1097" s="415"/>
      <c r="AR1097" s="333"/>
      <c r="AS1097" s="333"/>
      <c r="AT1097" s="333"/>
      <c r="AU1097" s="333"/>
      <c r="AV1097" s="333"/>
    </row>
    <row r="1098" spans="2:48" s="330" customFormat="1" ht="28.15" customHeight="1" x14ac:dyDescent="0.25">
      <c r="B1098" s="331"/>
      <c r="C1098" s="332"/>
      <c r="D1098" s="332"/>
      <c r="E1098" s="333"/>
      <c r="F1098" s="333"/>
      <c r="S1098" s="403"/>
      <c r="T1098" s="403"/>
      <c r="U1098" s="403"/>
      <c r="V1098" s="403"/>
      <c r="AA1098" s="403"/>
      <c r="AB1098" s="403"/>
      <c r="AC1098" s="403"/>
      <c r="AD1098" s="403"/>
      <c r="AG1098" s="403"/>
      <c r="AM1098" s="415"/>
      <c r="AR1098" s="333"/>
      <c r="AS1098" s="333"/>
      <c r="AT1098" s="333"/>
      <c r="AU1098" s="333"/>
      <c r="AV1098" s="333"/>
    </row>
    <row r="1099" spans="2:48" s="330" customFormat="1" ht="28.15" customHeight="1" x14ac:dyDescent="0.25">
      <c r="B1099" s="331"/>
      <c r="C1099" s="332"/>
      <c r="D1099" s="332"/>
      <c r="E1099" s="333"/>
      <c r="F1099" s="333"/>
      <c r="S1099" s="403"/>
      <c r="T1099" s="403"/>
      <c r="U1099" s="403"/>
      <c r="V1099" s="403"/>
      <c r="AA1099" s="403"/>
      <c r="AB1099" s="403"/>
      <c r="AC1099" s="403"/>
      <c r="AD1099" s="403"/>
      <c r="AG1099" s="403"/>
      <c r="AM1099" s="415"/>
      <c r="AR1099" s="333"/>
      <c r="AS1099" s="333"/>
      <c r="AT1099" s="333"/>
      <c r="AU1099" s="333"/>
      <c r="AV1099" s="333"/>
    </row>
    <row r="1100" spans="2:48" s="330" customFormat="1" ht="28.15" customHeight="1" x14ac:dyDescent="0.25">
      <c r="B1100" s="331"/>
      <c r="C1100" s="332"/>
      <c r="D1100" s="332"/>
      <c r="E1100" s="333"/>
      <c r="F1100" s="333"/>
      <c r="S1100" s="403"/>
      <c r="T1100" s="403"/>
      <c r="U1100" s="403"/>
      <c r="V1100" s="403"/>
      <c r="AA1100" s="403"/>
      <c r="AB1100" s="403"/>
      <c r="AC1100" s="403"/>
      <c r="AD1100" s="403"/>
      <c r="AG1100" s="403"/>
      <c r="AM1100" s="415"/>
      <c r="AR1100" s="333"/>
      <c r="AS1100" s="333"/>
      <c r="AT1100" s="333"/>
      <c r="AU1100" s="333"/>
      <c r="AV1100" s="333"/>
    </row>
    <row r="1101" spans="2:48" s="330" customFormat="1" ht="28.15" customHeight="1" x14ac:dyDescent="0.25">
      <c r="B1101" s="331"/>
      <c r="C1101" s="332"/>
      <c r="D1101" s="332"/>
      <c r="E1101" s="333"/>
      <c r="F1101" s="333"/>
      <c r="S1101" s="403"/>
      <c r="T1101" s="403"/>
      <c r="U1101" s="403"/>
      <c r="V1101" s="403"/>
      <c r="AA1101" s="403"/>
      <c r="AB1101" s="403"/>
      <c r="AC1101" s="403"/>
      <c r="AD1101" s="403"/>
      <c r="AG1101" s="403"/>
      <c r="AM1101" s="415"/>
      <c r="AR1101" s="333"/>
      <c r="AS1101" s="333"/>
      <c r="AT1101" s="333"/>
      <c r="AU1101" s="333"/>
      <c r="AV1101" s="333"/>
    </row>
    <row r="1102" spans="2:48" s="330" customFormat="1" ht="28.15" customHeight="1" x14ac:dyDescent="0.25">
      <c r="B1102" s="331"/>
      <c r="C1102" s="332"/>
      <c r="D1102" s="332"/>
      <c r="E1102" s="333"/>
      <c r="F1102" s="333"/>
      <c r="S1102" s="403"/>
      <c r="T1102" s="403"/>
      <c r="U1102" s="403"/>
      <c r="V1102" s="403"/>
      <c r="AA1102" s="403"/>
      <c r="AB1102" s="403"/>
      <c r="AC1102" s="403"/>
      <c r="AD1102" s="403"/>
      <c r="AG1102" s="403"/>
      <c r="AM1102" s="415"/>
      <c r="AR1102" s="333"/>
      <c r="AS1102" s="333"/>
      <c r="AT1102" s="333"/>
      <c r="AU1102" s="333"/>
      <c r="AV1102" s="333"/>
    </row>
    <row r="1103" spans="2:48" s="330" customFormat="1" ht="28.15" customHeight="1" x14ac:dyDescent="0.25">
      <c r="B1103" s="331"/>
      <c r="C1103" s="332"/>
      <c r="D1103" s="332"/>
      <c r="E1103" s="333"/>
      <c r="F1103" s="333"/>
      <c r="S1103" s="403"/>
      <c r="T1103" s="403"/>
      <c r="U1103" s="403"/>
      <c r="V1103" s="403"/>
      <c r="AA1103" s="403"/>
      <c r="AB1103" s="403"/>
      <c r="AC1103" s="403"/>
      <c r="AD1103" s="403"/>
      <c r="AG1103" s="403"/>
      <c r="AM1103" s="415"/>
      <c r="AR1103" s="333"/>
      <c r="AS1103" s="333"/>
      <c r="AT1103" s="333"/>
      <c r="AU1103" s="333"/>
      <c r="AV1103" s="333"/>
    </row>
    <row r="1104" spans="2:48" s="330" customFormat="1" ht="28.15" customHeight="1" x14ac:dyDescent="0.25">
      <c r="B1104" s="331"/>
      <c r="C1104" s="332"/>
      <c r="D1104" s="332"/>
      <c r="E1104" s="333"/>
      <c r="F1104" s="333"/>
      <c r="S1104" s="403"/>
      <c r="T1104" s="403"/>
      <c r="U1104" s="403"/>
      <c r="V1104" s="403"/>
      <c r="AA1104" s="403"/>
      <c r="AB1104" s="403"/>
      <c r="AC1104" s="403"/>
      <c r="AD1104" s="403"/>
      <c r="AG1104" s="403"/>
      <c r="AM1104" s="415"/>
      <c r="AR1104" s="333"/>
      <c r="AS1104" s="333"/>
      <c r="AT1104" s="333"/>
      <c r="AU1104" s="333"/>
      <c r="AV1104" s="333"/>
    </row>
    <row r="1105" spans="2:48" s="330" customFormat="1" ht="28.15" customHeight="1" x14ac:dyDescent="0.25">
      <c r="B1105" s="331"/>
      <c r="C1105" s="332"/>
      <c r="D1105" s="332"/>
      <c r="E1105" s="333"/>
      <c r="F1105" s="333"/>
      <c r="S1105" s="403"/>
      <c r="T1105" s="403"/>
      <c r="U1105" s="403"/>
      <c r="V1105" s="403"/>
      <c r="AA1105" s="403"/>
      <c r="AB1105" s="403"/>
      <c r="AC1105" s="403"/>
      <c r="AD1105" s="403"/>
      <c r="AG1105" s="403"/>
      <c r="AM1105" s="415"/>
      <c r="AR1105" s="333"/>
      <c r="AS1105" s="333"/>
      <c r="AT1105" s="333"/>
      <c r="AU1105" s="333"/>
      <c r="AV1105" s="333"/>
    </row>
    <row r="1106" spans="2:48" s="330" customFormat="1" ht="28.15" customHeight="1" x14ac:dyDescent="0.25">
      <c r="B1106" s="331"/>
      <c r="C1106" s="332"/>
      <c r="D1106" s="332"/>
      <c r="E1106" s="333"/>
      <c r="F1106" s="333"/>
      <c r="S1106" s="403"/>
      <c r="T1106" s="403"/>
      <c r="U1106" s="403"/>
      <c r="V1106" s="403"/>
      <c r="AA1106" s="403"/>
      <c r="AB1106" s="403"/>
      <c r="AC1106" s="403"/>
      <c r="AD1106" s="403"/>
      <c r="AG1106" s="403"/>
      <c r="AM1106" s="415"/>
      <c r="AR1106" s="333"/>
      <c r="AS1106" s="333"/>
      <c r="AT1106" s="333"/>
      <c r="AU1106" s="333"/>
      <c r="AV1106" s="333"/>
    </row>
    <row r="1107" spans="2:48" s="330" customFormat="1" ht="28.15" customHeight="1" x14ac:dyDescent="0.25">
      <c r="B1107" s="331"/>
      <c r="C1107" s="332"/>
      <c r="D1107" s="332"/>
      <c r="E1107" s="333"/>
      <c r="F1107" s="333"/>
      <c r="S1107" s="403"/>
      <c r="T1107" s="403"/>
      <c r="U1107" s="403"/>
      <c r="V1107" s="403"/>
      <c r="AA1107" s="403"/>
      <c r="AB1107" s="403"/>
      <c r="AC1107" s="403"/>
      <c r="AD1107" s="403"/>
      <c r="AG1107" s="403"/>
      <c r="AM1107" s="415"/>
      <c r="AR1107" s="333"/>
      <c r="AS1107" s="333"/>
      <c r="AT1107" s="333"/>
      <c r="AU1107" s="333"/>
      <c r="AV1107" s="333"/>
    </row>
    <row r="1108" spans="2:48" s="330" customFormat="1" ht="28.15" customHeight="1" x14ac:dyDescent="0.25">
      <c r="B1108" s="331"/>
      <c r="C1108" s="332"/>
      <c r="D1108" s="332"/>
      <c r="E1108" s="333"/>
      <c r="F1108" s="333"/>
      <c r="S1108" s="403"/>
      <c r="T1108" s="403"/>
      <c r="U1108" s="403"/>
      <c r="V1108" s="403"/>
      <c r="AA1108" s="403"/>
      <c r="AB1108" s="403"/>
      <c r="AC1108" s="403"/>
      <c r="AD1108" s="403"/>
      <c r="AG1108" s="403"/>
      <c r="AM1108" s="415"/>
      <c r="AR1108" s="333"/>
      <c r="AS1108" s="333"/>
      <c r="AT1108" s="333"/>
      <c r="AU1108" s="333"/>
      <c r="AV1108" s="333"/>
    </row>
    <row r="1109" spans="2:48" s="330" customFormat="1" ht="28.15" customHeight="1" x14ac:dyDescent="0.25">
      <c r="B1109" s="331"/>
      <c r="C1109" s="332"/>
      <c r="D1109" s="332"/>
      <c r="E1109" s="333"/>
      <c r="F1109" s="333"/>
      <c r="S1109" s="403"/>
      <c r="T1109" s="403"/>
      <c r="U1109" s="403"/>
      <c r="V1109" s="403"/>
      <c r="AA1109" s="403"/>
      <c r="AB1109" s="403"/>
      <c r="AC1109" s="403"/>
      <c r="AD1109" s="403"/>
      <c r="AG1109" s="403"/>
      <c r="AM1109" s="415"/>
      <c r="AR1109" s="333"/>
      <c r="AS1109" s="333"/>
      <c r="AT1109" s="333"/>
      <c r="AU1109" s="333"/>
      <c r="AV1109" s="333"/>
    </row>
    <row r="1110" spans="2:48" s="330" customFormat="1" ht="28.15" customHeight="1" x14ac:dyDescent="0.25">
      <c r="B1110" s="331"/>
      <c r="C1110" s="332"/>
      <c r="D1110" s="332"/>
      <c r="E1110" s="333"/>
      <c r="F1110" s="333"/>
      <c r="S1110" s="403"/>
      <c r="T1110" s="403"/>
      <c r="U1110" s="403"/>
      <c r="V1110" s="403"/>
      <c r="AA1110" s="403"/>
      <c r="AB1110" s="403"/>
      <c r="AC1110" s="403"/>
      <c r="AD1110" s="403"/>
      <c r="AG1110" s="403"/>
      <c r="AM1110" s="415"/>
      <c r="AR1110" s="333"/>
      <c r="AS1110" s="333"/>
      <c r="AT1110" s="333"/>
      <c r="AU1110" s="333"/>
      <c r="AV1110" s="333"/>
    </row>
    <row r="1111" spans="2:48" s="330" customFormat="1" ht="28.15" customHeight="1" x14ac:dyDescent="0.25">
      <c r="B1111" s="331"/>
      <c r="C1111" s="332"/>
      <c r="D1111" s="332"/>
      <c r="E1111" s="333"/>
      <c r="F1111" s="333"/>
      <c r="S1111" s="403"/>
      <c r="T1111" s="403"/>
      <c r="U1111" s="403"/>
      <c r="V1111" s="403"/>
      <c r="AA1111" s="403"/>
      <c r="AB1111" s="403"/>
      <c r="AC1111" s="403"/>
      <c r="AD1111" s="403"/>
      <c r="AG1111" s="403"/>
      <c r="AM1111" s="415"/>
      <c r="AR1111" s="333"/>
      <c r="AS1111" s="333"/>
      <c r="AT1111" s="333"/>
      <c r="AU1111" s="333"/>
      <c r="AV1111" s="333"/>
    </row>
    <row r="1112" spans="2:48" s="330" customFormat="1" ht="28.15" customHeight="1" x14ac:dyDescent="0.25">
      <c r="B1112" s="331"/>
      <c r="C1112" s="332"/>
      <c r="D1112" s="332"/>
      <c r="E1112" s="333"/>
      <c r="F1112" s="333"/>
      <c r="S1112" s="403"/>
      <c r="T1112" s="403"/>
      <c r="U1112" s="403"/>
      <c r="V1112" s="403"/>
      <c r="AA1112" s="403"/>
      <c r="AB1112" s="403"/>
      <c r="AC1112" s="403"/>
      <c r="AD1112" s="403"/>
      <c r="AG1112" s="403"/>
      <c r="AM1112" s="415"/>
      <c r="AR1112" s="333"/>
      <c r="AS1112" s="333"/>
      <c r="AT1112" s="333"/>
      <c r="AU1112" s="333"/>
      <c r="AV1112" s="333"/>
    </row>
    <row r="1113" spans="2:48" s="330" customFormat="1" ht="28.15" customHeight="1" x14ac:dyDescent="0.25">
      <c r="B1113" s="331"/>
      <c r="C1113" s="332"/>
      <c r="D1113" s="332"/>
      <c r="E1113" s="333"/>
      <c r="F1113" s="333"/>
      <c r="S1113" s="403"/>
      <c r="T1113" s="403"/>
      <c r="U1113" s="403"/>
      <c r="V1113" s="403"/>
      <c r="AA1113" s="403"/>
      <c r="AB1113" s="403"/>
      <c r="AC1113" s="403"/>
      <c r="AD1113" s="403"/>
      <c r="AG1113" s="403"/>
      <c r="AM1113" s="415"/>
      <c r="AR1113" s="333"/>
      <c r="AS1113" s="333"/>
      <c r="AT1113" s="333"/>
      <c r="AU1113" s="333"/>
      <c r="AV1113" s="333"/>
    </row>
    <row r="1114" spans="2:48" s="330" customFormat="1" ht="28.15" customHeight="1" x14ac:dyDescent="0.25">
      <c r="B1114" s="331"/>
      <c r="C1114" s="332"/>
      <c r="D1114" s="332"/>
      <c r="E1114" s="333"/>
      <c r="F1114" s="333"/>
      <c r="S1114" s="403"/>
      <c r="T1114" s="403"/>
      <c r="U1114" s="403"/>
      <c r="V1114" s="403"/>
      <c r="AA1114" s="403"/>
      <c r="AB1114" s="403"/>
      <c r="AC1114" s="403"/>
      <c r="AD1114" s="403"/>
      <c r="AG1114" s="403"/>
      <c r="AM1114" s="415"/>
      <c r="AR1114" s="333"/>
      <c r="AS1114" s="333"/>
      <c r="AT1114" s="333"/>
      <c r="AU1114" s="333"/>
      <c r="AV1114" s="333"/>
    </row>
    <row r="1115" spans="2:48" s="330" customFormat="1" ht="28.15" customHeight="1" x14ac:dyDescent="0.25">
      <c r="B1115" s="331"/>
      <c r="C1115" s="332"/>
      <c r="D1115" s="332"/>
      <c r="E1115" s="333"/>
      <c r="F1115" s="333"/>
      <c r="S1115" s="403"/>
      <c r="T1115" s="403"/>
      <c r="U1115" s="403"/>
      <c r="V1115" s="403"/>
      <c r="AA1115" s="403"/>
      <c r="AB1115" s="403"/>
      <c r="AC1115" s="403"/>
      <c r="AD1115" s="403"/>
      <c r="AG1115" s="403"/>
      <c r="AM1115" s="415"/>
      <c r="AR1115" s="333"/>
      <c r="AS1115" s="333"/>
      <c r="AT1115" s="333"/>
      <c r="AU1115" s="333"/>
      <c r="AV1115" s="333"/>
    </row>
    <row r="1116" spans="2:48" s="330" customFormat="1" ht="28.15" customHeight="1" x14ac:dyDescent="0.25">
      <c r="B1116" s="331"/>
      <c r="C1116" s="332"/>
      <c r="D1116" s="332"/>
      <c r="E1116" s="333"/>
      <c r="F1116" s="333"/>
      <c r="S1116" s="403"/>
      <c r="T1116" s="403"/>
      <c r="U1116" s="403"/>
      <c r="V1116" s="403"/>
      <c r="AA1116" s="403"/>
      <c r="AB1116" s="403"/>
      <c r="AC1116" s="403"/>
      <c r="AD1116" s="403"/>
      <c r="AG1116" s="403"/>
      <c r="AM1116" s="415"/>
      <c r="AR1116" s="333"/>
      <c r="AS1116" s="333"/>
      <c r="AT1116" s="333"/>
      <c r="AU1116" s="333"/>
      <c r="AV1116" s="333"/>
    </row>
    <row r="1117" spans="2:48" s="330" customFormat="1" ht="28.15" customHeight="1" x14ac:dyDescent="0.25">
      <c r="B1117" s="331"/>
      <c r="C1117" s="332"/>
      <c r="D1117" s="332"/>
      <c r="E1117" s="333"/>
      <c r="F1117" s="333"/>
      <c r="S1117" s="403"/>
      <c r="T1117" s="403"/>
      <c r="U1117" s="403"/>
      <c r="V1117" s="403"/>
      <c r="AA1117" s="403"/>
      <c r="AB1117" s="403"/>
      <c r="AC1117" s="403"/>
      <c r="AD1117" s="403"/>
      <c r="AG1117" s="403"/>
      <c r="AM1117" s="415"/>
      <c r="AR1117" s="333"/>
      <c r="AS1117" s="333"/>
      <c r="AT1117" s="333"/>
      <c r="AU1117" s="333"/>
      <c r="AV1117" s="333"/>
    </row>
    <row r="1118" spans="2:48" s="330" customFormat="1" ht="28.15" customHeight="1" x14ac:dyDescent="0.25">
      <c r="B1118" s="331"/>
      <c r="C1118" s="332"/>
      <c r="D1118" s="332"/>
      <c r="E1118" s="333"/>
      <c r="F1118" s="333"/>
      <c r="S1118" s="403"/>
      <c r="T1118" s="403"/>
      <c r="U1118" s="403"/>
      <c r="V1118" s="403"/>
      <c r="AA1118" s="403"/>
      <c r="AB1118" s="403"/>
      <c r="AC1118" s="403"/>
      <c r="AD1118" s="403"/>
      <c r="AG1118" s="403"/>
      <c r="AM1118" s="415"/>
      <c r="AR1118" s="333"/>
      <c r="AS1118" s="333"/>
      <c r="AT1118" s="333"/>
      <c r="AU1118" s="333"/>
      <c r="AV1118" s="333"/>
    </row>
    <row r="1119" spans="2:48" s="330" customFormat="1" ht="28.15" customHeight="1" x14ac:dyDescent="0.25">
      <c r="B1119" s="331"/>
      <c r="C1119" s="332"/>
      <c r="D1119" s="332"/>
      <c r="E1119" s="333"/>
      <c r="F1119" s="333"/>
      <c r="S1119" s="403"/>
      <c r="T1119" s="403"/>
      <c r="U1119" s="403"/>
      <c r="V1119" s="403"/>
      <c r="AA1119" s="403"/>
      <c r="AB1119" s="403"/>
      <c r="AC1119" s="403"/>
      <c r="AD1119" s="403"/>
      <c r="AG1119" s="403"/>
      <c r="AM1119" s="415"/>
      <c r="AR1119" s="333"/>
      <c r="AS1119" s="333"/>
      <c r="AT1119" s="333"/>
      <c r="AU1119" s="333"/>
      <c r="AV1119" s="333"/>
    </row>
    <row r="1120" spans="2:48" s="330" customFormat="1" ht="28.15" customHeight="1" x14ac:dyDescent="0.25">
      <c r="B1120" s="331"/>
      <c r="C1120" s="332"/>
      <c r="D1120" s="332"/>
      <c r="E1120" s="333"/>
      <c r="F1120" s="333"/>
      <c r="S1120" s="403"/>
      <c r="T1120" s="403"/>
      <c r="U1120" s="403"/>
      <c r="V1120" s="403"/>
      <c r="AA1120" s="403"/>
      <c r="AB1120" s="403"/>
      <c r="AC1120" s="403"/>
      <c r="AD1120" s="403"/>
      <c r="AG1120" s="403"/>
      <c r="AM1120" s="415"/>
      <c r="AR1120" s="333"/>
      <c r="AS1120" s="333"/>
      <c r="AT1120" s="333"/>
      <c r="AU1120" s="333"/>
      <c r="AV1120" s="333"/>
    </row>
    <row r="1121" spans="2:48" s="330" customFormat="1" ht="28.15" customHeight="1" x14ac:dyDescent="0.25">
      <c r="B1121" s="331"/>
      <c r="C1121" s="332"/>
      <c r="D1121" s="332"/>
      <c r="E1121" s="333"/>
      <c r="F1121" s="333"/>
      <c r="S1121" s="403"/>
      <c r="T1121" s="403"/>
      <c r="U1121" s="403"/>
      <c r="V1121" s="403"/>
      <c r="AA1121" s="403"/>
      <c r="AB1121" s="403"/>
      <c r="AC1121" s="403"/>
      <c r="AD1121" s="403"/>
      <c r="AG1121" s="403"/>
      <c r="AM1121" s="415"/>
      <c r="AR1121" s="333"/>
      <c r="AS1121" s="333"/>
      <c r="AT1121" s="333"/>
      <c r="AU1121" s="333"/>
      <c r="AV1121" s="333"/>
    </row>
    <row r="1122" spans="2:48" s="330" customFormat="1" ht="28.15" customHeight="1" x14ac:dyDescent="0.25">
      <c r="B1122" s="331"/>
      <c r="C1122" s="332"/>
      <c r="D1122" s="332"/>
      <c r="E1122" s="333"/>
      <c r="F1122" s="333"/>
      <c r="S1122" s="403"/>
      <c r="T1122" s="403"/>
      <c r="U1122" s="403"/>
      <c r="V1122" s="403"/>
      <c r="AA1122" s="403"/>
      <c r="AB1122" s="403"/>
      <c r="AC1122" s="403"/>
      <c r="AD1122" s="403"/>
      <c r="AG1122" s="403"/>
      <c r="AM1122" s="415"/>
      <c r="AR1122" s="333"/>
      <c r="AS1122" s="333"/>
      <c r="AT1122" s="333"/>
      <c r="AU1122" s="333"/>
      <c r="AV1122" s="333"/>
    </row>
    <row r="1123" spans="2:48" s="330" customFormat="1" ht="28.15" customHeight="1" x14ac:dyDescent="0.25">
      <c r="B1123" s="331"/>
      <c r="C1123" s="332"/>
      <c r="D1123" s="332"/>
      <c r="E1123" s="333"/>
      <c r="F1123" s="333"/>
      <c r="S1123" s="403"/>
      <c r="T1123" s="403"/>
      <c r="U1123" s="403"/>
      <c r="V1123" s="403"/>
      <c r="AA1123" s="403"/>
      <c r="AB1123" s="403"/>
      <c r="AC1123" s="403"/>
      <c r="AD1123" s="403"/>
      <c r="AG1123" s="403"/>
      <c r="AM1123" s="415"/>
      <c r="AR1123" s="333"/>
      <c r="AS1123" s="333"/>
      <c r="AT1123" s="333"/>
      <c r="AU1123" s="333"/>
      <c r="AV1123" s="333"/>
    </row>
    <row r="1124" spans="2:48" s="330" customFormat="1" ht="28.15" customHeight="1" x14ac:dyDescent="0.25">
      <c r="B1124" s="331"/>
      <c r="C1124" s="332"/>
      <c r="D1124" s="332"/>
      <c r="E1124" s="333"/>
      <c r="F1124" s="333"/>
      <c r="S1124" s="403"/>
      <c r="T1124" s="403"/>
      <c r="U1124" s="403"/>
      <c r="V1124" s="403"/>
      <c r="AA1124" s="403"/>
      <c r="AB1124" s="403"/>
      <c r="AC1124" s="403"/>
      <c r="AD1124" s="403"/>
      <c r="AG1124" s="403"/>
      <c r="AM1124" s="415"/>
      <c r="AR1124" s="333"/>
      <c r="AS1124" s="333"/>
      <c r="AT1124" s="333"/>
      <c r="AU1124" s="333"/>
      <c r="AV1124" s="333"/>
    </row>
    <row r="1125" spans="2:48" s="330" customFormat="1" ht="28.15" customHeight="1" x14ac:dyDescent="0.25">
      <c r="B1125" s="331"/>
      <c r="C1125" s="332"/>
      <c r="D1125" s="332"/>
      <c r="E1125" s="333"/>
      <c r="F1125" s="333"/>
      <c r="S1125" s="403"/>
      <c r="T1125" s="403"/>
      <c r="U1125" s="403"/>
      <c r="V1125" s="403"/>
      <c r="AA1125" s="403"/>
      <c r="AB1125" s="403"/>
      <c r="AC1125" s="403"/>
      <c r="AD1125" s="403"/>
      <c r="AG1125" s="403"/>
      <c r="AM1125" s="415"/>
      <c r="AR1125" s="333"/>
      <c r="AS1125" s="333"/>
      <c r="AT1125" s="333"/>
      <c r="AU1125" s="333"/>
      <c r="AV1125" s="333"/>
    </row>
    <row r="1126" spans="2:48" s="330" customFormat="1" ht="28.15" customHeight="1" x14ac:dyDescent="0.25">
      <c r="B1126" s="331"/>
      <c r="C1126" s="332"/>
      <c r="D1126" s="332"/>
      <c r="E1126" s="333"/>
      <c r="F1126" s="333"/>
      <c r="S1126" s="403"/>
      <c r="T1126" s="403"/>
      <c r="U1126" s="403"/>
      <c r="V1126" s="403"/>
      <c r="AA1126" s="403"/>
      <c r="AB1126" s="403"/>
      <c r="AC1126" s="403"/>
      <c r="AD1126" s="403"/>
      <c r="AG1126" s="403"/>
      <c r="AM1126" s="415"/>
      <c r="AR1126" s="333"/>
      <c r="AS1126" s="333"/>
      <c r="AT1126" s="333"/>
      <c r="AU1126" s="333"/>
      <c r="AV1126" s="333"/>
    </row>
    <row r="1127" spans="2:48" s="330" customFormat="1" ht="28.15" customHeight="1" x14ac:dyDescent="0.25">
      <c r="B1127" s="331"/>
      <c r="C1127" s="332"/>
      <c r="D1127" s="332"/>
      <c r="E1127" s="333"/>
      <c r="F1127" s="333"/>
      <c r="S1127" s="403"/>
      <c r="T1127" s="403"/>
      <c r="U1127" s="403"/>
      <c r="V1127" s="403"/>
      <c r="AA1127" s="403"/>
      <c r="AB1127" s="403"/>
      <c r="AC1127" s="403"/>
      <c r="AD1127" s="403"/>
      <c r="AG1127" s="403"/>
      <c r="AM1127" s="415"/>
      <c r="AR1127" s="333"/>
      <c r="AS1127" s="333"/>
      <c r="AT1127" s="333"/>
      <c r="AU1127" s="333"/>
      <c r="AV1127" s="333"/>
    </row>
    <row r="1128" spans="2:48" s="330" customFormat="1" ht="28.15" customHeight="1" x14ac:dyDescent="0.25">
      <c r="B1128" s="331"/>
      <c r="C1128" s="332"/>
      <c r="D1128" s="332"/>
      <c r="E1128" s="333"/>
      <c r="F1128" s="333"/>
      <c r="S1128" s="403"/>
      <c r="T1128" s="403"/>
      <c r="U1128" s="403"/>
      <c r="V1128" s="403"/>
      <c r="AA1128" s="403"/>
      <c r="AB1128" s="403"/>
      <c r="AC1128" s="403"/>
      <c r="AD1128" s="403"/>
      <c r="AG1128" s="403"/>
      <c r="AM1128" s="415"/>
      <c r="AR1128" s="333"/>
      <c r="AS1128" s="333"/>
      <c r="AT1128" s="333"/>
      <c r="AU1128" s="333"/>
      <c r="AV1128" s="333"/>
    </row>
    <row r="1129" spans="2:48" s="330" customFormat="1" ht="28.15" customHeight="1" x14ac:dyDescent="0.25">
      <c r="B1129" s="331"/>
      <c r="C1129" s="332"/>
      <c r="D1129" s="332"/>
      <c r="E1129" s="333"/>
      <c r="F1129" s="333"/>
      <c r="S1129" s="403"/>
      <c r="T1129" s="403"/>
      <c r="U1129" s="403"/>
      <c r="V1129" s="403"/>
      <c r="AA1129" s="403"/>
      <c r="AB1129" s="403"/>
      <c r="AC1129" s="403"/>
      <c r="AD1129" s="403"/>
      <c r="AG1129" s="403"/>
      <c r="AM1129" s="415"/>
      <c r="AR1129" s="333"/>
      <c r="AS1129" s="333"/>
      <c r="AT1129" s="333"/>
      <c r="AU1129" s="333"/>
      <c r="AV1129" s="333"/>
    </row>
    <row r="1130" spans="2:48" s="330" customFormat="1" ht="28.15" customHeight="1" x14ac:dyDescent="0.25">
      <c r="B1130" s="331"/>
      <c r="C1130" s="332"/>
      <c r="D1130" s="332"/>
      <c r="E1130" s="333"/>
      <c r="F1130" s="333"/>
      <c r="S1130" s="403"/>
      <c r="T1130" s="403"/>
      <c r="U1130" s="403"/>
      <c r="V1130" s="403"/>
      <c r="AA1130" s="403"/>
      <c r="AB1130" s="403"/>
      <c r="AC1130" s="403"/>
      <c r="AD1130" s="403"/>
      <c r="AG1130" s="403"/>
      <c r="AM1130" s="415"/>
      <c r="AR1130" s="333"/>
      <c r="AS1130" s="333"/>
      <c r="AT1130" s="333"/>
      <c r="AU1130" s="333"/>
      <c r="AV1130" s="333"/>
    </row>
    <row r="1131" spans="2:48" s="330" customFormat="1" ht="28.15" customHeight="1" x14ac:dyDescent="0.25">
      <c r="B1131" s="331"/>
      <c r="C1131" s="332"/>
      <c r="D1131" s="332"/>
      <c r="E1131" s="333"/>
      <c r="F1131" s="333"/>
      <c r="S1131" s="403"/>
      <c r="T1131" s="403"/>
      <c r="U1131" s="403"/>
      <c r="V1131" s="403"/>
      <c r="AA1131" s="403"/>
      <c r="AB1131" s="403"/>
      <c r="AC1131" s="403"/>
      <c r="AD1131" s="403"/>
      <c r="AG1131" s="403"/>
      <c r="AM1131" s="415"/>
      <c r="AR1131" s="333"/>
      <c r="AS1131" s="333"/>
      <c r="AT1131" s="333"/>
      <c r="AU1131" s="333"/>
      <c r="AV1131" s="333"/>
    </row>
    <row r="1132" spans="2:48" s="330" customFormat="1" ht="28.15" customHeight="1" x14ac:dyDescent="0.25">
      <c r="B1132" s="331"/>
      <c r="C1132" s="332"/>
      <c r="D1132" s="332"/>
      <c r="E1132" s="333"/>
      <c r="F1132" s="333"/>
      <c r="S1132" s="403"/>
      <c r="T1132" s="403"/>
      <c r="U1132" s="403"/>
      <c r="V1132" s="403"/>
      <c r="AA1132" s="403"/>
      <c r="AB1132" s="403"/>
      <c r="AC1132" s="403"/>
      <c r="AD1132" s="403"/>
      <c r="AG1132" s="403"/>
      <c r="AM1132" s="415"/>
      <c r="AR1132" s="333"/>
      <c r="AS1132" s="333"/>
      <c r="AT1132" s="333"/>
      <c r="AU1132" s="333"/>
      <c r="AV1132" s="333"/>
    </row>
    <row r="1133" spans="2:48" s="330" customFormat="1" ht="28.15" customHeight="1" x14ac:dyDescent="0.25">
      <c r="B1133" s="331"/>
      <c r="C1133" s="332"/>
      <c r="D1133" s="332"/>
      <c r="E1133" s="333"/>
      <c r="F1133" s="333"/>
      <c r="S1133" s="403"/>
      <c r="T1133" s="403"/>
      <c r="U1133" s="403"/>
      <c r="V1133" s="403"/>
      <c r="AA1133" s="403"/>
      <c r="AB1133" s="403"/>
      <c r="AC1133" s="403"/>
      <c r="AD1133" s="403"/>
      <c r="AG1133" s="403"/>
      <c r="AM1133" s="415"/>
      <c r="AR1133" s="333"/>
      <c r="AS1133" s="333"/>
      <c r="AT1133" s="333"/>
      <c r="AU1133" s="333"/>
      <c r="AV1133" s="333"/>
    </row>
    <row r="1134" spans="2:48" s="330" customFormat="1" ht="28.15" customHeight="1" x14ac:dyDescent="0.25">
      <c r="B1134" s="331"/>
      <c r="C1134" s="332"/>
      <c r="D1134" s="332"/>
      <c r="E1134" s="333"/>
      <c r="F1134" s="333"/>
      <c r="S1134" s="403"/>
      <c r="T1134" s="403"/>
      <c r="U1134" s="403"/>
      <c r="V1134" s="403"/>
      <c r="AA1134" s="403"/>
      <c r="AB1134" s="403"/>
      <c r="AC1134" s="403"/>
      <c r="AD1134" s="403"/>
      <c r="AG1134" s="403"/>
      <c r="AM1134" s="415"/>
      <c r="AR1134" s="333"/>
      <c r="AS1134" s="333"/>
      <c r="AT1134" s="333"/>
      <c r="AU1134" s="333"/>
      <c r="AV1134" s="333"/>
    </row>
    <row r="1135" spans="2:48" s="330" customFormat="1" ht="28.15" customHeight="1" x14ac:dyDescent="0.25">
      <c r="B1135" s="331"/>
      <c r="C1135" s="332"/>
      <c r="D1135" s="332"/>
      <c r="E1135" s="333"/>
      <c r="F1135" s="333"/>
      <c r="S1135" s="403"/>
      <c r="T1135" s="403"/>
      <c r="U1135" s="403"/>
      <c r="V1135" s="403"/>
      <c r="AA1135" s="403"/>
      <c r="AB1135" s="403"/>
      <c r="AC1135" s="403"/>
      <c r="AD1135" s="403"/>
      <c r="AG1135" s="403"/>
      <c r="AM1135" s="415"/>
      <c r="AR1135" s="333"/>
      <c r="AS1135" s="333"/>
      <c r="AT1135" s="333"/>
      <c r="AU1135" s="333"/>
      <c r="AV1135" s="333"/>
    </row>
    <row r="1136" spans="2:48" s="330" customFormat="1" ht="28.15" customHeight="1" x14ac:dyDescent="0.25">
      <c r="B1136" s="331"/>
      <c r="C1136" s="332"/>
      <c r="D1136" s="332"/>
      <c r="E1136" s="333"/>
      <c r="F1136" s="333"/>
      <c r="S1136" s="403"/>
      <c r="T1136" s="403"/>
      <c r="U1136" s="403"/>
      <c r="V1136" s="403"/>
      <c r="AA1136" s="403"/>
      <c r="AB1136" s="403"/>
      <c r="AC1136" s="403"/>
      <c r="AD1136" s="403"/>
      <c r="AG1136" s="403"/>
      <c r="AM1136" s="415"/>
      <c r="AR1136" s="333"/>
      <c r="AS1136" s="333"/>
      <c r="AT1136" s="333"/>
      <c r="AU1136" s="333"/>
      <c r="AV1136" s="333"/>
    </row>
    <row r="1137" spans="2:48" s="330" customFormat="1" ht="28.15" customHeight="1" x14ac:dyDescent="0.25">
      <c r="B1137" s="331"/>
      <c r="C1137" s="332"/>
      <c r="D1137" s="332"/>
      <c r="E1137" s="333"/>
      <c r="F1137" s="333"/>
      <c r="S1137" s="403"/>
      <c r="T1137" s="403"/>
      <c r="U1137" s="403"/>
      <c r="V1137" s="403"/>
      <c r="AA1137" s="403"/>
      <c r="AB1137" s="403"/>
      <c r="AC1137" s="403"/>
      <c r="AD1137" s="403"/>
      <c r="AG1137" s="403"/>
      <c r="AM1137" s="415"/>
      <c r="AR1137" s="333"/>
      <c r="AS1137" s="333"/>
      <c r="AT1137" s="333"/>
      <c r="AU1137" s="333"/>
      <c r="AV1137" s="333"/>
    </row>
    <row r="1138" spans="2:48" s="330" customFormat="1" ht="28.15" customHeight="1" x14ac:dyDescent="0.25">
      <c r="B1138" s="331"/>
      <c r="C1138" s="332"/>
      <c r="D1138" s="332"/>
      <c r="E1138" s="333"/>
      <c r="F1138" s="333"/>
      <c r="S1138" s="403"/>
      <c r="T1138" s="403"/>
      <c r="U1138" s="403"/>
      <c r="V1138" s="403"/>
      <c r="AA1138" s="403"/>
      <c r="AB1138" s="403"/>
      <c r="AC1138" s="403"/>
      <c r="AD1138" s="403"/>
      <c r="AG1138" s="403"/>
      <c r="AM1138" s="415"/>
      <c r="AR1138" s="333"/>
      <c r="AS1138" s="333"/>
      <c r="AT1138" s="333"/>
      <c r="AU1138" s="333"/>
      <c r="AV1138" s="333"/>
    </row>
    <row r="1139" spans="2:48" s="330" customFormat="1" ht="28.15" customHeight="1" x14ac:dyDescent="0.25">
      <c r="B1139" s="331"/>
      <c r="C1139" s="332"/>
      <c r="D1139" s="332"/>
      <c r="E1139" s="333"/>
      <c r="F1139" s="333"/>
      <c r="S1139" s="403"/>
      <c r="T1139" s="403"/>
      <c r="U1139" s="403"/>
      <c r="V1139" s="403"/>
      <c r="AA1139" s="403"/>
      <c r="AB1139" s="403"/>
      <c r="AC1139" s="403"/>
      <c r="AD1139" s="403"/>
      <c r="AG1139" s="403"/>
      <c r="AM1139" s="415"/>
      <c r="AR1139" s="333"/>
      <c r="AS1139" s="333"/>
      <c r="AT1139" s="333"/>
      <c r="AU1139" s="333"/>
      <c r="AV1139" s="333"/>
    </row>
    <row r="1140" spans="2:48" s="330" customFormat="1" ht="28.15" customHeight="1" x14ac:dyDescent="0.25">
      <c r="B1140" s="331"/>
      <c r="C1140" s="332"/>
      <c r="D1140" s="332"/>
      <c r="E1140" s="333"/>
      <c r="F1140" s="333"/>
      <c r="S1140" s="403"/>
      <c r="T1140" s="403"/>
      <c r="U1140" s="403"/>
      <c r="V1140" s="403"/>
      <c r="AA1140" s="403"/>
      <c r="AB1140" s="403"/>
      <c r="AC1140" s="403"/>
      <c r="AD1140" s="403"/>
      <c r="AG1140" s="403"/>
      <c r="AM1140" s="415"/>
      <c r="AR1140" s="333"/>
      <c r="AS1140" s="333"/>
      <c r="AT1140" s="333"/>
      <c r="AU1140" s="333"/>
      <c r="AV1140" s="333"/>
    </row>
    <row r="1141" spans="2:48" s="330" customFormat="1" ht="28.15" customHeight="1" x14ac:dyDescent="0.25">
      <c r="B1141" s="331"/>
      <c r="C1141" s="332"/>
      <c r="D1141" s="332"/>
      <c r="E1141" s="333"/>
      <c r="F1141" s="333"/>
      <c r="S1141" s="403"/>
      <c r="T1141" s="403"/>
      <c r="U1141" s="403"/>
      <c r="V1141" s="403"/>
      <c r="AA1141" s="403"/>
      <c r="AB1141" s="403"/>
      <c r="AC1141" s="403"/>
      <c r="AD1141" s="403"/>
      <c r="AG1141" s="403"/>
      <c r="AM1141" s="415"/>
      <c r="AR1141" s="333"/>
      <c r="AS1141" s="333"/>
      <c r="AT1141" s="333"/>
      <c r="AU1141" s="333"/>
      <c r="AV1141" s="333"/>
    </row>
    <row r="1142" spans="2:48" s="330" customFormat="1" ht="28.15" customHeight="1" x14ac:dyDescent="0.25">
      <c r="B1142" s="331"/>
      <c r="C1142" s="332"/>
      <c r="D1142" s="332"/>
      <c r="E1142" s="333"/>
      <c r="F1142" s="333"/>
      <c r="S1142" s="403"/>
      <c r="T1142" s="403"/>
      <c r="U1142" s="403"/>
      <c r="V1142" s="403"/>
      <c r="AA1142" s="403"/>
      <c r="AB1142" s="403"/>
      <c r="AC1142" s="403"/>
      <c r="AD1142" s="403"/>
      <c r="AG1142" s="403"/>
      <c r="AM1142" s="415"/>
      <c r="AR1142" s="333"/>
      <c r="AS1142" s="333"/>
      <c r="AT1142" s="333"/>
      <c r="AU1142" s="333"/>
      <c r="AV1142" s="333"/>
    </row>
    <row r="1143" spans="2:48" s="330" customFormat="1" ht="28.15" customHeight="1" x14ac:dyDescent="0.25">
      <c r="B1143" s="331"/>
      <c r="C1143" s="332"/>
      <c r="D1143" s="332"/>
      <c r="E1143" s="333"/>
      <c r="F1143" s="333"/>
      <c r="S1143" s="403"/>
      <c r="T1143" s="403"/>
      <c r="U1143" s="403"/>
      <c r="V1143" s="403"/>
      <c r="AA1143" s="403"/>
      <c r="AB1143" s="403"/>
      <c r="AC1143" s="403"/>
      <c r="AD1143" s="403"/>
      <c r="AG1143" s="403"/>
      <c r="AM1143" s="415"/>
      <c r="AR1143" s="333"/>
      <c r="AS1143" s="333"/>
      <c r="AT1143" s="333"/>
      <c r="AU1143" s="333"/>
      <c r="AV1143" s="333"/>
    </row>
    <row r="1144" spans="2:48" s="330" customFormat="1" ht="28.15" customHeight="1" x14ac:dyDescent="0.25">
      <c r="B1144" s="331"/>
      <c r="C1144" s="332"/>
      <c r="D1144" s="332"/>
      <c r="E1144" s="333"/>
      <c r="F1144" s="333"/>
      <c r="S1144" s="403"/>
      <c r="T1144" s="403"/>
      <c r="U1144" s="403"/>
      <c r="V1144" s="403"/>
      <c r="AA1144" s="403"/>
      <c r="AB1144" s="403"/>
      <c r="AC1144" s="403"/>
      <c r="AD1144" s="403"/>
      <c r="AG1144" s="403"/>
      <c r="AM1144" s="415"/>
      <c r="AR1144" s="333"/>
      <c r="AS1144" s="333"/>
      <c r="AT1144" s="333"/>
      <c r="AU1144" s="333"/>
      <c r="AV1144" s="333"/>
    </row>
    <row r="1145" spans="2:48" s="330" customFormat="1" ht="28.15" customHeight="1" x14ac:dyDescent="0.25">
      <c r="B1145" s="331"/>
      <c r="C1145" s="332"/>
      <c r="D1145" s="332"/>
      <c r="E1145" s="333"/>
      <c r="F1145" s="333"/>
      <c r="S1145" s="403"/>
      <c r="T1145" s="403"/>
      <c r="U1145" s="403"/>
      <c r="V1145" s="403"/>
      <c r="AA1145" s="403"/>
      <c r="AB1145" s="403"/>
      <c r="AC1145" s="403"/>
      <c r="AD1145" s="403"/>
      <c r="AG1145" s="403"/>
      <c r="AM1145" s="415"/>
      <c r="AR1145" s="333"/>
      <c r="AS1145" s="333"/>
      <c r="AT1145" s="333"/>
      <c r="AU1145" s="333"/>
      <c r="AV1145" s="333"/>
    </row>
    <row r="1146" spans="2:48" s="330" customFormat="1" ht="28.15" customHeight="1" x14ac:dyDescent="0.25">
      <c r="B1146" s="331"/>
      <c r="C1146" s="332"/>
      <c r="D1146" s="332"/>
      <c r="E1146" s="333"/>
      <c r="F1146" s="333"/>
      <c r="S1146" s="403"/>
      <c r="T1146" s="403"/>
      <c r="U1146" s="403"/>
      <c r="V1146" s="403"/>
      <c r="AA1146" s="403"/>
      <c r="AB1146" s="403"/>
      <c r="AC1146" s="403"/>
      <c r="AD1146" s="403"/>
      <c r="AG1146" s="403"/>
      <c r="AM1146" s="415"/>
      <c r="AR1146" s="333"/>
      <c r="AS1146" s="333"/>
      <c r="AT1146" s="333"/>
      <c r="AU1146" s="333"/>
      <c r="AV1146" s="333"/>
    </row>
    <row r="1147" spans="2:48" s="330" customFormat="1" ht="28.15" customHeight="1" x14ac:dyDescent="0.25">
      <c r="B1147" s="331"/>
      <c r="C1147" s="332"/>
      <c r="D1147" s="332"/>
      <c r="E1147" s="333"/>
      <c r="F1147" s="333"/>
      <c r="S1147" s="403"/>
      <c r="T1147" s="403"/>
      <c r="U1147" s="403"/>
      <c r="V1147" s="403"/>
      <c r="AA1147" s="403"/>
      <c r="AB1147" s="403"/>
      <c r="AC1147" s="403"/>
      <c r="AD1147" s="403"/>
      <c r="AG1147" s="403"/>
      <c r="AM1147" s="415"/>
      <c r="AR1147" s="333"/>
      <c r="AS1147" s="333"/>
      <c r="AT1147" s="333"/>
      <c r="AU1147" s="333"/>
      <c r="AV1147" s="333"/>
    </row>
    <row r="1148" spans="2:48" s="330" customFormat="1" ht="28.15" customHeight="1" x14ac:dyDescent="0.25">
      <c r="B1148" s="331"/>
      <c r="C1148" s="332"/>
      <c r="D1148" s="332"/>
      <c r="E1148" s="333"/>
      <c r="F1148" s="333"/>
      <c r="S1148" s="403"/>
      <c r="T1148" s="403"/>
      <c r="U1148" s="403"/>
      <c r="V1148" s="403"/>
      <c r="AA1148" s="403"/>
      <c r="AB1148" s="403"/>
      <c r="AC1148" s="403"/>
      <c r="AD1148" s="403"/>
      <c r="AG1148" s="403"/>
      <c r="AM1148" s="415"/>
      <c r="AR1148" s="333"/>
      <c r="AS1148" s="333"/>
      <c r="AT1148" s="333"/>
      <c r="AU1148" s="333"/>
      <c r="AV1148" s="333"/>
    </row>
    <row r="1149" spans="2:48" s="330" customFormat="1" ht="28.15" customHeight="1" x14ac:dyDescent="0.25">
      <c r="B1149" s="331"/>
      <c r="C1149" s="332"/>
      <c r="D1149" s="332"/>
      <c r="E1149" s="333"/>
      <c r="F1149" s="333"/>
      <c r="S1149" s="403"/>
      <c r="T1149" s="403"/>
      <c r="U1149" s="403"/>
      <c r="V1149" s="403"/>
      <c r="AA1149" s="403"/>
      <c r="AB1149" s="403"/>
      <c r="AC1149" s="403"/>
      <c r="AD1149" s="403"/>
      <c r="AG1149" s="403"/>
      <c r="AM1149" s="415"/>
      <c r="AR1149" s="333"/>
      <c r="AS1149" s="333"/>
      <c r="AT1149" s="333"/>
      <c r="AU1149" s="333"/>
      <c r="AV1149" s="333"/>
    </row>
    <row r="1150" spans="2:48" s="330" customFormat="1" ht="28.15" customHeight="1" x14ac:dyDescent="0.25">
      <c r="B1150" s="331"/>
      <c r="C1150" s="332"/>
      <c r="D1150" s="332"/>
      <c r="E1150" s="333"/>
      <c r="F1150" s="333"/>
      <c r="S1150" s="403"/>
      <c r="T1150" s="403"/>
      <c r="U1150" s="403"/>
      <c r="V1150" s="403"/>
      <c r="AA1150" s="403"/>
      <c r="AB1150" s="403"/>
      <c r="AC1150" s="403"/>
      <c r="AD1150" s="403"/>
      <c r="AG1150" s="403"/>
      <c r="AM1150" s="415"/>
      <c r="AR1150" s="333"/>
      <c r="AS1150" s="333"/>
      <c r="AT1150" s="333"/>
      <c r="AU1150" s="333"/>
      <c r="AV1150" s="333"/>
    </row>
    <row r="1151" spans="2:48" s="330" customFormat="1" ht="28.15" customHeight="1" x14ac:dyDescent="0.25">
      <c r="B1151" s="331"/>
      <c r="C1151" s="332"/>
      <c r="D1151" s="332"/>
      <c r="E1151" s="333"/>
      <c r="F1151" s="333"/>
      <c r="S1151" s="403"/>
      <c r="T1151" s="403"/>
      <c r="U1151" s="403"/>
      <c r="V1151" s="403"/>
      <c r="AA1151" s="403"/>
      <c r="AB1151" s="403"/>
      <c r="AC1151" s="403"/>
      <c r="AD1151" s="403"/>
      <c r="AG1151" s="403"/>
      <c r="AM1151" s="415"/>
      <c r="AR1151" s="333"/>
      <c r="AS1151" s="333"/>
      <c r="AT1151" s="333"/>
      <c r="AU1151" s="333"/>
      <c r="AV1151" s="333"/>
    </row>
    <row r="1152" spans="2:48" s="330" customFormat="1" ht="28.15" customHeight="1" x14ac:dyDescent="0.25">
      <c r="B1152" s="331"/>
      <c r="C1152" s="332"/>
      <c r="D1152" s="332"/>
      <c r="E1152" s="333"/>
      <c r="F1152" s="333"/>
      <c r="S1152" s="403"/>
      <c r="T1152" s="403"/>
      <c r="U1152" s="403"/>
      <c r="V1152" s="403"/>
      <c r="AA1152" s="403"/>
      <c r="AB1152" s="403"/>
      <c r="AC1152" s="403"/>
      <c r="AD1152" s="403"/>
      <c r="AG1152" s="403"/>
      <c r="AM1152" s="415"/>
      <c r="AR1152" s="333"/>
      <c r="AS1152" s="333"/>
      <c r="AT1152" s="333"/>
      <c r="AU1152" s="333"/>
      <c r="AV1152" s="333"/>
    </row>
    <row r="1153" spans="2:48" s="330" customFormat="1" ht="28.15" customHeight="1" x14ac:dyDescent="0.25">
      <c r="B1153" s="331"/>
      <c r="C1153" s="332"/>
      <c r="D1153" s="332"/>
      <c r="E1153" s="333"/>
      <c r="F1153" s="333"/>
      <c r="S1153" s="403"/>
      <c r="T1153" s="403"/>
      <c r="U1153" s="403"/>
      <c r="V1153" s="403"/>
      <c r="AA1153" s="403"/>
      <c r="AB1153" s="403"/>
      <c r="AC1153" s="403"/>
      <c r="AD1153" s="403"/>
      <c r="AG1153" s="403"/>
      <c r="AM1153" s="415"/>
      <c r="AR1153" s="333"/>
      <c r="AS1153" s="333"/>
      <c r="AT1153" s="333"/>
      <c r="AU1153" s="333"/>
      <c r="AV1153" s="333"/>
    </row>
    <row r="1154" spans="2:48" s="330" customFormat="1" ht="28.15" customHeight="1" x14ac:dyDescent="0.25">
      <c r="B1154" s="331"/>
      <c r="C1154" s="332"/>
      <c r="D1154" s="332"/>
      <c r="E1154" s="333"/>
      <c r="F1154" s="333"/>
      <c r="S1154" s="403"/>
      <c r="T1154" s="403"/>
      <c r="U1154" s="403"/>
      <c r="V1154" s="403"/>
      <c r="AA1154" s="403"/>
      <c r="AB1154" s="403"/>
      <c r="AC1154" s="403"/>
      <c r="AD1154" s="403"/>
      <c r="AG1154" s="403"/>
      <c r="AM1154" s="415"/>
      <c r="AR1154" s="333"/>
      <c r="AS1154" s="333"/>
      <c r="AT1154" s="333"/>
      <c r="AU1154" s="333"/>
      <c r="AV1154" s="333"/>
    </row>
    <row r="1155" spans="2:48" s="330" customFormat="1" ht="28.15" customHeight="1" x14ac:dyDescent="0.25">
      <c r="B1155" s="331"/>
      <c r="C1155" s="332"/>
      <c r="D1155" s="332"/>
      <c r="E1155" s="333"/>
      <c r="F1155" s="333"/>
      <c r="S1155" s="403"/>
      <c r="T1155" s="403"/>
      <c r="U1155" s="403"/>
      <c r="V1155" s="403"/>
      <c r="AA1155" s="403"/>
      <c r="AB1155" s="403"/>
      <c r="AC1155" s="403"/>
      <c r="AD1155" s="403"/>
      <c r="AG1155" s="403"/>
      <c r="AM1155" s="415"/>
      <c r="AR1155" s="333"/>
      <c r="AS1155" s="333"/>
      <c r="AT1155" s="333"/>
      <c r="AU1155" s="333"/>
      <c r="AV1155" s="333"/>
    </row>
    <row r="1156" spans="2:48" s="330" customFormat="1" ht="28.15" customHeight="1" x14ac:dyDescent="0.25">
      <c r="B1156" s="331"/>
      <c r="C1156" s="332"/>
      <c r="D1156" s="332"/>
      <c r="E1156" s="333"/>
      <c r="F1156" s="333"/>
      <c r="S1156" s="403"/>
      <c r="T1156" s="403"/>
      <c r="U1156" s="403"/>
      <c r="V1156" s="403"/>
      <c r="AA1156" s="403"/>
      <c r="AB1156" s="403"/>
      <c r="AC1156" s="403"/>
      <c r="AD1156" s="403"/>
      <c r="AG1156" s="403"/>
      <c r="AM1156" s="415"/>
      <c r="AR1156" s="333"/>
      <c r="AS1156" s="333"/>
      <c r="AT1156" s="333"/>
      <c r="AU1156" s="333"/>
      <c r="AV1156" s="333"/>
    </row>
    <row r="1157" spans="2:48" s="330" customFormat="1" ht="28.15" customHeight="1" x14ac:dyDescent="0.25">
      <c r="B1157" s="331"/>
      <c r="C1157" s="332"/>
      <c r="D1157" s="332"/>
      <c r="E1157" s="333"/>
      <c r="F1157" s="333"/>
      <c r="S1157" s="403"/>
      <c r="T1157" s="403"/>
      <c r="U1157" s="403"/>
      <c r="V1157" s="403"/>
      <c r="AA1157" s="403"/>
      <c r="AB1157" s="403"/>
      <c r="AC1157" s="403"/>
      <c r="AD1157" s="403"/>
      <c r="AG1157" s="403"/>
      <c r="AM1157" s="415"/>
      <c r="AR1157" s="333"/>
      <c r="AS1157" s="333"/>
      <c r="AT1157" s="333"/>
      <c r="AU1157" s="333"/>
      <c r="AV1157" s="333"/>
    </row>
    <row r="1158" spans="2:48" s="330" customFormat="1" ht="28.15" customHeight="1" x14ac:dyDescent="0.25">
      <c r="B1158" s="331"/>
      <c r="C1158" s="332"/>
      <c r="D1158" s="332"/>
      <c r="E1158" s="333"/>
      <c r="F1158" s="333"/>
      <c r="S1158" s="403"/>
      <c r="T1158" s="403"/>
      <c r="U1158" s="403"/>
      <c r="V1158" s="403"/>
      <c r="AA1158" s="403"/>
      <c r="AB1158" s="403"/>
      <c r="AC1158" s="403"/>
      <c r="AD1158" s="403"/>
      <c r="AG1158" s="403"/>
      <c r="AM1158" s="415"/>
      <c r="AR1158" s="333"/>
      <c r="AS1158" s="333"/>
      <c r="AT1158" s="333"/>
      <c r="AU1158" s="333"/>
      <c r="AV1158" s="333"/>
    </row>
    <row r="1159" spans="2:48" s="330" customFormat="1" ht="28.15" customHeight="1" x14ac:dyDescent="0.25">
      <c r="B1159" s="331"/>
      <c r="C1159" s="332"/>
      <c r="D1159" s="332"/>
      <c r="E1159" s="333"/>
      <c r="F1159" s="333"/>
      <c r="S1159" s="403"/>
      <c r="T1159" s="403"/>
      <c r="U1159" s="403"/>
      <c r="V1159" s="403"/>
      <c r="AA1159" s="403"/>
      <c r="AB1159" s="403"/>
      <c r="AC1159" s="403"/>
      <c r="AD1159" s="403"/>
      <c r="AG1159" s="403"/>
      <c r="AM1159" s="415"/>
      <c r="AR1159" s="333"/>
      <c r="AS1159" s="333"/>
      <c r="AT1159" s="333"/>
      <c r="AU1159" s="333"/>
      <c r="AV1159" s="333"/>
    </row>
    <row r="1160" spans="2:48" s="330" customFormat="1" ht="28.15" customHeight="1" x14ac:dyDescent="0.25">
      <c r="B1160" s="331"/>
      <c r="C1160" s="332"/>
      <c r="D1160" s="332"/>
      <c r="E1160" s="333"/>
      <c r="F1160" s="333"/>
      <c r="S1160" s="403"/>
      <c r="T1160" s="403"/>
      <c r="U1160" s="403"/>
      <c r="V1160" s="403"/>
      <c r="AA1160" s="403"/>
      <c r="AB1160" s="403"/>
      <c r="AC1160" s="403"/>
      <c r="AD1160" s="403"/>
      <c r="AG1160" s="403"/>
      <c r="AM1160" s="415"/>
      <c r="AR1160" s="333"/>
      <c r="AS1160" s="333"/>
      <c r="AT1160" s="333"/>
      <c r="AU1160" s="333"/>
      <c r="AV1160" s="333"/>
    </row>
    <row r="1161" spans="2:48" s="330" customFormat="1" ht="28.15" customHeight="1" x14ac:dyDescent="0.25">
      <c r="B1161" s="331"/>
      <c r="C1161" s="332"/>
      <c r="D1161" s="332"/>
      <c r="E1161" s="333"/>
      <c r="F1161" s="333"/>
      <c r="S1161" s="403"/>
      <c r="T1161" s="403"/>
      <c r="U1161" s="403"/>
      <c r="V1161" s="403"/>
      <c r="AA1161" s="403"/>
      <c r="AB1161" s="403"/>
      <c r="AC1161" s="403"/>
      <c r="AD1161" s="403"/>
      <c r="AG1161" s="403"/>
      <c r="AM1161" s="415"/>
      <c r="AR1161" s="333"/>
      <c r="AS1161" s="333"/>
      <c r="AT1161" s="333"/>
      <c r="AU1161" s="333"/>
      <c r="AV1161" s="333"/>
    </row>
    <row r="1162" spans="2:48" s="330" customFormat="1" ht="28.15" customHeight="1" x14ac:dyDescent="0.25">
      <c r="B1162" s="331"/>
      <c r="C1162" s="332"/>
      <c r="D1162" s="332"/>
      <c r="E1162" s="333"/>
      <c r="F1162" s="333"/>
      <c r="S1162" s="403"/>
      <c r="T1162" s="403"/>
      <c r="U1162" s="403"/>
      <c r="V1162" s="403"/>
      <c r="AA1162" s="403"/>
      <c r="AB1162" s="403"/>
      <c r="AC1162" s="403"/>
      <c r="AD1162" s="403"/>
      <c r="AG1162" s="403"/>
      <c r="AM1162" s="415"/>
      <c r="AR1162" s="333"/>
      <c r="AS1162" s="333"/>
      <c r="AT1162" s="333"/>
      <c r="AU1162" s="333"/>
      <c r="AV1162" s="333"/>
    </row>
    <row r="1163" spans="2:48" s="330" customFormat="1" ht="28.15" customHeight="1" x14ac:dyDescent="0.25">
      <c r="B1163" s="331"/>
      <c r="C1163" s="332"/>
      <c r="D1163" s="332"/>
      <c r="E1163" s="333"/>
      <c r="F1163" s="333"/>
      <c r="S1163" s="403"/>
      <c r="T1163" s="403"/>
      <c r="U1163" s="403"/>
      <c r="V1163" s="403"/>
      <c r="AA1163" s="403"/>
      <c r="AB1163" s="403"/>
      <c r="AC1163" s="403"/>
      <c r="AD1163" s="403"/>
      <c r="AG1163" s="403"/>
      <c r="AM1163" s="415"/>
      <c r="AR1163" s="333"/>
      <c r="AS1163" s="333"/>
      <c r="AT1163" s="333"/>
      <c r="AU1163" s="333"/>
      <c r="AV1163" s="333"/>
    </row>
    <row r="1164" spans="2:48" s="330" customFormat="1" ht="28.15" customHeight="1" x14ac:dyDescent="0.25">
      <c r="B1164" s="331"/>
      <c r="C1164" s="332"/>
      <c r="D1164" s="332"/>
      <c r="E1164" s="333"/>
      <c r="F1164" s="333"/>
      <c r="S1164" s="403"/>
      <c r="T1164" s="403"/>
      <c r="U1164" s="403"/>
      <c r="V1164" s="403"/>
      <c r="AA1164" s="403"/>
      <c r="AB1164" s="403"/>
      <c r="AC1164" s="403"/>
      <c r="AD1164" s="403"/>
      <c r="AG1164" s="403"/>
      <c r="AM1164" s="415"/>
      <c r="AR1164" s="333"/>
      <c r="AS1164" s="333"/>
      <c r="AT1164" s="333"/>
      <c r="AU1164" s="333"/>
      <c r="AV1164" s="333"/>
    </row>
    <row r="1165" spans="2:48" s="330" customFormat="1" ht="28.15" customHeight="1" x14ac:dyDescent="0.25">
      <c r="B1165" s="331"/>
      <c r="C1165" s="332"/>
      <c r="D1165" s="332"/>
      <c r="E1165" s="333"/>
      <c r="F1165" s="333"/>
      <c r="S1165" s="403"/>
      <c r="T1165" s="403"/>
      <c r="U1165" s="403"/>
      <c r="V1165" s="403"/>
      <c r="AA1165" s="403"/>
      <c r="AB1165" s="403"/>
      <c r="AC1165" s="403"/>
      <c r="AD1165" s="403"/>
      <c r="AG1165" s="403"/>
      <c r="AM1165" s="415"/>
      <c r="AR1165" s="333"/>
      <c r="AS1165" s="333"/>
      <c r="AT1165" s="333"/>
      <c r="AU1165" s="333"/>
      <c r="AV1165" s="333"/>
    </row>
    <row r="1166" spans="2:48" s="330" customFormat="1" ht="28.15" customHeight="1" x14ac:dyDescent="0.25">
      <c r="B1166" s="331"/>
      <c r="C1166" s="332"/>
      <c r="D1166" s="332"/>
      <c r="E1166" s="333"/>
      <c r="F1166" s="333"/>
      <c r="S1166" s="403"/>
      <c r="T1166" s="403"/>
      <c r="U1166" s="403"/>
      <c r="V1166" s="403"/>
      <c r="AA1166" s="403"/>
      <c r="AB1166" s="403"/>
      <c r="AC1166" s="403"/>
      <c r="AD1166" s="403"/>
      <c r="AG1166" s="403"/>
      <c r="AM1166" s="415"/>
      <c r="AR1166" s="333"/>
      <c r="AS1166" s="333"/>
      <c r="AT1166" s="333"/>
      <c r="AU1166" s="333"/>
      <c r="AV1166" s="333"/>
    </row>
    <row r="1167" spans="2:48" s="330" customFormat="1" ht="28.15" customHeight="1" x14ac:dyDescent="0.25">
      <c r="B1167" s="331"/>
      <c r="C1167" s="332"/>
      <c r="D1167" s="332"/>
      <c r="E1167" s="333"/>
      <c r="F1167" s="333"/>
      <c r="S1167" s="403"/>
      <c r="T1167" s="403"/>
      <c r="U1167" s="403"/>
      <c r="V1167" s="403"/>
      <c r="AA1167" s="403"/>
      <c r="AB1167" s="403"/>
      <c r="AC1167" s="403"/>
      <c r="AD1167" s="403"/>
      <c r="AG1167" s="403"/>
      <c r="AM1167" s="415"/>
      <c r="AR1167" s="333"/>
      <c r="AS1167" s="333"/>
      <c r="AT1167" s="333"/>
      <c r="AU1167" s="333"/>
      <c r="AV1167" s="333"/>
    </row>
    <row r="1168" spans="2:48" s="330" customFormat="1" ht="28.15" customHeight="1" x14ac:dyDescent="0.25">
      <c r="B1168" s="331"/>
      <c r="C1168" s="332"/>
      <c r="D1168" s="332"/>
      <c r="E1168" s="333"/>
      <c r="F1168" s="333"/>
      <c r="S1168" s="403"/>
      <c r="T1168" s="403"/>
      <c r="U1168" s="403"/>
      <c r="V1168" s="403"/>
      <c r="AA1168" s="403"/>
      <c r="AB1168" s="403"/>
      <c r="AC1168" s="403"/>
      <c r="AD1168" s="403"/>
      <c r="AG1168" s="403"/>
      <c r="AM1168" s="415"/>
      <c r="AR1168" s="333"/>
      <c r="AS1168" s="333"/>
      <c r="AT1168" s="333"/>
      <c r="AU1168" s="333"/>
      <c r="AV1168" s="333"/>
    </row>
    <row r="1169" spans="2:48" s="330" customFormat="1" ht="28.15" customHeight="1" x14ac:dyDescent="0.25">
      <c r="B1169" s="331"/>
      <c r="C1169" s="332"/>
      <c r="D1169" s="332"/>
      <c r="E1169" s="333"/>
      <c r="F1169" s="333"/>
      <c r="S1169" s="403"/>
      <c r="T1169" s="403"/>
      <c r="U1169" s="403"/>
      <c r="V1169" s="403"/>
      <c r="AA1169" s="403"/>
      <c r="AB1169" s="403"/>
      <c r="AC1169" s="403"/>
      <c r="AD1169" s="403"/>
      <c r="AG1169" s="403"/>
      <c r="AM1169" s="415"/>
      <c r="AR1169" s="333"/>
      <c r="AS1169" s="333"/>
      <c r="AT1169" s="333"/>
      <c r="AU1169" s="333"/>
      <c r="AV1169" s="333"/>
    </row>
    <row r="1170" spans="2:48" s="330" customFormat="1" ht="28.15" customHeight="1" x14ac:dyDescent="0.25">
      <c r="B1170" s="331"/>
      <c r="C1170" s="332"/>
      <c r="D1170" s="332"/>
      <c r="E1170" s="333"/>
      <c r="F1170" s="333"/>
      <c r="S1170" s="403"/>
      <c r="T1170" s="403"/>
      <c r="U1170" s="403"/>
      <c r="V1170" s="403"/>
      <c r="AA1170" s="403"/>
      <c r="AB1170" s="403"/>
      <c r="AC1170" s="403"/>
      <c r="AD1170" s="403"/>
      <c r="AG1170" s="403"/>
      <c r="AM1170" s="415"/>
      <c r="AR1170" s="333"/>
      <c r="AS1170" s="333"/>
      <c r="AT1170" s="333"/>
      <c r="AU1170" s="333"/>
      <c r="AV1170" s="333"/>
    </row>
    <row r="1171" spans="2:48" s="330" customFormat="1" ht="28.15" customHeight="1" x14ac:dyDescent="0.25">
      <c r="B1171" s="331"/>
      <c r="C1171" s="332"/>
      <c r="D1171" s="332"/>
      <c r="E1171" s="333"/>
      <c r="F1171" s="333"/>
      <c r="S1171" s="403"/>
      <c r="T1171" s="403"/>
      <c r="U1171" s="403"/>
      <c r="V1171" s="403"/>
      <c r="AA1171" s="403"/>
      <c r="AB1171" s="403"/>
      <c r="AC1171" s="403"/>
      <c r="AD1171" s="403"/>
      <c r="AG1171" s="403"/>
      <c r="AM1171" s="415"/>
      <c r="AR1171" s="333"/>
      <c r="AS1171" s="333"/>
      <c r="AT1171" s="333"/>
      <c r="AU1171" s="333"/>
      <c r="AV1171" s="333"/>
    </row>
    <row r="1172" spans="2:48" s="330" customFormat="1" ht="28.15" customHeight="1" x14ac:dyDescent="0.25">
      <c r="B1172" s="331"/>
      <c r="C1172" s="332"/>
      <c r="D1172" s="332"/>
      <c r="E1172" s="333"/>
      <c r="F1172" s="333"/>
      <c r="S1172" s="403"/>
      <c r="T1172" s="403"/>
      <c r="U1172" s="403"/>
      <c r="V1172" s="403"/>
      <c r="AA1172" s="403"/>
      <c r="AB1172" s="403"/>
      <c r="AC1172" s="403"/>
      <c r="AD1172" s="403"/>
      <c r="AG1172" s="403"/>
      <c r="AM1172" s="415"/>
      <c r="AR1172" s="333"/>
      <c r="AS1172" s="333"/>
      <c r="AT1172" s="333"/>
      <c r="AU1172" s="333"/>
      <c r="AV1172" s="333"/>
    </row>
    <row r="1173" spans="2:48" s="330" customFormat="1" ht="28.15" customHeight="1" x14ac:dyDescent="0.25">
      <c r="B1173" s="331"/>
      <c r="C1173" s="332"/>
      <c r="D1173" s="332"/>
      <c r="E1173" s="333"/>
      <c r="F1173" s="333"/>
      <c r="S1173" s="403"/>
      <c r="T1173" s="403"/>
      <c r="U1173" s="403"/>
      <c r="V1173" s="403"/>
      <c r="AA1173" s="403"/>
      <c r="AB1173" s="403"/>
      <c r="AC1173" s="403"/>
      <c r="AD1173" s="403"/>
      <c r="AG1173" s="403"/>
      <c r="AM1173" s="415"/>
      <c r="AR1173" s="333"/>
      <c r="AS1173" s="333"/>
      <c r="AT1173" s="333"/>
      <c r="AU1173" s="333"/>
      <c r="AV1173" s="333"/>
    </row>
    <row r="1174" spans="2:48" s="330" customFormat="1" ht="28.15" customHeight="1" x14ac:dyDescent="0.25">
      <c r="B1174" s="331"/>
      <c r="C1174" s="332"/>
      <c r="D1174" s="332"/>
      <c r="E1174" s="333"/>
      <c r="F1174" s="333"/>
      <c r="S1174" s="403"/>
      <c r="T1174" s="403"/>
      <c r="U1174" s="403"/>
      <c r="V1174" s="403"/>
      <c r="AA1174" s="403"/>
      <c r="AB1174" s="403"/>
      <c r="AC1174" s="403"/>
      <c r="AD1174" s="403"/>
      <c r="AG1174" s="403"/>
      <c r="AM1174" s="415"/>
      <c r="AR1174" s="333"/>
      <c r="AS1174" s="333"/>
      <c r="AT1174" s="333"/>
      <c r="AU1174" s="333"/>
      <c r="AV1174" s="333"/>
    </row>
    <row r="1175" spans="2:48" s="330" customFormat="1" ht="28.15" customHeight="1" x14ac:dyDescent="0.25">
      <c r="B1175" s="331"/>
      <c r="C1175" s="332"/>
      <c r="D1175" s="332"/>
      <c r="E1175" s="333"/>
      <c r="F1175" s="333"/>
      <c r="S1175" s="403"/>
      <c r="T1175" s="403"/>
      <c r="U1175" s="403"/>
      <c r="V1175" s="403"/>
      <c r="AA1175" s="403"/>
      <c r="AB1175" s="403"/>
      <c r="AC1175" s="403"/>
      <c r="AD1175" s="403"/>
      <c r="AG1175" s="403"/>
      <c r="AM1175" s="415"/>
      <c r="AR1175" s="333"/>
      <c r="AS1175" s="333"/>
      <c r="AT1175" s="333"/>
      <c r="AU1175" s="333"/>
      <c r="AV1175" s="333"/>
    </row>
    <row r="1176" spans="2:48" s="330" customFormat="1" ht="28.15" customHeight="1" x14ac:dyDescent="0.25">
      <c r="B1176" s="331"/>
      <c r="C1176" s="332"/>
      <c r="D1176" s="332"/>
      <c r="E1176" s="333"/>
      <c r="F1176" s="333"/>
      <c r="S1176" s="403"/>
      <c r="T1176" s="403"/>
      <c r="U1176" s="403"/>
      <c r="V1176" s="403"/>
      <c r="AA1176" s="403"/>
      <c r="AB1176" s="403"/>
      <c r="AC1176" s="403"/>
      <c r="AD1176" s="403"/>
      <c r="AG1176" s="403"/>
      <c r="AM1176" s="415"/>
      <c r="AR1176" s="333"/>
      <c r="AS1176" s="333"/>
      <c r="AT1176" s="333"/>
      <c r="AU1176" s="333"/>
      <c r="AV1176" s="333"/>
    </row>
    <row r="1177" spans="2:48" s="330" customFormat="1" ht="28.15" customHeight="1" x14ac:dyDescent="0.25">
      <c r="B1177" s="331"/>
      <c r="C1177" s="332"/>
      <c r="D1177" s="332"/>
      <c r="E1177" s="333"/>
      <c r="F1177" s="333"/>
      <c r="S1177" s="403"/>
      <c r="T1177" s="403"/>
      <c r="U1177" s="403"/>
      <c r="V1177" s="403"/>
      <c r="AA1177" s="403"/>
      <c r="AB1177" s="403"/>
      <c r="AC1177" s="403"/>
      <c r="AD1177" s="403"/>
      <c r="AG1177" s="403"/>
      <c r="AM1177" s="415"/>
      <c r="AR1177" s="333"/>
      <c r="AS1177" s="333"/>
      <c r="AT1177" s="333"/>
      <c r="AU1177" s="333"/>
      <c r="AV1177" s="333"/>
    </row>
    <row r="1178" spans="2:48" s="330" customFormat="1" ht="28.15" customHeight="1" x14ac:dyDescent="0.25">
      <c r="B1178" s="331"/>
      <c r="C1178" s="332"/>
      <c r="D1178" s="332"/>
      <c r="E1178" s="333"/>
      <c r="F1178" s="333"/>
      <c r="S1178" s="403"/>
      <c r="T1178" s="403"/>
      <c r="U1178" s="403"/>
      <c r="V1178" s="403"/>
      <c r="AA1178" s="403"/>
      <c r="AB1178" s="403"/>
      <c r="AC1178" s="403"/>
      <c r="AD1178" s="403"/>
      <c r="AG1178" s="403"/>
      <c r="AM1178" s="415"/>
      <c r="AR1178" s="333"/>
      <c r="AS1178" s="333"/>
      <c r="AT1178" s="333"/>
      <c r="AU1178" s="333"/>
      <c r="AV1178" s="333"/>
    </row>
    <row r="1179" spans="2:48" s="330" customFormat="1" ht="28.15" customHeight="1" x14ac:dyDescent="0.25">
      <c r="B1179" s="331"/>
      <c r="C1179" s="332"/>
      <c r="D1179" s="332"/>
      <c r="E1179" s="333"/>
      <c r="F1179" s="333"/>
      <c r="S1179" s="403"/>
      <c r="T1179" s="403"/>
      <c r="U1179" s="403"/>
      <c r="V1179" s="403"/>
      <c r="AA1179" s="403"/>
      <c r="AB1179" s="403"/>
      <c r="AC1179" s="403"/>
      <c r="AD1179" s="403"/>
      <c r="AG1179" s="403"/>
      <c r="AM1179" s="415"/>
      <c r="AR1179" s="333"/>
      <c r="AS1179" s="333"/>
      <c r="AT1179" s="333"/>
      <c r="AU1179" s="333"/>
      <c r="AV1179" s="333"/>
    </row>
    <row r="1180" spans="2:48" s="330" customFormat="1" ht="28.15" customHeight="1" x14ac:dyDescent="0.25">
      <c r="B1180" s="331"/>
      <c r="C1180" s="332"/>
      <c r="D1180" s="332"/>
      <c r="E1180" s="333"/>
      <c r="F1180" s="333"/>
      <c r="S1180" s="403"/>
      <c r="T1180" s="403"/>
      <c r="U1180" s="403"/>
      <c r="V1180" s="403"/>
      <c r="AA1180" s="403"/>
      <c r="AB1180" s="403"/>
      <c r="AC1180" s="403"/>
      <c r="AD1180" s="403"/>
      <c r="AG1180" s="403"/>
      <c r="AM1180" s="415"/>
      <c r="AR1180" s="333"/>
      <c r="AS1180" s="333"/>
      <c r="AT1180" s="333"/>
      <c r="AU1180" s="333"/>
      <c r="AV1180" s="333"/>
    </row>
    <row r="1181" spans="2:48" s="330" customFormat="1" ht="28.15" customHeight="1" x14ac:dyDescent="0.25">
      <c r="B1181" s="331"/>
      <c r="C1181" s="332"/>
      <c r="D1181" s="332"/>
      <c r="E1181" s="333"/>
      <c r="F1181" s="333"/>
      <c r="S1181" s="403"/>
      <c r="T1181" s="403"/>
      <c r="U1181" s="403"/>
      <c r="V1181" s="403"/>
      <c r="AA1181" s="403"/>
      <c r="AB1181" s="403"/>
      <c r="AC1181" s="403"/>
      <c r="AD1181" s="403"/>
      <c r="AG1181" s="403"/>
      <c r="AM1181" s="415"/>
      <c r="AR1181" s="333"/>
      <c r="AS1181" s="333"/>
      <c r="AT1181" s="333"/>
      <c r="AU1181" s="333"/>
      <c r="AV1181" s="333"/>
    </row>
    <row r="1182" spans="2:48" s="330" customFormat="1" ht="28.15" customHeight="1" x14ac:dyDescent="0.25">
      <c r="B1182" s="331"/>
      <c r="C1182" s="332"/>
      <c r="D1182" s="332"/>
      <c r="E1182" s="333"/>
      <c r="F1182" s="333"/>
      <c r="S1182" s="403"/>
      <c r="T1182" s="403"/>
      <c r="U1182" s="403"/>
      <c r="V1182" s="403"/>
      <c r="AA1182" s="403"/>
      <c r="AB1182" s="403"/>
      <c r="AC1182" s="403"/>
      <c r="AD1182" s="403"/>
      <c r="AG1182" s="403"/>
      <c r="AM1182" s="415"/>
      <c r="AR1182" s="333"/>
      <c r="AS1182" s="333"/>
      <c r="AT1182" s="333"/>
      <c r="AU1182" s="333"/>
      <c r="AV1182" s="333"/>
    </row>
    <row r="1183" spans="2:48" s="330" customFormat="1" ht="28.15" customHeight="1" x14ac:dyDescent="0.25">
      <c r="B1183" s="331"/>
      <c r="C1183" s="332"/>
      <c r="D1183" s="332"/>
      <c r="E1183" s="333"/>
      <c r="F1183" s="333"/>
      <c r="S1183" s="403"/>
      <c r="T1183" s="403"/>
      <c r="U1183" s="403"/>
      <c r="V1183" s="403"/>
      <c r="AA1183" s="403"/>
      <c r="AB1183" s="403"/>
      <c r="AC1183" s="403"/>
      <c r="AD1183" s="403"/>
      <c r="AG1183" s="403"/>
      <c r="AM1183" s="415"/>
      <c r="AR1183" s="333"/>
      <c r="AS1183" s="333"/>
      <c r="AT1183" s="333"/>
      <c r="AU1183" s="333"/>
      <c r="AV1183" s="333"/>
    </row>
    <row r="1184" spans="2:48" s="330" customFormat="1" ht="28.15" customHeight="1" x14ac:dyDescent="0.25">
      <c r="B1184" s="331"/>
      <c r="C1184" s="332"/>
      <c r="D1184" s="332"/>
      <c r="E1184" s="333"/>
      <c r="F1184" s="333"/>
      <c r="S1184" s="403"/>
      <c r="T1184" s="403"/>
      <c r="U1184" s="403"/>
      <c r="V1184" s="403"/>
      <c r="AA1184" s="403"/>
      <c r="AB1184" s="403"/>
      <c r="AC1184" s="403"/>
      <c r="AD1184" s="403"/>
      <c r="AG1184" s="403"/>
      <c r="AM1184" s="415"/>
      <c r="AR1184" s="333"/>
      <c r="AS1184" s="333"/>
      <c r="AT1184" s="333"/>
      <c r="AU1184" s="333"/>
      <c r="AV1184" s="333"/>
    </row>
    <row r="1185" spans="2:48" s="330" customFormat="1" ht="28.15" customHeight="1" x14ac:dyDescent="0.25">
      <c r="B1185" s="331"/>
      <c r="C1185" s="332"/>
      <c r="D1185" s="332"/>
      <c r="E1185" s="333"/>
      <c r="F1185" s="333"/>
      <c r="S1185" s="403"/>
      <c r="T1185" s="403"/>
      <c r="U1185" s="403"/>
      <c r="V1185" s="403"/>
      <c r="AA1185" s="403"/>
      <c r="AB1185" s="403"/>
      <c r="AC1185" s="403"/>
      <c r="AD1185" s="403"/>
      <c r="AG1185" s="403"/>
      <c r="AM1185" s="415"/>
      <c r="AR1185" s="333"/>
      <c r="AS1185" s="333"/>
      <c r="AT1185" s="333"/>
      <c r="AU1185" s="333"/>
      <c r="AV1185" s="333"/>
    </row>
    <row r="1186" spans="2:48" s="330" customFormat="1" ht="28.15" customHeight="1" x14ac:dyDescent="0.25">
      <c r="B1186" s="331"/>
      <c r="C1186" s="332"/>
      <c r="D1186" s="332"/>
      <c r="E1186" s="333"/>
      <c r="F1186" s="333"/>
      <c r="S1186" s="403"/>
      <c r="T1186" s="403"/>
      <c r="U1186" s="403"/>
      <c r="V1186" s="403"/>
      <c r="AA1186" s="403"/>
      <c r="AB1186" s="403"/>
      <c r="AC1186" s="403"/>
      <c r="AD1186" s="403"/>
      <c r="AG1186" s="403"/>
      <c r="AM1186" s="415"/>
      <c r="AR1186" s="333"/>
      <c r="AS1186" s="333"/>
      <c r="AT1186" s="333"/>
      <c r="AU1186" s="333"/>
      <c r="AV1186" s="333"/>
    </row>
    <row r="1187" spans="2:48" s="330" customFormat="1" ht="28.15" customHeight="1" x14ac:dyDescent="0.25">
      <c r="B1187" s="331"/>
      <c r="C1187" s="332"/>
      <c r="D1187" s="332"/>
      <c r="E1187" s="333"/>
      <c r="F1187" s="333"/>
      <c r="S1187" s="403"/>
      <c r="T1187" s="403"/>
      <c r="U1187" s="403"/>
      <c r="V1187" s="403"/>
      <c r="AA1187" s="403"/>
      <c r="AB1187" s="403"/>
      <c r="AC1187" s="403"/>
      <c r="AD1187" s="403"/>
      <c r="AG1187" s="403"/>
      <c r="AM1187" s="415"/>
      <c r="AR1187" s="333"/>
      <c r="AS1187" s="333"/>
      <c r="AT1187" s="333"/>
      <c r="AU1187" s="333"/>
      <c r="AV1187" s="333"/>
    </row>
    <row r="1188" spans="2:48" s="330" customFormat="1" ht="28.15" customHeight="1" x14ac:dyDescent="0.25">
      <c r="B1188" s="331"/>
      <c r="C1188" s="332"/>
      <c r="D1188" s="332"/>
      <c r="E1188" s="333"/>
      <c r="F1188" s="333"/>
      <c r="S1188" s="403"/>
      <c r="T1188" s="403"/>
      <c r="U1188" s="403"/>
      <c r="V1188" s="403"/>
      <c r="AA1188" s="403"/>
      <c r="AB1188" s="403"/>
      <c r="AC1188" s="403"/>
      <c r="AD1188" s="403"/>
      <c r="AG1188" s="403"/>
      <c r="AM1188" s="415"/>
      <c r="AR1188" s="333"/>
      <c r="AS1188" s="333"/>
      <c r="AT1188" s="333"/>
      <c r="AU1188" s="333"/>
      <c r="AV1188" s="333"/>
    </row>
    <row r="1189" spans="2:48" s="330" customFormat="1" ht="28.15" customHeight="1" x14ac:dyDescent="0.25">
      <c r="B1189" s="331"/>
      <c r="C1189" s="332"/>
      <c r="D1189" s="332"/>
      <c r="E1189" s="333"/>
      <c r="F1189" s="333"/>
      <c r="S1189" s="403"/>
      <c r="T1189" s="403"/>
      <c r="U1189" s="403"/>
      <c r="V1189" s="403"/>
      <c r="AA1189" s="403"/>
      <c r="AB1189" s="403"/>
      <c r="AC1189" s="403"/>
      <c r="AD1189" s="403"/>
      <c r="AG1189" s="403"/>
      <c r="AM1189" s="415"/>
      <c r="AR1189" s="333"/>
      <c r="AS1189" s="333"/>
      <c r="AT1189" s="333"/>
      <c r="AU1189" s="333"/>
      <c r="AV1189" s="333"/>
    </row>
    <row r="1190" spans="2:48" s="330" customFormat="1" ht="28.15" customHeight="1" x14ac:dyDescent="0.25">
      <c r="B1190" s="331"/>
      <c r="C1190" s="332"/>
      <c r="D1190" s="332"/>
      <c r="E1190" s="333"/>
      <c r="F1190" s="333"/>
      <c r="S1190" s="403"/>
      <c r="T1190" s="403"/>
      <c r="U1190" s="403"/>
      <c r="V1190" s="403"/>
      <c r="AA1190" s="403"/>
      <c r="AB1190" s="403"/>
      <c r="AC1190" s="403"/>
      <c r="AD1190" s="403"/>
      <c r="AG1190" s="403"/>
      <c r="AM1190" s="415"/>
      <c r="AR1190" s="333"/>
      <c r="AS1190" s="333"/>
      <c r="AT1190" s="333"/>
      <c r="AU1190" s="333"/>
      <c r="AV1190" s="333"/>
    </row>
    <row r="1191" spans="2:48" s="330" customFormat="1" ht="28.15" customHeight="1" x14ac:dyDescent="0.25">
      <c r="B1191" s="331"/>
      <c r="C1191" s="332"/>
      <c r="D1191" s="332"/>
      <c r="E1191" s="333"/>
      <c r="F1191" s="333"/>
      <c r="S1191" s="403"/>
      <c r="T1191" s="403"/>
      <c r="U1191" s="403"/>
      <c r="V1191" s="403"/>
      <c r="AA1191" s="403"/>
      <c r="AB1191" s="403"/>
      <c r="AC1191" s="403"/>
      <c r="AD1191" s="403"/>
      <c r="AG1191" s="403"/>
      <c r="AM1191" s="415"/>
      <c r="AR1191" s="333"/>
      <c r="AS1191" s="333"/>
      <c r="AT1191" s="333"/>
      <c r="AU1191" s="333"/>
      <c r="AV1191" s="333"/>
    </row>
    <row r="1192" spans="2:48" s="330" customFormat="1" ht="28.15" customHeight="1" x14ac:dyDescent="0.25">
      <c r="B1192" s="331"/>
      <c r="C1192" s="332"/>
      <c r="D1192" s="332"/>
      <c r="E1192" s="333"/>
      <c r="F1192" s="333"/>
      <c r="S1192" s="403"/>
      <c r="T1192" s="403"/>
      <c r="U1192" s="403"/>
      <c r="V1192" s="403"/>
      <c r="AA1192" s="403"/>
      <c r="AB1192" s="403"/>
      <c r="AC1192" s="403"/>
      <c r="AD1192" s="403"/>
      <c r="AG1192" s="403"/>
      <c r="AM1192" s="415"/>
      <c r="AR1192" s="333"/>
      <c r="AS1192" s="333"/>
      <c r="AT1192" s="333"/>
      <c r="AU1192" s="333"/>
      <c r="AV1192" s="333"/>
    </row>
    <row r="1193" spans="2:48" s="330" customFormat="1" ht="28.15" customHeight="1" x14ac:dyDescent="0.25">
      <c r="B1193" s="331"/>
      <c r="C1193" s="332"/>
      <c r="D1193" s="332"/>
      <c r="E1193" s="333"/>
      <c r="F1193" s="333"/>
      <c r="S1193" s="403"/>
      <c r="T1193" s="403"/>
      <c r="U1193" s="403"/>
      <c r="V1193" s="403"/>
      <c r="AA1193" s="403"/>
      <c r="AB1193" s="403"/>
      <c r="AC1193" s="403"/>
      <c r="AD1193" s="403"/>
      <c r="AG1193" s="403"/>
      <c r="AM1193" s="415"/>
      <c r="AR1193" s="333"/>
      <c r="AS1193" s="333"/>
      <c r="AT1193" s="333"/>
      <c r="AU1193" s="333"/>
      <c r="AV1193" s="333"/>
    </row>
    <row r="1194" spans="2:48" s="330" customFormat="1" ht="28.15" customHeight="1" x14ac:dyDescent="0.25">
      <c r="B1194" s="331"/>
      <c r="C1194" s="332"/>
      <c r="D1194" s="332"/>
      <c r="E1194" s="333"/>
      <c r="F1194" s="333"/>
      <c r="S1194" s="403"/>
      <c r="T1194" s="403"/>
      <c r="U1194" s="403"/>
      <c r="V1194" s="403"/>
      <c r="AA1194" s="403"/>
      <c r="AB1194" s="403"/>
      <c r="AC1194" s="403"/>
      <c r="AD1194" s="403"/>
      <c r="AG1194" s="403"/>
      <c r="AM1194" s="415"/>
      <c r="AR1194" s="333"/>
      <c r="AS1194" s="333"/>
      <c r="AT1194" s="333"/>
      <c r="AU1194" s="333"/>
      <c r="AV1194" s="333"/>
    </row>
    <row r="1195" spans="2:48" s="330" customFormat="1" ht="28.15" customHeight="1" x14ac:dyDescent="0.25">
      <c r="B1195" s="331"/>
      <c r="C1195" s="332"/>
      <c r="D1195" s="332"/>
      <c r="E1195" s="333"/>
      <c r="F1195" s="333"/>
      <c r="S1195" s="403"/>
      <c r="T1195" s="403"/>
      <c r="U1195" s="403"/>
      <c r="V1195" s="403"/>
      <c r="AA1195" s="403"/>
      <c r="AB1195" s="403"/>
      <c r="AC1195" s="403"/>
      <c r="AD1195" s="403"/>
      <c r="AG1195" s="403"/>
      <c r="AM1195" s="415"/>
      <c r="AR1195" s="333"/>
      <c r="AS1195" s="333"/>
      <c r="AT1195" s="333"/>
      <c r="AU1195" s="333"/>
      <c r="AV1195" s="333"/>
    </row>
    <row r="1196" spans="2:48" s="330" customFormat="1" ht="28.15" customHeight="1" x14ac:dyDescent="0.25">
      <c r="B1196" s="331"/>
      <c r="C1196" s="332"/>
      <c r="D1196" s="332"/>
      <c r="E1196" s="333"/>
      <c r="F1196" s="333"/>
      <c r="R1196" s="316"/>
      <c r="S1196" s="404"/>
      <c r="T1196" s="404"/>
      <c r="U1196" s="404"/>
      <c r="V1196" s="404"/>
      <c r="W1196" s="316"/>
      <c r="X1196" s="316"/>
      <c r="Y1196" s="316"/>
      <c r="Z1196" s="316"/>
      <c r="AA1196" s="404"/>
      <c r="AB1196" s="404"/>
      <c r="AC1196" s="404"/>
      <c r="AD1196" s="404"/>
      <c r="AE1196" s="316"/>
      <c r="AF1196" s="316"/>
      <c r="AG1196" s="404"/>
      <c r="AH1196" s="316"/>
      <c r="AI1196" s="316"/>
      <c r="AJ1196" s="316"/>
      <c r="AK1196" s="316"/>
      <c r="AL1196" s="316"/>
      <c r="AM1196" s="416"/>
      <c r="AR1196" s="333"/>
      <c r="AS1196" s="333"/>
      <c r="AT1196" s="333"/>
      <c r="AU1196" s="333"/>
      <c r="AV1196" s="333"/>
    </row>
    <row r="1197" spans="2:48" s="330" customFormat="1" ht="28.15" customHeight="1" x14ac:dyDescent="0.25">
      <c r="B1197" s="331"/>
      <c r="C1197" s="332"/>
      <c r="D1197" s="332"/>
      <c r="E1197" s="333"/>
      <c r="F1197" s="333"/>
      <c r="R1197" s="316"/>
      <c r="S1197" s="404"/>
      <c r="T1197" s="404"/>
      <c r="U1197" s="404"/>
      <c r="V1197" s="404"/>
      <c r="W1197" s="316"/>
      <c r="X1197" s="316"/>
      <c r="Y1197" s="316"/>
      <c r="Z1197" s="316"/>
      <c r="AA1197" s="404"/>
      <c r="AB1197" s="404"/>
      <c r="AC1197" s="404"/>
      <c r="AD1197" s="404"/>
      <c r="AE1197" s="316"/>
      <c r="AF1197" s="316"/>
      <c r="AG1197" s="404"/>
      <c r="AH1197" s="316"/>
      <c r="AI1197" s="316"/>
      <c r="AJ1197" s="316"/>
      <c r="AK1197" s="316"/>
      <c r="AL1197" s="316"/>
      <c r="AM1197" s="416"/>
      <c r="AR1197" s="333"/>
      <c r="AS1197" s="333"/>
      <c r="AT1197" s="333"/>
      <c r="AU1197" s="333"/>
      <c r="AV1197" s="333"/>
    </row>
    <row r="1198" spans="2:48" s="330" customFormat="1" ht="28.15" customHeight="1" x14ac:dyDescent="0.25">
      <c r="B1198" s="331"/>
      <c r="C1198" s="332"/>
      <c r="D1198" s="332"/>
      <c r="E1198" s="333"/>
      <c r="F1198" s="333"/>
      <c r="R1198" s="316"/>
      <c r="S1198" s="404"/>
      <c r="T1198" s="404"/>
      <c r="U1198" s="404"/>
      <c r="V1198" s="404"/>
      <c r="W1198" s="316"/>
      <c r="X1198" s="316"/>
      <c r="Y1198" s="316"/>
      <c r="Z1198" s="316"/>
      <c r="AA1198" s="404"/>
      <c r="AB1198" s="404"/>
      <c r="AC1198" s="404"/>
      <c r="AD1198" s="404"/>
      <c r="AE1198" s="316"/>
      <c r="AF1198" s="316"/>
      <c r="AG1198" s="404"/>
      <c r="AH1198" s="316"/>
      <c r="AI1198" s="316"/>
      <c r="AJ1198" s="316"/>
      <c r="AK1198" s="316"/>
      <c r="AL1198" s="316"/>
      <c r="AM1198" s="416"/>
      <c r="AR1198" s="333"/>
      <c r="AS1198" s="333"/>
      <c r="AT1198" s="333"/>
      <c r="AU1198" s="333"/>
      <c r="AV1198" s="333"/>
    </row>
    <row r="1199" spans="2:48" s="330" customFormat="1" ht="28.15" customHeight="1" x14ac:dyDescent="0.25">
      <c r="B1199" s="331"/>
      <c r="C1199" s="332"/>
      <c r="D1199" s="332"/>
      <c r="E1199" s="333"/>
      <c r="F1199" s="333"/>
      <c r="R1199" s="316"/>
      <c r="S1199" s="404"/>
      <c r="T1199" s="404"/>
      <c r="U1199" s="404"/>
      <c r="V1199" s="404"/>
      <c r="W1199" s="316"/>
      <c r="X1199" s="316"/>
      <c r="Y1199" s="316"/>
      <c r="Z1199" s="316"/>
      <c r="AA1199" s="404"/>
      <c r="AB1199" s="404"/>
      <c r="AC1199" s="404"/>
      <c r="AD1199" s="404"/>
      <c r="AE1199" s="316"/>
      <c r="AF1199" s="316"/>
      <c r="AG1199" s="404"/>
      <c r="AH1199" s="316"/>
      <c r="AI1199" s="316"/>
      <c r="AJ1199" s="316"/>
      <c r="AK1199" s="316"/>
      <c r="AL1199" s="316"/>
      <c r="AM1199" s="416"/>
      <c r="AR1199" s="333"/>
      <c r="AS1199" s="333"/>
      <c r="AT1199" s="333"/>
      <c r="AU1199" s="333"/>
      <c r="AV1199" s="333"/>
    </row>
    <row r="1200" spans="2:48" s="330" customFormat="1" ht="28.15" customHeight="1" x14ac:dyDescent="0.25">
      <c r="B1200" s="331"/>
      <c r="C1200" s="332"/>
      <c r="D1200" s="332"/>
      <c r="E1200" s="333"/>
      <c r="F1200" s="333"/>
      <c r="R1200" s="316"/>
      <c r="S1200" s="404"/>
      <c r="T1200" s="404"/>
      <c r="U1200" s="404"/>
      <c r="V1200" s="404"/>
      <c r="W1200" s="316"/>
      <c r="X1200" s="316"/>
      <c r="Y1200" s="316"/>
      <c r="Z1200" s="316"/>
      <c r="AA1200" s="404"/>
      <c r="AB1200" s="404"/>
      <c r="AC1200" s="404"/>
      <c r="AD1200" s="404"/>
      <c r="AE1200" s="316"/>
      <c r="AF1200" s="316"/>
      <c r="AG1200" s="404"/>
      <c r="AH1200" s="316"/>
      <c r="AI1200" s="316"/>
      <c r="AJ1200" s="316"/>
      <c r="AK1200" s="316"/>
      <c r="AL1200" s="316"/>
      <c r="AM1200" s="416"/>
      <c r="AR1200" s="333"/>
      <c r="AS1200" s="333"/>
      <c r="AT1200" s="333"/>
      <c r="AU1200" s="333"/>
      <c r="AV1200" s="333"/>
    </row>
    <row r="1201" spans="2:48" s="330" customFormat="1" ht="28.15" customHeight="1" x14ac:dyDescent="0.25">
      <c r="B1201" s="331"/>
      <c r="C1201" s="332"/>
      <c r="D1201" s="332"/>
      <c r="E1201" s="333"/>
      <c r="F1201" s="333"/>
      <c r="R1201" s="316"/>
      <c r="S1201" s="404"/>
      <c r="T1201" s="404"/>
      <c r="U1201" s="404"/>
      <c r="V1201" s="404"/>
      <c r="W1201" s="316"/>
      <c r="X1201" s="316"/>
      <c r="Y1201" s="316"/>
      <c r="Z1201" s="316"/>
      <c r="AA1201" s="404"/>
      <c r="AB1201" s="404"/>
      <c r="AC1201" s="404"/>
      <c r="AD1201" s="404"/>
      <c r="AE1201" s="316"/>
      <c r="AF1201" s="316"/>
      <c r="AG1201" s="404"/>
      <c r="AH1201" s="316"/>
      <c r="AI1201" s="316"/>
      <c r="AJ1201" s="316"/>
      <c r="AK1201" s="316"/>
      <c r="AL1201" s="316"/>
      <c r="AM1201" s="416"/>
      <c r="AR1201" s="333"/>
      <c r="AS1201" s="333"/>
      <c r="AT1201" s="333"/>
      <c r="AU1201" s="333"/>
      <c r="AV1201" s="333"/>
    </row>
    <row r="1202" spans="2:48" s="330" customFormat="1" ht="28.15" customHeight="1" x14ac:dyDescent="0.25">
      <c r="B1202" s="331"/>
      <c r="C1202" s="332"/>
      <c r="D1202" s="332"/>
      <c r="E1202" s="333"/>
      <c r="F1202" s="333"/>
      <c r="R1202" s="316"/>
      <c r="S1202" s="404"/>
      <c r="T1202" s="404"/>
      <c r="U1202" s="404"/>
      <c r="V1202" s="404"/>
      <c r="W1202" s="316"/>
      <c r="X1202" s="316"/>
      <c r="Y1202" s="316"/>
      <c r="Z1202" s="316"/>
      <c r="AA1202" s="404"/>
      <c r="AB1202" s="404"/>
      <c r="AC1202" s="404"/>
      <c r="AD1202" s="404"/>
      <c r="AE1202" s="316"/>
      <c r="AF1202" s="316"/>
      <c r="AG1202" s="404"/>
      <c r="AH1202" s="316"/>
      <c r="AI1202" s="316"/>
      <c r="AJ1202" s="316"/>
      <c r="AK1202" s="316"/>
      <c r="AL1202" s="316"/>
      <c r="AM1202" s="416"/>
      <c r="AR1202" s="333"/>
      <c r="AS1202" s="333"/>
      <c r="AT1202" s="333"/>
      <c r="AU1202" s="333"/>
      <c r="AV1202" s="333"/>
    </row>
    <row r="1203" spans="2:48" s="330" customFormat="1" ht="28.15" customHeight="1" x14ac:dyDescent="0.25">
      <c r="B1203" s="331"/>
      <c r="C1203" s="332"/>
      <c r="D1203" s="332"/>
      <c r="E1203" s="333"/>
      <c r="F1203" s="333"/>
      <c r="R1203" s="316"/>
      <c r="S1203" s="404"/>
      <c r="T1203" s="404"/>
      <c r="U1203" s="404"/>
      <c r="V1203" s="404"/>
      <c r="W1203" s="316"/>
      <c r="X1203" s="316"/>
      <c r="Y1203" s="316"/>
      <c r="Z1203" s="316"/>
      <c r="AA1203" s="404"/>
      <c r="AB1203" s="404"/>
      <c r="AC1203" s="404"/>
      <c r="AD1203" s="404"/>
      <c r="AE1203" s="316"/>
      <c r="AF1203" s="316"/>
      <c r="AG1203" s="404"/>
      <c r="AH1203" s="316"/>
      <c r="AI1203" s="316"/>
      <c r="AJ1203" s="316"/>
      <c r="AK1203" s="316"/>
      <c r="AL1203" s="316"/>
      <c r="AM1203" s="416"/>
      <c r="AR1203" s="333"/>
      <c r="AS1203" s="333"/>
      <c r="AT1203" s="333"/>
      <c r="AU1203" s="333"/>
      <c r="AV1203" s="333"/>
    </row>
    <row r="1204" spans="2:48" s="330" customFormat="1" ht="28.15" customHeight="1" x14ac:dyDescent="0.25">
      <c r="B1204" s="331"/>
      <c r="C1204" s="332"/>
      <c r="D1204" s="332"/>
      <c r="E1204" s="333"/>
      <c r="F1204" s="333"/>
      <c r="R1204" s="316"/>
      <c r="S1204" s="404"/>
      <c r="T1204" s="404"/>
      <c r="U1204" s="404"/>
      <c r="V1204" s="404"/>
      <c r="W1204" s="316"/>
      <c r="X1204" s="316"/>
      <c r="Y1204" s="316"/>
      <c r="Z1204" s="316"/>
      <c r="AA1204" s="404"/>
      <c r="AB1204" s="404"/>
      <c r="AC1204" s="404"/>
      <c r="AD1204" s="404"/>
      <c r="AE1204" s="316"/>
      <c r="AF1204" s="316"/>
      <c r="AG1204" s="404"/>
      <c r="AH1204" s="316"/>
      <c r="AI1204" s="316"/>
      <c r="AJ1204" s="316"/>
      <c r="AK1204" s="316"/>
      <c r="AL1204" s="316"/>
      <c r="AM1204" s="416"/>
      <c r="AR1204" s="333"/>
      <c r="AS1204" s="333"/>
      <c r="AT1204" s="333"/>
      <c r="AU1204" s="333"/>
      <c r="AV1204" s="333"/>
    </row>
    <row r="1205" spans="2:48" s="330" customFormat="1" ht="28.15" customHeight="1" x14ac:dyDescent="0.25">
      <c r="B1205" s="331"/>
      <c r="C1205" s="332"/>
      <c r="D1205" s="332"/>
      <c r="E1205" s="333"/>
      <c r="F1205" s="333"/>
      <c r="R1205" s="316"/>
      <c r="S1205" s="404"/>
      <c r="T1205" s="404"/>
      <c r="U1205" s="404"/>
      <c r="V1205" s="404"/>
      <c r="W1205" s="316"/>
      <c r="X1205" s="316"/>
      <c r="Y1205" s="316"/>
      <c r="Z1205" s="316"/>
      <c r="AA1205" s="404"/>
      <c r="AB1205" s="404"/>
      <c r="AC1205" s="404"/>
      <c r="AD1205" s="404"/>
      <c r="AE1205" s="316"/>
      <c r="AF1205" s="316"/>
      <c r="AG1205" s="404"/>
      <c r="AH1205" s="316"/>
      <c r="AI1205" s="316"/>
      <c r="AJ1205" s="316"/>
      <c r="AK1205" s="316"/>
      <c r="AL1205" s="316"/>
      <c r="AM1205" s="416"/>
      <c r="AR1205" s="333"/>
      <c r="AS1205" s="333"/>
      <c r="AT1205" s="333"/>
      <c r="AU1205" s="333"/>
      <c r="AV1205" s="333"/>
    </row>
    <row r="1206" spans="2:48" s="330" customFormat="1" ht="28.15" customHeight="1" x14ac:dyDescent="0.25">
      <c r="B1206" s="331"/>
      <c r="C1206" s="332"/>
      <c r="D1206" s="332"/>
      <c r="E1206" s="333"/>
      <c r="F1206" s="333"/>
      <c r="R1206" s="316"/>
      <c r="S1206" s="404"/>
      <c r="T1206" s="404"/>
      <c r="U1206" s="404"/>
      <c r="V1206" s="404"/>
      <c r="W1206" s="316"/>
      <c r="X1206" s="316"/>
      <c r="Y1206" s="316"/>
      <c r="Z1206" s="316"/>
      <c r="AA1206" s="404"/>
      <c r="AB1206" s="404"/>
      <c r="AC1206" s="404"/>
      <c r="AD1206" s="404"/>
      <c r="AE1206" s="316"/>
      <c r="AF1206" s="316"/>
      <c r="AG1206" s="404"/>
      <c r="AH1206" s="316"/>
      <c r="AI1206" s="316"/>
      <c r="AJ1206" s="316"/>
      <c r="AK1206" s="316"/>
      <c r="AL1206" s="316"/>
      <c r="AM1206" s="416"/>
      <c r="AR1206" s="333"/>
      <c r="AS1206" s="333"/>
      <c r="AT1206" s="333"/>
      <c r="AU1206" s="333"/>
      <c r="AV1206" s="333"/>
    </row>
    <row r="1207" spans="2:48" s="330" customFormat="1" ht="28.15" customHeight="1" x14ac:dyDescent="0.25">
      <c r="B1207" s="331"/>
      <c r="C1207" s="332"/>
      <c r="D1207" s="332"/>
      <c r="E1207" s="333"/>
      <c r="F1207" s="333"/>
      <c r="R1207" s="316"/>
      <c r="S1207" s="404"/>
      <c r="T1207" s="404"/>
      <c r="U1207" s="404"/>
      <c r="V1207" s="404"/>
      <c r="W1207" s="316"/>
      <c r="X1207" s="316"/>
      <c r="Y1207" s="316"/>
      <c r="Z1207" s="316"/>
      <c r="AA1207" s="404"/>
      <c r="AB1207" s="404"/>
      <c r="AC1207" s="404"/>
      <c r="AD1207" s="404"/>
      <c r="AE1207" s="316"/>
      <c r="AF1207" s="316"/>
      <c r="AG1207" s="404"/>
      <c r="AH1207" s="316"/>
      <c r="AI1207" s="316"/>
      <c r="AJ1207" s="316"/>
      <c r="AK1207" s="316"/>
      <c r="AL1207" s="316"/>
      <c r="AM1207" s="416"/>
      <c r="AR1207" s="333"/>
      <c r="AS1207" s="333"/>
      <c r="AT1207" s="333"/>
      <c r="AU1207" s="333"/>
      <c r="AV1207" s="333"/>
    </row>
    <row r="1208" spans="2:48" s="330" customFormat="1" ht="28.15" customHeight="1" x14ac:dyDescent="0.25">
      <c r="B1208" s="331"/>
      <c r="C1208" s="332"/>
      <c r="D1208" s="332"/>
      <c r="E1208" s="333"/>
      <c r="F1208" s="333"/>
      <c r="R1208" s="316"/>
      <c r="S1208" s="404"/>
      <c r="T1208" s="404"/>
      <c r="U1208" s="404"/>
      <c r="V1208" s="404"/>
      <c r="W1208" s="316"/>
      <c r="X1208" s="316"/>
      <c r="Y1208" s="316"/>
      <c r="Z1208" s="316"/>
      <c r="AA1208" s="404"/>
      <c r="AB1208" s="404"/>
      <c r="AC1208" s="404"/>
      <c r="AD1208" s="404"/>
      <c r="AE1208" s="316"/>
      <c r="AF1208" s="316"/>
      <c r="AG1208" s="404"/>
      <c r="AH1208" s="316"/>
      <c r="AI1208" s="316"/>
      <c r="AJ1208" s="316"/>
      <c r="AK1208" s="316"/>
      <c r="AL1208" s="316"/>
      <c r="AM1208" s="416"/>
      <c r="AR1208" s="333"/>
      <c r="AS1208" s="333"/>
      <c r="AT1208" s="333"/>
      <c r="AU1208" s="333"/>
      <c r="AV1208" s="333"/>
    </row>
    <row r="1209" spans="2:48" s="330" customFormat="1" ht="28.15" customHeight="1" x14ac:dyDescent="0.25">
      <c r="B1209" s="331"/>
      <c r="C1209" s="332"/>
      <c r="D1209" s="332"/>
      <c r="E1209" s="333"/>
      <c r="F1209" s="333"/>
      <c r="R1209" s="316"/>
      <c r="S1209" s="404"/>
      <c r="T1209" s="404"/>
      <c r="U1209" s="404"/>
      <c r="V1209" s="404"/>
      <c r="W1209" s="316"/>
      <c r="X1209" s="316"/>
      <c r="Y1209" s="316"/>
      <c r="Z1209" s="316"/>
      <c r="AA1209" s="404"/>
      <c r="AB1209" s="404"/>
      <c r="AC1209" s="404"/>
      <c r="AD1209" s="404"/>
      <c r="AE1209" s="316"/>
      <c r="AF1209" s="316"/>
      <c r="AG1209" s="404"/>
      <c r="AH1209" s="316"/>
      <c r="AI1209" s="316"/>
      <c r="AJ1209" s="316"/>
      <c r="AK1209" s="316"/>
      <c r="AL1209" s="316"/>
      <c r="AM1209" s="416"/>
      <c r="AR1209" s="333"/>
      <c r="AS1209" s="333"/>
      <c r="AT1209" s="333"/>
      <c r="AU1209" s="333"/>
      <c r="AV1209" s="333"/>
    </row>
    <row r="1210" spans="2:48" s="330" customFormat="1" ht="28.15" customHeight="1" x14ac:dyDescent="0.25">
      <c r="B1210" s="331"/>
      <c r="C1210" s="332"/>
      <c r="D1210" s="332"/>
      <c r="E1210" s="333"/>
      <c r="F1210" s="333"/>
      <c r="R1210" s="316"/>
      <c r="S1210" s="404"/>
      <c r="T1210" s="404"/>
      <c r="U1210" s="404"/>
      <c r="V1210" s="404"/>
      <c r="W1210" s="316"/>
      <c r="X1210" s="316"/>
      <c r="Y1210" s="316"/>
      <c r="Z1210" s="316"/>
      <c r="AA1210" s="404"/>
      <c r="AB1210" s="404"/>
      <c r="AC1210" s="404"/>
      <c r="AD1210" s="404"/>
      <c r="AE1210" s="316"/>
      <c r="AF1210" s="316"/>
      <c r="AG1210" s="404"/>
      <c r="AH1210" s="316"/>
      <c r="AI1210" s="316"/>
      <c r="AJ1210" s="316"/>
      <c r="AK1210" s="316"/>
      <c r="AL1210" s="316"/>
      <c r="AM1210" s="416"/>
      <c r="AR1210" s="333"/>
      <c r="AS1210" s="333"/>
      <c r="AT1210" s="333"/>
      <c r="AU1210" s="333"/>
      <c r="AV1210" s="333"/>
    </row>
    <row r="1211" spans="2:48" s="330" customFormat="1" ht="28.15" customHeight="1" x14ac:dyDescent="0.25">
      <c r="B1211" s="331"/>
      <c r="C1211" s="332"/>
      <c r="D1211" s="332"/>
      <c r="E1211" s="333"/>
      <c r="F1211" s="333"/>
      <c r="R1211" s="316"/>
      <c r="S1211" s="404"/>
      <c r="T1211" s="404"/>
      <c r="U1211" s="404"/>
      <c r="V1211" s="404"/>
      <c r="W1211" s="316"/>
      <c r="X1211" s="316"/>
      <c r="Y1211" s="316"/>
      <c r="Z1211" s="316"/>
      <c r="AA1211" s="404"/>
      <c r="AB1211" s="404"/>
      <c r="AC1211" s="404"/>
      <c r="AD1211" s="404"/>
      <c r="AE1211" s="316"/>
      <c r="AF1211" s="316"/>
      <c r="AG1211" s="404"/>
      <c r="AH1211" s="316"/>
      <c r="AI1211" s="316"/>
      <c r="AJ1211" s="316"/>
      <c r="AK1211" s="316"/>
      <c r="AL1211" s="316"/>
      <c r="AM1211" s="416"/>
      <c r="AR1211" s="333"/>
      <c r="AS1211" s="333"/>
      <c r="AT1211" s="333"/>
      <c r="AU1211" s="333"/>
      <c r="AV1211" s="333"/>
    </row>
    <row r="1212" spans="2:48" s="330" customFormat="1" ht="28.15" customHeight="1" x14ac:dyDescent="0.25">
      <c r="B1212" s="331"/>
      <c r="C1212" s="332"/>
      <c r="D1212" s="332"/>
      <c r="E1212" s="333"/>
      <c r="F1212" s="333"/>
      <c r="R1212" s="316"/>
      <c r="S1212" s="404"/>
      <c r="T1212" s="404"/>
      <c r="U1212" s="404"/>
      <c r="V1212" s="404"/>
      <c r="W1212" s="316"/>
      <c r="X1212" s="316"/>
      <c r="Y1212" s="316"/>
      <c r="Z1212" s="316"/>
      <c r="AA1212" s="404"/>
      <c r="AB1212" s="404"/>
      <c r="AC1212" s="404"/>
      <c r="AD1212" s="404"/>
      <c r="AE1212" s="316"/>
      <c r="AF1212" s="316"/>
      <c r="AG1212" s="404"/>
      <c r="AH1212" s="316"/>
      <c r="AI1212" s="316"/>
      <c r="AJ1212" s="316"/>
      <c r="AK1212" s="316"/>
      <c r="AL1212" s="316"/>
      <c r="AM1212" s="416"/>
      <c r="AR1212" s="333"/>
      <c r="AS1212" s="333"/>
      <c r="AT1212" s="333"/>
      <c r="AU1212" s="333"/>
      <c r="AV1212" s="333"/>
    </row>
    <row r="1213" spans="2:48" s="330" customFormat="1" ht="28.15" customHeight="1" x14ac:dyDescent="0.25">
      <c r="B1213" s="331"/>
      <c r="C1213" s="332"/>
      <c r="D1213" s="332"/>
      <c r="E1213" s="333"/>
      <c r="F1213" s="333"/>
      <c r="R1213" s="316"/>
      <c r="S1213" s="404"/>
      <c r="T1213" s="404"/>
      <c r="U1213" s="404"/>
      <c r="V1213" s="404"/>
      <c r="W1213" s="316"/>
      <c r="X1213" s="316"/>
      <c r="Y1213" s="316"/>
      <c r="Z1213" s="316"/>
      <c r="AA1213" s="404"/>
      <c r="AB1213" s="404"/>
      <c r="AC1213" s="404"/>
      <c r="AD1213" s="404"/>
      <c r="AE1213" s="316"/>
      <c r="AF1213" s="316"/>
      <c r="AG1213" s="404"/>
      <c r="AH1213" s="316"/>
      <c r="AI1213" s="316"/>
      <c r="AJ1213" s="316"/>
      <c r="AK1213" s="316"/>
      <c r="AL1213" s="316"/>
      <c r="AM1213" s="416"/>
      <c r="AR1213" s="333"/>
      <c r="AS1213" s="333"/>
      <c r="AT1213" s="333"/>
      <c r="AU1213" s="333"/>
      <c r="AV1213" s="333"/>
    </row>
    <row r="1214" spans="2:48" s="330" customFormat="1" ht="28.15" customHeight="1" x14ac:dyDescent="0.25">
      <c r="B1214" s="331"/>
      <c r="C1214" s="332"/>
      <c r="D1214" s="332"/>
      <c r="E1214" s="333"/>
      <c r="F1214" s="333"/>
      <c r="R1214" s="316"/>
      <c r="S1214" s="404"/>
      <c r="T1214" s="404"/>
      <c r="U1214" s="404"/>
      <c r="V1214" s="404"/>
      <c r="W1214" s="316"/>
      <c r="X1214" s="316"/>
      <c r="Y1214" s="316"/>
      <c r="Z1214" s="316"/>
      <c r="AA1214" s="404"/>
      <c r="AB1214" s="404"/>
      <c r="AC1214" s="404"/>
      <c r="AD1214" s="404"/>
      <c r="AE1214" s="316"/>
      <c r="AF1214" s="316"/>
      <c r="AG1214" s="404"/>
      <c r="AH1214" s="316"/>
      <c r="AI1214" s="316"/>
      <c r="AJ1214" s="316"/>
      <c r="AK1214" s="316"/>
      <c r="AL1214" s="316"/>
      <c r="AM1214" s="416"/>
      <c r="AR1214" s="333"/>
      <c r="AS1214" s="333"/>
      <c r="AT1214" s="333"/>
      <c r="AU1214" s="333"/>
      <c r="AV1214" s="333"/>
    </row>
    <row r="1215" spans="2:48" s="330" customFormat="1" ht="28.15" customHeight="1" x14ac:dyDescent="0.25">
      <c r="B1215" s="331"/>
      <c r="C1215" s="332"/>
      <c r="D1215" s="332"/>
      <c r="E1215" s="333"/>
      <c r="F1215" s="333"/>
      <c r="R1215" s="316"/>
      <c r="S1215" s="404"/>
      <c r="T1215" s="404"/>
      <c r="U1215" s="404"/>
      <c r="V1215" s="404"/>
      <c r="W1215" s="316"/>
      <c r="X1215" s="316"/>
      <c r="Y1215" s="316"/>
      <c r="Z1215" s="316"/>
      <c r="AA1215" s="404"/>
      <c r="AB1215" s="404"/>
      <c r="AC1215" s="404"/>
      <c r="AD1215" s="404"/>
      <c r="AE1215" s="316"/>
      <c r="AF1215" s="316"/>
      <c r="AG1215" s="404"/>
      <c r="AH1215" s="316"/>
      <c r="AI1215" s="316"/>
      <c r="AJ1215" s="316"/>
      <c r="AK1215" s="316"/>
      <c r="AL1215" s="316"/>
      <c r="AM1215" s="416"/>
      <c r="AR1215" s="333"/>
      <c r="AS1215" s="333"/>
      <c r="AT1215" s="333"/>
      <c r="AU1215" s="333"/>
      <c r="AV1215" s="333"/>
    </row>
    <row r="1216" spans="2:48" s="330" customFormat="1" ht="28.15" customHeight="1" x14ac:dyDescent="0.25">
      <c r="B1216" s="331"/>
      <c r="C1216" s="332"/>
      <c r="D1216" s="332"/>
      <c r="E1216" s="333"/>
      <c r="F1216" s="333"/>
      <c r="R1216" s="316"/>
      <c r="S1216" s="404"/>
      <c r="T1216" s="404"/>
      <c r="U1216" s="404"/>
      <c r="V1216" s="404"/>
      <c r="W1216" s="316"/>
      <c r="X1216" s="316"/>
      <c r="Y1216" s="316"/>
      <c r="Z1216" s="316"/>
      <c r="AA1216" s="404"/>
      <c r="AB1216" s="404"/>
      <c r="AC1216" s="404"/>
      <c r="AD1216" s="404"/>
      <c r="AE1216" s="316"/>
      <c r="AF1216" s="316"/>
      <c r="AG1216" s="404"/>
      <c r="AH1216" s="316"/>
      <c r="AI1216" s="316"/>
      <c r="AJ1216" s="316"/>
      <c r="AK1216" s="316"/>
      <c r="AL1216" s="316"/>
      <c r="AM1216" s="416"/>
      <c r="AR1216" s="333"/>
      <c r="AS1216" s="333"/>
      <c r="AT1216" s="333"/>
      <c r="AU1216" s="333"/>
      <c r="AV1216" s="333"/>
    </row>
    <row r="1217" spans="2:48" s="330" customFormat="1" ht="28.15" customHeight="1" x14ac:dyDescent="0.25">
      <c r="B1217" s="331"/>
      <c r="C1217" s="332"/>
      <c r="D1217" s="332"/>
      <c r="E1217" s="333"/>
      <c r="F1217" s="333"/>
      <c r="R1217" s="316"/>
      <c r="S1217" s="404"/>
      <c r="T1217" s="404"/>
      <c r="U1217" s="404"/>
      <c r="V1217" s="404"/>
      <c r="W1217" s="316"/>
      <c r="X1217" s="316"/>
      <c r="Y1217" s="316"/>
      <c r="Z1217" s="316"/>
      <c r="AA1217" s="404"/>
      <c r="AB1217" s="404"/>
      <c r="AC1217" s="404"/>
      <c r="AD1217" s="404"/>
      <c r="AE1217" s="316"/>
      <c r="AF1217" s="316"/>
      <c r="AG1217" s="404"/>
      <c r="AH1217" s="316"/>
      <c r="AI1217" s="316"/>
      <c r="AJ1217" s="316"/>
      <c r="AK1217" s="316"/>
      <c r="AL1217" s="316"/>
      <c r="AM1217" s="416"/>
      <c r="AR1217" s="333"/>
      <c r="AS1217" s="333"/>
      <c r="AT1217" s="333"/>
      <c r="AU1217" s="333"/>
      <c r="AV1217" s="333"/>
    </row>
    <row r="1218" spans="2:48" s="330" customFormat="1" ht="28.15" customHeight="1" x14ac:dyDescent="0.25">
      <c r="B1218" s="331"/>
      <c r="C1218" s="332"/>
      <c r="D1218" s="332"/>
      <c r="E1218" s="333"/>
      <c r="F1218" s="333"/>
      <c r="R1218" s="316"/>
      <c r="S1218" s="404"/>
      <c r="T1218" s="404"/>
      <c r="U1218" s="404"/>
      <c r="V1218" s="404"/>
      <c r="W1218" s="316"/>
      <c r="X1218" s="316"/>
      <c r="Y1218" s="316"/>
      <c r="Z1218" s="316"/>
      <c r="AA1218" s="404"/>
      <c r="AB1218" s="404"/>
      <c r="AC1218" s="404"/>
      <c r="AD1218" s="404"/>
      <c r="AE1218" s="316"/>
      <c r="AF1218" s="316"/>
      <c r="AG1218" s="404"/>
      <c r="AH1218" s="316"/>
      <c r="AI1218" s="316"/>
      <c r="AJ1218" s="316"/>
      <c r="AK1218" s="316"/>
      <c r="AL1218" s="316"/>
      <c r="AM1218" s="416"/>
      <c r="AR1218" s="333"/>
      <c r="AS1218" s="333"/>
      <c r="AT1218" s="333"/>
      <c r="AU1218" s="333"/>
      <c r="AV1218" s="333"/>
    </row>
    <row r="1219" spans="2:48" s="330" customFormat="1" ht="28.15" customHeight="1" x14ac:dyDescent="0.25">
      <c r="B1219" s="331"/>
      <c r="C1219" s="332"/>
      <c r="D1219" s="332"/>
      <c r="E1219" s="333"/>
      <c r="F1219" s="333"/>
      <c r="R1219" s="316"/>
      <c r="S1219" s="404"/>
      <c r="T1219" s="404"/>
      <c r="U1219" s="404"/>
      <c r="V1219" s="404"/>
      <c r="W1219" s="316"/>
      <c r="X1219" s="316"/>
      <c r="Y1219" s="316"/>
      <c r="Z1219" s="316"/>
      <c r="AA1219" s="404"/>
      <c r="AB1219" s="404"/>
      <c r="AC1219" s="404"/>
      <c r="AD1219" s="404"/>
      <c r="AE1219" s="316"/>
      <c r="AF1219" s="316"/>
      <c r="AG1219" s="404"/>
      <c r="AH1219" s="316"/>
      <c r="AI1219" s="316"/>
      <c r="AJ1219" s="316"/>
      <c r="AK1219" s="316"/>
      <c r="AL1219" s="316"/>
      <c r="AM1219" s="416"/>
      <c r="AR1219" s="333"/>
      <c r="AS1219" s="333"/>
      <c r="AT1219" s="333"/>
      <c r="AU1219" s="333"/>
      <c r="AV1219" s="333"/>
    </row>
    <row r="1220" spans="2:48" s="330" customFormat="1" ht="28.15" customHeight="1" x14ac:dyDescent="0.25">
      <c r="B1220" s="331"/>
      <c r="C1220" s="332"/>
      <c r="D1220" s="332"/>
      <c r="E1220" s="333"/>
      <c r="F1220" s="333"/>
      <c r="R1220" s="316"/>
      <c r="S1220" s="404"/>
      <c r="T1220" s="404"/>
      <c r="U1220" s="404"/>
      <c r="V1220" s="404"/>
      <c r="W1220" s="316"/>
      <c r="X1220" s="316"/>
      <c r="Y1220" s="316"/>
      <c r="Z1220" s="316"/>
      <c r="AA1220" s="404"/>
      <c r="AB1220" s="404"/>
      <c r="AC1220" s="404"/>
      <c r="AD1220" s="404"/>
      <c r="AE1220" s="316"/>
      <c r="AF1220" s="316"/>
      <c r="AG1220" s="404"/>
      <c r="AH1220" s="316"/>
      <c r="AI1220" s="316"/>
      <c r="AJ1220" s="316"/>
      <c r="AK1220" s="316"/>
      <c r="AL1220" s="316"/>
      <c r="AM1220" s="416"/>
      <c r="AR1220" s="333"/>
      <c r="AS1220" s="333"/>
      <c r="AT1220" s="333"/>
      <c r="AU1220" s="333"/>
      <c r="AV1220" s="333"/>
    </row>
    <row r="1221" spans="2:48" s="330" customFormat="1" ht="28.15" customHeight="1" x14ac:dyDescent="0.25">
      <c r="B1221" s="331"/>
      <c r="C1221" s="332"/>
      <c r="D1221" s="332"/>
      <c r="E1221" s="333"/>
      <c r="F1221" s="333"/>
      <c r="R1221" s="316"/>
      <c r="S1221" s="404"/>
      <c r="T1221" s="404"/>
      <c r="U1221" s="404"/>
      <c r="V1221" s="404"/>
      <c r="W1221" s="316"/>
      <c r="X1221" s="316"/>
      <c r="Y1221" s="316"/>
      <c r="Z1221" s="316"/>
      <c r="AA1221" s="404"/>
      <c r="AB1221" s="404"/>
      <c r="AC1221" s="404"/>
      <c r="AD1221" s="404"/>
      <c r="AE1221" s="316"/>
      <c r="AF1221" s="316"/>
      <c r="AG1221" s="404"/>
      <c r="AH1221" s="316"/>
      <c r="AI1221" s="316"/>
      <c r="AJ1221" s="316"/>
      <c r="AK1221" s="316"/>
      <c r="AL1221" s="316"/>
      <c r="AM1221" s="416"/>
      <c r="AR1221" s="333"/>
      <c r="AS1221" s="333"/>
      <c r="AT1221" s="333"/>
      <c r="AU1221" s="333"/>
      <c r="AV1221" s="333"/>
    </row>
    <row r="1222" spans="2:48" s="330" customFormat="1" ht="28.15" customHeight="1" x14ac:dyDescent="0.25">
      <c r="B1222" s="331"/>
      <c r="C1222" s="332"/>
      <c r="D1222" s="332"/>
      <c r="E1222" s="333"/>
      <c r="F1222" s="333"/>
      <c r="R1222" s="316"/>
      <c r="S1222" s="404"/>
      <c r="T1222" s="404"/>
      <c r="U1222" s="404"/>
      <c r="V1222" s="404"/>
      <c r="W1222" s="316"/>
      <c r="X1222" s="316"/>
      <c r="Y1222" s="316"/>
      <c r="Z1222" s="316"/>
      <c r="AA1222" s="404"/>
      <c r="AB1222" s="404"/>
      <c r="AC1222" s="404"/>
      <c r="AD1222" s="404"/>
      <c r="AE1222" s="316"/>
      <c r="AF1222" s="316"/>
      <c r="AG1222" s="404"/>
      <c r="AH1222" s="316"/>
      <c r="AI1222" s="316"/>
      <c r="AJ1222" s="316"/>
      <c r="AK1222" s="316"/>
      <c r="AL1222" s="316"/>
      <c r="AM1222" s="416"/>
      <c r="AR1222" s="333"/>
      <c r="AS1222" s="333"/>
      <c r="AT1222" s="333"/>
      <c r="AU1222" s="333"/>
      <c r="AV1222" s="333"/>
    </row>
    <row r="1223" spans="2:48" s="330" customFormat="1" ht="28.15" customHeight="1" x14ac:dyDescent="0.25">
      <c r="B1223" s="331"/>
      <c r="C1223" s="332"/>
      <c r="D1223" s="332"/>
      <c r="E1223" s="333"/>
      <c r="F1223" s="333"/>
      <c r="R1223" s="316"/>
      <c r="S1223" s="404"/>
      <c r="T1223" s="404"/>
      <c r="U1223" s="404"/>
      <c r="V1223" s="404"/>
      <c r="W1223" s="316"/>
      <c r="X1223" s="316"/>
      <c r="Y1223" s="316"/>
      <c r="Z1223" s="316"/>
      <c r="AA1223" s="404"/>
      <c r="AB1223" s="404"/>
      <c r="AC1223" s="404"/>
      <c r="AD1223" s="404"/>
      <c r="AE1223" s="316"/>
      <c r="AF1223" s="316"/>
      <c r="AG1223" s="404"/>
      <c r="AH1223" s="316"/>
      <c r="AI1223" s="316"/>
      <c r="AJ1223" s="316"/>
      <c r="AK1223" s="316"/>
      <c r="AL1223" s="316"/>
      <c r="AM1223" s="416"/>
      <c r="AR1223" s="333"/>
      <c r="AS1223" s="333"/>
      <c r="AT1223" s="333"/>
      <c r="AU1223" s="333"/>
      <c r="AV1223" s="333"/>
    </row>
    <row r="1224" spans="2:48" s="330" customFormat="1" ht="28.15" customHeight="1" x14ac:dyDescent="0.25">
      <c r="B1224" s="331"/>
      <c r="C1224" s="332"/>
      <c r="D1224" s="332"/>
      <c r="E1224" s="333"/>
      <c r="F1224" s="333"/>
      <c r="R1224" s="316"/>
      <c r="S1224" s="404"/>
      <c r="T1224" s="404"/>
      <c r="U1224" s="404"/>
      <c r="V1224" s="404"/>
      <c r="W1224" s="316"/>
      <c r="X1224" s="316"/>
      <c r="Y1224" s="316"/>
      <c r="Z1224" s="316"/>
      <c r="AA1224" s="404"/>
      <c r="AB1224" s="404"/>
      <c r="AC1224" s="404"/>
      <c r="AD1224" s="404"/>
      <c r="AE1224" s="316"/>
      <c r="AF1224" s="316"/>
      <c r="AG1224" s="404"/>
      <c r="AH1224" s="316"/>
      <c r="AI1224" s="316"/>
      <c r="AJ1224" s="316"/>
      <c r="AK1224" s="316"/>
      <c r="AL1224" s="316"/>
      <c r="AM1224" s="416"/>
      <c r="AR1224" s="333"/>
      <c r="AS1224" s="333"/>
      <c r="AT1224" s="333"/>
      <c r="AU1224" s="333"/>
      <c r="AV1224" s="333"/>
    </row>
    <row r="1225" spans="2:48" s="330" customFormat="1" ht="28.15" customHeight="1" x14ac:dyDescent="0.25">
      <c r="B1225" s="331"/>
      <c r="C1225" s="332"/>
      <c r="D1225" s="332"/>
      <c r="E1225" s="333"/>
      <c r="F1225" s="333"/>
      <c r="R1225" s="316"/>
      <c r="S1225" s="404"/>
      <c r="T1225" s="404"/>
      <c r="U1225" s="404"/>
      <c r="V1225" s="404"/>
      <c r="W1225" s="316"/>
      <c r="X1225" s="316"/>
      <c r="Y1225" s="316"/>
      <c r="Z1225" s="316"/>
      <c r="AA1225" s="404"/>
      <c r="AB1225" s="404"/>
      <c r="AC1225" s="404"/>
      <c r="AD1225" s="404"/>
      <c r="AE1225" s="316"/>
      <c r="AF1225" s="316"/>
      <c r="AG1225" s="404"/>
      <c r="AH1225" s="316"/>
      <c r="AI1225" s="316"/>
      <c r="AJ1225" s="316"/>
      <c r="AK1225" s="316"/>
      <c r="AL1225" s="316"/>
      <c r="AM1225" s="416"/>
      <c r="AR1225" s="333"/>
      <c r="AS1225" s="333"/>
      <c r="AT1225" s="333"/>
      <c r="AU1225" s="333"/>
      <c r="AV1225" s="333"/>
    </row>
    <row r="1226" spans="2:48" s="330" customFormat="1" ht="28.15" customHeight="1" x14ac:dyDescent="0.25">
      <c r="B1226" s="331"/>
      <c r="C1226" s="332"/>
      <c r="D1226" s="332"/>
      <c r="E1226" s="333"/>
      <c r="F1226" s="333"/>
      <c r="R1226" s="316"/>
      <c r="S1226" s="404"/>
      <c r="T1226" s="404"/>
      <c r="U1226" s="404"/>
      <c r="V1226" s="404"/>
      <c r="W1226" s="316"/>
      <c r="X1226" s="316"/>
      <c r="Y1226" s="316"/>
      <c r="Z1226" s="316"/>
      <c r="AA1226" s="404"/>
      <c r="AB1226" s="404"/>
      <c r="AC1226" s="404"/>
      <c r="AD1226" s="404"/>
      <c r="AE1226" s="316"/>
      <c r="AF1226" s="316"/>
      <c r="AG1226" s="404"/>
      <c r="AH1226" s="316"/>
      <c r="AI1226" s="316"/>
      <c r="AJ1226" s="316"/>
      <c r="AK1226" s="316"/>
      <c r="AL1226" s="316"/>
      <c r="AM1226" s="416"/>
      <c r="AR1226" s="333"/>
      <c r="AS1226" s="333"/>
      <c r="AT1226" s="333"/>
      <c r="AU1226" s="333"/>
      <c r="AV1226" s="333"/>
    </row>
    <row r="1227" spans="2:48" s="330" customFormat="1" ht="28.15" customHeight="1" x14ac:dyDescent="0.25">
      <c r="B1227" s="331"/>
      <c r="C1227" s="332"/>
      <c r="D1227" s="332"/>
      <c r="E1227" s="333"/>
      <c r="F1227" s="333"/>
      <c r="R1227" s="316"/>
      <c r="S1227" s="404"/>
      <c r="T1227" s="404"/>
      <c r="U1227" s="404"/>
      <c r="V1227" s="404"/>
      <c r="W1227" s="316"/>
      <c r="X1227" s="316"/>
      <c r="Y1227" s="316"/>
      <c r="Z1227" s="316"/>
      <c r="AA1227" s="404"/>
      <c r="AB1227" s="404"/>
      <c r="AC1227" s="404"/>
      <c r="AD1227" s="404"/>
      <c r="AE1227" s="316"/>
      <c r="AF1227" s="316"/>
      <c r="AG1227" s="404"/>
      <c r="AH1227" s="316"/>
      <c r="AI1227" s="316"/>
      <c r="AJ1227" s="316"/>
      <c r="AK1227" s="316"/>
      <c r="AL1227" s="316"/>
      <c r="AM1227" s="416"/>
      <c r="AR1227" s="333"/>
      <c r="AS1227" s="333"/>
      <c r="AT1227" s="333"/>
      <c r="AU1227" s="333"/>
      <c r="AV1227" s="333"/>
    </row>
    <row r="1228" spans="2:48" s="330" customFormat="1" ht="28.15" customHeight="1" x14ac:dyDescent="0.25">
      <c r="B1228" s="331"/>
      <c r="C1228" s="332"/>
      <c r="D1228" s="332"/>
      <c r="E1228" s="333"/>
      <c r="F1228" s="333"/>
      <c r="R1228" s="316"/>
      <c r="S1228" s="404"/>
      <c r="T1228" s="404"/>
      <c r="U1228" s="404"/>
      <c r="V1228" s="404"/>
      <c r="W1228" s="316"/>
      <c r="X1228" s="316"/>
      <c r="Y1228" s="316"/>
      <c r="Z1228" s="316"/>
      <c r="AA1228" s="404"/>
      <c r="AB1228" s="404"/>
      <c r="AC1228" s="404"/>
      <c r="AD1228" s="404"/>
      <c r="AE1228" s="316"/>
      <c r="AF1228" s="316"/>
      <c r="AG1228" s="404"/>
      <c r="AH1228" s="316"/>
      <c r="AI1228" s="316"/>
      <c r="AJ1228" s="316"/>
      <c r="AK1228" s="316"/>
      <c r="AL1228" s="316"/>
      <c r="AM1228" s="416"/>
      <c r="AR1228" s="333"/>
      <c r="AS1228" s="333"/>
      <c r="AT1228" s="333"/>
      <c r="AU1228" s="333"/>
      <c r="AV1228" s="333"/>
    </row>
    <row r="1229" spans="2:48" s="330" customFormat="1" ht="28.15" customHeight="1" x14ac:dyDescent="0.25">
      <c r="B1229" s="331"/>
      <c r="C1229" s="332"/>
      <c r="D1229" s="332"/>
      <c r="E1229" s="333"/>
      <c r="F1229" s="333"/>
      <c r="R1229" s="316"/>
      <c r="S1229" s="404"/>
      <c r="T1229" s="404"/>
      <c r="U1229" s="404"/>
      <c r="V1229" s="404"/>
      <c r="W1229" s="316"/>
      <c r="X1229" s="316"/>
      <c r="Y1229" s="316"/>
      <c r="Z1229" s="316"/>
      <c r="AA1229" s="404"/>
      <c r="AB1229" s="404"/>
      <c r="AC1229" s="404"/>
      <c r="AD1229" s="404"/>
      <c r="AE1229" s="316"/>
      <c r="AF1229" s="316"/>
      <c r="AG1229" s="404"/>
      <c r="AH1229" s="316"/>
      <c r="AI1229" s="316"/>
      <c r="AJ1229" s="316"/>
      <c r="AK1229" s="316"/>
      <c r="AL1229" s="316"/>
      <c r="AM1229" s="416"/>
      <c r="AR1229" s="333"/>
      <c r="AS1229" s="333"/>
      <c r="AT1229" s="333"/>
      <c r="AU1229" s="333"/>
      <c r="AV1229" s="333"/>
    </row>
    <row r="1230" spans="2:48" s="330" customFormat="1" ht="28.15" customHeight="1" x14ac:dyDescent="0.25">
      <c r="B1230" s="331"/>
      <c r="C1230" s="332"/>
      <c r="D1230" s="332"/>
      <c r="E1230" s="333"/>
      <c r="F1230" s="333"/>
      <c r="R1230" s="316"/>
      <c r="S1230" s="404"/>
      <c r="T1230" s="404"/>
      <c r="U1230" s="404"/>
      <c r="V1230" s="404"/>
      <c r="W1230" s="316"/>
      <c r="X1230" s="316"/>
      <c r="Y1230" s="316"/>
      <c r="Z1230" s="316"/>
      <c r="AA1230" s="404"/>
      <c r="AB1230" s="404"/>
      <c r="AC1230" s="404"/>
      <c r="AD1230" s="404"/>
      <c r="AE1230" s="316"/>
      <c r="AF1230" s="316"/>
      <c r="AG1230" s="404"/>
      <c r="AH1230" s="316"/>
      <c r="AI1230" s="316"/>
      <c r="AJ1230" s="316"/>
      <c r="AK1230" s="316"/>
      <c r="AL1230" s="316"/>
      <c r="AM1230" s="416"/>
      <c r="AR1230" s="333"/>
      <c r="AS1230" s="333"/>
      <c r="AT1230" s="333"/>
      <c r="AU1230" s="333"/>
      <c r="AV1230" s="333"/>
    </row>
    <row r="1231" spans="2:48" s="330" customFormat="1" ht="28.15" customHeight="1" x14ac:dyDescent="0.25">
      <c r="B1231" s="331"/>
      <c r="C1231" s="332"/>
      <c r="D1231" s="332"/>
      <c r="E1231" s="333"/>
      <c r="F1231" s="333"/>
      <c r="R1231" s="316"/>
      <c r="S1231" s="404"/>
      <c r="T1231" s="404"/>
      <c r="U1231" s="404"/>
      <c r="V1231" s="404"/>
      <c r="W1231" s="316"/>
      <c r="X1231" s="316"/>
      <c r="Y1231" s="316"/>
      <c r="Z1231" s="316"/>
      <c r="AA1231" s="404"/>
      <c r="AB1231" s="404"/>
      <c r="AC1231" s="404"/>
      <c r="AD1231" s="404"/>
      <c r="AE1231" s="316"/>
      <c r="AF1231" s="316"/>
      <c r="AG1231" s="404"/>
      <c r="AH1231" s="316"/>
      <c r="AI1231" s="316"/>
      <c r="AJ1231" s="316"/>
      <c r="AK1231" s="316"/>
      <c r="AL1231" s="316"/>
      <c r="AM1231" s="416"/>
      <c r="AR1231" s="333"/>
      <c r="AS1231" s="333"/>
      <c r="AT1231" s="333"/>
      <c r="AU1231" s="333"/>
      <c r="AV1231" s="333"/>
    </row>
    <row r="1232" spans="2:48" s="330" customFormat="1" ht="28.15" customHeight="1" x14ac:dyDescent="0.25">
      <c r="B1232" s="331"/>
      <c r="C1232" s="332"/>
      <c r="D1232" s="332"/>
      <c r="E1232" s="333"/>
      <c r="F1232" s="333"/>
      <c r="R1232" s="316"/>
      <c r="S1232" s="404"/>
      <c r="T1232" s="404"/>
      <c r="U1232" s="404"/>
      <c r="V1232" s="404"/>
      <c r="W1232" s="316"/>
      <c r="X1232" s="316"/>
      <c r="Y1232" s="316"/>
      <c r="Z1232" s="316"/>
      <c r="AA1232" s="404"/>
      <c r="AB1232" s="404"/>
      <c r="AC1232" s="404"/>
      <c r="AD1232" s="404"/>
      <c r="AE1232" s="316"/>
      <c r="AF1232" s="316"/>
      <c r="AG1232" s="404"/>
      <c r="AH1232" s="316"/>
      <c r="AI1232" s="316"/>
      <c r="AJ1232" s="316"/>
      <c r="AK1232" s="316"/>
      <c r="AL1232" s="316"/>
      <c r="AM1232" s="416"/>
      <c r="AR1232" s="333"/>
      <c r="AS1232" s="333"/>
      <c r="AT1232" s="333"/>
      <c r="AU1232" s="333"/>
      <c r="AV1232" s="333"/>
    </row>
    <row r="1233" spans="2:48" s="330" customFormat="1" ht="28.15" customHeight="1" x14ac:dyDescent="0.25">
      <c r="B1233" s="331"/>
      <c r="C1233" s="332"/>
      <c r="D1233" s="332"/>
      <c r="E1233" s="333"/>
      <c r="F1233" s="333"/>
      <c r="R1233" s="316"/>
      <c r="S1233" s="404"/>
      <c r="T1233" s="404"/>
      <c r="U1233" s="404"/>
      <c r="V1233" s="404"/>
      <c r="W1233" s="316"/>
      <c r="X1233" s="316"/>
      <c r="Y1233" s="316"/>
      <c r="Z1233" s="316"/>
      <c r="AA1233" s="404"/>
      <c r="AB1233" s="404"/>
      <c r="AC1233" s="404"/>
      <c r="AD1233" s="404"/>
      <c r="AE1233" s="316"/>
      <c r="AF1233" s="316"/>
      <c r="AG1233" s="404"/>
      <c r="AH1233" s="316"/>
      <c r="AI1233" s="316"/>
      <c r="AJ1233" s="316"/>
      <c r="AK1233" s="316"/>
      <c r="AL1233" s="316"/>
      <c r="AM1233" s="416"/>
      <c r="AR1233" s="333"/>
      <c r="AS1233" s="333"/>
      <c r="AT1233" s="333"/>
      <c r="AU1233" s="333"/>
      <c r="AV1233" s="333"/>
    </row>
    <row r="1234" spans="2:48" s="330" customFormat="1" ht="28.15" customHeight="1" x14ac:dyDescent="0.25">
      <c r="B1234" s="331"/>
      <c r="C1234" s="332"/>
      <c r="D1234" s="332"/>
      <c r="E1234" s="333"/>
      <c r="F1234" s="333"/>
      <c r="R1234" s="316"/>
      <c r="S1234" s="404"/>
      <c r="T1234" s="404"/>
      <c r="U1234" s="404"/>
      <c r="V1234" s="404"/>
      <c r="W1234" s="316"/>
      <c r="X1234" s="316"/>
      <c r="Y1234" s="316"/>
      <c r="Z1234" s="316"/>
      <c r="AA1234" s="404"/>
      <c r="AB1234" s="404"/>
      <c r="AC1234" s="404"/>
      <c r="AD1234" s="404"/>
      <c r="AE1234" s="316"/>
      <c r="AF1234" s="316"/>
      <c r="AG1234" s="404"/>
      <c r="AH1234" s="316"/>
      <c r="AI1234" s="316"/>
      <c r="AJ1234" s="316"/>
      <c r="AK1234" s="316"/>
      <c r="AL1234" s="316"/>
      <c r="AM1234" s="416"/>
      <c r="AR1234" s="333"/>
      <c r="AS1234" s="333"/>
      <c r="AT1234" s="333"/>
      <c r="AU1234" s="333"/>
      <c r="AV1234" s="333"/>
    </row>
    <row r="1235" spans="2:48" s="330" customFormat="1" ht="28.15" customHeight="1" x14ac:dyDescent="0.25">
      <c r="B1235" s="331"/>
      <c r="C1235" s="332"/>
      <c r="D1235" s="332"/>
      <c r="E1235" s="333"/>
      <c r="F1235" s="333"/>
      <c r="R1235" s="316"/>
      <c r="S1235" s="404"/>
      <c r="T1235" s="404"/>
      <c r="U1235" s="404"/>
      <c r="V1235" s="404"/>
      <c r="W1235" s="316"/>
      <c r="X1235" s="316"/>
      <c r="Y1235" s="316"/>
      <c r="Z1235" s="316"/>
      <c r="AA1235" s="404"/>
      <c r="AB1235" s="404"/>
      <c r="AC1235" s="404"/>
      <c r="AD1235" s="404"/>
      <c r="AE1235" s="316"/>
      <c r="AF1235" s="316"/>
      <c r="AG1235" s="404"/>
      <c r="AH1235" s="316"/>
      <c r="AI1235" s="316"/>
      <c r="AJ1235" s="316"/>
      <c r="AK1235" s="316"/>
      <c r="AL1235" s="316"/>
      <c r="AM1235" s="416"/>
      <c r="AR1235" s="333"/>
      <c r="AS1235" s="333"/>
      <c r="AT1235" s="333"/>
      <c r="AU1235" s="333"/>
      <c r="AV1235" s="333"/>
    </row>
    <row r="1236" spans="2:48" s="330" customFormat="1" ht="28.15" customHeight="1" x14ac:dyDescent="0.25">
      <c r="B1236" s="331"/>
      <c r="C1236" s="332"/>
      <c r="D1236" s="332"/>
      <c r="E1236" s="333"/>
      <c r="F1236" s="333"/>
      <c r="R1236" s="316"/>
      <c r="S1236" s="404"/>
      <c r="T1236" s="404"/>
      <c r="U1236" s="404"/>
      <c r="V1236" s="404"/>
      <c r="W1236" s="316"/>
      <c r="X1236" s="316"/>
      <c r="Y1236" s="316"/>
      <c r="Z1236" s="316"/>
      <c r="AA1236" s="404"/>
      <c r="AB1236" s="404"/>
      <c r="AC1236" s="404"/>
      <c r="AD1236" s="404"/>
      <c r="AE1236" s="316"/>
      <c r="AF1236" s="316"/>
      <c r="AG1236" s="404"/>
      <c r="AH1236" s="316"/>
      <c r="AI1236" s="316"/>
      <c r="AJ1236" s="316"/>
      <c r="AK1236" s="316"/>
      <c r="AL1236" s="316"/>
      <c r="AM1236" s="416"/>
      <c r="AR1236" s="333"/>
      <c r="AS1236" s="333"/>
      <c r="AT1236" s="333"/>
      <c r="AU1236" s="333"/>
      <c r="AV1236" s="333"/>
    </row>
    <row r="1237" spans="2:48" s="330" customFormat="1" ht="28.15" customHeight="1" x14ac:dyDescent="0.25">
      <c r="B1237" s="331"/>
      <c r="C1237" s="332"/>
      <c r="D1237" s="332"/>
      <c r="E1237" s="333"/>
      <c r="F1237" s="333"/>
      <c r="R1237" s="316"/>
      <c r="S1237" s="404"/>
      <c r="T1237" s="404"/>
      <c r="U1237" s="404"/>
      <c r="V1237" s="404"/>
      <c r="W1237" s="316"/>
      <c r="X1237" s="316"/>
      <c r="Y1237" s="316"/>
      <c r="Z1237" s="316"/>
      <c r="AA1237" s="404"/>
      <c r="AB1237" s="404"/>
      <c r="AC1237" s="404"/>
      <c r="AD1237" s="404"/>
      <c r="AE1237" s="316"/>
      <c r="AF1237" s="316"/>
      <c r="AG1237" s="404"/>
      <c r="AH1237" s="316"/>
      <c r="AI1237" s="316"/>
      <c r="AJ1237" s="316"/>
      <c r="AK1237" s="316"/>
      <c r="AL1237" s="316"/>
      <c r="AM1237" s="416"/>
      <c r="AR1237" s="333"/>
      <c r="AS1237" s="333"/>
      <c r="AT1237" s="333"/>
      <c r="AU1237" s="333"/>
      <c r="AV1237" s="333"/>
    </row>
    <row r="1238" spans="2:48" s="330" customFormat="1" ht="28.15" customHeight="1" x14ac:dyDescent="0.25">
      <c r="B1238" s="331"/>
      <c r="C1238" s="332"/>
      <c r="D1238" s="332"/>
      <c r="E1238" s="333"/>
      <c r="F1238" s="333"/>
      <c r="R1238" s="316"/>
      <c r="S1238" s="404"/>
      <c r="T1238" s="404"/>
      <c r="U1238" s="404"/>
      <c r="V1238" s="404"/>
      <c r="W1238" s="316"/>
      <c r="X1238" s="316"/>
      <c r="Y1238" s="316"/>
      <c r="Z1238" s="316"/>
      <c r="AA1238" s="404"/>
      <c r="AB1238" s="404"/>
      <c r="AC1238" s="404"/>
      <c r="AD1238" s="404"/>
      <c r="AE1238" s="316"/>
      <c r="AF1238" s="316"/>
      <c r="AG1238" s="404"/>
      <c r="AH1238" s="316"/>
      <c r="AI1238" s="316"/>
      <c r="AJ1238" s="316"/>
      <c r="AK1238" s="316"/>
      <c r="AL1238" s="316"/>
      <c r="AM1238" s="416"/>
      <c r="AR1238" s="333"/>
      <c r="AS1238" s="333"/>
      <c r="AT1238" s="333"/>
      <c r="AU1238" s="333"/>
      <c r="AV1238" s="333"/>
    </row>
    <row r="1239" spans="2:48" s="330" customFormat="1" ht="28.15" customHeight="1" x14ac:dyDescent="0.25">
      <c r="B1239" s="331"/>
      <c r="C1239" s="332"/>
      <c r="D1239" s="332"/>
      <c r="E1239" s="333"/>
      <c r="F1239" s="333"/>
      <c r="R1239" s="316"/>
      <c r="S1239" s="404"/>
      <c r="T1239" s="404"/>
      <c r="U1239" s="404"/>
      <c r="V1239" s="404"/>
      <c r="W1239" s="316"/>
      <c r="X1239" s="316"/>
      <c r="Y1239" s="316"/>
      <c r="Z1239" s="316"/>
      <c r="AA1239" s="404"/>
      <c r="AB1239" s="404"/>
      <c r="AC1239" s="404"/>
      <c r="AD1239" s="404"/>
      <c r="AE1239" s="316"/>
      <c r="AF1239" s="316"/>
      <c r="AG1239" s="404"/>
      <c r="AH1239" s="316"/>
      <c r="AI1239" s="316"/>
      <c r="AJ1239" s="316"/>
      <c r="AK1239" s="316"/>
      <c r="AL1239" s="316"/>
      <c r="AM1239" s="416"/>
      <c r="AR1239" s="333"/>
      <c r="AS1239" s="333"/>
      <c r="AT1239" s="333"/>
      <c r="AU1239" s="333"/>
      <c r="AV1239" s="333"/>
    </row>
    <row r="1240" spans="2:48" s="330" customFormat="1" ht="28.15" customHeight="1" x14ac:dyDescent="0.25">
      <c r="B1240" s="331"/>
      <c r="C1240" s="332"/>
      <c r="D1240" s="332"/>
      <c r="E1240" s="333"/>
      <c r="F1240" s="333"/>
      <c r="R1240" s="316"/>
      <c r="S1240" s="404"/>
      <c r="T1240" s="404"/>
      <c r="U1240" s="404"/>
      <c r="V1240" s="404"/>
      <c r="W1240" s="316"/>
      <c r="X1240" s="316"/>
      <c r="Y1240" s="316"/>
      <c r="Z1240" s="316"/>
      <c r="AA1240" s="404"/>
      <c r="AB1240" s="404"/>
      <c r="AC1240" s="404"/>
      <c r="AD1240" s="404"/>
      <c r="AE1240" s="316"/>
      <c r="AF1240" s="316"/>
      <c r="AG1240" s="404"/>
      <c r="AH1240" s="316"/>
      <c r="AI1240" s="316"/>
      <c r="AJ1240" s="316"/>
      <c r="AK1240" s="316"/>
      <c r="AL1240" s="316"/>
      <c r="AM1240" s="416"/>
      <c r="AR1240" s="333"/>
      <c r="AS1240" s="333"/>
      <c r="AT1240" s="333"/>
      <c r="AU1240" s="333"/>
      <c r="AV1240" s="333"/>
    </row>
    <row r="1241" spans="2:48" s="330" customFormat="1" ht="28.15" customHeight="1" x14ac:dyDescent="0.25">
      <c r="B1241" s="331"/>
      <c r="C1241" s="332"/>
      <c r="D1241" s="332"/>
      <c r="E1241" s="333"/>
      <c r="F1241" s="333"/>
      <c r="R1241" s="316"/>
      <c r="S1241" s="404"/>
      <c r="T1241" s="404"/>
      <c r="U1241" s="404"/>
      <c r="V1241" s="404"/>
      <c r="W1241" s="316"/>
      <c r="X1241" s="316"/>
      <c r="Y1241" s="316"/>
      <c r="Z1241" s="316"/>
      <c r="AA1241" s="404"/>
      <c r="AB1241" s="404"/>
      <c r="AC1241" s="404"/>
      <c r="AD1241" s="404"/>
      <c r="AE1241" s="316"/>
      <c r="AF1241" s="316"/>
      <c r="AG1241" s="404"/>
      <c r="AH1241" s="316"/>
      <c r="AI1241" s="316"/>
      <c r="AJ1241" s="316"/>
      <c r="AK1241" s="316"/>
      <c r="AL1241" s="316"/>
      <c r="AM1241" s="416"/>
      <c r="AR1241" s="333"/>
      <c r="AS1241" s="333"/>
      <c r="AT1241" s="333"/>
      <c r="AU1241" s="333"/>
      <c r="AV1241" s="333"/>
    </row>
    <row r="1242" spans="2:48" s="330" customFormat="1" ht="28.15" customHeight="1" x14ac:dyDescent="0.25">
      <c r="B1242" s="331"/>
      <c r="C1242" s="332"/>
      <c r="D1242" s="332"/>
      <c r="E1242" s="333"/>
      <c r="F1242" s="333"/>
      <c r="R1242" s="316"/>
      <c r="S1242" s="404"/>
      <c r="T1242" s="404"/>
      <c r="U1242" s="404"/>
      <c r="V1242" s="404"/>
      <c r="W1242" s="316"/>
      <c r="X1242" s="316"/>
      <c r="Y1242" s="316"/>
      <c r="Z1242" s="316"/>
      <c r="AA1242" s="404"/>
      <c r="AB1242" s="404"/>
      <c r="AC1242" s="404"/>
      <c r="AD1242" s="404"/>
      <c r="AE1242" s="316"/>
      <c r="AF1242" s="316"/>
      <c r="AG1242" s="404"/>
      <c r="AH1242" s="316"/>
      <c r="AI1242" s="316"/>
      <c r="AJ1242" s="316"/>
      <c r="AK1242" s="316"/>
      <c r="AL1242" s="316"/>
      <c r="AM1242" s="416"/>
      <c r="AR1242" s="333"/>
      <c r="AS1242" s="333"/>
      <c r="AT1242" s="333"/>
      <c r="AU1242" s="333"/>
      <c r="AV1242" s="333"/>
    </row>
    <row r="1243" spans="2:48" s="330" customFormat="1" ht="28.15" customHeight="1" x14ac:dyDescent="0.25">
      <c r="B1243" s="331"/>
      <c r="C1243" s="332"/>
      <c r="D1243" s="332"/>
      <c r="E1243" s="333"/>
      <c r="F1243" s="333"/>
      <c r="R1243" s="316"/>
      <c r="S1243" s="404"/>
      <c r="T1243" s="404"/>
      <c r="U1243" s="404"/>
      <c r="V1243" s="404"/>
      <c r="W1243" s="316"/>
      <c r="X1243" s="316"/>
      <c r="Y1243" s="316"/>
      <c r="Z1243" s="316"/>
      <c r="AA1243" s="404"/>
      <c r="AB1243" s="404"/>
      <c r="AC1243" s="404"/>
      <c r="AD1243" s="404"/>
      <c r="AE1243" s="316"/>
      <c r="AF1243" s="316"/>
      <c r="AG1243" s="404"/>
      <c r="AH1243" s="316"/>
      <c r="AI1243" s="316"/>
      <c r="AJ1243" s="316"/>
      <c r="AK1243" s="316"/>
      <c r="AL1243" s="316"/>
      <c r="AM1243" s="416"/>
      <c r="AR1243" s="333"/>
      <c r="AS1243" s="333"/>
      <c r="AT1243" s="333"/>
      <c r="AU1243" s="333"/>
      <c r="AV1243" s="333"/>
    </row>
    <row r="1244" spans="2:48" s="330" customFormat="1" ht="28.15" customHeight="1" x14ac:dyDescent="0.25">
      <c r="B1244" s="331"/>
      <c r="C1244" s="332"/>
      <c r="D1244" s="332"/>
      <c r="E1244" s="333"/>
      <c r="F1244" s="333"/>
      <c r="R1244" s="316"/>
      <c r="S1244" s="404"/>
      <c r="T1244" s="404"/>
      <c r="U1244" s="404"/>
      <c r="V1244" s="404"/>
      <c r="W1244" s="316"/>
      <c r="X1244" s="316"/>
      <c r="Y1244" s="316"/>
      <c r="Z1244" s="316"/>
      <c r="AA1244" s="404"/>
      <c r="AB1244" s="404"/>
      <c r="AC1244" s="404"/>
      <c r="AD1244" s="404"/>
      <c r="AE1244" s="316"/>
      <c r="AF1244" s="316"/>
      <c r="AG1244" s="404"/>
      <c r="AH1244" s="316"/>
      <c r="AI1244" s="316"/>
      <c r="AJ1244" s="316"/>
      <c r="AK1244" s="316"/>
      <c r="AL1244" s="316"/>
      <c r="AM1244" s="416"/>
      <c r="AR1244" s="333"/>
      <c r="AS1244" s="333"/>
      <c r="AT1244" s="333"/>
      <c r="AU1244" s="333"/>
      <c r="AV1244" s="333"/>
    </row>
    <row r="1245" spans="2:48" s="330" customFormat="1" ht="28.15" customHeight="1" x14ac:dyDescent="0.25">
      <c r="B1245" s="331"/>
      <c r="C1245" s="332"/>
      <c r="D1245" s="332"/>
      <c r="E1245" s="333"/>
      <c r="F1245" s="333"/>
      <c r="R1245" s="316"/>
      <c r="S1245" s="404"/>
      <c r="T1245" s="404"/>
      <c r="U1245" s="404"/>
      <c r="V1245" s="404"/>
      <c r="W1245" s="316"/>
      <c r="X1245" s="316"/>
      <c r="Y1245" s="316"/>
      <c r="Z1245" s="316"/>
      <c r="AA1245" s="404"/>
      <c r="AB1245" s="404"/>
      <c r="AC1245" s="404"/>
      <c r="AD1245" s="404"/>
      <c r="AE1245" s="316"/>
      <c r="AF1245" s="316"/>
      <c r="AG1245" s="404"/>
      <c r="AH1245" s="316"/>
      <c r="AI1245" s="316"/>
      <c r="AJ1245" s="316"/>
      <c r="AK1245" s="316"/>
      <c r="AL1245" s="316"/>
      <c r="AM1245" s="416"/>
      <c r="AR1245" s="333"/>
      <c r="AS1245" s="333"/>
      <c r="AT1245" s="333"/>
      <c r="AU1245" s="333"/>
      <c r="AV1245" s="333"/>
    </row>
    <row r="1246" spans="2:48" s="330" customFormat="1" ht="28.15" customHeight="1" x14ac:dyDescent="0.25">
      <c r="B1246" s="331"/>
      <c r="C1246" s="332"/>
      <c r="D1246" s="332"/>
      <c r="E1246" s="333"/>
      <c r="F1246" s="333"/>
      <c r="R1246" s="316"/>
      <c r="S1246" s="404"/>
      <c r="T1246" s="404"/>
      <c r="U1246" s="404"/>
      <c r="V1246" s="404"/>
      <c r="W1246" s="316"/>
      <c r="X1246" s="316"/>
      <c r="Y1246" s="316"/>
      <c r="Z1246" s="316"/>
      <c r="AA1246" s="404"/>
      <c r="AB1246" s="404"/>
      <c r="AC1246" s="404"/>
      <c r="AD1246" s="404"/>
      <c r="AE1246" s="316"/>
      <c r="AF1246" s="316"/>
      <c r="AG1246" s="404"/>
      <c r="AH1246" s="316"/>
      <c r="AI1246" s="316"/>
      <c r="AJ1246" s="316"/>
      <c r="AK1246" s="316"/>
      <c r="AL1246" s="316"/>
      <c r="AM1246" s="416"/>
      <c r="AR1246" s="333"/>
      <c r="AS1246" s="333"/>
      <c r="AT1246" s="333"/>
      <c r="AU1246" s="333"/>
      <c r="AV1246" s="333"/>
    </row>
    <row r="1247" spans="2:48" s="330" customFormat="1" ht="28.15" customHeight="1" x14ac:dyDescent="0.25">
      <c r="B1247" s="331"/>
      <c r="C1247" s="332"/>
      <c r="D1247" s="332"/>
      <c r="E1247" s="333"/>
      <c r="F1247" s="333"/>
      <c r="R1247" s="316"/>
      <c r="S1247" s="404"/>
      <c r="T1247" s="404"/>
      <c r="U1247" s="404"/>
      <c r="V1247" s="404"/>
      <c r="W1247" s="316"/>
      <c r="X1247" s="316"/>
      <c r="Y1247" s="316"/>
      <c r="Z1247" s="316"/>
      <c r="AA1247" s="404"/>
      <c r="AB1247" s="404"/>
      <c r="AC1247" s="404"/>
      <c r="AD1247" s="404"/>
      <c r="AE1247" s="316"/>
      <c r="AF1247" s="316"/>
      <c r="AG1247" s="404"/>
      <c r="AH1247" s="316"/>
      <c r="AI1247" s="316"/>
      <c r="AJ1247" s="316"/>
      <c r="AK1247" s="316"/>
      <c r="AL1247" s="316"/>
      <c r="AM1247" s="416"/>
      <c r="AR1247" s="333"/>
      <c r="AS1247" s="333"/>
      <c r="AT1247" s="333"/>
      <c r="AU1247" s="333"/>
      <c r="AV1247" s="333"/>
    </row>
    <row r="1248" spans="2:48" s="330" customFormat="1" ht="28.15" customHeight="1" x14ac:dyDescent="0.25">
      <c r="B1248" s="331"/>
      <c r="C1248" s="332"/>
      <c r="D1248" s="332"/>
      <c r="E1248" s="333"/>
      <c r="F1248" s="333"/>
      <c r="R1248" s="316"/>
      <c r="S1248" s="404"/>
      <c r="T1248" s="404"/>
      <c r="U1248" s="404"/>
      <c r="V1248" s="404"/>
      <c r="W1248" s="316"/>
      <c r="X1248" s="316"/>
      <c r="Y1248" s="316"/>
      <c r="Z1248" s="316"/>
      <c r="AA1248" s="404"/>
      <c r="AB1248" s="404"/>
      <c r="AC1248" s="404"/>
      <c r="AD1248" s="404"/>
      <c r="AE1248" s="316"/>
      <c r="AF1248" s="316"/>
      <c r="AG1248" s="404"/>
      <c r="AH1248" s="316"/>
      <c r="AI1248" s="316"/>
      <c r="AJ1248" s="316"/>
      <c r="AK1248" s="316"/>
      <c r="AL1248" s="316"/>
      <c r="AM1248" s="416"/>
      <c r="AR1248" s="333"/>
      <c r="AS1248" s="333"/>
      <c r="AT1248" s="333"/>
      <c r="AU1248" s="333"/>
      <c r="AV1248" s="333"/>
    </row>
    <row r="1249" spans="2:48" s="330" customFormat="1" ht="28.15" customHeight="1" x14ac:dyDescent="0.25">
      <c r="B1249" s="331"/>
      <c r="C1249" s="332"/>
      <c r="D1249" s="332"/>
      <c r="E1249" s="333"/>
      <c r="F1249" s="333"/>
      <c r="R1249" s="316"/>
      <c r="S1249" s="404"/>
      <c r="T1249" s="404"/>
      <c r="U1249" s="404"/>
      <c r="V1249" s="404"/>
      <c r="W1249" s="316"/>
      <c r="X1249" s="316"/>
      <c r="Y1249" s="316"/>
      <c r="Z1249" s="316"/>
      <c r="AA1249" s="404"/>
      <c r="AB1249" s="404"/>
      <c r="AC1249" s="404"/>
      <c r="AD1249" s="404"/>
      <c r="AE1249" s="316"/>
      <c r="AF1249" s="316"/>
      <c r="AG1249" s="404"/>
      <c r="AH1249" s="316"/>
      <c r="AI1249" s="316"/>
      <c r="AJ1249" s="316"/>
      <c r="AK1249" s="316"/>
      <c r="AL1249" s="316"/>
      <c r="AM1249" s="416"/>
      <c r="AR1249" s="333"/>
      <c r="AS1249" s="333"/>
      <c r="AT1249" s="333"/>
      <c r="AU1249" s="333"/>
      <c r="AV1249" s="333"/>
    </row>
    <row r="1250" spans="2:48" s="330" customFormat="1" ht="28.15" customHeight="1" x14ac:dyDescent="0.25">
      <c r="B1250" s="331"/>
      <c r="C1250" s="332"/>
      <c r="D1250" s="332"/>
      <c r="E1250" s="333"/>
      <c r="F1250" s="333"/>
      <c r="R1250" s="316"/>
      <c r="S1250" s="404"/>
      <c r="T1250" s="404"/>
      <c r="U1250" s="404"/>
      <c r="V1250" s="404"/>
      <c r="W1250" s="316"/>
      <c r="X1250" s="316"/>
      <c r="Y1250" s="316"/>
      <c r="Z1250" s="316"/>
      <c r="AA1250" s="404"/>
      <c r="AB1250" s="404"/>
      <c r="AC1250" s="404"/>
      <c r="AD1250" s="404"/>
      <c r="AE1250" s="316"/>
      <c r="AF1250" s="316"/>
      <c r="AG1250" s="404"/>
      <c r="AH1250" s="316"/>
      <c r="AI1250" s="316"/>
      <c r="AJ1250" s="316"/>
      <c r="AK1250" s="316"/>
      <c r="AL1250" s="316"/>
      <c r="AM1250" s="416"/>
      <c r="AR1250" s="333"/>
      <c r="AS1250" s="333"/>
      <c r="AT1250" s="333"/>
      <c r="AU1250" s="333"/>
      <c r="AV1250" s="333"/>
    </row>
    <row r="1251" spans="2:48" s="330" customFormat="1" ht="28.15" customHeight="1" x14ac:dyDescent="0.25">
      <c r="B1251" s="331"/>
      <c r="C1251" s="332"/>
      <c r="D1251" s="332"/>
      <c r="E1251" s="333"/>
      <c r="F1251" s="333"/>
      <c r="R1251" s="316"/>
      <c r="S1251" s="404"/>
      <c r="T1251" s="404"/>
      <c r="U1251" s="404"/>
      <c r="V1251" s="404"/>
      <c r="W1251" s="316"/>
      <c r="X1251" s="316"/>
      <c r="Y1251" s="316"/>
      <c r="Z1251" s="316"/>
      <c r="AA1251" s="404"/>
      <c r="AB1251" s="404"/>
      <c r="AC1251" s="404"/>
      <c r="AD1251" s="404"/>
      <c r="AE1251" s="316"/>
      <c r="AF1251" s="316"/>
      <c r="AG1251" s="404"/>
      <c r="AH1251" s="316"/>
      <c r="AI1251" s="316"/>
      <c r="AJ1251" s="316"/>
      <c r="AK1251" s="316"/>
      <c r="AL1251" s="316"/>
      <c r="AM1251" s="416"/>
      <c r="AR1251" s="333"/>
      <c r="AS1251" s="333"/>
      <c r="AT1251" s="333"/>
      <c r="AU1251" s="333"/>
      <c r="AV1251" s="333"/>
    </row>
    <row r="1252" spans="2:48" s="330" customFormat="1" ht="28.15" customHeight="1" x14ac:dyDescent="0.25">
      <c r="B1252" s="331"/>
      <c r="C1252" s="332"/>
      <c r="D1252" s="332"/>
      <c r="E1252" s="333"/>
      <c r="F1252" s="333"/>
      <c r="R1252" s="316"/>
      <c r="S1252" s="404"/>
      <c r="T1252" s="404"/>
      <c r="U1252" s="404"/>
      <c r="V1252" s="404"/>
      <c r="W1252" s="316"/>
      <c r="X1252" s="316"/>
      <c r="Y1252" s="316"/>
      <c r="Z1252" s="316"/>
      <c r="AA1252" s="404"/>
      <c r="AB1252" s="404"/>
      <c r="AC1252" s="404"/>
      <c r="AD1252" s="404"/>
      <c r="AE1252" s="316"/>
      <c r="AF1252" s="316"/>
      <c r="AG1252" s="404"/>
      <c r="AH1252" s="316"/>
      <c r="AI1252" s="316"/>
      <c r="AJ1252" s="316"/>
      <c r="AK1252" s="316"/>
      <c r="AL1252" s="316"/>
      <c r="AM1252" s="416"/>
      <c r="AR1252" s="333"/>
      <c r="AS1252" s="333"/>
      <c r="AT1252" s="333"/>
      <c r="AU1252" s="333"/>
      <c r="AV1252" s="333"/>
    </row>
    <row r="1253" spans="2:48" s="330" customFormat="1" ht="28.15" customHeight="1" x14ac:dyDescent="0.25">
      <c r="B1253" s="331"/>
      <c r="C1253" s="332"/>
      <c r="D1253" s="332"/>
      <c r="E1253" s="333"/>
      <c r="F1253" s="333"/>
      <c r="R1253" s="316"/>
      <c r="S1253" s="404"/>
      <c r="T1253" s="404"/>
      <c r="U1253" s="404"/>
      <c r="V1253" s="404"/>
      <c r="W1253" s="316"/>
      <c r="X1253" s="316"/>
      <c r="Y1253" s="316"/>
      <c r="Z1253" s="316"/>
      <c r="AA1253" s="404"/>
      <c r="AB1253" s="404"/>
      <c r="AC1253" s="404"/>
      <c r="AD1253" s="404"/>
      <c r="AE1253" s="316"/>
      <c r="AF1253" s="316"/>
      <c r="AG1253" s="404"/>
      <c r="AH1253" s="316"/>
      <c r="AI1253" s="316"/>
      <c r="AJ1253" s="316"/>
      <c r="AK1253" s="316"/>
      <c r="AL1253" s="316"/>
      <c r="AM1253" s="416"/>
      <c r="AR1253" s="333"/>
      <c r="AS1253" s="333"/>
      <c r="AT1253" s="333"/>
      <c r="AU1253" s="333"/>
      <c r="AV1253" s="333"/>
    </row>
    <row r="1254" spans="2:48" s="330" customFormat="1" ht="28.15" customHeight="1" x14ac:dyDescent="0.25">
      <c r="B1254" s="331"/>
      <c r="C1254" s="332"/>
      <c r="D1254" s="332"/>
      <c r="E1254" s="333"/>
      <c r="F1254" s="333"/>
      <c r="R1254" s="316"/>
      <c r="S1254" s="404"/>
      <c r="T1254" s="404"/>
      <c r="U1254" s="404"/>
      <c r="V1254" s="404"/>
      <c r="W1254" s="316"/>
      <c r="X1254" s="316"/>
      <c r="Y1254" s="316"/>
      <c r="Z1254" s="316"/>
      <c r="AA1254" s="404"/>
      <c r="AB1254" s="404"/>
      <c r="AC1254" s="404"/>
      <c r="AD1254" s="404"/>
      <c r="AE1254" s="316"/>
      <c r="AF1254" s="316"/>
      <c r="AG1254" s="404"/>
      <c r="AH1254" s="316"/>
      <c r="AI1254" s="316"/>
      <c r="AJ1254" s="316"/>
      <c r="AK1254" s="316"/>
      <c r="AL1254" s="316"/>
      <c r="AM1254" s="416"/>
      <c r="AR1254" s="333"/>
      <c r="AS1254" s="333"/>
      <c r="AT1254" s="333"/>
      <c r="AU1254" s="333"/>
      <c r="AV1254" s="333"/>
    </row>
    <row r="1255" spans="2:48" s="330" customFormat="1" ht="28.15" customHeight="1" x14ac:dyDescent="0.25">
      <c r="B1255" s="331"/>
      <c r="C1255" s="332"/>
      <c r="D1255" s="332"/>
      <c r="E1255" s="333"/>
      <c r="F1255" s="333"/>
      <c r="R1255" s="316"/>
      <c r="S1255" s="404"/>
      <c r="T1255" s="404"/>
      <c r="U1255" s="404"/>
      <c r="V1255" s="404"/>
      <c r="W1255" s="316"/>
      <c r="X1255" s="316"/>
      <c r="Y1255" s="316"/>
      <c r="Z1255" s="316"/>
      <c r="AA1255" s="404"/>
      <c r="AB1255" s="404"/>
      <c r="AC1255" s="404"/>
      <c r="AD1255" s="404"/>
      <c r="AE1255" s="316"/>
      <c r="AF1255" s="316"/>
      <c r="AG1255" s="404"/>
      <c r="AH1255" s="316"/>
      <c r="AI1255" s="316"/>
      <c r="AJ1255" s="316"/>
      <c r="AK1255" s="316"/>
      <c r="AL1255" s="316"/>
      <c r="AM1255" s="416"/>
      <c r="AR1255" s="333"/>
      <c r="AS1255" s="333"/>
      <c r="AT1255" s="333"/>
      <c r="AU1255" s="333"/>
      <c r="AV1255" s="333"/>
    </row>
    <row r="1256" spans="2:48" s="330" customFormat="1" ht="28.15" customHeight="1" x14ac:dyDescent="0.25">
      <c r="B1256" s="331"/>
      <c r="C1256" s="332"/>
      <c r="D1256" s="332"/>
      <c r="E1256" s="333"/>
      <c r="F1256" s="333"/>
      <c r="R1256" s="316"/>
      <c r="S1256" s="404"/>
      <c r="T1256" s="404"/>
      <c r="U1256" s="404"/>
      <c r="V1256" s="404"/>
      <c r="W1256" s="316"/>
      <c r="X1256" s="316"/>
      <c r="Y1256" s="316"/>
      <c r="Z1256" s="316"/>
      <c r="AA1256" s="404"/>
      <c r="AB1256" s="404"/>
      <c r="AC1256" s="404"/>
      <c r="AD1256" s="404"/>
      <c r="AE1256" s="316"/>
      <c r="AF1256" s="316"/>
      <c r="AG1256" s="404"/>
      <c r="AH1256" s="316"/>
      <c r="AI1256" s="316"/>
      <c r="AJ1256" s="316"/>
      <c r="AK1256" s="316"/>
      <c r="AL1256" s="316"/>
      <c r="AM1256" s="416"/>
      <c r="AR1256" s="333"/>
      <c r="AS1256" s="333"/>
      <c r="AT1256" s="333"/>
      <c r="AU1256" s="333"/>
      <c r="AV1256" s="333"/>
    </row>
    <row r="1257" spans="2:48" s="330" customFormat="1" ht="28.15" customHeight="1" x14ac:dyDescent="0.25">
      <c r="B1257" s="331"/>
      <c r="C1257" s="332"/>
      <c r="D1257" s="332"/>
      <c r="E1257" s="333"/>
      <c r="F1257" s="333"/>
      <c r="R1257" s="316"/>
      <c r="S1257" s="404"/>
      <c r="T1257" s="404"/>
      <c r="U1257" s="404"/>
      <c r="V1257" s="404"/>
      <c r="W1257" s="316"/>
      <c r="X1257" s="316"/>
      <c r="Y1257" s="316"/>
      <c r="Z1257" s="316"/>
      <c r="AA1257" s="404"/>
      <c r="AB1257" s="404"/>
      <c r="AC1257" s="404"/>
      <c r="AD1257" s="404"/>
      <c r="AE1257" s="316"/>
      <c r="AF1257" s="316"/>
      <c r="AG1257" s="404"/>
      <c r="AH1257" s="316"/>
      <c r="AI1257" s="316"/>
      <c r="AJ1257" s="316"/>
      <c r="AK1257" s="316"/>
      <c r="AL1257" s="316"/>
      <c r="AM1257" s="416"/>
      <c r="AR1257" s="333"/>
      <c r="AS1257" s="333"/>
      <c r="AT1257" s="333"/>
      <c r="AU1257" s="333"/>
      <c r="AV1257" s="333"/>
    </row>
    <row r="1258" spans="2:48" s="330" customFormat="1" ht="28.15" customHeight="1" x14ac:dyDescent="0.25">
      <c r="B1258" s="331"/>
      <c r="C1258" s="332"/>
      <c r="D1258" s="332"/>
      <c r="E1258" s="333"/>
      <c r="F1258" s="333"/>
      <c r="R1258" s="316"/>
      <c r="S1258" s="404"/>
      <c r="T1258" s="404"/>
      <c r="U1258" s="404"/>
      <c r="V1258" s="404"/>
      <c r="W1258" s="316"/>
      <c r="X1258" s="316"/>
      <c r="Y1258" s="316"/>
      <c r="Z1258" s="316"/>
      <c r="AA1258" s="404"/>
      <c r="AB1258" s="404"/>
      <c r="AC1258" s="404"/>
      <c r="AD1258" s="404"/>
      <c r="AE1258" s="316"/>
      <c r="AF1258" s="316"/>
      <c r="AG1258" s="404"/>
      <c r="AH1258" s="316"/>
      <c r="AI1258" s="316"/>
      <c r="AJ1258" s="316"/>
      <c r="AK1258" s="316"/>
      <c r="AL1258" s="316"/>
      <c r="AM1258" s="416"/>
      <c r="AR1258" s="333"/>
      <c r="AS1258" s="333"/>
      <c r="AT1258" s="333"/>
      <c r="AU1258" s="333"/>
      <c r="AV1258" s="333"/>
    </row>
    <row r="1259" spans="2:48" s="330" customFormat="1" ht="28.15" customHeight="1" x14ac:dyDescent="0.25">
      <c r="B1259" s="331"/>
      <c r="C1259" s="332"/>
      <c r="D1259" s="332"/>
      <c r="E1259" s="333"/>
      <c r="F1259" s="333"/>
      <c r="R1259" s="316"/>
      <c r="S1259" s="404"/>
      <c r="T1259" s="404"/>
      <c r="U1259" s="404"/>
      <c r="V1259" s="404"/>
      <c r="W1259" s="316"/>
      <c r="X1259" s="316"/>
      <c r="Y1259" s="316"/>
      <c r="Z1259" s="316"/>
      <c r="AA1259" s="404"/>
      <c r="AB1259" s="404"/>
      <c r="AC1259" s="404"/>
      <c r="AD1259" s="404"/>
      <c r="AE1259" s="316"/>
      <c r="AF1259" s="316"/>
      <c r="AG1259" s="404"/>
      <c r="AH1259" s="316"/>
      <c r="AI1259" s="316"/>
      <c r="AJ1259" s="316"/>
      <c r="AK1259" s="316"/>
      <c r="AL1259" s="316"/>
      <c r="AM1259" s="416"/>
      <c r="AR1259" s="333"/>
      <c r="AS1259" s="333"/>
      <c r="AT1259" s="333"/>
      <c r="AU1259" s="333"/>
      <c r="AV1259" s="333"/>
    </row>
    <row r="1260" spans="2:48" s="330" customFormat="1" ht="28.15" customHeight="1" x14ac:dyDescent="0.25">
      <c r="B1260" s="331"/>
      <c r="C1260" s="332"/>
      <c r="D1260" s="332"/>
      <c r="E1260" s="333"/>
      <c r="F1260" s="333"/>
      <c r="R1260" s="316"/>
      <c r="S1260" s="404"/>
      <c r="T1260" s="404"/>
      <c r="U1260" s="404"/>
      <c r="V1260" s="404"/>
      <c r="W1260" s="316"/>
      <c r="X1260" s="316"/>
      <c r="Y1260" s="316"/>
      <c r="Z1260" s="316"/>
      <c r="AA1260" s="404"/>
      <c r="AB1260" s="404"/>
      <c r="AC1260" s="404"/>
      <c r="AD1260" s="404"/>
      <c r="AE1260" s="316"/>
      <c r="AF1260" s="316"/>
      <c r="AG1260" s="404"/>
      <c r="AH1260" s="316"/>
      <c r="AI1260" s="316"/>
      <c r="AJ1260" s="316"/>
      <c r="AK1260" s="316"/>
      <c r="AL1260" s="316"/>
      <c r="AM1260" s="416"/>
      <c r="AR1260" s="333"/>
      <c r="AS1260" s="333"/>
      <c r="AT1260" s="333"/>
      <c r="AU1260" s="333"/>
      <c r="AV1260" s="333"/>
    </row>
    <row r="1261" spans="2:48" s="330" customFormat="1" ht="28.15" customHeight="1" x14ac:dyDescent="0.25">
      <c r="B1261" s="331"/>
      <c r="C1261" s="332"/>
      <c r="D1261" s="332"/>
      <c r="E1261" s="333"/>
      <c r="F1261" s="333"/>
      <c r="R1261" s="316"/>
      <c r="S1261" s="404"/>
      <c r="T1261" s="404"/>
      <c r="U1261" s="404"/>
      <c r="V1261" s="404"/>
      <c r="W1261" s="316"/>
      <c r="X1261" s="316"/>
      <c r="Y1261" s="316"/>
      <c r="Z1261" s="316"/>
      <c r="AA1261" s="404"/>
      <c r="AB1261" s="404"/>
      <c r="AC1261" s="404"/>
      <c r="AD1261" s="404"/>
      <c r="AE1261" s="316"/>
      <c r="AF1261" s="316"/>
      <c r="AG1261" s="404"/>
      <c r="AH1261" s="316"/>
      <c r="AI1261" s="316"/>
      <c r="AJ1261" s="316"/>
      <c r="AK1261" s="316"/>
      <c r="AL1261" s="316"/>
      <c r="AM1261" s="416"/>
      <c r="AR1261" s="333"/>
      <c r="AS1261" s="333"/>
      <c r="AT1261" s="333"/>
      <c r="AU1261" s="333"/>
      <c r="AV1261" s="333"/>
    </row>
    <row r="1262" spans="2:48" s="330" customFormat="1" ht="28.15" customHeight="1" x14ac:dyDescent="0.25">
      <c r="B1262" s="331"/>
      <c r="C1262" s="332"/>
      <c r="D1262" s="332"/>
      <c r="E1262" s="333"/>
      <c r="F1262" s="333"/>
      <c r="R1262" s="316"/>
      <c r="S1262" s="404"/>
      <c r="T1262" s="404"/>
      <c r="U1262" s="404"/>
      <c r="V1262" s="404"/>
      <c r="W1262" s="316"/>
      <c r="X1262" s="316"/>
      <c r="Y1262" s="316"/>
      <c r="Z1262" s="316"/>
      <c r="AA1262" s="404"/>
      <c r="AB1262" s="404"/>
      <c r="AC1262" s="404"/>
      <c r="AD1262" s="404"/>
      <c r="AE1262" s="316"/>
      <c r="AF1262" s="316"/>
      <c r="AG1262" s="404"/>
      <c r="AH1262" s="316"/>
      <c r="AI1262" s="316"/>
      <c r="AJ1262" s="316"/>
      <c r="AK1262" s="316"/>
      <c r="AL1262" s="316"/>
      <c r="AM1262" s="416"/>
      <c r="AR1262" s="333"/>
      <c r="AS1262" s="333"/>
      <c r="AT1262" s="333"/>
      <c r="AU1262" s="333"/>
      <c r="AV1262" s="333"/>
    </row>
    <row r="1263" spans="2:48" s="330" customFormat="1" ht="28.15" customHeight="1" x14ac:dyDescent="0.25">
      <c r="B1263" s="331"/>
      <c r="C1263" s="332"/>
      <c r="D1263" s="332"/>
      <c r="E1263" s="333"/>
      <c r="F1263" s="333"/>
      <c r="R1263" s="316"/>
      <c r="S1263" s="404"/>
      <c r="T1263" s="404"/>
      <c r="U1263" s="404"/>
      <c r="V1263" s="404"/>
      <c r="W1263" s="316"/>
      <c r="X1263" s="316"/>
      <c r="Y1263" s="316"/>
      <c r="Z1263" s="316"/>
      <c r="AA1263" s="404"/>
      <c r="AB1263" s="404"/>
      <c r="AC1263" s="404"/>
      <c r="AD1263" s="404"/>
      <c r="AE1263" s="316"/>
      <c r="AF1263" s="316"/>
      <c r="AG1263" s="404"/>
      <c r="AH1263" s="316"/>
      <c r="AI1263" s="316"/>
      <c r="AJ1263" s="316"/>
      <c r="AK1263" s="316"/>
      <c r="AL1263" s="316"/>
      <c r="AM1263" s="416"/>
      <c r="AR1263" s="333"/>
      <c r="AS1263" s="333"/>
      <c r="AT1263" s="333"/>
      <c r="AU1263" s="333"/>
      <c r="AV1263" s="333"/>
    </row>
    <row r="1264" spans="2:48" s="330" customFormat="1" ht="28.15" customHeight="1" x14ac:dyDescent="0.25">
      <c r="B1264" s="331"/>
      <c r="C1264" s="332"/>
      <c r="D1264" s="332"/>
      <c r="E1264" s="333"/>
      <c r="F1264" s="333"/>
      <c r="R1264" s="316"/>
      <c r="S1264" s="404"/>
      <c r="T1264" s="404"/>
      <c r="U1264" s="404"/>
      <c r="V1264" s="404"/>
      <c r="W1264" s="316"/>
      <c r="X1264" s="316"/>
      <c r="Y1264" s="316"/>
      <c r="Z1264" s="316"/>
      <c r="AA1264" s="404"/>
      <c r="AB1264" s="404"/>
      <c r="AC1264" s="404"/>
      <c r="AD1264" s="404"/>
      <c r="AE1264" s="316"/>
      <c r="AF1264" s="316"/>
      <c r="AG1264" s="404"/>
      <c r="AH1264" s="316"/>
      <c r="AI1264" s="316"/>
      <c r="AJ1264" s="316"/>
      <c r="AK1264" s="316"/>
      <c r="AL1264" s="316"/>
      <c r="AM1264" s="416"/>
      <c r="AR1264" s="333"/>
      <c r="AS1264" s="333"/>
      <c r="AT1264" s="333"/>
      <c r="AU1264" s="333"/>
      <c r="AV1264" s="333"/>
    </row>
    <row r="1265" spans="2:48" s="330" customFormat="1" ht="28.15" customHeight="1" x14ac:dyDescent="0.25">
      <c r="B1265" s="331"/>
      <c r="C1265" s="332"/>
      <c r="D1265" s="332"/>
      <c r="E1265" s="333"/>
      <c r="F1265" s="333"/>
      <c r="R1265" s="316"/>
      <c r="S1265" s="404"/>
      <c r="T1265" s="404"/>
      <c r="U1265" s="404"/>
      <c r="V1265" s="404"/>
      <c r="W1265" s="316"/>
      <c r="X1265" s="316"/>
      <c r="Y1265" s="316"/>
      <c r="Z1265" s="316"/>
      <c r="AA1265" s="404"/>
      <c r="AB1265" s="404"/>
      <c r="AC1265" s="404"/>
      <c r="AD1265" s="404"/>
      <c r="AE1265" s="316"/>
      <c r="AF1265" s="316"/>
      <c r="AG1265" s="404"/>
      <c r="AH1265" s="316"/>
      <c r="AI1265" s="316"/>
      <c r="AJ1265" s="316"/>
      <c r="AK1265" s="316"/>
      <c r="AL1265" s="316"/>
      <c r="AM1265" s="416"/>
      <c r="AR1265" s="333"/>
      <c r="AS1265" s="333"/>
      <c r="AT1265" s="333"/>
      <c r="AU1265" s="333"/>
      <c r="AV1265" s="333"/>
    </row>
    <row r="1266" spans="2:48" s="330" customFormat="1" ht="28.15" customHeight="1" x14ac:dyDescent="0.25">
      <c r="B1266" s="331"/>
      <c r="C1266" s="332"/>
      <c r="D1266" s="332"/>
      <c r="E1266" s="333"/>
      <c r="F1266" s="333"/>
      <c r="R1266" s="316"/>
      <c r="S1266" s="404"/>
      <c r="T1266" s="404"/>
      <c r="U1266" s="404"/>
      <c r="V1266" s="404"/>
      <c r="W1266" s="316"/>
      <c r="X1266" s="316"/>
      <c r="Y1266" s="316"/>
      <c r="Z1266" s="316"/>
      <c r="AA1266" s="404"/>
      <c r="AB1266" s="404"/>
      <c r="AC1266" s="404"/>
      <c r="AD1266" s="404"/>
      <c r="AE1266" s="316"/>
      <c r="AF1266" s="316"/>
      <c r="AG1266" s="404"/>
      <c r="AH1266" s="316"/>
      <c r="AI1266" s="316"/>
      <c r="AJ1266" s="316"/>
      <c r="AK1266" s="316"/>
      <c r="AL1266" s="316"/>
      <c r="AM1266" s="416"/>
      <c r="AR1266" s="333"/>
      <c r="AS1266" s="333"/>
      <c r="AT1266" s="333"/>
      <c r="AU1266" s="333"/>
      <c r="AV1266" s="333"/>
    </row>
    <row r="1267" spans="2:48" s="330" customFormat="1" ht="28.15" customHeight="1" x14ac:dyDescent="0.25">
      <c r="B1267" s="331"/>
      <c r="C1267" s="332"/>
      <c r="D1267" s="332"/>
      <c r="E1267" s="333"/>
      <c r="F1267" s="333"/>
      <c r="R1267" s="316"/>
      <c r="S1267" s="404"/>
      <c r="T1267" s="404"/>
      <c r="U1267" s="404"/>
      <c r="V1267" s="404"/>
      <c r="W1267" s="316"/>
      <c r="X1267" s="316"/>
      <c r="Y1267" s="316"/>
      <c r="Z1267" s="316"/>
      <c r="AA1267" s="404"/>
      <c r="AB1267" s="404"/>
      <c r="AC1267" s="404"/>
      <c r="AD1267" s="404"/>
      <c r="AE1267" s="316"/>
      <c r="AF1267" s="316"/>
      <c r="AG1267" s="404"/>
      <c r="AH1267" s="316"/>
      <c r="AI1267" s="316"/>
      <c r="AJ1267" s="316"/>
      <c r="AK1267" s="316"/>
      <c r="AL1267" s="316"/>
      <c r="AM1267" s="416"/>
      <c r="AR1267" s="333"/>
      <c r="AS1267" s="333"/>
      <c r="AT1267" s="333"/>
      <c r="AU1267" s="333"/>
      <c r="AV1267" s="333"/>
    </row>
    <row r="1268" spans="2:48" s="330" customFormat="1" ht="28.15" customHeight="1" x14ac:dyDescent="0.25">
      <c r="B1268" s="331"/>
      <c r="C1268" s="332"/>
      <c r="D1268" s="332"/>
      <c r="E1268" s="333"/>
      <c r="F1268" s="333"/>
      <c r="R1268" s="316"/>
      <c r="S1268" s="404"/>
      <c r="T1268" s="404"/>
      <c r="U1268" s="404"/>
      <c r="V1268" s="404"/>
      <c r="W1268" s="316"/>
      <c r="X1268" s="316"/>
      <c r="Y1268" s="316"/>
      <c r="Z1268" s="316"/>
      <c r="AA1268" s="404"/>
      <c r="AB1268" s="404"/>
      <c r="AC1268" s="404"/>
      <c r="AD1268" s="404"/>
      <c r="AE1268" s="316"/>
      <c r="AF1268" s="316"/>
      <c r="AG1268" s="404"/>
      <c r="AH1268" s="316"/>
      <c r="AI1268" s="316"/>
      <c r="AJ1268" s="316"/>
      <c r="AK1268" s="316"/>
      <c r="AL1268" s="316"/>
      <c r="AM1268" s="416"/>
      <c r="AR1268" s="333"/>
      <c r="AS1268" s="333"/>
      <c r="AT1268" s="333"/>
      <c r="AU1268" s="333"/>
      <c r="AV1268" s="333"/>
    </row>
    <row r="1269" spans="2:48" s="330" customFormat="1" ht="28.15" customHeight="1" x14ac:dyDescent="0.25">
      <c r="B1269" s="331"/>
      <c r="C1269" s="332"/>
      <c r="D1269" s="332"/>
      <c r="E1269" s="333"/>
      <c r="F1269" s="333"/>
      <c r="R1269" s="316"/>
      <c r="S1269" s="404"/>
      <c r="T1269" s="404"/>
      <c r="U1269" s="404"/>
      <c r="V1269" s="404"/>
      <c r="W1269" s="316"/>
      <c r="X1269" s="316"/>
      <c r="Y1269" s="316"/>
      <c r="Z1269" s="316"/>
      <c r="AA1269" s="404"/>
      <c r="AB1269" s="404"/>
      <c r="AC1269" s="404"/>
      <c r="AD1269" s="404"/>
      <c r="AE1269" s="316"/>
      <c r="AF1269" s="316"/>
      <c r="AG1269" s="404"/>
      <c r="AH1269" s="316"/>
      <c r="AI1269" s="316"/>
      <c r="AJ1269" s="316"/>
      <c r="AK1269" s="316"/>
      <c r="AL1269" s="316"/>
      <c r="AM1269" s="416"/>
      <c r="AR1269" s="333"/>
      <c r="AS1269" s="333"/>
      <c r="AT1269" s="333"/>
      <c r="AU1269" s="333"/>
      <c r="AV1269" s="333"/>
    </row>
    <row r="1270" spans="2:48" s="330" customFormat="1" ht="28.15" customHeight="1" x14ac:dyDescent="0.25">
      <c r="B1270" s="331"/>
      <c r="C1270" s="332"/>
      <c r="D1270" s="332"/>
      <c r="E1270" s="333"/>
      <c r="F1270" s="333"/>
      <c r="R1270" s="316"/>
      <c r="S1270" s="404"/>
      <c r="T1270" s="404"/>
      <c r="U1270" s="404"/>
      <c r="V1270" s="404"/>
      <c r="W1270" s="316"/>
      <c r="X1270" s="316"/>
      <c r="Y1270" s="316"/>
      <c r="Z1270" s="316"/>
      <c r="AA1270" s="404"/>
      <c r="AB1270" s="404"/>
      <c r="AC1270" s="404"/>
      <c r="AD1270" s="404"/>
      <c r="AE1270" s="316"/>
      <c r="AF1270" s="316"/>
      <c r="AG1270" s="404"/>
      <c r="AH1270" s="316"/>
      <c r="AI1270" s="316"/>
      <c r="AJ1270" s="316"/>
      <c r="AK1270" s="316"/>
      <c r="AL1270" s="316"/>
      <c r="AM1270" s="416"/>
      <c r="AR1270" s="333"/>
      <c r="AS1270" s="333"/>
      <c r="AT1270" s="333"/>
      <c r="AU1270" s="333"/>
      <c r="AV1270" s="333"/>
    </row>
    <row r="1271" spans="2:48" s="330" customFormat="1" ht="28.15" customHeight="1" x14ac:dyDescent="0.25">
      <c r="B1271" s="331"/>
      <c r="C1271" s="332"/>
      <c r="D1271" s="332"/>
      <c r="E1271" s="333"/>
      <c r="F1271" s="333"/>
      <c r="R1271" s="316"/>
      <c r="S1271" s="404"/>
      <c r="T1271" s="404"/>
      <c r="U1271" s="404"/>
      <c r="V1271" s="404"/>
      <c r="W1271" s="316"/>
      <c r="X1271" s="316"/>
      <c r="Y1271" s="316"/>
      <c r="Z1271" s="316"/>
      <c r="AA1271" s="404"/>
      <c r="AB1271" s="404"/>
      <c r="AC1271" s="404"/>
      <c r="AD1271" s="404"/>
      <c r="AE1271" s="316"/>
      <c r="AF1271" s="316"/>
      <c r="AG1271" s="404"/>
      <c r="AH1271" s="316"/>
      <c r="AI1271" s="316"/>
      <c r="AJ1271" s="316"/>
      <c r="AK1271" s="316"/>
      <c r="AL1271" s="316"/>
      <c r="AM1271" s="416"/>
      <c r="AR1271" s="333"/>
      <c r="AS1271" s="333"/>
      <c r="AT1271" s="333"/>
      <c r="AU1271" s="333"/>
      <c r="AV1271" s="333"/>
    </row>
    <row r="1272" spans="2:48" s="330" customFormat="1" ht="28.15" customHeight="1" x14ac:dyDescent="0.25">
      <c r="B1272" s="331"/>
      <c r="C1272" s="332"/>
      <c r="D1272" s="332"/>
      <c r="E1272" s="333"/>
      <c r="F1272" s="333"/>
      <c r="R1272" s="316"/>
      <c r="S1272" s="404"/>
      <c r="T1272" s="404"/>
      <c r="U1272" s="404"/>
      <c r="V1272" s="404"/>
      <c r="W1272" s="316"/>
      <c r="X1272" s="316"/>
      <c r="Y1272" s="316"/>
      <c r="Z1272" s="316"/>
      <c r="AA1272" s="404"/>
      <c r="AB1272" s="404"/>
      <c r="AC1272" s="404"/>
      <c r="AD1272" s="404"/>
      <c r="AE1272" s="316"/>
      <c r="AF1272" s="316"/>
      <c r="AG1272" s="404"/>
      <c r="AH1272" s="316"/>
      <c r="AI1272" s="316"/>
      <c r="AJ1272" s="316"/>
      <c r="AK1272" s="316"/>
      <c r="AL1272" s="316"/>
      <c r="AM1272" s="416"/>
      <c r="AR1272" s="333"/>
      <c r="AS1272" s="333"/>
      <c r="AT1272" s="333"/>
      <c r="AU1272" s="333"/>
      <c r="AV1272" s="333"/>
    </row>
    <row r="1273" spans="2:48" s="330" customFormat="1" ht="28.15" customHeight="1" x14ac:dyDescent="0.25">
      <c r="B1273" s="331"/>
      <c r="C1273" s="332"/>
      <c r="D1273" s="332"/>
      <c r="E1273" s="333"/>
      <c r="F1273" s="333"/>
      <c r="R1273" s="316"/>
      <c r="S1273" s="404"/>
      <c r="T1273" s="404"/>
      <c r="U1273" s="404"/>
      <c r="V1273" s="404"/>
      <c r="W1273" s="316"/>
      <c r="X1273" s="316"/>
      <c r="Y1273" s="316"/>
      <c r="Z1273" s="316"/>
      <c r="AA1273" s="404"/>
      <c r="AB1273" s="404"/>
      <c r="AC1273" s="404"/>
      <c r="AD1273" s="404"/>
      <c r="AE1273" s="316"/>
      <c r="AF1273" s="316"/>
      <c r="AG1273" s="404"/>
      <c r="AH1273" s="316"/>
      <c r="AI1273" s="316"/>
      <c r="AJ1273" s="316"/>
      <c r="AK1273" s="316"/>
      <c r="AL1273" s="316"/>
      <c r="AM1273" s="416"/>
      <c r="AR1273" s="333"/>
      <c r="AS1273" s="333"/>
      <c r="AT1273" s="333"/>
      <c r="AU1273" s="333"/>
      <c r="AV1273" s="333"/>
    </row>
    <row r="1274" spans="2:48" s="330" customFormat="1" ht="28.15" customHeight="1" x14ac:dyDescent="0.25">
      <c r="B1274" s="331"/>
      <c r="C1274" s="332"/>
      <c r="D1274" s="332"/>
      <c r="E1274" s="333"/>
      <c r="F1274" s="333"/>
      <c r="R1274" s="316"/>
      <c r="S1274" s="404"/>
      <c r="T1274" s="404"/>
      <c r="U1274" s="404"/>
      <c r="V1274" s="404"/>
      <c r="W1274" s="316"/>
      <c r="X1274" s="316"/>
      <c r="Y1274" s="316"/>
      <c r="Z1274" s="316"/>
      <c r="AA1274" s="404"/>
      <c r="AB1274" s="404"/>
      <c r="AC1274" s="404"/>
      <c r="AD1274" s="404"/>
      <c r="AE1274" s="316"/>
      <c r="AF1274" s="316"/>
      <c r="AG1274" s="404"/>
      <c r="AH1274" s="316"/>
      <c r="AI1274" s="316"/>
      <c r="AJ1274" s="316"/>
      <c r="AK1274" s="316"/>
      <c r="AL1274" s="316"/>
      <c r="AM1274" s="416"/>
      <c r="AR1274" s="333"/>
      <c r="AS1274" s="333"/>
      <c r="AT1274" s="333"/>
      <c r="AU1274" s="333"/>
      <c r="AV1274" s="333"/>
    </row>
    <row r="1275" spans="2:48" s="330" customFormat="1" ht="28.15" customHeight="1" x14ac:dyDescent="0.25">
      <c r="B1275" s="331"/>
      <c r="C1275" s="332"/>
      <c r="D1275" s="332"/>
      <c r="E1275" s="333"/>
      <c r="F1275" s="333"/>
      <c r="R1275" s="316"/>
      <c r="S1275" s="404"/>
      <c r="T1275" s="404"/>
      <c r="U1275" s="404"/>
      <c r="V1275" s="404"/>
      <c r="W1275" s="316"/>
      <c r="X1275" s="316"/>
      <c r="Y1275" s="316"/>
      <c r="Z1275" s="316"/>
      <c r="AA1275" s="404"/>
      <c r="AB1275" s="404"/>
      <c r="AC1275" s="404"/>
      <c r="AD1275" s="404"/>
      <c r="AE1275" s="316"/>
      <c r="AF1275" s="316"/>
      <c r="AG1275" s="404"/>
      <c r="AH1275" s="316"/>
      <c r="AI1275" s="316"/>
      <c r="AJ1275" s="316"/>
      <c r="AK1275" s="316"/>
      <c r="AL1275" s="316"/>
      <c r="AM1275" s="416"/>
      <c r="AR1275" s="333"/>
      <c r="AS1275" s="333"/>
      <c r="AT1275" s="333"/>
      <c r="AU1275" s="333"/>
      <c r="AV1275" s="333"/>
    </row>
    <row r="1276" spans="2:48" s="330" customFormat="1" ht="28.15" customHeight="1" x14ac:dyDescent="0.25">
      <c r="B1276" s="331"/>
      <c r="C1276" s="332"/>
      <c r="D1276" s="332"/>
      <c r="E1276" s="333"/>
      <c r="F1276" s="333"/>
      <c r="R1276" s="316"/>
      <c r="S1276" s="404"/>
      <c r="T1276" s="404"/>
      <c r="U1276" s="404"/>
      <c r="V1276" s="404"/>
      <c r="W1276" s="316"/>
      <c r="X1276" s="316"/>
      <c r="Y1276" s="316"/>
      <c r="Z1276" s="316"/>
      <c r="AA1276" s="404"/>
      <c r="AB1276" s="404"/>
      <c r="AC1276" s="404"/>
      <c r="AD1276" s="404"/>
      <c r="AE1276" s="316"/>
      <c r="AF1276" s="316"/>
      <c r="AG1276" s="404"/>
      <c r="AH1276" s="316"/>
      <c r="AI1276" s="316"/>
      <c r="AJ1276" s="316"/>
      <c r="AK1276" s="316"/>
      <c r="AL1276" s="316"/>
      <c r="AM1276" s="416"/>
      <c r="AR1276" s="333"/>
      <c r="AS1276" s="333"/>
      <c r="AT1276" s="333"/>
      <c r="AU1276" s="333"/>
      <c r="AV1276" s="333"/>
    </row>
    <row r="1277" spans="2:48" s="330" customFormat="1" ht="28.15" customHeight="1" x14ac:dyDescent="0.25">
      <c r="B1277" s="331"/>
      <c r="C1277" s="332"/>
      <c r="D1277" s="332"/>
      <c r="E1277" s="333"/>
      <c r="F1277" s="333"/>
      <c r="R1277" s="316"/>
      <c r="S1277" s="404"/>
      <c r="T1277" s="404"/>
      <c r="U1277" s="404"/>
      <c r="V1277" s="404"/>
      <c r="W1277" s="316"/>
      <c r="X1277" s="316"/>
      <c r="Y1277" s="316"/>
      <c r="Z1277" s="316"/>
      <c r="AA1277" s="404"/>
      <c r="AB1277" s="404"/>
      <c r="AC1277" s="404"/>
      <c r="AD1277" s="404"/>
      <c r="AE1277" s="316"/>
      <c r="AF1277" s="316"/>
      <c r="AG1277" s="404"/>
      <c r="AH1277" s="316"/>
      <c r="AI1277" s="316"/>
      <c r="AJ1277" s="316"/>
      <c r="AK1277" s="316"/>
      <c r="AL1277" s="316"/>
      <c r="AM1277" s="416"/>
      <c r="AR1277" s="333"/>
      <c r="AS1277" s="333"/>
      <c r="AT1277" s="333"/>
      <c r="AU1277" s="333"/>
      <c r="AV1277" s="333"/>
    </row>
    <row r="1278" spans="2:48" s="330" customFormat="1" ht="28.15" customHeight="1" x14ac:dyDescent="0.25">
      <c r="B1278" s="331"/>
      <c r="C1278" s="332"/>
      <c r="D1278" s="332"/>
      <c r="E1278" s="333"/>
      <c r="F1278" s="333"/>
      <c r="R1278" s="316"/>
      <c r="S1278" s="404"/>
      <c r="T1278" s="404"/>
      <c r="U1278" s="404"/>
      <c r="V1278" s="404"/>
      <c r="W1278" s="316"/>
      <c r="X1278" s="316"/>
      <c r="Y1278" s="316"/>
      <c r="Z1278" s="316"/>
      <c r="AA1278" s="404"/>
      <c r="AB1278" s="404"/>
      <c r="AC1278" s="404"/>
      <c r="AD1278" s="404"/>
      <c r="AE1278" s="316"/>
      <c r="AF1278" s="316"/>
      <c r="AG1278" s="404"/>
      <c r="AH1278" s="316"/>
      <c r="AI1278" s="316"/>
      <c r="AJ1278" s="316"/>
      <c r="AK1278" s="316"/>
      <c r="AL1278" s="316"/>
      <c r="AM1278" s="416"/>
      <c r="AR1278" s="333"/>
      <c r="AS1278" s="333"/>
      <c r="AT1278" s="333"/>
      <c r="AU1278" s="333"/>
      <c r="AV1278" s="333"/>
    </row>
    <row r="1279" spans="2:48" s="330" customFormat="1" ht="28.15" customHeight="1" x14ac:dyDescent="0.25">
      <c r="B1279" s="331"/>
      <c r="C1279" s="332"/>
      <c r="D1279" s="332"/>
      <c r="E1279" s="333"/>
      <c r="F1279" s="333"/>
      <c r="R1279" s="316"/>
      <c r="S1279" s="404"/>
      <c r="T1279" s="404"/>
      <c r="U1279" s="404"/>
      <c r="V1279" s="404"/>
      <c r="W1279" s="316"/>
      <c r="X1279" s="316"/>
      <c r="Y1279" s="316"/>
      <c r="Z1279" s="316"/>
      <c r="AA1279" s="404"/>
      <c r="AB1279" s="404"/>
      <c r="AC1279" s="404"/>
      <c r="AD1279" s="404"/>
      <c r="AE1279" s="316"/>
      <c r="AF1279" s="316"/>
      <c r="AG1279" s="404"/>
      <c r="AH1279" s="316"/>
      <c r="AI1279" s="316"/>
      <c r="AJ1279" s="316"/>
      <c r="AK1279" s="316"/>
      <c r="AL1279" s="316"/>
      <c r="AM1279" s="416"/>
      <c r="AR1279" s="333"/>
      <c r="AS1279" s="333"/>
      <c r="AT1279" s="333"/>
      <c r="AU1279" s="333"/>
      <c r="AV1279" s="333"/>
    </row>
    <row r="1280" spans="2:48" s="330" customFormat="1" ht="28.15" customHeight="1" x14ac:dyDescent="0.25">
      <c r="B1280" s="331"/>
      <c r="C1280" s="332"/>
      <c r="D1280" s="332"/>
      <c r="E1280" s="333"/>
      <c r="F1280" s="333"/>
      <c r="R1280" s="316"/>
      <c r="S1280" s="404"/>
      <c r="T1280" s="404"/>
      <c r="U1280" s="404"/>
      <c r="V1280" s="404"/>
      <c r="W1280" s="316"/>
      <c r="X1280" s="316"/>
      <c r="Y1280" s="316"/>
      <c r="Z1280" s="316"/>
      <c r="AA1280" s="404"/>
      <c r="AB1280" s="404"/>
      <c r="AC1280" s="404"/>
      <c r="AD1280" s="404"/>
      <c r="AE1280" s="316"/>
      <c r="AF1280" s="316"/>
      <c r="AG1280" s="404"/>
      <c r="AH1280" s="316"/>
      <c r="AI1280" s="316"/>
      <c r="AJ1280" s="316"/>
      <c r="AK1280" s="316"/>
      <c r="AL1280" s="316"/>
      <c r="AM1280" s="416"/>
      <c r="AR1280" s="333"/>
      <c r="AS1280" s="333"/>
      <c r="AT1280" s="333"/>
      <c r="AU1280" s="333"/>
      <c r="AV1280" s="333"/>
    </row>
    <row r="1281" spans="2:48" s="330" customFormat="1" ht="28.15" customHeight="1" x14ac:dyDescent="0.25">
      <c r="B1281" s="331"/>
      <c r="C1281" s="332"/>
      <c r="D1281" s="332"/>
      <c r="E1281" s="333"/>
      <c r="F1281" s="333"/>
      <c r="R1281" s="316"/>
      <c r="S1281" s="404"/>
      <c r="T1281" s="404"/>
      <c r="U1281" s="404"/>
      <c r="V1281" s="404"/>
      <c r="W1281" s="316"/>
      <c r="X1281" s="316"/>
      <c r="Y1281" s="316"/>
      <c r="Z1281" s="316"/>
      <c r="AA1281" s="404"/>
      <c r="AB1281" s="404"/>
      <c r="AC1281" s="404"/>
      <c r="AD1281" s="404"/>
      <c r="AE1281" s="316"/>
      <c r="AF1281" s="316"/>
      <c r="AG1281" s="404"/>
      <c r="AH1281" s="316"/>
      <c r="AI1281" s="316"/>
      <c r="AJ1281" s="316"/>
      <c r="AK1281" s="316"/>
      <c r="AL1281" s="316"/>
      <c r="AM1281" s="416"/>
      <c r="AR1281" s="333"/>
      <c r="AS1281" s="333"/>
      <c r="AT1281" s="333"/>
      <c r="AU1281" s="333"/>
      <c r="AV1281" s="333"/>
    </row>
    <row r="1282" spans="2:48" s="330" customFormat="1" ht="28.15" customHeight="1" x14ac:dyDescent="0.25">
      <c r="B1282" s="331"/>
      <c r="C1282" s="332"/>
      <c r="D1282" s="332"/>
      <c r="E1282" s="333"/>
      <c r="F1282" s="333"/>
      <c r="R1282" s="316"/>
      <c r="S1282" s="404"/>
      <c r="T1282" s="404"/>
      <c r="U1282" s="404"/>
      <c r="V1282" s="404"/>
      <c r="W1282" s="316"/>
      <c r="X1282" s="316"/>
      <c r="Y1282" s="316"/>
      <c r="Z1282" s="316"/>
      <c r="AA1282" s="404"/>
      <c r="AB1282" s="404"/>
      <c r="AC1282" s="404"/>
      <c r="AD1282" s="404"/>
      <c r="AE1282" s="316"/>
      <c r="AF1282" s="316"/>
      <c r="AG1282" s="404"/>
      <c r="AH1282" s="316"/>
      <c r="AI1282" s="316"/>
      <c r="AJ1282" s="316"/>
      <c r="AK1282" s="316"/>
      <c r="AL1282" s="316"/>
      <c r="AM1282" s="416"/>
      <c r="AR1282" s="333"/>
      <c r="AS1282" s="333"/>
      <c r="AT1282" s="333"/>
      <c r="AU1282" s="333"/>
      <c r="AV1282" s="333"/>
    </row>
    <row r="1283" spans="2:48" s="330" customFormat="1" ht="28.15" customHeight="1" x14ac:dyDescent="0.25">
      <c r="B1283" s="331"/>
      <c r="C1283" s="332"/>
      <c r="D1283" s="332"/>
      <c r="E1283" s="333"/>
      <c r="F1283" s="333"/>
      <c r="R1283" s="316"/>
      <c r="S1283" s="404"/>
      <c r="T1283" s="404"/>
      <c r="U1283" s="404"/>
      <c r="V1283" s="404"/>
      <c r="W1283" s="316"/>
      <c r="X1283" s="316"/>
      <c r="Y1283" s="316"/>
      <c r="Z1283" s="316"/>
      <c r="AA1283" s="404"/>
      <c r="AB1283" s="404"/>
      <c r="AC1283" s="404"/>
      <c r="AD1283" s="404"/>
      <c r="AE1283" s="316"/>
      <c r="AF1283" s="316"/>
      <c r="AG1283" s="404"/>
      <c r="AH1283" s="316"/>
      <c r="AI1283" s="316"/>
      <c r="AJ1283" s="316"/>
      <c r="AK1283" s="316"/>
      <c r="AL1283" s="316"/>
      <c r="AM1283" s="416"/>
      <c r="AR1283" s="333"/>
      <c r="AS1283" s="333"/>
      <c r="AT1283" s="333"/>
      <c r="AU1283" s="333"/>
      <c r="AV1283" s="333"/>
    </row>
    <row r="1284" spans="2:48" s="330" customFormat="1" ht="28.15" customHeight="1" x14ac:dyDescent="0.25">
      <c r="B1284" s="331"/>
      <c r="C1284" s="332"/>
      <c r="D1284" s="332"/>
      <c r="E1284" s="333"/>
      <c r="F1284" s="333"/>
      <c r="R1284" s="316"/>
      <c r="S1284" s="404"/>
      <c r="T1284" s="404"/>
      <c r="U1284" s="404"/>
      <c r="V1284" s="404"/>
      <c r="W1284" s="316"/>
      <c r="X1284" s="316"/>
      <c r="Y1284" s="316"/>
      <c r="Z1284" s="316"/>
      <c r="AA1284" s="404"/>
      <c r="AB1284" s="404"/>
      <c r="AC1284" s="404"/>
      <c r="AD1284" s="404"/>
      <c r="AE1284" s="316"/>
      <c r="AF1284" s="316"/>
      <c r="AG1284" s="404"/>
      <c r="AH1284" s="316"/>
      <c r="AI1284" s="316"/>
      <c r="AJ1284" s="316"/>
      <c r="AK1284" s="316"/>
      <c r="AL1284" s="316"/>
      <c r="AM1284" s="416"/>
      <c r="AR1284" s="333"/>
      <c r="AS1284" s="333"/>
      <c r="AT1284" s="333"/>
      <c r="AU1284" s="333"/>
      <c r="AV1284" s="333"/>
    </row>
    <row r="1285" spans="2:48" s="330" customFormat="1" ht="28.15" customHeight="1" x14ac:dyDescent="0.25">
      <c r="B1285" s="331"/>
      <c r="C1285" s="332"/>
      <c r="D1285" s="332"/>
      <c r="E1285" s="333"/>
      <c r="F1285" s="333"/>
      <c r="R1285" s="316"/>
      <c r="S1285" s="404"/>
      <c r="T1285" s="404"/>
      <c r="U1285" s="404"/>
      <c r="V1285" s="404"/>
      <c r="W1285" s="316"/>
      <c r="X1285" s="316"/>
      <c r="Y1285" s="316"/>
      <c r="Z1285" s="316"/>
      <c r="AA1285" s="404"/>
      <c r="AB1285" s="404"/>
      <c r="AC1285" s="404"/>
      <c r="AD1285" s="404"/>
      <c r="AE1285" s="316"/>
      <c r="AF1285" s="316"/>
      <c r="AG1285" s="404"/>
      <c r="AH1285" s="316"/>
      <c r="AI1285" s="316"/>
      <c r="AJ1285" s="316"/>
      <c r="AK1285" s="316"/>
      <c r="AL1285" s="316"/>
      <c r="AM1285" s="416"/>
      <c r="AR1285" s="333"/>
      <c r="AS1285" s="333"/>
      <c r="AT1285" s="333"/>
      <c r="AU1285" s="333"/>
      <c r="AV1285" s="333"/>
    </row>
    <row r="1286" spans="2:48" s="330" customFormat="1" ht="28.15" customHeight="1" x14ac:dyDescent="0.25">
      <c r="B1286" s="331"/>
      <c r="C1286" s="332"/>
      <c r="D1286" s="332"/>
      <c r="E1286" s="333"/>
      <c r="F1286" s="333"/>
      <c r="R1286" s="316"/>
      <c r="S1286" s="404"/>
      <c r="T1286" s="404"/>
      <c r="U1286" s="404"/>
      <c r="V1286" s="404"/>
      <c r="W1286" s="316"/>
      <c r="X1286" s="316"/>
      <c r="Y1286" s="316"/>
      <c r="Z1286" s="316"/>
      <c r="AA1286" s="404"/>
      <c r="AB1286" s="404"/>
      <c r="AC1286" s="404"/>
      <c r="AD1286" s="404"/>
      <c r="AE1286" s="316"/>
      <c r="AF1286" s="316"/>
      <c r="AG1286" s="404"/>
      <c r="AH1286" s="316"/>
      <c r="AI1286" s="316"/>
      <c r="AJ1286" s="316"/>
      <c r="AK1286" s="316"/>
      <c r="AL1286" s="316"/>
      <c r="AM1286" s="416"/>
      <c r="AR1286" s="333"/>
      <c r="AS1286" s="333"/>
      <c r="AT1286" s="333"/>
      <c r="AU1286" s="333"/>
      <c r="AV1286" s="333"/>
    </row>
    <row r="1287" spans="2:48" s="330" customFormat="1" ht="28.15" customHeight="1" x14ac:dyDescent="0.25">
      <c r="B1287" s="331"/>
      <c r="C1287" s="332"/>
      <c r="D1287" s="332"/>
      <c r="E1287" s="333"/>
      <c r="F1287" s="333"/>
      <c r="R1287" s="316"/>
      <c r="S1287" s="404"/>
      <c r="T1287" s="404"/>
      <c r="U1287" s="404"/>
      <c r="V1287" s="404"/>
      <c r="W1287" s="316"/>
      <c r="X1287" s="316"/>
      <c r="Y1287" s="316"/>
      <c r="Z1287" s="316"/>
      <c r="AA1287" s="404"/>
      <c r="AB1287" s="404"/>
      <c r="AC1287" s="404"/>
      <c r="AD1287" s="404"/>
      <c r="AE1287" s="316"/>
      <c r="AF1287" s="316"/>
      <c r="AG1287" s="404"/>
      <c r="AH1287" s="316"/>
      <c r="AI1287" s="316"/>
      <c r="AJ1287" s="316"/>
      <c r="AK1287" s="316"/>
      <c r="AL1287" s="316"/>
      <c r="AM1287" s="416"/>
      <c r="AR1287" s="333"/>
      <c r="AS1287" s="333"/>
      <c r="AT1287" s="333"/>
      <c r="AU1287" s="333"/>
      <c r="AV1287" s="333"/>
    </row>
    <row r="1288" spans="2:48" s="330" customFormat="1" ht="28.15" customHeight="1" x14ac:dyDescent="0.25">
      <c r="B1288" s="331"/>
      <c r="C1288" s="332"/>
      <c r="D1288" s="332"/>
      <c r="E1288" s="333"/>
      <c r="F1288" s="333"/>
      <c r="R1288" s="316"/>
      <c r="S1288" s="404"/>
      <c r="T1288" s="404"/>
      <c r="U1288" s="404"/>
      <c r="V1288" s="404"/>
      <c r="W1288" s="316"/>
      <c r="X1288" s="316"/>
      <c r="Y1288" s="316"/>
      <c r="Z1288" s="316"/>
      <c r="AA1288" s="404"/>
      <c r="AB1288" s="404"/>
      <c r="AC1288" s="404"/>
      <c r="AD1288" s="404"/>
      <c r="AE1288" s="316"/>
      <c r="AF1288" s="316"/>
      <c r="AG1288" s="404"/>
      <c r="AH1288" s="316"/>
      <c r="AI1288" s="316"/>
      <c r="AJ1288" s="316"/>
      <c r="AK1288" s="316"/>
      <c r="AL1288" s="316"/>
      <c r="AM1288" s="416"/>
      <c r="AR1288" s="333"/>
      <c r="AS1288" s="333"/>
      <c r="AT1288" s="333"/>
      <c r="AU1288" s="333"/>
      <c r="AV1288" s="333"/>
    </row>
    <row r="1289" spans="2:48" s="330" customFormat="1" ht="28.15" customHeight="1" x14ac:dyDescent="0.25">
      <c r="B1289" s="331"/>
      <c r="C1289" s="332"/>
      <c r="D1289" s="332"/>
      <c r="E1289" s="333"/>
      <c r="F1289" s="333"/>
      <c r="R1289" s="316"/>
      <c r="S1289" s="404"/>
      <c r="T1289" s="404"/>
      <c r="U1289" s="404"/>
      <c r="V1289" s="404"/>
      <c r="W1289" s="316"/>
      <c r="X1289" s="316"/>
      <c r="Y1289" s="316"/>
      <c r="Z1289" s="316"/>
      <c r="AA1289" s="404"/>
      <c r="AB1289" s="404"/>
      <c r="AC1289" s="404"/>
      <c r="AD1289" s="404"/>
      <c r="AE1289" s="316"/>
      <c r="AF1289" s="316"/>
      <c r="AG1289" s="404"/>
      <c r="AH1289" s="316"/>
      <c r="AI1289" s="316"/>
      <c r="AJ1289" s="316"/>
      <c r="AK1289" s="316"/>
      <c r="AL1289" s="316"/>
      <c r="AM1289" s="416"/>
      <c r="AR1289" s="333"/>
      <c r="AS1289" s="333"/>
      <c r="AT1289" s="333"/>
      <c r="AU1289" s="333"/>
      <c r="AV1289" s="333"/>
    </row>
    <row r="1290" spans="2:48" s="330" customFormat="1" ht="28.15" customHeight="1" x14ac:dyDescent="0.25">
      <c r="B1290" s="331"/>
      <c r="C1290" s="332"/>
      <c r="D1290" s="332"/>
      <c r="E1290" s="333"/>
      <c r="F1290" s="333"/>
      <c r="R1290" s="316"/>
      <c r="S1290" s="404"/>
      <c r="T1290" s="404"/>
      <c r="U1290" s="404"/>
      <c r="V1290" s="404"/>
      <c r="W1290" s="316"/>
      <c r="X1290" s="316"/>
      <c r="Y1290" s="316"/>
      <c r="Z1290" s="316"/>
      <c r="AA1290" s="404"/>
      <c r="AB1290" s="404"/>
      <c r="AC1290" s="404"/>
      <c r="AD1290" s="404"/>
      <c r="AE1290" s="316"/>
      <c r="AF1290" s="316"/>
      <c r="AG1290" s="404"/>
      <c r="AH1290" s="316"/>
      <c r="AI1290" s="316"/>
      <c r="AJ1290" s="316"/>
      <c r="AK1290" s="316"/>
      <c r="AL1290" s="316"/>
      <c r="AM1290" s="416"/>
      <c r="AR1290" s="333"/>
      <c r="AS1290" s="333"/>
      <c r="AT1290" s="333"/>
      <c r="AU1290" s="333"/>
      <c r="AV1290" s="333"/>
    </row>
    <row r="1291" spans="2:48" s="330" customFormat="1" ht="28.15" customHeight="1" x14ac:dyDescent="0.25">
      <c r="B1291" s="331"/>
      <c r="C1291" s="332"/>
      <c r="D1291" s="332"/>
      <c r="E1291" s="333"/>
      <c r="F1291" s="333"/>
      <c r="R1291" s="316"/>
      <c r="S1291" s="404"/>
      <c r="T1291" s="404"/>
      <c r="U1291" s="404"/>
      <c r="V1291" s="404"/>
      <c r="W1291" s="316"/>
      <c r="X1291" s="316"/>
      <c r="Y1291" s="316"/>
      <c r="Z1291" s="316"/>
      <c r="AA1291" s="404"/>
      <c r="AB1291" s="404"/>
      <c r="AC1291" s="404"/>
      <c r="AD1291" s="404"/>
      <c r="AE1291" s="316"/>
      <c r="AF1291" s="316"/>
      <c r="AG1291" s="404"/>
      <c r="AH1291" s="316"/>
      <c r="AI1291" s="316"/>
      <c r="AJ1291" s="316"/>
      <c r="AK1291" s="316"/>
      <c r="AL1291" s="316"/>
      <c r="AM1291" s="416"/>
      <c r="AR1291" s="333"/>
      <c r="AS1291" s="333"/>
      <c r="AT1291" s="333"/>
      <c r="AU1291" s="333"/>
      <c r="AV1291" s="333"/>
    </row>
    <row r="1292" spans="2:48" s="330" customFormat="1" ht="28.15" customHeight="1" x14ac:dyDescent="0.25">
      <c r="B1292" s="331"/>
      <c r="C1292" s="332"/>
      <c r="D1292" s="332"/>
      <c r="E1292" s="333"/>
      <c r="F1292" s="333"/>
      <c r="R1292" s="316"/>
      <c r="S1292" s="404"/>
      <c r="T1292" s="404"/>
      <c r="U1292" s="404"/>
      <c r="V1292" s="404"/>
      <c r="W1292" s="316"/>
      <c r="X1292" s="316"/>
      <c r="Y1292" s="316"/>
      <c r="Z1292" s="316"/>
      <c r="AA1292" s="404"/>
      <c r="AB1292" s="404"/>
      <c r="AC1292" s="404"/>
      <c r="AD1292" s="404"/>
      <c r="AE1292" s="316"/>
      <c r="AF1292" s="316"/>
      <c r="AG1292" s="404"/>
      <c r="AH1292" s="316"/>
      <c r="AI1292" s="316"/>
      <c r="AJ1292" s="316"/>
      <c r="AK1292" s="316"/>
      <c r="AL1292" s="316"/>
      <c r="AM1292" s="416"/>
      <c r="AR1292" s="333"/>
      <c r="AS1292" s="333"/>
      <c r="AT1292" s="333"/>
      <c r="AU1292" s="333"/>
      <c r="AV1292" s="333"/>
    </row>
    <row r="1293" spans="2:48" s="330" customFormat="1" ht="28.15" customHeight="1" x14ac:dyDescent="0.25">
      <c r="B1293" s="331"/>
      <c r="C1293" s="332"/>
      <c r="D1293" s="332"/>
      <c r="E1293" s="333"/>
      <c r="F1293" s="333"/>
      <c r="R1293" s="316"/>
      <c r="S1293" s="404"/>
      <c r="T1293" s="404"/>
      <c r="U1293" s="404"/>
      <c r="V1293" s="404"/>
      <c r="W1293" s="316"/>
      <c r="X1293" s="316"/>
      <c r="Y1293" s="316"/>
      <c r="Z1293" s="316"/>
      <c r="AA1293" s="404"/>
      <c r="AB1293" s="404"/>
      <c r="AC1293" s="404"/>
      <c r="AD1293" s="404"/>
      <c r="AE1293" s="316"/>
      <c r="AF1293" s="316"/>
      <c r="AG1293" s="404"/>
      <c r="AH1293" s="316"/>
      <c r="AI1293" s="316"/>
      <c r="AJ1293" s="316"/>
      <c r="AK1293" s="316"/>
      <c r="AL1293" s="316"/>
      <c r="AM1293" s="416"/>
      <c r="AR1293" s="333"/>
      <c r="AS1293" s="333"/>
      <c r="AT1293" s="333"/>
      <c r="AU1293" s="333"/>
      <c r="AV1293" s="333"/>
    </row>
    <row r="1294" spans="2:48" s="330" customFormat="1" ht="28.15" customHeight="1" x14ac:dyDescent="0.25">
      <c r="B1294" s="331"/>
      <c r="C1294" s="332"/>
      <c r="D1294" s="332"/>
      <c r="E1294" s="333"/>
      <c r="F1294" s="333"/>
      <c r="R1294" s="316"/>
      <c r="S1294" s="404"/>
      <c r="T1294" s="404"/>
      <c r="U1294" s="404"/>
      <c r="V1294" s="404"/>
      <c r="W1294" s="316"/>
      <c r="X1294" s="316"/>
      <c r="Y1294" s="316"/>
      <c r="Z1294" s="316"/>
      <c r="AA1294" s="404"/>
      <c r="AB1294" s="404"/>
      <c r="AC1294" s="404"/>
      <c r="AD1294" s="404"/>
      <c r="AE1294" s="316"/>
      <c r="AF1294" s="316"/>
      <c r="AG1294" s="404"/>
      <c r="AH1294" s="316"/>
      <c r="AI1294" s="316"/>
      <c r="AJ1294" s="316"/>
      <c r="AK1294" s="316"/>
      <c r="AL1294" s="316"/>
      <c r="AM1294" s="416"/>
      <c r="AR1294" s="333"/>
      <c r="AS1294" s="333"/>
      <c r="AT1294" s="333"/>
      <c r="AU1294" s="333"/>
      <c r="AV1294" s="333"/>
    </row>
    <row r="1295" spans="2:48" s="330" customFormat="1" ht="28.15" customHeight="1" x14ac:dyDescent="0.25">
      <c r="B1295" s="331"/>
      <c r="C1295" s="332"/>
      <c r="D1295" s="332"/>
      <c r="E1295" s="333"/>
      <c r="F1295" s="333"/>
      <c r="R1295" s="316"/>
      <c r="S1295" s="404"/>
      <c r="T1295" s="404"/>
      <c r="U1295" s="404"/>
      <c r="V1295" s="404"/>
      <c r="W1295" s="316"/>
      <c r="X1295" s="316"/>
      <c r="Y1295" s="316"/>
      <c r="Z1295" s="316"/>
      <c r="AA1295" s="404"/>
      <c r="AB1295" s="404"/>
      <c r="AC1295" s="404"/>
      <c r="AD1295" s="404"/>
      <c r="AE1295" s="316"/>
      <c r="AF1295" s="316"/>
      <c r="AG1295" s="404"/>
      <c r="AH1295" s="316"/>
      <c r="AI1295" s="316"/>
      <c r="AJ1295" s="316"/>
      <c r="AK1295" s="316"/>
      <c r="AL1295" s="316"/>
      <c r="AM1295" s="416"/>
      <c r="AR1295" s="333"/>
      <c r="AS1295" s="333"/>
      <c r="AT1295" s="333"/>
      <c r="AU1295" s="333"/>
      <c r="AV1295" s="333"/>
    </row>
    <row r="1296" spans="2:48" s="330" customFormat="1" ht="28.15" customHeight="1" x14ac:dyDescent="0.25">
      <c r="B1296" s="331"/>
      <c r="C1296" s="332"/>
      <c r="D1296" s="332"/>
      <c r="E1296" s="333"/>
      <c r="F1296" s="333"/>
      <c r="R1296" s="316"/>
      <c r="S1296" s="404"/>
      <c r="T1296" s="404"/>
      <c r="U1296" s="404"/>
      <c r="V1296" s="404"/>
      <c r="W1296" s="316"/>
      <c r="X1296" s="316"/>
      <c r="Y1296" s="316"/>
      <c r="Z1296" s="316"/>
      <c r="AA1296" s="404"/>
      <c r="AB1296" s="404"/>
      <c r="AC1296" s="404"/>
      <c r="AD1296" s="404"/>
      <c r="AE1296" s="316"/>
      <c r="AF1296" s="316"/>
      <c r="AG1296" s="404"/>
      <c r="AH1296" s="316"/>
      <c r="AI1296" s="316"/>
      <c r="AJ1296" s="316"/>
      <c r="AK1296" s="316"/>
      <c r="AL1296" s="316"/>
      <c r="AM1296" s="416"/>
      <c r="AR1296" s="333"/>
      <c r="AS1296" s="333"/>
      <c r="AT1296" s="333"/>
      <c r="AU1296" s="333"/>
      <c r="AV1296" s="333"/>
    </row>
    <row r="1297" spans="2:48" s="330" customFormat="1" ht="28.15" customHeight="1" x14ac:dyDescent="0.25">
      <c r="B1297" s="331"/>
      <c r="C1297" s="332"/>
      <c r="D1297" s="332"/>
      <c r="E1297" s="333"/>
      <c r="F1297" s="333"/>
      <c r="R1297" s="316"/>
      <c r="S1297" s="404"/>
      <c r="T1297" s="404"/>
      <c r="U1297" s="404"/>
      <c r="V1297" s="404"/>
      <c r="W1297" s="316"/>
      <c r="X1297" s="316"/>
      <c r="Y1297" s="316"/>
      <c r="Z1297" s="316"/>
      <c r="AA1297" s="404"/>
      <c r="AB1297" s="404"/>
      <c r="AC1297" s="404"/>
      <c r="AD1297" s="404"/>
      <c r="AE1297" s="316"/>
      <c r="AF1297" s="316"/>
      <c r="AG1297" s="404"/>
      <c r="AH1297" s="316"/>
      <c r="AI1297" s="316"/>
      <c r="AJ1297" s="316"/>
      <c r="AK1297" s="316"/>
      <c r="AL1297" s="316"/>
      <c r="AM1297" s="416"/>
      <c r="AR1297" s="333"/>
      <c r="AS1297" s="333"/>
      <c r="AT1297" s="333"/>
      <c r="AU1297" s="333"/>
      <c r="AV1297" s="333"/>
    </row>
    <row r="1298" spans="2:48" s="330" customFormat="1" ht="28.15" customHeight="1" x14ac:dyDescent="0.25">
      <c r="B1298" s="331"/>
      <c r="C1298" s="332"/>
      <c r="D1298" s="332"/>
      <c r="E1298" s="333"/>
      <c r="F1298" s="333"/>
      <c r="R1298" s="316"/>
      <c r="S1298" s="404"/>
      <c r="T1298" s="404"/>
      <c r="U1298" s="404"/>
      <c r="V1298" s="404"/>
      <c r="W1298" s="316"/>
      <c r="X1298" s="316"/>
      <c r="Y1298" s="316"/>
      <c r="Z1298" s="316"/>
      <c r="AA1298" s="404"/>
      <c r="AB1298" s="404"/>
      <c r="AC1298" s="404"/>
      <c r="AD1298" s="404"/>
      <c r="AE1298" s="316"/>
      <c r="AF1298" s="316"/>
      <c r="AG1298" s="404"/>
      <c r="AH1298" s="316"/>
      <c r="AI1298" s="316"/>
      <c r="AJ1298" s="316"/>
      <c r="AK1298" s="316"/>
      <c r="AL1298" s="316"/>
      <c r="AM1298" s="416"/>
      <c r="AR1298" s="333"/>
      <c r="AS1298" s="333"/>
      <c r="AT1298" s="333"/>
      <c r="AU1298" s="333"/>
      <c r="AV1298" s="333"/>
    </row>
    <row r="1299" spans="2:48" s="330" customFormat="1" ht="28.15" customHeight="1" x14ac:dyDescent="0.25">
      <c r="B1299" s="331"/>
      <c r="C1299" s="332"/>
      <c r="D1299" s="332"/>
      <c r="E1299" s="333"/>
      <c r="F1299" s="333"/>
      <c r="R1299" s="316"/>
      <c r="S1299" s="404"/>
      <c r="T1299" s="404"/>
      <c r="U1299" s="404"/>
      <c r="V1299" s="404"/>
      <c r="W1299" s="316"/>
      <c r="X1299" s="316"/>
      <c r="Y1299" s="316"/>
      <c r="Z1299" s="316"/>
      <c r="AA1299" s="404"/>
      <c r="AB1299" s="404"/>
      <c r="AC1299" s="404"/>
      <c r="AD1299" s="404"/>
      <c r="AE1299" s="316"/>
      <c r="AF1299" s="316"/>
      <c r="AG1299" s="404"/>
      <c r="AH1299" s="316"/>
      <c r="AI1299" s="316"/>
      <c r="AJ1299" s="316"/>
      <c r="AK1299" s="316"/>
      <c r="AL1299" s="316"/>
      <c r="AM1299" s="416"/>
      <c r="AR1299" s="333"/>
      <c r="AS1299" s="333"/>
      <c r="AT1299" s="333"/>
      <c r="AU1299" s="333"/>
      <c r="AV1299" s="333"/>
    </row>
    <row r="1300" spans="2:48" s="330" customFormat="1" ht="28.15" customHeight="1" x14ac:dyDescent="0.25">
      <c r="B1300" s="331"/>
      <c r="C1300" s="332"/>
      <c r="D1300" s="332"/>
      <c r="E1300" s="333"/>
      <c r="F1300" s="333"/>
      <c r="R1300" s="316"/>
      <c r="S1300" s="404"/>
      <c r="T1300" s="404"/>
      <c r="U1300" s="404"/>
      <c r="V1300" s="404"/>
      <c r="W1300" s="316"/>
      <c r="X1300" s="316"/>
      <c r="Y1300" s="316"/>
      <c r="Z1300" s="316"/>
      <c r="AA1300" s="404"/>
      <c r="AB1300" s="404"/>
      <c r="AC1300" s="404"/>
      <c r="AD1300" s="404"/>
      <c r="AE1300" s="316"/>
      <c r="AF1300" s="316"/>
      <c r="AG1300" s="404"/>
      <c r="AH1300" s="316"/>
      <c r="AI1300" s="316"/>
      <c r="AJ1300" s="316"/>
      <c r="AK1300" s="316"/>
      <c r="AL1300" s="316"/>
      <c r="AM1300" s="416"/>
      <c r="AR1300" s="333"/>
      <c r="AS1300" s="333"/>
      <c r="AT1300" s="333"/>
      <c r="AU1300" s="333"/>
      <c r="AV1300" s="333"/>
    </row>
    <row r="1301" spans="2:48" s="330" customFormat="1" ht="28.15" customHeight="1" x14ac:dyDescent="0.25">
      <c r="B1301" s="331"/>
      <c r="C1301" s="332"/>
      <c r="D1301" s="332"/>
      <c r="E1301" s="333"/>
      <c r="F1301" s="333"/>
      <c r="R1301" s="316"/>
      <c r="S1301" s="404"/>
      <c r="T1301" s="404"/>
      <c r="U1301" s="404"/>
      <c r="V1301" s="404"/>
      <c r="W1301" s="316"/>
      <c r="X1301" s="316"/>
      <c r="Y1301" s="316"/>
      <c r="Z1301" s="316"/>
      <c r="AA1301" s="404"/>
      <c r="AB1301" s="404"/>
      <c r="AC1301" s="404"/>
      <c r="AD1301" s="404"/>
      <c r="AE1301" s="316"/>
      <c r="AF1301" s="316"/>
      <c r="AG1301" s="404"/>
      <c r="AH1301" s="316"/>
      <c r="AI1301" s="316"/>
      <c r="AJ1301" s="316"/>
      <c r="AK1301" s="316"/>
      <c r="AL1301" s="316"/>
      <c r="AM1301" s="416"/>
      <c r="AR1301" s="333"/>
      <c r="AS1301" s="333"/>
      <c r="AT1301" s="333"/>
      <c r="AU1301" s="333"/>
      <c r="AV1301" s="333"/>
    </row>
    <row r="1302" spans="2:48" s="330" customFormat="1" ht="28.15" customHeight="1" x14ac:dyDescent="0.25">
      <c r="B1302" s="331"/>
      <c r="C1302" s="332"/>
      <c r="D1302" s="332"/>
      <c r="E1302" s="333"/>
      <c r="F1302" s="333"/>
      <c r="R1302" s="316"/>
      <c r="S1302" s="404"/>
      <c r="T1302" s="404"/>
      <c r="U1302" s="404"/>
      <c r="V1302" s="404"/>
      <c r="W1302" s="316"/>
      <c r="X1302" s="316"/>
      <c r="Y1302" s="316"/>
      <c r="Z1302" s="316"/>
      <c r="AA1302" s="404"/>
      <c r="AB1302" s="404"/>
      <c r="AC1302" s="404"/>
      <c r="AD1302" s="404"/>
      <c r="AE1302" s="316"/>
      <c r="AF1302" s="316"/>
      <c r="AG1302" s="404"/>
      <c r="AH1302" s="316"/>
      <c r="AI1302" s="316"/>
      <c r="AJ1302" s="316"/>
      <c r="AK1302" s="316"/>
      <c r="AL1302" s="316"/>
      <c r="AM1302" s="416"/>
      <c r="AR1302" s="333"/>
      <c r="AS1302" s="333"/>
      <c r="AT1302" s="333"/>
      <c r="AU1302" s="333"/>
      <c r="AV1302" s="333"/>
    </row>
    <row r="1303" spans="2:48" s="330" customFormat="1" ht="28.15" customHeight="1" x14ac:dyDescent="0.25">
      <c r="B1303" s="331"/>
      <c r="C1303" s="332"/>
      <c r="D1303" s="332"/>
      <c r="E1303" s="333"/>
      <c r="F1303" s="333"/>
      <c r="R1303" s="316"/>
      <c r="S1303" s="404"/>
      <c r="T1303" s="404"/>
      <c r="U1303" s="404"/>
      <c r="V1303" s="404"/>
      <c r="W1303" s="316"/>
      <c r="X1303" s="316"/>
      <c r="Y1303" s="316"/>
      <c r="Z1303" s="316"/>
      <c r="AA1303" s="404"/>
      <c r="AB1303" s="404"/>
      <c r="AC1303" s="404"/>
      <c r="AD1303" s="404"/>
      <c r="AE1303" s="316"/>
      <c r="AF1303" s="316"/>
      <c r="AG1303" s="404"/>
      <c r="AH1303" s="316"/>
      <c r="AI1303" s="316"/>
      <c r="AJ1303" s="316"/>
      <c r="AK1303" s="316"/>
      <c r="AL1303" s="316"/>
      <c r="AM1303" s="416"/>
      <c r="AR1303" s="333"/>
      <c r="AS1303" s="333"/>
      <c r="AT1303" s="333"/>
      <c r="AU1303" s="333"/>
      <c r="AV1303" s="333"/>
    </row>
    <row r="1304" spans="2:48" s="330" customFormat="1" ht="28.15" customHeight="1" x14ac:dyDescent="0.25">
      <c r="B1304" s="331"/>
      <c r="C1304" s="332"/>
      <c r="D1304" s="332"/>
      <c r="E1304" s="333"/>
      <c r="F1304" s="333"/>
      <c r="R1304" s="316"/>
      <c r="S1304" s="404"/>
      <c r="T1304" s="404"/>
      <c r="U1304" s="404"/>
      <c r="V1304" s="404"/>
      <c r="W1304" s="316"/>
      <c r="X1304" s="316"/>
      <c r="Y1304" s="316"/>
      <c r="Z1304" s="316"/>
      <c r="AA1304" s="404"/>
      <c r="AB1304" s="404"/>
      <c r="AC1304" s="404"/>
      <c r="AD1304" s="404"/>
      <c r="AE1304" s="316"/>
      <c r="AF1304" s="316"/>
      <c r="AG1304" s="404"/>
      <c r="AH1304" s="316"/>
      <c r="AI1304" s="316"/>
      <c r="AJ1304" s="316"/>
      <c r="AK1304" s="316"/>
      <c r="AL1304" s="316"/>
      <c r="AM1304" s="416"/>
      <c r="AR1304" s="333"/>
      <c r="AS1304" s="333"/>
      <c r="AT1304" s="333"/>
      <c r="AU1304" s="333"/>
      <c r="AV1304" s="333"/>
    </row>
    <row r="1305" spans="2:48" s="330" customFormat="1" ht="28.15" customHeight="1" x14ac:dyDescent="0.25">
      <c r="B1305" s="331"/>
      <c r="C1305" s="332"/>
      <c r="D1305" s="332"/>
      <c r="E1305" s="333"/>
      <c r="F1305" s="333"/>
      <c r="R1305" s="316"/>
      <c r="S1305" s="404"/>
      <c r="T1305" s="404"/>
      <c r="U1305" s="404"/>
      <c r="V1305" s="404"/>
      <c r="W1305" s="316"/>
      <c r="X1305" s="316"/>
      <c r="Y1305" s="316"/>
      <c r="Z1305" s="316"/>
      <c r="AA1305" s="404"/>
      <c r="AB1305" s="404"/>
      <c r="AC1305" s="404"/>
      <c r="AD1305" s="404"/>
      <c r="AE1305" s="316"/>
      <c r="AF1305" s="316"/>
      <c r="AG1305" s="404"/>
      <c r="AH1305" s="316"/>
      <c r="AI1305" s="316"/>
      <c r="AJ1305" s="316"/>
      <c r="AK1305" s="316"/>
      <c r="AL1305" s="316"/>
      <c r="AM1305" s="416"/>
      <c r="AR1305" s="333"/>
      <c r="AS1305" s="333"/>
      <c r="AT1305" s="333"/>
      <c r="AU1305" s="333"/>
      <c r="AV1305" s="333"/>
    </row>
    <row r="1306" spans="2:48" s="330" customFormat="1" ht="28.15" customHeight="1" x14ac:dyDescent="0.25">
      <c r="B1306" s="331"/>
      <c r="C1306" s="332"/>
      <c r="D1306" s="332"/>
      <c r="E1306" s="333"/>
      <c r="F1306" s="333"/>
      <c r="R1306" s="316"/>
      <c r="S1306" s="404"/>
      <c r="T1306" s="404"/>
      <c r="U1306" s="404"/>
      <c r="V1306" s="404"/>
      <c r="W1306" s="316"/>
      <c r="X1306" s="316"/>
      <c r="Y1306" s="316"/>
      <c r="Z1306" s="316"/>
      <c r="AA1306" s="404"/>
      <c r="AB1306" s="404"/>
      <c r="AC1306" s="404"/>
      <c r="AD1306" s="404"/>
      <c r="AE1306" s="316"/>
      <c r="AF1306" s="316"/>
      <c r="AG1306" s="404"/>
      <c r="AH1306" s="316"/>
      <c r="AI1306" s="316"/>
      <c r="AJ1306" s="316"/>
      <c r="AK1306" s="316"/>
      <c r="AL1306" s="316"/>
      <c r="AM1306" s="416"/>
      <c r="AR1306" s="333"/>
      <c r="AS1306" s="333"/>
      <c r="AT1306" s="333"/>
      <c r="AU1306" s="333"/>
      <c r="AV1306" s="333"/>
    </row>
    <row r="1307" spans="2:48" s="330" customFormat="1" ht="28.15" customHeight="1" x14ac:dyDescent="0.25">
      <c r="B1307" s="331"/>
      <c r="C1307" s="332"/>
      <c r="D1307" s="332"/>
      <c r="E1307" s="333"/>
      <c r="F1307" s="333"/>
      <c r="R1307" s="316"/>
      <c r="S1307" s="404"/>
      <c r="T1307" s="404"/>
      <c r="U1307" s="404"/>
      <c r="V1307" s="404"/>
      <c r="W1307" s="316"/>
      <c r="X1307" s="316"/>
      <c r="Y1307" s="316"/>
      <c r="Z1307" s="316"/>
      <c r="AA1307" s="404"/>
      <c r="AB1307" s="404"/>
      <c r="AC1307" s="404"/>
      <c r="AD1307" s="404"/>
      <c r="AE1307" s="316"/>
      <c r="AF1307" s="316"/>
      <c r="AG1307" s="404"/>
      <c r="AH1307" s="316"/>
      <c r="AI1307" s="316"/>
      <c r="AJ1307" s="316"/>
      <c r="AK1307" s="316"/>
      <c r="AL1307" s="316"/>
      <c r="AM1307" s="416"/>
      <c r="AR1307" s="333"/>
      <c r="AS1307" s="333"/>
      <c r="AT1307" s="333"/>
      <c r="AU1307" s="333"/>
      <c r="AV1307" s="333"/>
    </row>
    <row r="1308" spans="2:48" s="330" customFormat="1" ht="28.15" customHeight="1" x14ac:dyDescent="0.25">
      <c r="B1308" s="331"/>
      <c r="C1308" s="332"/>
      <c r="D1308" s="332"/>
      <c r="E1308" s="333"/>
      <c r="F1308" s="333"/>
      <c r="R1308" s="316"/>
      <c r="S1308" s="404"/>
      <c r="T1308" s="404"/>
      <c r="U1308" s="404"/>
      <c r="V1308" s="404"/>
      <c r="W1308" s="316"/>
      <c r="X1308" s="316"/>
      <c r="Y1308" s="316"/>
      <c r="Z1308" s="316"/>
      <c r="AA1308" s="404"/>
      <c r="AB1308" s="404"/>
      <c r="AC1308" s="404"/>
      <c r="AD1308" s="404"/>
      <c r="AE1308" s="316"/>
      <c r="AF1308" s="316"/>
      <c r="AG1308" s="404"/>
      <c r="AH1308" s="316"/>
      <c r="AI1308" s="316"/>
      <c r="AJ1308" s="316"/>
      <c r="AK1308" s="316"/>
      <c r="AL1308" s="316"/>
      <c r="AM1308" s="416"/>
      <c r="AR1308" s="333"/>
      <c r="AS1308" s="333"/>
      <c r="AT1308" s="333"/>
      <c r="AU1308" s="333"/>
      <c r="AV1308" s="333"/>
    </row>
    <row r="1309" spans="2:48" s="330" customFormat="1" ht="28.15" customHeight="1" x14ac:dyDescent="0.25">
      <c r="B1309" s="331"/>
      <c r="C1309" s="332"/>
      <c r="D1309" s="332"/>
      <c r="E1309" s="333"/>
      <c r="F1309" s="333"/>
      <c r="R1309" s="316"/>
      <c r="S1309" s="404"/>
      <c r="T1309" s="404"/>
      <c r="U1309" s="404"/>
      <c r="V1309" s="404"/>
      <c r="W1309" s="316"/>
      <c r="X1309" s="316"/>
      <c r="Y1309" s="316"/>
      <c r="Z1309" s="316"/>
      <c r="AA1309" s="404"/>
      <c r="AB1309" s="404"/>
      <c r="AC1309" s="404"/>
      <c r="AD1309" s="404"/>
      <c r="AE1309" s="316"/>
      <c r="AF1309" s="316"/>
      <c r="AG1309" s="404"/>
      <c r="AH1309" s="316"/>
      <c r="AI1309" s="316"/>
      <c r="AJ1309" s="316"/>
      <c r="AK1309" s="316"/>
      <c r="AL1309" s="316"/>
      <c r="AM1309" s="416"/>
      <c r="AR1309" s="333"/>
      <c r="AS1309" s="333"/>
      <c r="AT1309" s="333"/>
      <c r="AU1309" s="333"/>
      <c r="AV1309" s="333"/>
    </row>
    <row r="1310" spans="2:48" s="330" customFormat="1" ht="28.15" customHeight="1" x14ac:dyDescent="0.25">
      <c r="B1310" s="331"/>
      <c r="C1310" s="332"/>
      <c r="D1310" s="332"/>
      <c r="E1310" s="333"/>
      <c r="F1310" s="333"/>
      <c r="R1310" s="316"/>
      <c r="S1310" s="404"/>
      <c r="T1310" s="404"/>
      <c r="U1310" s="404"/>
      <c r="V1310" s="404"/>
      <c r="W1310" s="316"/>
      <c r="X1310" s="316"/>
      <c r="Y1310" s="316"/>
      <c r="Z1310" s="316"/>
      <c r="AA1310" s="404"/>
      <c r="AB1310" s="404"/>
      <c r="AC1310" s="404"/>
      <c r="AD1310" s="404"/>
      <c r="AE1310" s="316"/>
      <c r="AF1310" s="316"/>
      <c r="AG1310" s="404"/>
      <c r="AH1310" s="316"/>
      <c r="AI1310" s="316"/>
      <c r="AJ1310" s="316"/>
      <c r="AK1310" s="316"/>
      <c r="AL1310" s="316"/>
      <c r="AM1310" s="416"/>
      <c r="AR1310" s="333"/>
      <c r="AS1310" s="333"/>
      <c r="AT1310" s="333"/>
      <c r="AU1310" s="333"/>
      <c r="AV1310" s="333"/>
    </row>
    <row r="1311" spans="2:48" s="330" customFormat="1" ht="28.15" customHeight="1" x14ac:dyDescent="0.25">
      <c r="B1311" s="331"/>
      <c r="C1311" s="332"/>
      <c r="D1311" s="332"/>
      <c r="E1311" s="333"/>
      <c r="F1311" s="333"/>
      <c r="R1311" s="316"/>
      <c r="S1311" s="404"/>
      <c r="T1311" s="404"/>
      <c r="U1311" s="404"/>
      <c r="V1311" s="404"/>
      <c r="W1311" s="316"/>
      <c r="X1311" s="316"/>
      <c r="Y1311" s="316"/>
      <c r="Z1311" s="316"/>
      <c r="AA1311" s="404"/>
      <c r="AB1311" s="404"/>
      <c r="AC1311" s="404"/>
      <c r="AD1311" s="404"/>
      <c r="AE1311" s="316"/>
      <c r="AF1311" s="316"/>
      <c r="AG1311" s="404"/>
      <c r="AH1311" s="316"/>
      <c r="AI1311" s="316"/>
      <c r="AJ1311" s="316"/>
      <c r="AK1311" s="316"/>
      <c r="AL1311" s="316"/>
      <c r="AM1311" s="416"/>
      <c r="AR1311" s="333"/>
      <c r="AS1311" s="333"/>
      <c r="AT1311" s="333"/>
      <c r="AU1311" s="333"/>
      <c r="AV1311" s="333"/>
    </row>
    <row r="1312" spans="2:48" s="330" customFormat="1" ht="28.15" customHeight="1" x14ac:dyDescent="0.25">
      <c r="B1312" s="331"/>
      <c r="C1312" s="332"/>
      <c r="D1312" s="332"/>
      <c r="E1312" s="333"/>
      <c r="F1312" s="333"/>
      <c r="R1312" s="316"/>
      <c r="S1312" s="404"/>
      <c r="T1312" s="404"/>
      <c r="U1312" s="404"/>
      <c r="V1312" s="404"/>
      <c r="W1312" s="316"/>
      <c r="X1312" s="316"/>
      <c r="Y1312" s="316"/>
      <c r="Z1312" s="316"/>
      <c r="AA1312" s="404"/>
      <c r="AB1312" s="404"/>
      <c r="AC1312" s="404"/>
      <c r="AD1312" s="404"/>
      <c r="AE1312" s="316"/>
      <c r="AF1312" s="316"/>
      <c r="AG1312" s="404"/>
      <c r="AH1312" s="316"/>
      <c r="AI1312" s="316"/>
      <c r="AJ1312" s="316"/>
      <c r="AK1312" s="316"/>
      <c r="AL1312" s="316"/>
      <c r="AM1312" s="416"/>
      <c r="AR1312" s="333"/>
      <c r="AS1312" s="333"/>
      <c r="AT1312" s="333"/>
      <c r="AU1312" s="333"/>
      <c r="AV1312" s="333"/>
    </row>
    <row r="1313" spans="2:48" s="330" customFormat="1" ht="28.15" customHeight="1" x14ac:dyDescent="0.25">
      <c r="B1313" s="331"/>
      <c r="C1313" s="332"/>
      <c r="D1313" s="332"/>
      <c r="E1313" s="333"/>
      <c r="F1313" s="333"/>
      <c r="R1313" s="316"/>
      <c r="S1313" s="404"/>
      <c r="T1313" s="404"/>
      <c r="U1313" s="404"/>
      <c r="V1313" s="404"/>
      <c r="W1313" s="316"/>
      <c r="X1313" s="316"/>
      <c r="Y1313" s="316"/>
      <c r="Z1313" s="316"/>
      <c r="AA1313" s="404"/>
      <c r="AB1313" s="404"/>
      <c r="AC1313" s="404"/>
      <c r="AD1313" s="404"/>
      <c r="AE1313" s="316"/>
      <c r="AF1313" s="316"/>
      <c r="AG1313" s="404"/>
      <c r="AH1313" s="316"/>
      <c r="AI1313" s="316"/>
      <c r="AJ1313" s="316"/>
      <c r="AK1313" s="316"/>
      <c r="AL1313" s="316"/>
      <c r="AM1313" s="416"/>
      <c r="AR1313" s="333"/>
      <c r="AS1313" s="333"/>
      <c r="AT1313" s="333"/>
      <c r="AU1313" s="333"/>
      <c r="AV1313" s="333"/>
    </row>
    <row r="1314" spans="2:48" s="330" customFormat="1" ht="28.15" customHeight="1" x14ac:dyDescent="0.25">
      <c r="B1314" s="331"/>
      <c r="C1314" s="332"/>
      <c r="D1314" s="332"/>
      <c r="E1314" s="333"/>
      <c r="F1314" s="333"/>
      <c r="R1314" s="316"/>
      <c r="S1314" s="404"/>
      <c r="T1314" s="404"/>
      <c r="U1314" s="404"/>
      <c r="V1314" s="404"/>
      <c r="W1314" s="316"/>
      <c r="X1314" s="316"/>
      <c r="Y1314" s="316"/>
      <c r="Z1314" s="316"/>
      <c r="AA1314" s="404"/>
      <c r="AB1314" s="404"/>
      <c r="AC1314" s="404"/>
      <c r="AD1314" s="404"/>
      <c r="AE1314" s="316"/>
      <c r="AF1314" s="316"/>
      <c r="AG1314" s="404"/>
      <c r="AH1314" s="316"/>
      <c r="AI1314" s="316"/>
      <c r="AJ1314" s="316"/>
      <c r="AK1314" s="316"/>
      <c r="AL1314" s="316"/>
      <c r="AM1314" s="416"/>
      <c r="AR1314" s="333"/>
      <c r="AS1314" s="333"/>
      <c r="AT1314" s="333"/>
      <c r="AU1314" s="333"/>
      <c r="AV1314" s="333"/>
    </row>
    <row r="1315" spans="2:48" s="330" customFormat="1" ht="28.15" customHeight="1" x14ac:dyDescent="0.25">
      <c r="B1315" s="331"/>
      <c r="C1315" s="332"/>
      <c r="D1315" s="332"/>
      <c r="E1315" s="333"/>
      <c r="F1315" s="333"/>
      <c r="R1315" s="316"/>
      <c r="S1315" s="404"/>
      <c r="T1315" s="404"/>
      <c r="U1315" s="404"/>
      <c r="V1315" s="404"/>
      <c r="W1315" s="316"/>
      <c r="X1315" s="316"/>
      <c r="Y1315" s="316"/>
      <c r="Z1315" s="316"/>
      <c r="AA1315" s="404"/>
      <c r="AB1315" s="404"/>
      <c r="AC1315" s="404"/>
      <c r="AD1315" s="404"/>
      <c r="AE1315" s="316"/>
      <c r="AF1315" s="316"/>
      <c r="AG1315" s="404"/>
      <c r="AH1315" s="316"/>
      <c r="AI1315" s="316"/>
      <c r="AJ1315" s="316"/>
      <c r="AK1315" s="316"/>
      <c r="AL1315" s="316"/>
      <c r="AM1315" s="416"/>
      <c r="AR1315" s="333"/>
      <c r="AS1315" s="333"/>
      <c r="AT1315" s="333"/>
      <c r="AU1315" s="333"/>
      <c r="AV1315" s="333"/>
    </row>
    <row r="1316" spans="2:48" s="330" customFormat="1" ht="28.15" customHeight="1" x14ac:dyDescent="0.25">
      <c r="B1316" s="331"/>
      <c r="C1316" s="332"/>
      <c r="D1316" s="332"/>
      <c r="E1316" s="333"/>
      <c r="F1316" s="333"/>
      <c r="R1316" s="316"/>
      <c r="S1316" s="404"/>
      <c r="T1316" s="404"/>
      <c r="U1316" s="404"/>
      <c r="V1316" s="404"/>
      <c r="W1316" s="316"/>
      <c r="X1316" s="316"/>
      <c r="Y1316" s="316"/>
      <c r="Z1316" s="316"/>
      <c r="AA1316" s="404"/>
      <c r="AB1316" s="404"/>
      <c r="AC1316" s="404"/>
      <c r="AD1316" s="404"/>
      <c r="AE1316" s="316"/>
      <c r="AF1316" s="316"/>
      <c r="AG1316" s="404"/>
      <c r="AH1316" s="316"/>
      <c r="AI1316" s="316"/>
      <c r="AJ1316" s="316"/>
      <c r="AK1316" s="316"/>
      <c r="AL1316" s="316"/>
      <c r="AM1316" s="416"/>
      <c r="AR1316" s="333"/>
      <c r="AS1316" s="333"/>
      <c r="AT1316" s="333"/>
      <c r="AU1316" s="333"/>
      <c r="AV1316" s="333"/>
    </row>
    <row r="1317" spans="2:48" s="330" customFormat="1" ht="28.15" customHeight="1" x14ac:dyDescent="0.25">
      <c r="B1317" s="331"/>
      <c r="C1317" s="332"/>
      <c r="D1317" s="332"/>
      <c r="E1317" s="333"/>
      <c r="F1317" s="333"/>
      <c r="R1317" s="316"/>
      <c r="S1317" s="404"/>
      <c r="T1317" s="404"/>
      <c r="U1317" s="404"/>
      <c r="V1317" s="404"/>
      <c r="W1317" s="316"/>
      <c r="X1317" s="316"/>
      <c r="Y1317" s="316"/>
      <c r="Z1317" s="316"/>
      <c r="AA1317" s="404"/>
      <c r="AB1317" s="404"/>
      <c r="AC1317" s="404"/>
      <c r="AD1317" s="404"/>
      <c r="AE1317" s="316"/>
      <c r="AF1317" s="316"/>
      <c r="AG1317" s="404"/>
      <c r="AH1317" s="316"/>
      <c r="AI1317" s="316"/>
      <c r="AJ1317" s="316"/>
      <c r="AK1317" s="316"/>
      <c r="AL1317" s="316"/>
      <c r="AM1317" s="416"/>
      <c r="AR1317" s="333"/>
      <c r="AS1317" s="333"/>
      <c r="AT1317" s="333"/>
      <c r="AU1317" s="333"/>
      <c r="AV1317" s="333"/>
    </row>
    <row r="1318" spans="2:48" s="330" customFormat="1" ht="28.15" customHeight="1" x14ac:dyDescent="0.25">
      <c r="B1318" s="331"/>
      <c r="C1318" s="332"/>
      <c r="D1318" s="332"/>
      <c r="E1318" s="333"/>
      <c r="F1318" s="333"/>
      <c r="R1318" s="316"/>
      <c r="S1318" s="404"/>
      <c r="T1318" s="404"/>
      <c r="U1318" s="404"/>
      <c r="V1318" s="404"/>
      <c r="W1318" s="316"/>
      <c r="X1318" s="316"/>
      <c r="Y1318" s="316"/>
      <c r="Z1318" s="316"/>
      <c r="AA1318" s="404"/>
      <c r="AB1318" s="404"/>
      <c r="AC1318" s="404"/>
      <c r="AD1318" s="404"/>
      <c r="AE1318" s="316"/>
      <c r="AF1318" s="316"/>
      <c r="AG1318" s="404"/>
      <c r="AH1318" s="316"/>
      <c r="AI1318" s="316"/>
      <c r="AJ1318" s="316"/>
      <c r="AK1318" s="316"/>
      <c r="AL1318" s="316"/>
      <c r="AM1318" s="416"/>
      <c r="AR1318" s="333"/>
      <c r="AS1318" s="333"/>
      <c r="AT1318" s="333"/>
      <c r="AU1318" s="333"/>
      <c r="AV1318" s="333"/>
    </row>
    <row r="1319" spans="2:48" s="330" customFormat="1" ht="28.15" customHeight="1" x14ac:dyDescent="0.25">
      <c r="B1319" s="331"/>
      <c r="C1319" s="332"/>
      <c r="D1319" s="332"/>
      <c r="E1319" s="333"/>
      <c r="F1319" s="333"/>
      <c r="R1319" s="316"/>
      <c r="S1319" s="404"/>
      <c r="T1319" s="404"/>
      <c r="U1319" s="404"/>
      <c r="V1319" s="404"/>
      <c r="W1319" s="316"/>
      <c r="X1319" s="316"/>
      <c r="Y1319" s="316"/>
      <c r="Z1319" s="316"/>
      <c r="AA1319" s="404"/>
      <c r="AB1319" s="404"/>
      <c r="AC1319" s="404"/>
      <c r="AD1319" s="404"/>
      <c r="AE1319" s="316"/>
      <c r="AF1319" s="316"/>
      <c r="AG1319" s="404"/>
      <c r="AH1319" s="316"/>
      <c r="AI1319" s="316"/>
      <c r="AJ1319" s="316"/>
      <c r="AK1319" s="316"/>
      <c r="AL1319" s="316"/>
      <c r="AM1319" s="416"/>
      <c r="AR1319" s="333"/>
      <c r="AS1319" s="333"/>
      <c r="AT1319" s="333"/>
      <c r="AU1319" s="333"/>
      <c r="AV1319" s="333"/>
    </row>
    <row r="1320" spans="2:48" s="330" customFormat="1" ht="28.15" customHeight="1" x14ac:dyDescent="0.25">
      <c r="B1320" s="331"/>
      <c r="C1320" s="332"/>
      <c r="D1320" s="332"/>
      <c r="E1320" s="333"/>
      <c r="F1320" s="333"/>
      <c r="R1320" s="316"/>
      <c r="S1320" s="404"/>
      <c r="T1320" s="404"/>
      <c r="U1320" s="404"/>
      <c r="V1320" s="404"/>
      <c r="W1320" s="316"/>
      <c r="X1320" s="316"/>
      <c r="Y1320" s="316"/>
      <c r="Z1320" s="316"/>
      <c r="AA1320" s="404"/>
      <c r="AB1320" s="404"/>
      <c r="AC1320" s="404"/>
      <c r="AD1320" s="404"/>
      <c r="AE1320" s="316"/>
      <c r="AF1320" s="316"/>
      <c r="AG1320" s="404"/>
      <c r="AH1320" s="316"/>
      <c r="AI1320" s="316"/>
      <c r="AJ1320" s="316"/>
      <c r="AK1320" s="316"/>
      <c r="AL1320" s="316"/>
      <c r="AM1320" s="416"/>
      <c r="AR1320" s="333"/>
      <c r="AS1320" s="333"/>
      <c r="AT1320" s="333"/>
      <c r="AU1320" s="333"/>
      <c r="AV1320" s="333"/>
    </row>
    <row r="1321" spans="2:48" s="330" customFormat="1" ht="28.15" customHeight="1" x14ac:dyDescent="0.25">
      <c r="B1321" s="331"/>
      <c r="C1321" s="332"/>
      <c r="D1321" s="332"/>
      <c r="E1321" s="333"/>
      <c r="F1321" s="333"/>
      <c r="R1321" s="316"/>
      <c r="S1321" s="404"/>
      <c r="T1321" s="404"/>
      <c r="U1321" s="404"/>
      <c r="V1321" s="404"/>
      <c r="W1321" s="316"/>
      <c r="X1321" s="316"/>
      <c r="Y1321" s="316"/>
      <c r="Z1321" s="316"/>
      <c r="AA1321" s="404"/>
      <c r="AB1321" s="404"/>
      <c r="AC1321" s="404"/>
      <c r="AD1321" s="404"/>
      <c r="AE1321" s="316"/>
      <c r="AF1321" s="316"/>
      <c r="AG1321" s="404"/>
      <c r="AH1321" s="316"/>
      <c r="AI1321" s="316"/>
      <c r="AJ1321" s="316"/>
      <c r="AK1321" s="316"/>
      <c r="AL1321" s="316"/>
      <c r="AM1321" s="416"/>
      <c r="AR1321" s="333"/>
      <c r="AS1321" s="333"/>
      <c r="AT1321" s="333"/>
      <c r="AU1321" s="333"/>
      <c r="AV1321" s="333"/>
    </row>
    <row r="1322" spans="2:48" s="330" customFormat="1" ht="28.15" customHeight="1" x14ac:dyDescent="0.25">
      <c r="B1322" s="331"/>
      <c r="C1322" s="332"/>
      <c r="D1322" s="332"/>
      <c r="E1322" s="333"/>
      <c r="F1322" s="333"/>
      <c r="R1322" s="316"/>
      <c r="S1322" s="404"/>
      <c r="T1322" s="404"/>
      <c r="U1322" s="404"/>
      <c r="V1322" s="404"/>
      <c r="W1322" s="316"/>
      <c r="X1322" s="316"/>
      <c r="Y1322" s="316"/>
      <c r="Z1322" s="316"/>
      <c r="AA1322" s="404"/>
      <c r="AB1322" s="404"/>
      <c r="AC1322" s="404"/>
      <c r="AD1322" s="404"/>
      <c r="AE1322" s="316"/>
      <c r="AF1322" s="316"/>
      <c r="AG1322" s="404"/>
      <c r="AH1322" s="316"/>
      <c r="AI1322" s="316"/>
      <c r="AJ1322" s="316"/>
      <c r="AK1322" s="316"/>
      <c r="AL1322" s="316"/>
      <c r="AM1322" s="416"/>
      <c r="AR1322" s="333"/>
      <c r="AS1322" s="333"/>
      <c r="AT1322" s="333"/>
      <c r="AU1322" s="333"/>
      <c r="AV1322" s="333"/>
    </row>
    <row r="1323" spans="2:48" s="330" customFormat="1" ht="28.15" customHeight="1" x14ac:dyDescent="0.25">
      <c r="B1323" s="331"/>
      <c r="C1323" s="332"/>
      <c r="D1323" s="332"/>
      <c r="E1323" s="333"/>
      <c r="F1323" s="333"/>
      <c r="R1323" s="316"/>
      <c r="S1323" s="404"/>
      <c r="T1323" s="404"/>
      <c r="U1323" s="404"/>
      <c r="V1323" s="404"/>
      <c r="W1323" s="316"/>
      <c r="X1323" s="316"/>
      <c r="Y1323" s="316"/>
      <c r="Z1323" s="316"/>
      <c r="AA1323" s="404"/>
      <c r="AB1323" s="404"/>
      <c r="AC1323" s="404"/>
      <c r="AD1323" s="404"/>
      <c r="AE1323" s="316"/>
      <c r="AF1323" s="316"/>
      <c r="AG1323" s="404"/>
      <c r="AH1323" s="316"/>
      <c r="AI1323" s="316"/>
      <c r="AJ1323" s="316"/>
      <c r="AK1323" s="316"/>
      <c r="AL1323" s="316"/>
      <c r="AM1323" s="416"/>
      <c r="AR1323" s="333"/>
      <c r="AS1323" s="333"/>
      <c r="AT1323" s="333"/>
      <c r="AU1323" s="333"/>
      <c r="AV1323" s="333"/>
    </row>
    <row r="1324" spans="2:48" s="330" customFormat="1" ht="28.15" customHeight="1" x14ac:dyDescent="0.25">
      <c r="B1324" s="331"/>
      <c r="C1324" s="332"/>
      <c r="D1324" s="332"/>
      <c r="E1324" s="333"/>
      <c r="F1324" s="333"/>
      <c r="R1324" s="316"/>
      <c r="S1324" s="404"/>
      <c r="T1324" s="404"/>
      <c r="U1324" s="404"/>
      <c r="V1324" s="404"/>
      <c r="W1324" s="316"/>
      <c r="X1324" s="316"/>
      <c r="Y1324" s="316"/>
      <c r="Z1324" s="316"/>
      <c r="AA1324" s="404"/>
      <c r="AB1324" s="404"/>
      <c r="AC1324" s="404"/>
      <c r="AD1324" s="404"/>
      <c r="AE1324" s="316"/>
      <c r="AF1324" s="316"/>
      <c r="AG1324" s="404"/>
      <c r="AH1324" s="316"/>
      <c r="AI1324" s="316"/>
      <c r="AJ1324" s="316"/>
      <c r="AK1324" s="316"/>
      <c r="AL1324" s="316"/>
      <c r="AM1324" s="416"/>
      <c r="AR1324" s="333"/>
      <c r="AS1324" s="333"/>
      <c r="AT1324" s="333"/>
      <c r="AU1324" s="333"/>
      <c r="AV1324" s="333"/>
    </row>
    <row r="1325" spans="2:48" s="330" customFormat="1" ht="28.15" customHeight="1" x14ac:dyDescent="0.25">
      <c r="B1325" s="331"/>
      <c r="C1325" s="332"/>
      <c r="D1325" s="332"/>
      <c r="E1325" s="333"/>
      <c r="F1325" s="333"/>
      <c r="R1325" s="316"/>
      <c r="S1325" s="404"/>
      <c r="T1325" s="404"/>
      <c r="U1325" s="404"/>
      <c r="V1325" s="404"/>
      <c r="W1325" s="316"/>
      <c r="X1325" s="316"/>
      <c r="Y1325" s="316"/>
      <c r="Z1325" s="316"/>
      <c r="AA1325" s="404"/>
      <c r="AB1325" s="404"/>
      <c r="AC1325" s="404"/>
      <c r="AD1325" s="404"/>
      <c r="AE1325" s="316"/>
      <c r="AF1325" s="316"/>
      <c r="AG1325" s="404"/>
      <c r="AH1325" s="316"/>
      <c r="AI1325" s="316"/>
      <c r="AJ1325" s="316"/>
      <c r="AK1325" s="316"/>
      <c r="AL1325" s="316"/>
      <c r="AM1325" s="416"/>
      <c r="AR1325" s="333"/>
      <c r="AS1325" s="333"/>
      <c r="AT1325" s="333"/>
      <c r="AU1325" s="333"/>
      <c r="AV1325" s="333"/>
    </row>
    <row r="1326" spans="2:48" s="330" customFormat="1" ht="28.15" customHeight="1" x14ac:dyDescent="0.25">
      <c r="B1326" s="331"/>
      <c r="C1326" s="332"/>
      <c r="D1326" s="332"/>
      <c r="E1326" s="333"/>
      <c r="F1326" s="333"/>
      <c r="R1326" s="316"/>
      <c r="S1326" s="404"/>
      <c r="T1326" s="404"/>
      <c r="U1326" s="404"/>
      <c r="V1326" s="404"/>
      <c r="W1326" s="316"/>
      <c r="X1326" s="316"/>
      <c r="Y1326" s="316"/>
      <c r="Z1326" s="316"/>
      <c r="AA1326" s="404"/>
      <c r="AB1326" s="404"/>
      <c r="AC1326" s="404"/>
      <c r="AD1326" s="404"/>
      <c r="AE1326" s="316"/>
      <c r="AF1326" s="316"/>
      <c r="AG1326" s="404"/>
      <c r="AH1326" s="316"/>
      <c r="AI1326" s="316"/>
      <c r="AJ1326" s="316"/>
      <c r="AK1326" s="316"/>
      <c r="AL1326" s="316"/>
      <c r="AM1326" s="416"/>
      <c r="AR1326" s="333"/>
      <c r="AS1326" s="333"/>
      <c r="AT1326" s="333"/>
      <c r="AU1326" s="333"/>
      <c r="AV1326" s="333"/>
    </row>
    <row r="1327" spans="2:48" s="330" customFormat="1" ht="28.15" customHeight="1" x14ac:dyDescent="0.25">
      <c r="B1327" s="331"/>
      <c r="C1327" s="332"/>
      <c r="D1327" s="332"/>
      <c r="E1327" s="333"/>
      <c r="F1327" s="333"/>
      <c r="R1327" s="316"/>
      <c r="S1327" s="404"/>
      <c r="T1327" s="404"/>
      <c r="U1327" s="404"/>
      <c r="V1327" s="404"/>
      <c r="W1327" s="316"/>
      <c r="X1327" s="316"/>
      <c r="Y1327" s="316"/>
      <c r="Z1327" s="316"/>
      <c r="AA1327" s="404"/>
      <c r="AB1327" s="404"/>
      <c r="AC1327" s="404"/>
      <c r="AD1327" s="404"/>
      <c r="AE1327" s="316"/>
      <c r="AF1327" s="316"/>
      <c r="AG1327" s="404"/>
      <c r="AH1327" s="316"/>
      <c r="AI1327" s="316"/>
      <c r="AJ1327" s="316"/>
      <c r="AK1327" s="316"/>
      <c r="AL1327" s="316"/>
      <c r="AM1327" s="416"/>
      <c r="AR1327" s="333"/>
      <c r="AS1327" s="333"/>
      <c r="AT1327" s="333"/>
      <c r="AU1327" s="333"/>
      <c r="AV1327" s="333"/>
    </row>
    <row r="1328" spans="2:48" s="330" customFormat="1" ht="28.15" customHeight="1" x14ac:dyDescent="0.25">
      <c r="B1328" s="331"/>
      <c r="C1328" s="332"/>
      <c r="D1328" s="332"/>
      <c r="E1328" s="333"/>
      <c r="F1328" s="333"/>
      <c r="R1328" s="316"/>
      <c r="S1328" s="404"/>
      <c r="T1328" s="404"/>
      <c r="U1328" s="404"/>
      <c r="V1328" s="404"/>
      <c r="W1328" s="316"/>
      <c r="X1328" s="316"/>
      <c r="Y1328" s="316"/>
      <c r="Z1328" s="316"/>
      <c r="AA1328" s="404"/>
      <c r="AB1328" s="404"/>
      <c r="AC1328" s="404"/>
      <c r="AD1328" s="404"/>
      <c r="AE1328" s="316"/>
      <c r="AF1328" s="316"/>
      <c r="AG1328" s="404"/>
      <c r="AH1328" s="316"/>
      <c r="AI1328" s="316"/>
      <c r="AJ1328" s="316"/>
      <c r="AK1328" s="316"/>
      <c r="AL1328" s="316"/>
      <c r="AM1328" s="416"/>
      <c r="AR1328" s="333"/>
      <c r="AS1328" s="333"/>
      <c r="AT1328" s="333"/>
      <c r="AU1328" s="333"/>
      <c r="AV1328" s="333"/>
    </row>
    <row r="1329" spans="2:48" s="330" customFormat="1" ht="28.15" customHeight="1" x14ac:dyDescent="0.25">
      <c r="B1329" s="331"/>
      <c r="C1329" s="332"/>
      <c r="D1329" s="332"/>
      <c r="E1329" s="333"/>
      <c r="F1329" s="333"/>
      <c r="R1329" s="316"/>
      <c r="S1329" s="404"/>
      <c r="T1329" s="404"/>
      <c r="U1329" s="404"/>
      <c r="V1329" s="404"/>
      <c r="W1329" s="316"/>
      <c r="X1329" s="316"/>
      <c r="Y1329" s="316"/>
      <c r="Z1329" s="316"/>
      <c r="AA1329" s="404"/>
      <c r="AB1329" s="404"/>
      <c r="AC1329" s="404"/>
      <c r="AD1329" s="404"/>
      <c r="AE1329" s="316"/>
      <c r="AF1329" s="316"/>
      <c r="AG1329" s="404"/>
      <c r="AH1329" s="316"/>
      <c r="AI1329" s="316"/>
      <c r="AJ1329" s="316"/>
      <c r="AK1329" s="316"/>
      <c r="AL1329" s="316"/>
      <c r="AM1329" s="416"/>
      <c r="AR1329" s="333"/>
      <c r="AS1329" s="333"/>
      <c r="AT1329" s="333"/>
      <c r="AU1329" s="333"/>
      <c r="AV1329" s="333"/>
    </row>
    <row r="1330" spans="2:48" s="330" customFormat="1" ht="28.15" customHeight="1" x14ac:dyDescent="0.25">
      <c r="B1330" s="331"/>
      <c r="C1330" s="332"/>
      <c r="D1330" s="332"/>
      <c r="E1330" s="333"/>
      <c r="F1330" s="333"/>
      <c r="R1330" s="316"/>
      <c r="S1330" s="404"/>
      <c r="T1330" s="404"/>
      <c r="U1330" s="404"/>
      <c r="V1330" s="404"/>
      <c r="W1330" s="316"/>
      <c r="X1330" s="316"/>
      <c r="Y1330" s="316"/>
      <c r="Z1330" s="316"/>
      <c r="AA1330" s="404"/>
      <c r="AB1330" s="404"/>
      <c r="AC1330" s="404"/>
      <c r="AD1330" s="404"/>
      <c r="AE1330" s="316"/>
      <c r="AF1330" s="316"/>
      <c r="AG1330" s="404"/>
      <c r="AH1330" s="316"/>
      <c r="AI1330" s="316"/>
      <c r="AJ1330" s="316"/>
      <c r="AK1330" s="316"/>
      <c r="AL1330" s="316"/>
      <c r="AM1330" s="416"/>
      <c r="AR1330" s="333"/>
      <c r="AS1330" s="333"/>
      <c r="AT1330" s="333"/>
      <c r="AU1330" s="333"/>
      <c r="AV1330" s="333"/>
    </row>
    <row r="1331" spans="2:48" s="330" customFormat="1" ht="28.15" customHeight="1" x14ac:dyDescent="0.25">
      <c r="B1331" s="331"/>
      <c r="C1331" s="332"/>
      <c r="D1331" s="332"/>
      <c r="E1331" s="333"/>
      <c r="F1331" s="333"/>
      <c r="R1331" s="316"/>
      <c r="S1331" s="404"/>
      <c r="T1331" s="404"/>
      <c r="U1331" s="404"/>
      <c r="V1331" s="404"/>
      <c r="W1331" s="316"/>
      <c r="X1331" s="316"/>
      <c r="Y1331" s="316"/>
      <c r="Z1331" s="316"/>
      <c r="AA1331" s="404"/>
      <c r="AB1331" s="404"/>
      <c r="AC1331" s="404"/>
      <c r="AD1331" s="404"/>
      <c r="AE1331" s="316"/>
      <c r="AF1331" s="316"/>
      <c r="AG1331" s="404"/>
      <c r="AH1331" s="316"/>
      <c r="AI1331" s="316"/>
      <c r="AJ1331" s="316"/>
      <c r="AK1331" s="316"/>
      <c r="AL1331" s="316"/>
      <c r="AM1331" s="416"/>
      <c r="AR1331" s="333"/>
      <c r="AS1331" s="333"/>
      <c r="AT1331" s="333"/>
      <c r="AU1331" s="333"/>
      <c r="AV1331" s="333"/>
    </row>
    <row r="1332" spans="2:48" s="330" customFormat="1" ht="28.15" customHeight="1" x14ac:dyDescent="0.25">
      <c r="B1332" s="331"/>
      <c r="C1332" s="332"/>
      <c r="D1332" s="332"/>
      <c r="E1332" s="333"/>
      <c r="F1332" s="333"/>
      <c r="R1332" s="316"/>
      <c r="S1332" s="404"/>
      <c r="T1332" s="404"/>
      <c r="U1332" s="404"/>
      <c r="V1332" s="404"/>
      <c r="W1332" s="316"/>
      <c r="X1332" s="316"/>
      <c r="Y1332" s="316"/>
      <c r="Z1332" s="316"/>
      <c r="AA1332" s="404"/>
      <c r="AB1332" s="404"/>
      <c r="AC1332" s="404"/>
      <c r="AD1332" s="404"/>
      <c r="AE1332" s="316"/>
      <c r="AF1332" s="316"/>
      <c r="AG1332" s="404"/>
      <c r="AH1332" s="316"/>
      <c r="AI1332" s="316"/>
      <c r="AJ1332" s="316"/>
      <c r="AK1332" s="316"/>
      <c r="AL1332" s="316"/>
      <c r="AM1332" s="416"/>
      <c r="AR1332" s="333"/>
      <c r="AS1332" s="333"/>
      <c r="AT1332" s="333"/>
      <c r="AU1332" s="333"/>
      <c r="AV1332" s="333"/>
    </row>
    <row r="1333" spans="2:48" s="330" customFormat="1" ht="28.15" customHeight="1" x14ac:dyDescent="0.25">
      <c r="B1333" s="331"/>
      <c r="C1333" s="332"/>
      <c r="D1333" s="332"/>
      <c r="E1333" s="333"/>
      <c r="F1333" s="333"/>
      <c r="R1333" s="316"/>
      <c r="S1333" s="404"/>
      <c r="T1333" s="404"/>
      <c r="U1333" s="404"/>
      <c r="V1333" s="404"/>
      <c r="W1333" s="316"/>
      <c r="X1333" s="316"/>
      <c r="Y1333" s="316"/>
      <c r="Z1333" s="316"/>
      <c r="AA1333" s="404"/>
      <c r="AB1333" s="404"/>
      <c r="AC1333" s="404"/>
      <c r="AD1333" s="404"/>
      <c r="AE1333" s="316"/>
      <c r="AF1333" s="316"/>
      <c r="AG1333" s="404"/>
      <c r="AH1333" s="316"/>
      <c r="AI1333" s="316"/>
      <c r="AJ1333" s="316"/>
      <c r="AK1333" s="316"/>
      <c r="AL1333" s="316"/>
      <c r="AM1333" s="416"/>
      <c r="AR1333" s="333"/>
      <c r="AS1333" s="333"/>
      <c r="AT1333" s="333"/>
      <c r="AU1333" s="333"/>
      <c r="AV1333" s="333"/>
    </row>
    <row r="1334" spans="2:48" s="330" customFormat="1" ht="28.15" customHeight="1" x14ac:dyDescent="0.25">
      <c r="B1334" s="331"/>
      <c r="C1334" s="332"/>
      <c r="D1334" s="332"/>
      <c r="E1334" s="333"/>
      <c r="F1334" s="333"/>
      <c r="R1334" s="316"/>
      <c r="S1334" s="404"/>
      <c r="T1334" s="404"/>
      <c r="U1334" s="404"/>
      <c r="V1334" s="404"/>
      <c r="W1334" s="316"/>
      <c r="X1334" s="316"/>
      <c r="Y1334" s="316"/>
      <c r="Z1334" s="316"/>
      <c r="AA1334" s="404"/>
      <c r="AB1334" s="404"/>
      <c r="AC1334" s="404"/>
      <c r="AD1334" s="404"/>
      <c r="AE1334" s="316"/>
      <c r="AF1334" s="316"/>
      <c r="AG1334" s="404"/>
      <c r="AH1334" s="316"/>
      <c r="AI1334" s="316"/>
      <c r="AJ1334" s="316"/>
      <c r="AK1334" s="316"/>
      <c r="AL1334" s="316"/>
      <c r="AM1334" s="416"/>
      <c r="AR1334" s="333"/>
      <c r="AS1334" s="333"/>
      <c r="AT1334" s="333"/>
      <c r="AU1334" s="333"/>
      <c r="AV1334" s="333"/>
    </row>
    <row r="1335" spans="2:48" s="330" customFormat="1" ht="28.15" customHeight="1" x14ac:dyDescent="0.25">
      <c r="B1335" s="331"/>
      <c r="C1335" s="332"/>
      <c r="D1335" s="332"/>
      <c r="E1335" s="333"/>
      <c r="F1335" s="333"/>
      <c r="R1335" s="316"/>
      <c r="S1335" s="404"/>
      <c r="T1335" s="404"/>
      <c r="U1335" s="404"/>
      <c r="V1335" s="404"/>
      <c r="W1335" s="316"/>
      <c r="X1335" s="316"/>
      <c r="Y1335" s="316"/>
      <c r="Z1335" s="316"/>
      <c r="AA1335" s="404"/>
      <c r="AB1335" s="404"/>
      <c r="AC1335" s="404"/>
      <c r="AD1335" s="404"/>
      <c r="AE1335" s="316"/>
      <c r="AF1335" s="316"/>
      <c r="AG1335" s="404"/>
      <c r="AH1335" s="316"/>
      <c r="AI1335" s="316"/>
      <c r="AJ1335" s="316"/>
      <c r="AK1335" s="316"/>
      <c r="AL1335" s="316"/>
      <c r="AM1335" s="416"/>
      <c r="AR1335" s="333"/>
      <c r="AS1335" s="333"/>
      <c r="AT1335" s="333"/>
      <c r="AU1335" s="333"/>
      <c r="AV1335" s="333"/>
    </row>
    <row r="1336" spans="2:48" s="330" customFormat="1" ht="28.15" customHeight="1" x14ac:dyDescent="0.25">
      <c r="B1336" s="331"/>
      <c r="C1336" s="332"/>
      <c r="D1336" s="332"/>
      <c r="E1336" s="333"/>
      <c r="F1336" s="333"/>
      <c r="R1336" s="316"/>
      <c r="S1336" s="404"/>
      <c r="T1336" s="404"/>
      <c r="U1336" s="404"/>
      <c r="V1336" s="404"/>
      <c r="W1336" s="316"/>
      <c r="X1336" s="316"/>
      <c r="Y1336" s="316"/>
      <c r="Z1336" s="316"/>
      <c r="AA1336" s="404"/>
      <c r="AB1336" s="404"/>
      <c r="AC1336" s="404"/>
      <c r="AD1336" s="404"/>
      <c r="AE1336" s="316"/>
      <c r="AF1336" s="316"/>
      <c r="AG1336" s="404"/>
      <c r="AH1336" s="316"/>
      <c r="AI1336" s="316"/>
      <c r="AJ1336" s="316"/>
      <c r="AK1336" s="316"/>
      <c r="AL1336" s="316"/>
      <c r="AM1336" s="416"/>
      <c r="AR1336" s="333"/>
      <c r="AS1336" s="333"/>
      <c r="AT1336" s="333"/>
      <c r="AU1336" s="333"/>
      <c r="AV1336" s="333"/>
    </row>
    <row r="1337" spans="2:48" s="330" customFormat="1" ht="28.15" customHeight="1" x14ac:dyDescent="0.25">
      <c r="B1337" s="331"/>
      <c r="C1337" s="332"/>
      <c r="D1337" s="332"/>
      <c r="E1337" s="333"/>
      <c r="F1337" s="333"/>
      <c r="R1337" s="316"/>
      <c r="S1337" s="404"/>
      <c r="T1337" s="404"/>
      <c r="U1337" s="404"/>
      <c r="V1337" s="404"/>
      <c r="W1337" s="316"/>
      <c r="X1337" s="316"/>
      <c r="Y1337" s="316"/>
      <c r="Z1337" s="316"/>
      <c r="AA1337" s="404"/>
      <c r="AB1337" s="404"/>
      <c r="AC1337" s="404"/>
      <c r="AD1337" s="404"/>
      <c r="AE1337" s="316"/>
      <c r="AF1337" s="316"/>
      <c r="AG1337" s="404"/>
      <c r="AH1337" s="316"/>
      <c r="AI1337" s="316"/>
      <c r="AJ1337" s="316"/>
      <c r="AK1337" s="316"/>
      <c r="AL1337" s="316"/>
      <c r="AM1337" s="416"/>
      <c r="AR1337" s="333"/>
      <c r="AS1337" s="333"/>
      <c r="AT1337" s="333"/>
      <c r="AU1337" s="333"/>
      <c r="AV1337" s="333"/>
    </row>
    <row r="1338" spans="2:48" s="330" customFormat="1" ht="28.15" customHeight="1" x14ac:dyDescent="0.25">
      <c r="B1338" s="331"/>
      <c r="C1338" s="332"/>
      <c r="D1338" s="332"/>
      <c r="E1338" s="333"/>
      <c r="F1338" s="333"/>
      <c r="R1338" s="316"/>
      <c r="S1338" s="404"/>
      <c r="T1338" s="404"/>
      <c r="U1338" s="404"/>
      <c r="V1338" s="404"/>
      <c r="W1338" s="316"/>
      <c r="X1338" s="316"/>
      <c r="Y1338" s="316"/>
      <c r="Z1338" s="316"/>
      <c r="AA1338" s="404"/>
      <c r="AB1338" s="404"/>
      <c r="AC1338" s="404"/>
      <c r="AD1338" s="404"/>
      <c r="AE1338" s="316"/>
      <c r="AF1338" s="316"/>
      <c r="AG1338" s="404"/>
      <c r="AH1338" s="316"/>
      <c r="AI1338" s="316"/>
      <c r="AJ1338" s="316"/>
      <c r="AK1338" s="316"/>
      <c r="AL1338" s="316"/>
      <c r="AM1338" s="416"/>
      <c r="AR1338" s="333"/>
      <c r="AS1338" s="333"/>
      <c r="AT1338" s="333"/>
      <c r="AU1338" s="333"/>
      <c r="AV1338" s="333"/>
    </row>
    <row r="1339" spans="2:48" s="330" customFormat="1" ht="28.15" customHeight="1" x14ac:dyDescent="0.25">
      <c r="B1339" s="331"/>
      <c r="C1339" s="332"/>
      <c r="D1339" s="332"/>
      <c r="E1339" s="333"/>
      <c r="F1339" s="333"/>
      <c r="R1339" s="316"/>
      <c r="S1339" s="404"/>
      <c r="T1339" s="404"/>
      <c r="U1339" s="404"/>
      <c r="V1339" s="404"/>
      <c r="W1339" s="316"/>
      <c r="X1339" s="316"/>
      <c r="Y1339" s="316"/>
      <c r="Z1339" s="316"/>
      <c r="AA1339" s="404"/>
      <c r="AB1339" s="404"/>
      <c r="AC1339" s="404"/>
      <c r="AD1339" s="404"/>
      <c r="AE1339" s="316"/>
      <c r="AF1339" s="316"/>
      <c r="AG1339" s="404"/>
      <c r="AH1339" s="316"/>
      <c r="AI1339" s="316"/>
      <c r="AJ1339" s="316"/>
      <c r="AK1339" s="316"/>
      <c r="AL1339" s="316"/>
      <c r="AM1339" s="416"/>
      <c r="AR1339" s="333"/>
      <c r="AS1339" s="333"/>
      <c r="AT1339" s="333"/>
      <c r="AU1339" s="333"/>
      <c r="AV1339" s="333"/>
    </row>
    <row r="1340" spans="2:48" s="330" customFormat="1" ht="28.15" customHeight="1" x14ac:dyDescent="0.25">
      <c r="B1340" s="331"/>
      <c r="C1340" s="332"/>
      <c r="D1340" s="332"/>
      <c r="E1340" s="333"/>
      <c r="F1340" s="333"/>
      <c r="R1340" s="316"/>
      <c r="S1340" s="404"/>
      <c r="T1340" s="404"/>
      <c r="U1340" s="404"/>
      <c r="V1340" s="404"/>
      <c r="W1340" s="316"/>
      <c r="X1340" s="316"/>
      <c r="Y1340" s="316"/>
      <c r="Z1340" s="316"/>
      <c r="AA1340" s="404"/>
      <c r="AB1340" s="404"/>
      <c r="AC1340" s="404"/>
      <c r="AD1340" s="404"/>
      <c r="AE1340" s="316"/>
      <c r="AF1340" s="316"/>
      <c r="AG1340" s="404"/>
      <c r="AH1340" s="316"/>
      <c r="AI1340" s="316"/>
      <c r="AJ1340" s="316"/>
      <c r="AK1340" s="316"/>
      <c r="AL1340" s="316"/>
      <c r="AM1340" s="416"/>
      <c r="AR1340" s="333"/>
      <c r="AS1340" s="333"/>
      <c r="AT1340" s="333"/>
      <c r="AU1340" s="333"/>
      <c r="AV1340" s="333"/>
    </row>
    <row r="1341" spans="2:48" s="330" customFormat="1" ht="28.15" customHeight="1" x14ac:dyDescent="0.25">
      <c r="B1341" s="331"/>
      <c r="C1341" s="332"/>
      <c r="D1341" s="332"/>
      <c r="E1341" s="333"/>
      <c r="F1341" s="333"/>
      <c r="R1341" s="316"/>
      <c r="S1341" s="404"/>
      <c r="T1341" s="404"/>
      <c r="U1341" s="404"/>
      <c r="V1341" s="404"/>
      <c r="W1341" s="316"/>
      <c r="X1341" s="316"/>
      <c r="Y1341" s="316"/>
      <c r="Z1341" s="316"/>
      <c r="AA1341" s="404"/>
      <c r="AB1341" s="404"/>
      <c r="AC1341" s="404"/>
      <c r="AD1341" s="404"/>
      <c r="AE1341" s="316"/>
      <c r="AF1341" s="316"/>
      <c r="AG1341" s="404"/>
      <c r="AH1341" s="316"/>
      <c r="AI1341" s="316"/>
      <c r="AJ1341" s="316"/>
      <c r="AK1341" s="316"/>
      <c r="AL1341" s="316"/>
      <c r="AM1341" s="416"/>
      <c r="AR1341" s="333"/>
      <c r="AS1341" s="333"/>
      <c r="AT1341" s="333"/>
      <c r="AU1341" s="333"/>
      <c r="AV1341" s="333"/>
    </row>
    <row r="1342" spans="2:48" s="330" customFormat="1" ht="28.15" customHeight="1" x14ac:dyDescent="0.25">
      <c r="B1342" s="331"/>
      <c r="C1342" s="332"/>
      <c r="D1342" s="332"/>
      <c r="E1342" s="333"/>
      <c r="F1342" s="333"/>
      <c r="R1342" s="316"/>
      <c r="S1342" s="404"/>
      <c r="T1342" s="404"/>
      <c r="U1342" s="404"/>
      <c r="V1342" s="404"/>
      <c r="W1342" s="316"/>
      <c r="X1342" s="316"/>
      <c r="Y1342" s="316"/>
      <c r="Z1342" s="316"/>
      <c r="AA1342" s="404"/>
      <c r="AB1342" s="404"/>
      <c r="AC1342" s="404"/>
      <c r="AD1342" s="404"/>
      <c r="AE1342" s="316"/>
      <c r="AF1342" s="316"/>
      <c r="AG1342" s="404"/>
      <c r="AH1342" s="316"/>
      <c r="AI1342" s="316"/>
      <c r="AJ1342" s="316"/>
      <c r="AK1342" s="316"/>
      <c r="AL1342" s="316"/>
      <c r="AM1342" s="416"/>
      <c r="AR1342" s="333"/>
      <c r="AS1342" s="333"/>
      <c r="AT1342" s="333"/>
      <c r="AU1342" s="333"/>
      <c r="AV1342" s="333"/>
    </row>
    <row r="1343" spans="2:48" s="330" customFormat="1" ht="28.15" customHeight="1" x14ac:dyDescent="0.25">
      <c r="B1343" s="331"/>
      <c r="C1343" s="332"/>
      <c r="D1343" s="332"/>
      <c r="E1343" s="333"/>
      <c r="F1343" s="333"/>
      <c r="R1343" s="316"/>
      <c r="S1343" s="404"/>
      <c r="T1343" s="404"/>
      <c r="U1343" s="404"/>
      <c r="V1343" s="404"/>
      <c r="W1343" s="316"/>
      <c r="X1343" s="316"/>
      <c r="Y1343" s="316"/>
      <c r="Z1343" s="316"/>
      <c r="AA1343" s="404"/>
      <c r="AB1343" s="404"/>
      <c r="AC1343" s="404"/>
      <c r="AD1343" s="404"/>
      <c r="AE1343" s="316"/>
      <c r="AF1343" s="316"/>
      <c r="AG1343" s="404"/>
      <c r="AH1343" s="316"/>
      <c r="AI1343" s="316"/>
      <c r="AJ1343" s="316"/>
      <c r="AK1343" s="316"/>
      <c r="AL1343" s="316"/>
      <c r="AM1343" s="416"/>
      <c r="AR1343" s="333"/>
      <c r="AS1343" s="333"/>
      <c r="AT1343" s="333"/>
      <c r="AU1343" s="333"/>
      <c r="AV1343" s="333"/>
    </row>
    <row r="1344" spans="2:48" s="330" customFormat="1" ht="28.15" customHeight="1" x14ac:dyDescent="0.25">
      <c r="B1344" s="331"/>
      <c r="C1344" s="332"/>
      <c r="D1344" s="332"/>
      <c r="E1344" s="333"/>
      <c r="F1344" s="333"/>
      <c r="R1344" s="316"/>
      <c r="S1344" s="404"/>
      <c r="T1344" s="404"/>
      <c r="U1344" s="404"/>
      <c r="V1344" s="404"/>
      <c r="W1344" s="316"/>
      <c r="X1344" s="316"/>
      <c r="Y1344" s="316"/>
      <c r="Z1344" s="316"/>
      <c r="AA1344" s="404"/>
      <c r="AB1344" s="404"/>
      <c r="AC1344" s="404"/>
      <c r="AD1344" s="404"/>
      <c r="AE1344" s="316"/>
      <c r="AF1344" s="316"/>
      <c r="AG1344" s="404"/>
      <c r="AH1344" s="316"/>
      <c r="AI1344" s="316"/>
      <c r="AJ1344" s="316"/>
      <c r="AK1344" s="316"/>
      <c r="AL1344" s="316"/>
      <c r="AM1344" s="416"/>
      <c r="AR1344" s="333"/>
      <c r="AS1344" s="333"/>
      <c r="AT1344" s="333"/>
      <c r="AU1344" s="333"/>
      <c r="AV1344" s="333"/>
    </row>
    <row r="1345" spans="2:48" s="330" customFormat="1" ht="28.15" customHeight="1" x14ac:dyDescent="0.25">
      <c r="B1345" s="331"/>
      <c r="C1345" s="332"/>
      <c r="D1345" s="332"/>
      <c r="E1345" s="333"/>
      <c r="F1345" s="333"/>
      <c r="R1345" s="316"/>
      <c r="S1345" s="404"/>
      <c r="T1345" s="404"/>
      <c r="U1345" s="404"/>
      <c r="V1345" s="404"/>
      <c r="W1345" s="316"/>
      <c r="X1345" s="316"/>
      <c r="Y1345" s="316"/>
      <c r="Z1345" s="316"/>
      <c r="AA1345" s="404"/>
      <c r="AB1345" s="404"/>
      <c r="AC1345" s="404"/>
      <c r="AD1345" s="404"/>
      <c r="AE1345" s="316"/>
      <c r="AF1345" s="316"/>
      <c r="AG1345" s="404"/>
      <c r="AH1345" s="316"/>
      <c r="AI1345" s="316"/>
      <c r="AJ1345" s="316"/>
      <c r="AK1345" s="316"/>
      <c r="AL1345" s="316"/>
      <c r="AM1345" s="416"/>
      <c r="AR1345" s="333"/>
      <c r="AS1345" s="333"/>
      <c r="AT1345" s="333"/>
      <c r="AU1345" s="333"/>
      <c r="AV1345" s="333"/>
    </row>
    <row r="1346" spans="2:48" s="330" customFormat="1" ht="28.15" customHeight="1" x14ac:dyDescent="0.25">
      <c r="B1346" s="331"/>
      <c r="C1346" s="332"/>
      <c r="D1346" s="332"/>
      <c r="E1346" s="333"/>
      <c r="F1346" s="333"/>
      <c r="R1346" s="316"/>
      <c r="S1346" s="404"/>
      <c r="T1346" s="404"/>
      <c r="U1346" s="404"/>
      <c r="V1346" s="404"/>
      <c r="W1346" s="316"/>
      <c r="X1346" s="316"/>
      <c r="Y1346" s="316"/>
      <c r="Z1346" s="316"/>
      <c r="AA1346" s="404"/>
      <c r="AB1346" s="404"/>
      <c r="AC1346" s="404"/>
      <c r="AD1346" s="404"/>
      <c r="AE1346" s="316"/>
      <c r="AF1346" s="316"/>
      <c r="AG1346" s="404"/>
      <c r="AH1346" s="316"/>
      <c r="AI1346" s="316"/>
      <c r="AJ1346" s="316"/>
      <c r="AK1346" s="316"/>
      <c r="AL1346" s="316"/>
      <c r="AM1346" s="416"/>
      <c r="AR1346" s="333"/>
      <c r="AS1346" s="333"/>
      <c r="AT1346" s="333"/>
      <c r="AU1346" s="333"/>
      <c r="AV1346" s="333"/>
    </row>
    <row r="1347" spans="2:48" s="330" customFormat="1" ht="28.15" customHeight="1" x14ac:dyDescent="0.25">
      <c r="B1347" s="331"/>
      <c r="C1347" s="332"/>
      <c r="D1347" s="332"/>
      <c r="E1347" s="333"/>
      <c r="F1347" s="333"/>
      <c r="R1347" s="316"/>
      <c r="S1347" s="404"/>
      <c r="T1347" s="404"/>
      <c r="U1347" s="404"/>
      <c r="V1347" s="404"/>
      <c r="W1347" s="316"/>
      <c r="X1347" s="316"/>
      <c r="Y1347" s="316"/>
      <c r="Z1347" s="316"/>
      <c r="AA1347" s="404"/>
      <c r="AB1347" s="404"/>
      <c r="AC1347" s="404"/>
      <c r="AD1347" s="404"/>
      <c r="AE1347" s="316"/>
      <c r="AF1347" s="316"/>
      <c r="AG1347" s="404"/>
      <c r="AH1347" s="316"/>
      <c r="AI1347" s="316"/>
      <c r="AJ1347" s="316"/>
      <c r="AK1347" s="316"/>
      <c r="AL1347" s="316"/>
      <c r="AM1347" s="416"/>
      <c r="AR1347" s="333"/>
      <c r="AS1347" s="333"/>
      <c r="AT1347" s="333"/>
      <c r="AU1347" s="333"/>
      <c r="AV1347" s="333"/>
    </row>
    <row r="1348" spans="2:48" s="330" customFormat="1" ht="28.15" customHeight="1" x14ac:dyDescent="0.25">
      <c r="B1348" s="331"/>
      <c r="C1348" s="332"/>
      <c r="D1348" s="332"/>
      <c r="E1348" s="333"/>
      <c r="F1348" s="333"/>
      <c r="R1348" s="316"/>
      <c r="S1348" s="404"/>
      <c r="T1348" s="404"/>
      <c r="U1348" s="404"/>
      <c r="V1348" s="404"/>
      <c r="W1348" s="316"/>
      <c r="X1348" s="316"/>
      <c r="Y1348" s="316"/>
      <c r="Z1348" s="316"/>
      <c r="AA1348" s="404"/>
      <c r="AB1348" s="404"/>
      <c r="AC1348" s="404"/>
      <c r="AD1348" s="404"/>
      <c r="AE1348" s="316"/>
      <c r="AF1348" s="316"/>
      <c r="AG1348" s="404"/>
      <c r="AH1348" s="316"/>
      <c r="AI1348" s="316"/>
      <c r="AJ1348" s="316"/>
      <c r="AK1348" s="316"/>
      <c r="AL1348" s="316"/>
      <c r="AM1348" s="416"/>
      <c r="AR1348" s="333"/>
      <c r="AS1348" s="333"/>
      <c r="AT1348" s="333"/>
      <c r="AU1348" s="333"/>
      <c r="AV1348" s="333"/>
    </row>
    <row r="1349" spans="2:48" s="330" customFormat="1" ht="28.15" customHeight="1" x14ac:dyDescent="0.25">
      <c r="B1349" s="331"/>
      <c r="C1349" s="332"/>
      <c r="D1349" s="332"/>
      <c r="E1349" s="333"/>
      <c r="F1349" s="333"/>
      <c r="R1349" s="316"/>
      <c r="S1349" s="404"/>
      <c r="T1349" s="404"/>
      <c r="U1349" s="404"/>
      <c r="V1349" s="404"/>
      <c r="W1349" s="316"/>
      <c r="X1349" s="316"/>
      <c r="Y1349" s="316"/>
      <c r="Z1349" s="316"/>
      <c r="AA1349" s="404"/>
      <c r="AB1349" s="404"/>
      <c r="AC1349" s="404"/>
      <c r="AD1349" s="404"/>
      <c r="AE1349" s="316"/>
      <c r="AF1349" s="316"/>
      <c r="AG1349" s="404"/>
      <c r="AH1349" s="316"/>
      <c r="AI1349" s="316"/>
      <c r="AJ1349" s="316"/>
      <c r="AK1349" s="316"/>
      <c r="AL1349" s="316"/>
      <c r="AM1349" s="416"/>
      <c r="AR1349" s="333"/>
      <c r="AS1349" s="333"/>
      <c r="AT1349" s="333"/>
      <c r="AU1349" s="333"/>
      <c r="AV1349" s="333"/>
    </row>
    <row r="1350" spans="2:48" s="330" customFormat="1" ht="28.15" customHeight="1" x14ac:dyDescent="0.25">
      <c r="B1350" s="331"/>
      <c r="C1350" s="332"/>
      <c r="D1350" s="332"/>
      <c r="E1350" s="333"/>
      <c r="F1350" s="333"/>
      <c r="R1350" s="316"/>
      <c r="S1350" s="404"/>
      <c r="T1350" s="404"/>
      <c r="U1350" s="404"/>
      <c r="V1350" s="404"/>
      <c r="W1350" s="316"/>
      <c r="X1350" s="316"/>
      <c r="Y1350" s="316"/>
      <c r="Z1350" s="316"/>
      <c r="AA1350" s="404"/>
      <c r="AB1350" s="404"/>
      <c r="AC1350" s="404"/>
      <c r="AD1350" s="404"/>
      <c r="AE1350" s="316"/>
      <c r="AF1350" s="316"/>
      <c r="AG1350" s="404"/>
      <c r="AH1350" s="316"/>
      <c r="AI1350" s="316"/>
      <c r="AJ1350" s="316"/>
      <c r="AK1350" s="316"/>
      <c r="AL1350" s="316"/>
      <c r="AM1350" s="416"/>
      <c r="AR1350" s="333"/>
      <c r="AS1350" s="333"/>
      <c r="AT1350" s="333"/>
      <c r="AU1350" s="333"/>
      <c r="AV1350" s="333"/>
    </row>
    <row r="1351" spans="2:48" s="330" customFormat="1" ht="28.15" customHeight="1" x14ac:dyDescent="0.25">
      <c r="B1351" s="331"/>
      <c r="C1351" s="332"/>
      <c r="D1351" s="332"/>
      <c r="E1351" s="333"/>
      <c r="F1351" s="333"/>
      <c r="R1351" s="316"/>
      <c r="S1351" s="404"/>
      <c r="T1351" s="404"/>
      <c r="U1351" s="404"/>
      <c r="V1351" s="404"/>
      <c r="W1351" s="316"/>
      <c r="X1351" s="316"/>
      <c r="Y1351" s="316"/>
      <c r="Z1351" s="316"/>
      <c r="AA1351" s="404"/>
      <c r="AB1351" s="404"/>
      <c r="AC1351" s="404"/>
      <c r="AD1351" s="404"/>
      <c r="AE1351" s="316"/>
      <c r="AF1351" s="316"/>
      <c r="AG1351" s="404"/>
      <c r="AH1351" s="316"/>
      <c r="AI1351" s="316"/>
      <c r="AJ1351" s="316"/>
      <c r="AK1351" s="316"/>
      <c r="AL1351" s="316"/>
      <c r="AM1351" s="416"/>
      <c r="AR1351" s="333"/>
      <c r="AS1351" s="333"/>
      <c r="AT1351" s="333"/>
      <c r="AU1351" s="333"/>
      <c r="AV1351" s="333"/>
    </row>
    <row r="1352" spans="2:48" s="330" customFormat="1" ht="28.15" customHeight="1" x14ac:dyDescent="0.25">
      <c r="B1352" s="331"/>
      <c r="C1352" s="332"/>
      <c r="D1352" s="332"/>
      <c r="E1352" s="333"/>
      <c r="F1352" s="333"/>
      <c r="R1352" s="316"/>
      <c r="S1352" s="404"/>
      <c r="T1352" s="404"/>
      <c r="U1352" s="404"/>
      <c r="V1352" s="404"/>
      <c r="W1352" s="316"/>
      <c r="X1352" s="316"/>
      <c r="Y1352" s="316"/>
      <c r="Z1352" s="316"/>
      <c r="AA1352" s="404"/>
      <c r="AB1352" s="404"/>
      <c r="AC1352" s="404"/>
      <c r="AD1352" s="404"/>
      <c r="AE1352" s="316"/>
      <c r="AF1352" s="316"/>
      <c r="AG1352" s="404"/>
      <c r="AH1352" s="316"/>
      <c r="AI1352" s="316"/>
      <c r="AJ1352" s="316"/>
      <c r="AK1352" s="316"/>
      <c r="AL1352" s="316"/>
      <c r="AM1352" s="416"/>
      <c r="AR1352" s="333"/>
      <c r="AS1352" s="333"/>
      <c r="AT1352" s="333"/>
      <c r="AU1352" s="333"/>
      <c r="AV1352" s="333"/>
    </row>
    <row r="1353" spans="2:48" s="330" customFormat="1" ht="28.15" customHeight="1" x14ac:dyDescent="0.25">
      <c r="B1353" s="331"/>
      <c r="C1353" s="332"/>
      <c r="D1353" s="332"/>
      <c r="E1353" s="333"/>
      <c r="F1353" s="333"/>
      <c r="R1353" s="316"/>
      <c r="S1353" s="404"/>
      <c r="T1353" s="404"/>
      <c r="U1353" s="404"/>
      <c r="V1353" s="404"/>
      <c r="W1353" s="316"/>
      <c r="X1353" s="316"/>
      <c r="Y1353" s="316"/>
      <c r="Z1353" s="316"/>
      <c r="AA1353" s="404"/>
      <c r="AB1353" s="404"/>
      <c r="AC1353" s="404"/>
      <c r="AD1353" s="404"/>
      <c r="AE1353" s="316"/>
      <c r="AF1353" s="316"/>
      <c r="AG1353" s="404"/>
      <c r="AH1353" s="316"/>
      <c r="AI1353" s="316"/>
      <c r="AJ1353" s="316"/>
      <c r="AK1353" s="316"/>
      <c r="AL1353" s="316"/>
      <c r="AM1353" s="416"/>
      <c r="AR1353" s="333"/>
      <c r="AS1353" s="333"/>
      <c r="AT1353" s="333"/>
      <c r="AU1353" s="333"/>
      <c r="AV1353" s="333"/>
    </row>
    <row r="1354" spans="2:48" s="330" customFormat="1" ht="28.15" customHeight="1" x14ac:dyDescent="0.25">
      <c r="B1354" s="331"/>
      <c r="C1354" s="332"/>
      <c r="D1354" s="332"/>
      <c r="E1354" s="333"/>
      <c r="F1354" s="333"/>
      <c r="R1354" s="316"/>
      <c r="S1354" s="404"/>
      <c r="T1354" s="404"/>
      <c r="U1354" s="404"/>
      <c r="V1354" s="404"/>
      <c r="W1354" s="316"/>
      <c r="X1354" s="316"/>
      <c r="Y1354" s="316"/>
      <c r="Z1354" s="316"/>
      <c r="AA1354" s="404"/>
      <c r="AB1354" s="404"/>
      <c r="AC1354" s="404"/>
      <c r="AD1354" s="404"/>
      <c r="AE1354" s="316"/>
      <c r="AF1354" s="316"/>
      <c r="AG1354" s="404"/>
      <c r="AH1354" s="316"/>
      <c r="AI1354" s="316"/>
      <c r="AJ1354" s="316"/>
      <c r="AK1354" s="316"/>
      <c r="AL1354" s="316"/>
      <c r="AM1354" s="416"/>
      <c r="AR1354" s="333"/>
      <c r="AS1354" s="333"/>
      <c r="AT1354" s="333"/>
      <c r="AU1354" s="333"/>
      <c r="AV1354" s="333"/>
    </row>
    <row r="1355" spans="2:48" s="330" customFormat="1" ht="28.15" customHeight="1" x14ac:dyDescent="0.25">
      <c r="B1355" s="331"/>
      <c r="C1355" s="332"/>
      <c r="D1355" s="332"/>
      <c r="E1355" s="333"/>
      <c r="F1355" s="333"/>
      <c r="R1355" s="316"/>
      <c r="S1355" s="404"/>
      <c r="T1355" s="404"/>
      <c r="U1355" s="404"/>
      <c r="V1355" s="404"/>
      <c r="W1355" s="316"/>
      <c r="X1355" s="316"/>
      <c r="Y1355" s="316"/>
      <c r="Z1355" s="316"/>
      <c r="AA1355" s="404"/>
      <c r="AB1355" s="404"/>
      <c r="AC1355" s="404"/>
      <c r="AD1355" s="404"/>
      <c r="AE1355" s="316"/>
      <c r="AF1355" s="316"/>
      <c r="AG1355" s="404"/>
      <c r="AH1355" s="316"/>
      <c r="AI1355" s="316"/>
      <c r="AJ1355" s="316"/>
      <c r="AK1355" s="316"/>
      <c r="AL1355" s="316"/>
      <c r="AM1355" s="416"/>
      <c r="AR1355" s="333"/>
      <c r="AS1355" s="333"/>
      <c r="AT1355" s="333"/>
      <c r="AU1355" s="333"/>
      <c r="AV1355" s="333"/>
    </row>
    <row r="1356" spans="2:48" s="330" customFormat="1" ht="28.15" customHeight="1" x14ac:dyDescent="0.25">
      <c r="B1356" s="331"/>
      <c r="C1356" s="332"/>
      <c r="D1356" s="332"/>
      <c r="E1356" s="333"/>
      <c r="F1356" s="333"/>
      <c r="R1356" s="316"/>
      <c r="S1356" s="404"/>
      <c r="T1356" s="404"/>
      <c r="U1356" s="404"/>
      <c r="V1356" s="404"/>
      <c r="W1356" s="316"/>
      <c r="X1356" s="316"/>
      <c r="Y1356" s="316"/>
      <c r="Z1356" s="316"/>
      <c r="AA1356" s="404"/>
      <c r="AB1356" s="404"/>
      <c r="AC1356" s="404"/>
      <c r="AD1356" s="404"/>
      <c r="AE1356" s="316"/>
      <c r="AF1356" s="316"/>
      <c r="AG1356" s="404"/>
      <c r="AH1356" s="316"/>
      <c r="AI1356" s="316"/>
      <c r="AJ1356" s="316"/>
      <c r="AK1356" s="316"/>
      <c r="AL1356" s="316"/>
      <c r="AM1356" s="416"/>
      <c r="AR1356" s="333"/>
      <c r="AS1356" s="333"/>
      <c r="AT1356" s="333"/>
      <c r="AU1356" s="333"/>
      <c r="AV1356" s="333"/>
    </row>
    <row r="1357" spans="2:48" s="330" customFormat="1" ht="28.15" customHeight="1" x14ac:dyDescent="0.25">
      <c r="B1357" s="331"/>
      <c r="C1357" s="332"/>
      <c r="D1357" s="332"/>
      <c r="E1357" s="333"/>
      <c r="F1357" s="333"/>
      <c r="R1357" s="316"/>
      <c r="S1357" s="404"/>
      <c r="T1357" s="404"/>
      <c r="U1357" s="404"/>
      <c r="V1357" s="404"/>
      <c r="W1357" s="316"/>
      <c r="X1357" s="316"/>
      <c r="Y1357" s="316"/>
      <c r="Z1357" s="316"/>
      <c r="AA1357" s="404"/>
      <c r="AB1357" s="404"/>
      <c r="AC1357" s="404"/>
      <c r="AD1357" s="404"/>
      <c r="AE1357" s="316"/>
      <c r="AF1357" s="316"/>
      <c r="AG1357" s="404"/>
      <c r="AH1357" s="316"/>
      <c r="AI1357" s="316"/>
      <c r="AJ1357" s="316"/>
      <c r="AK1357" s="316"/>
      <c r="AL1357" s="316"/>
      <c r="AM1357" s="416"/>
      <c r="AR1357" s="333"/>
      <c r="AS1357" s="333"/>
      <c r="AT1357" s="333"/>
      <c r="AU1357" s="333"/>
      <c r="AV1357" s="333"/>
    </row>
    <row r="1358" spans="2:48" s="330" customFormat="1" ht="28.15" customHeight="1" x14ac:dyDescent="0.25">
      <c r="B1358" s="331"/>
      <c r="C1358" s="332"/>
      <c r="D1358" s="332"/>
      <c r="E1358" s="333"/>
      <c r="F1358" s="333"/>
      <c r="R1358" s="316"/>
      <c r="S1358" s="404"/>
      <c r="T1358" s="404"/>
      <c r="U1358" s="404"/>
      <c r="V1358" s="404"/>
      <c r="W1358" s="316"/>
      <c r="X1358" s="316"/>
      <c r="Y1358" s="316"/>
      <c r="Z1358" s="316"/>
      <c r="AA1358" s="404"/>
      <c r="AB1358" s="404"/>
      <c r="AC1358" s="404"/>
      <c r="AD1358" s="404"/>
      <c r="AE1358" s="316"/>
      <c r="AF1358" s="316"/>
      <c r="AG1358" s="404"/>
      <c r="AH1358" s="316"/>
      <c r="AI1358" s="316"/>
      <c r="AJ1358" s="316"/>
      <c r="AK1358" s="316"/>
      <c r="AL1358" s="316"/>
      <c r="AM1358" s="416"/>
      <c r="AR1358" s="333"/>
      <c r="AS1358" s="333"/>
      <c r="AT1358" s="333"/>
      <c r="AU1358" s="333"/>
      <c r="AV1358" s="333"/>
    </row>
    <row r="1359" spans="2:48" s="330" customFormat="1" ht="28.15" customHeight="1" x14ac:dyDescent="0.25">
      <c r="B1359" s="331"/>
      <c r="C1359" s="332"/>
      <c r="D1359" s="332"/>
      <c r="E1359" s="333"/>
      <c r="F1359" s="333"/>
      <c r="R1359" s="316"/>
      <c r="S1359" s="404"/>
      <c r="T1359" s="404"/>
      <c r="U1359" s="404"/>
      <c r="V1359" s="404"/>
      <c r="W1359" s="316"/>
      <c r="X1359" s="316"/>
      <c r="Y1359" s="316"/>
      <c r="Z1359" s="316"/>
      <c r="AA1359" s="404"/>
      <c r="AB1359" s="404"/>
      <c r="AC1359" s="404"/>
      <c r="AD1359" s="404"/>
      <c r="AE1359" s="316"/>
      <c r="AF1359" s="316"/>
      <c r="AG1359" s="404"/>
      <c r="AH1359" s="316"/>
      <c r="AI1359" s="316"/>
      <c r="AJ1359" s="316"/>
      <c r="AK1359" s="316"/>
      <c r="AL1359" s="316"/>
      <c r="AM1359" s="416"/>
      <c r="AR1359" s="333"/>
      <c r="AS1359" s="333"/>
      <c r="AT1359" s="333"/>
      <c r="AU1359" s="333"/>
      <c r="AV1359" s="333"/>
    </row>
    <row r="1360" spans="2:48" s="330" customFormat="1" ht="28.15" customHeight="1" x14ac:dyDescent="0.25">
      <c r="B1360" s="331"/>
      <c r="C1360" s="332"/>
      <c r="D1360" s="332"/>
      <c r="E1360" s="333"/>
      <c r="F1360" s="333"/>
      <c r="R1360" s="316"/>
      <c r="S1360" s="404"/>
      <c r="T1360" s="404"/>
      <c r="U1360" s="404"/>
      <c r="V1360" s="404"/>
      <c r="W1360" s="316"/>
      <c r="X1360" s="316"/>
      <c r="Y1360" s="316"/>
      <c r="Z1360" s="316"/>
      <c r="AA1360" s="404"/>
      <c r="AB1360" s="404"/>
      <c r="AC1360" s="404"/>
      <c r="AD1360" s="404"/>
      <c r="AE1360" s="316"/>
      <c r="AF1360" s="316"/>
      <c r="AG1360" s="404"/>
      <c r="AH1360" s="316"/>
      <c r="AI1360" s="316"/>
      <c r="AJ1360" s="316"/>
      <c r="AK1360" s="316"/>
      <c r="AL1360" s="316"/>
      <c r="AM1360" s="416"/>
      <c r="AR1360" s="333"/>
      <c r="AS1360" s="333"/>
      <c r="AT1360" s="333"/>
      <c r="AU1360" s="333"/>
      <c r="AV1360" s="333"/>
    </row>
    <row r="1361" spans="2:48" s="330" customFormat="1" ht="28.15" customHeight="1" x14ac:dyDescent="0.25">
      <c r="B1361" s="331"/>
      <c r="C1361" s="332"/>
      <c r="D1361" s="332"/>
      <c r="E1361" s="333"/>
      <c r="F1361" s="333"/>
      <c r="R1361" s="316"/>
      <c r="S1361" s="404"/>
      <c r="T1361" s="404"/>
      <c r="U1361" s="404"/>
      <c r="V1361" s="404"/>
      <c r="W1361" s="316"/>
      <c r="X1361" s="316"/>
      <c r="Y1361" s="316"/>
      <c r="Z1361" s="316"/>
      <c r="AA1361" s="404"/>
      <c r="AB1361" s="404"/>
      <c r="AC1361" s="404"/>
      <c r="AD1361" s="404"/>
      <c r="AE1361" s="316"/>
      <c r="AF1361" s="316"/>
      <c r="AG1361" s="404"/>
      <c r="AH1361" s="316"/>
      <c r="AI1361" s="316"/>
      <c r="AJ1361" s="316"/>
      <c r="AK1361" s="316"/>
      <c r="AL1361" s="316"/>
      <c r="AM1361" s="416"/>
      <c r="AR1361" s="333"/>
      <c r="AS1361" s="333"/>
      <c r="AT1361" s="333"/>
      <c r="AU1361" s="333"/>
      <c r="AV1361" s="333"/>
    </row>
    <row r="1362" spans="2:48" s="330" customFormat="1" ht="28.15" customHeight="1" x14ac:dyDescent="0.25">
      <c r="B1362" s="331"/>
      <c r="C1362" s="332"/>
      <c r="D1362" s="332"/>
      <c r="E1362" s="333"/>
      <c r="F1362" s="333"/>
      <c r="R1362" s="316"/>
      <c r="S1362" s="404"/>
      <c r="T1362" s="404"/>
      <c r="U1362" s="404"/>
      <c r="V1362" s="404"/>
      <c r="W1362" s="316"/>
      <c r="X1362" s="316"/>
      <c r="Y1362" s="316"/>
      <c r="Z1362" s="316"/>
      <c r="AA1362" s="404"/>
      <c r="AB1362" s="404"/>
      <c r="AC1362" s="404"/>
      <c r="AD1362" s="404"/>
      <c r="AE1362" s="316"/>
      <c r="AF1362" s="316"/>
      <c r="AG1362" s="404"/>
      <c r="AH1362" s="316"/>
      <c r="AI1362" s="316"/>
      <c r="AJ1362" s="316"/>
      <c r="AK1362" s="316"/>
      <c r="AL1362" s="316"/>
      <c r="AM1362" s="416"/>
      <c r="AR1362" s="333"/>
      <c r="AS1362" s="333"/>
      <c r="AT1362" s="333"/>
      <c r="AU1362" s="333"/>
      <c r="AV1362" s="333"/>
    </row>
    <row r="1363" spans="2:48" s="330" customFormat="1" ht="28.15" customHeight="1" x14ac:dyDescent="0.25">
      <c r="B1363" s="331"/>
      <c r="C1363" s="332"/>
      <c r="D1363" s="332"/>
      <c r="E1363" s="333"/>
      <c r="F1363" s="333"/>
      <c r="R1363" s="316"/>
      <c r="S1363" s="404"/>
      <c r="T1363" s="404"/>
      <c r="U1363" s="404"/>
      <c r="V1363" s="404"/>
      <c r="W1363" s="316"/>
      <c r="X1363" s="316"/>
      <c r="Y1363" s="316"/>
      <c r="Z1363" s="316"/>
      <c r="AA1363" s="404"/>
      <c r="AB1363" s="404"/>
      <c r="AC1363" s="404"/>
      <c r="AD1363" s="404"/>
      <c r="AE1363" s="316"/>
      <c r="AF1363" s="316"/>
      <c r="AG1363" s="404"/>
      <c r="AH1363" s="316"/>
      <c r="AI1363" s="316"/>
      <c r="AJ1363" s="316"/>
      <c r="AK1363" s="316"/>
      <c r="AL1363" s="316"/>
      <c r="AM1363" s="416"/>
      <c r="AR1363" s="333"/>
      <c r="AS1363" s="333"/>
      <c r="AT1363" s="333"/>
      <c r="AU1363" s="333"/>
      <c r="AV1363" s="333"/>
    </row>
    <row r="1364" spans="2:48" s="330" customFormat="1" ht="28.15" customHeight="1" x14ac:dyDescent="0.25">
      <c r="B1364" s="331"/>
      <c r="C1364" s="332"/>
      <c r="D1364" s="332"/>
      <c r="E1364" s="333"/>
      <c r="F1364" s="333"/>
      <c r="R1364" s="316"/>
      <c r="S1364" s="404"/>
      <c r="T1364" s="404"/>
      <c r="U1364" s="404"/>
      <c r="V1364" s="404"/>
      <c r="W1364" s="316"/>
      <c r="X1364" s="316"/>
      <c r="Y1364" s="316"/>
      <c r="Z1364" s="316"/>
      <c r="AA1364" s="404"/>
      <c r="AB1364" s="404"/>
      <c r="AC1364" s="404"/>
      <c r="AD1364" s="404"/>
      <c r="AE1364" s="316"/>
      <c r="AF1364" s="316"/>
      <c r="AG1364" s="404"/>
      <c r="AH1364" s="316"/>
      <c r="AI1364" s="316"/>
      <c r="AJ1364" s="316"/>
      <c r="AK1364" s="316"/>
      <c r="AL1364" s="316"/>
      <c r="AM1364" s="416"/>
      <c r="AR1364" s="333"/>
      <c r="AS1364" s="333"/>
      <c r="AT1364" s="333"/>
      <c r="AU1364" s="333"/>
      <c r="AV1364" s="333"/>
    </row>
    <row r="1365" spans="2:48" s="330" customFormat="1" ht="28.15" customHeight="1" x14ac:dyDescent="0.25">
      <c r="B1365" s="331"/>
      <c r="C1365" s="332"/>
      <c r="D1365" s="332"/>
      <c r="E1365" s="333"/>
      <c r="F1365" s="333"/>
      <c r="R1365" s="316"/>
      <c r="S1365" s="404"/>
      <c r="T1365" s="404"/>
      <c r="U1365" s="404"/>
      <c r="V1365" s="404"/>
      <c r="W1365" s="316"/>
      <c r="X1365" s="316"/>
      <c r="Y1365" s="316"/>
      <c r="Z1365" s="316"/>
      <c r="AA1365" s="404"/>
      <c r="AB1365" s="404"/>
      <c r="AC1365" s="404"/>
      <c r="AD1365" s="404"/>
      <c r="AE1365" s="316"/>
      <c r="AF1365" s="316"/>
      <c r="AG1365" s="404"/>
      <c r="AH1365" s="316"/>
      <c r="AI1365" s="316"/>
      <c r="AJ1365" s="316"/>
      <c r="AK1365" s="316"/>
      <c r="AL1365" s="316"/>
      <c r="AM1365" s="416"/>
      <c r="AR1365" s="333"/>
      <c r="AS1365" s="333"/>
      <c r="AT1365" s="333"/>
      <c r="AU1365" s="333"/>
      <c r="AV1365" s="333"/>
    </row>
    <row r="1366" spans="2:48" s="330" customFormat="1" ht="28.15" customHeight="1" x14ac:dyDescent="0.25">
      <c r="B1366" s="331"/>
      <c r="C1366" s="332"/>
      <c r="D1366" s="332"/>
      <c r="E1366" s="333"/>
      <c r="F1366" s="333"/>
      <c r="R1366" s="316"/>
      <c r="S1366" s="404"/>
      <c r="T1366" s="404"/>
      <c r="U1366" s="404"/>
      <c r="V1366" s="404"/>
      <c r="W1366" s="316"/>
      <c r="X1366" s="316"/>
      <c r="Y1366" s="316"/>
      <c r="Z1366" s="316"/>
      <c r="AA1366" s="404"/>
      <c r="AB1366" s="404"/>
      <c r="AC1366" s="404"/>
      <c r="AD1366" s="404"/>
      <c r="AE1366" s="316"/>
      <c r="AF1366" s="316"/>
      <c r="AG1366" s="404"/>
      <c r="AH1366" s="316"/>
      <c r="AI1366" s="316"/>
      <c r="AJ1366" s="316"/>
      <c r="AK1366" s="316"/>
      <c r="AL1366" s="316"/>
      <c r="AM1366" s="416"/>
      <c r="AR1366" s="333"/>
      <c r="AS1366" s="333"/>
      <c r="AT1366" s="333"/>
      <c r="AU1366" s="333"/>
      <c r="AV1366" s="333"/>
    </row>
    <row r="1367" spans="2:48" s="330" customFormat="1" ht="28.15" customHeight="1" x14ac:dyDescent="0.25">
      <c r="B1367" s="331"/>
      <c r="C1367" s="332"/>
      <c r="D1367" s="332"/>
      <c r="E1367" s="333"/>
      <c r="F1367" s="333"/>
      <c r="R1367" s="316"/>
      <c r="S1367" s="404"/>
      <c r="T1367" s="404"/>
      <c r="U1367" s="404"/>
      <c r="V1367" s="404"/>
      <c r="W1367" s="316"/>
      <c r="X1367" s="316"/>
      <c r="Y1367" s="316"/>
      <c r="Z1367" s="316"/>
      <c r="AA1367" s="404"/>
      <c r="AB1367" s="404"/>
      <c r="AC1367" s="404"/>
      <c r="AD1367" s="404"/>
      <c r="AE1367" s="316"/>
      <c r="AF1367" s="316"/>
      <c r="AG1367" s="404"/>
      <c r="AH1367" s="316"/>
      <c r="AI1367" s="316"/>
      <c r="AJ1367" s="316"/>
      <c r="AK1367" s="316"/>
      <c r="AL1367" s="316"/>
      <c r="AM1367" s="416"/>
      <c r="AR1367" s="333"/>
      <c r="AS1367" s="333"/>
      <c r="AT1367" s="333"/>
      <c r="AU1367" s="333"/>
      <c r="AV1367" s="333"/>
    </row>
    <row r="1368" spans="2:48" s="330" customFormat="1" ht="28.15" customHeight="1" x14ac:dyDescent="0.25">
      <c r="B1368" s="331"/>
      <c r="C1368" s="332"/>
      <c r="D1368" s="332"/>
      <c r="E1368" s="333"/>
      <c r="F1368" s="333"/>
      <c r="R1368" s="316"/>
      <c r="S1368" s="404"/>
      <c r="T1368" s="404"/>
      <c r="U1368" s="404"/>
      <c r="V1368" s="404"/>
      <c r="W1368" s="316"/>
      <c r="X1368" s="316"/>
      <c r="Y1368" s="316"/>
      <c r="Z1368" s="316"/>
      <c r="AA1368" s="404"/>
      <c r="AB1368" s="404"/>
      <c r="AC1368" s="404"/>
      <c r="AD1368" s="404"/>
      <c r="AE1368" s="316"/>
      <c r="AF1368" s="316"/>
      <c r="AG1368" s="404"/>
      <c r="AH1368" s="316"/>
      <c r="AI1368" s="316"/>
      <c r="AJ1368" s="316"/>
      <c r="AK1368" s="316"/>
      <c r="AL1368" s="316"/>
      <c r="AM1368" s="416"/>
      <c r="AR1368" s="333"/>
      <c r="AS1368" s="333"/>
      <c r="AT1368" s="333"/>
      <c r="AU1368" s="333"/>
      <c r="AV1368" s="333"/>
    </row>
    <row r="1369" spans="2:48" s="330" customFormat="1" ht="28.15" customHeight="1" x14ac:dyDescent="0.25">
      <c r="B1369" s="331"/>
      <c r="C1369" s="332"/>
      <c r="D1369" s="332"/>
      <c r="E1369" s="333"/>
      <c r="F1369" s="333"/>
      <c r="R1369" s="316"/>
      <c r="S1369" s="404"/>
      <c r="T1369" s="404"/>
      <c r="U1369" s="404"/>
      <c r="V1369" s="404"/>
      <c r="W1369" s="316"/>
      <c r="X1369" s="316"/>
      <c r="Y1369" s="316"/>
      <c r="Z1369" s="316"/>
      <c r="AA1369" s="404"/>
      <c r="AB1369" s="404"/>
      <c r="AC1369" s="404"/>
      <c r="AD1369" s="404"/>
      <c r="AE1369" s="316"/>
      <c r="AF1369" s="316"/>
      <c r="AG1369" s="404"/>
      <c r="AH1369" s="316"/>
      <c r="AI1369" s="316"/>
      <c r="AJ1369" s="316"/>
      <c r="AK1369" s="316"/>
      <c r="AL1369" s="316"/>
      <c r="AM1369" s="416"/>
      <c r="AR1369" s="333"/>
      <c r="AS1369" s="333"/>
      <c r="AT1369" s="333"/>
      <c r="AU1369" s="333"/>
      <c r="AV1369" s="333"/>
    </row>
    <row r="1370" spans="2:48" s="330" customFormat="1" ht="28.15" customHeight="1" x14ac:dyDescent="0.25">
      <c r="B1370" s="331"/>
      <c r="C1370" s="332"/>
      <c r="D1370" s="332"/>
      <c r="E1370" s="333"/>
      <c r="F1370" s="333"/>
      <c r="R1370" s="316"/>
      <c r="S1370" s="404"/>
      <c r="T1370" s="404"/>
      <c r="U1370" s="404"/>
      <c r="V1370" s="404"/>
      <c r="W1370" s="316"/>
      <c r="X1370" s="316"/>
      <c r="Y1370" s="316"/>
      <c r="Z1370" s="316"/>
      <c r="AA1370" s="404"/>
      <c r="AB1370" s="404"/>
      <c r="AC1370" s="404"/>
      <c r="AD1370" s="404"/>
      <c r="AE1370" s="316"/>
      <c r="AF1370" s="316"/>
      <c r="AG1370" s="404"/>
      <c r="AH1370" s="316"/>
      <c r="AI1370" s="316"/>
      <c r="AJ1370" s="316"/>
      <c r="AK1370" s="316"/>
      <c r="AL1370" s="316"/>
      <c r="AM1370" s="416"/>
      <c r="AR1370" s="333"/>
      <c r="AS1370" s="333"/>
      <c r="AT1370" s="333"/>
      <c r="AU1370" s="333"/>
      <c r="AV1370" s="333"/>
    </row>
    <row r="1371" spans="2:48" s="330" customFormat="1" ht="28.15" customHeight="1" x14ac:dyDescent="0.25">
      <c r="B1371" s="331"/>
      <c r="C1371" s="332"/>
      <c r="D1371" s="332"/>
      <c r="E1371" s="333"/>
      <c r="F1371" s="333"/>
      <c r="R1371" s="316"/>
      <c r="S1371" s="404"/>
      <c r="T1371" s="404"/>
      <c r="U1371" s="404"/>
      <c r="V1371" s="404"/>
      <c r="W1371" s="316"/>
      <c r="X1371" s="316"/>
      <c r="Y1371" s="316"/>
      <c r="Z1371" s="316"/>
      <c r="AA1371" s="404"/>
      <c r="AB1371" s="404"/>
      <c r="AC1371" s="404"/>
      <c r="AD1371" s="404"/>
      <c r="AE1371" s="316"/>
      <c r="AF1371" s="316"/>
      <c r="AG1371" s="404"/>
      <c r="AH1371" s="316"/>
      <c r="AI1371" s="316"/>
      <c r="AJ1371" s="316"/>
      <c r="AK1371" s="316"/>
      <c r="AL1371" s="316"/>
      <c r="AM1371" s="416"/>
      <c r="AR1371" s="333"/>
      <c r="AS1371" s="333"/>
      <c r="AT1371" s="333"/>
      <c r="AU1371" s="333"/>
      <c r="AV1371" s="333"/>
    </row>
    <row r="1372" spans="2:48" s="330" customFormat="1" ht="28.15" customHeight="1" x14ac:dyDescent="0.25">
      <c r="B1372" s="331"/>
      <c r="C1372" s="332"/>
      <c r="D1372" s="332"/>
      <c r="E1372" s="333"/>
      <c r="F1372" s="333"/>
      <c r="R1372" s="316"/>
      <c r="S1372" s="404"/>
      <c r="T1372" s="404"/>
      <c r="U1372" s="404"/>
      <c r="V1372" s="404"/>
      <c r="W1372" s="316"/>
      <c r="X1372" s="316"/>
      <c r="Y1372" s="316"/>
      <c r="Z1372" s="316"/>
      <c r="AA1372" s="404"/>
      <c r="AB1372" s="404"/>
      <c r="AC1372" s="404"/>
      <c r="AD1372" s="404"/>
      <c r="AE1372" s="316"/>
      <c r="AF1372" s="316"/>
      <c r="AG1372" s="404"/>
      <c r="AH1372" s="316"/>
      <c r="AI1372" s="316"/>
      <c r="AJ1372" s="316"/>
      <c r="AK1372" s="316"/>
      <c r="AL1372" s="316"/>
      <c r="AM1372" s="416"/>
      <c r="AR1372" s="333"/>
      <c r="AS1372" s="333"/>
      <c r="AT1372" s="333"/>
      <c r="AU1372" s="333"/>
      <c r="AV1372" s="333"/>
    </row>
    <row r="1373" spans="2:48" s="330" customFormat="1" ht="28.15" customHeight="1" x14ac:dyDescent="0.25">
      <c r="B1373" s="331"/>
      <c r="C1373" s="332"/>
      <c r="D1373" s="332"/>
      <c r="E1373" s="333"/>
      <c r="F1373" s="333"/>
      <c r="R1373" s="316"/>
      <c r="S1373" s="404"/>
      <c r="T1373" s="404"/>
      <c r="U1373" s="404"/>
      <c r="V1373" s="404"/>
      <c r="W1373" s="316"/>
      <c r="X1373" s="316"/>
      <c r="Y1373" s="316"/>
      <c r="Z1373" s="316"/>
      <c r="AA1373" s="404"/>
      <c r="AB1373" s="404"/>
      <c r="AC1373" s="404"/>
      <c r="AD1373" s="404"/>
      <c r="AE1373" s="316"/>
      <c r="AF1373" s="316"/>
      <c r="AG1373" s="404"/>
      <c r="AH1373" s="316"/>
      <c r="AI1373" s="316"/>
      <c r="AJ1373" s="316"/>
      <c r="AK1373" s="316"/>
      <c r="AL1373" s="316"/>
      <c r="AM1373" s="416"/>
      <c r="AR1373" s="333"/>
      <c r="AS1373" s="333"/>
      <c r="AT1373" s="333"/>
      <c r="AU1373" s="333"/>
      <c r="AV1373" s="333"/>
    </row>
    <row r="1374" spans="2:48" s="330" customFormat="1" ht="28.15" customHeight="1" x14ac:dyDescent="0.25">
      <c r="B1374" s="331"/>
      <c r="C1374" s="332"/>
      <c r="D1374" s="332"/>
      <c r="E1374" s="333"/>
      <c r="F1374" s="333"/>
      <c r="R1374" s="316"/>
      <c r="S1374" s="404"/>
      <c r="T1374" s="404"/>
      <c r="U1374" s="404"/>
      <c r="V1374" s="404"/>
      <c r="W1374" s="316"/>
      <c r="X1374" s="316"/>
      <c r="Y1374" s="316"/>
      <c r="Z1374" s="316"/>
      <c r="AA1374" s="404"/>
      <c r="AB1374" s="404"/>
      <c r="AC1374" s="404"/>
      <c r="AD1374" s="404"/>
      <c r="AE1374" s="316"/>
      <c r="AF1374" s="316"/>
      <c r="AG1374" s="404"/>
      <c r="AH1374" s="316"/>
      <c r="AI1374" s="316"/>
      <c r="AJ1374" s="316"/>
      <c r="AK1374" s="316"/>
      <c r="AL1374" s="316"/>
      <c r="AM1374" s="416"/>
      <c r="AR1374" s="333"/>
      <c r="AS1374" s="333"/>
      <c r="AT1374" s="333"/>
      <c r="AU1374" s="333"/>
      <c r="AV1374" s="333"/>
    </row>
    <row r="1375" spans="2:48" s="330" customFormat="1" ht="28.15" customHeight="1" x14ac:dyDescent="0.25">
      <c r="B1375" s="331"/>
      <c r="C1375" s="332"/>
      <c r="D1375" s="332"/>
      <c r="E1375" s="333"/>
      <c r="F1375" s="333"/>
      <c r="R1375" s="316"/>
      <c r="S1375" s="404"/>
      <c r="T1375" s="404"/>
      <c r="U1375" s="404"/>
      <c r="V1375" s="404"/>
      <c r="W1375" s="316"/>
      <c r="X1375" s="316"/>
      <c r="Y1375" s="316"/>
      <c r="Z1375" s="316"/>
      <c r="AA1375" s="404"/>
      <c r="AB1375" s="404"/>
      <c r="AC1375" s="404"/>
      <c r="AD1375" s="404"/>
      <c r="AE1375" s="316"/>
      <c r="AF1375" s="316"/>
      <c r="AG1375" s="404"/>
      <c r="AH1375" s="316"/>
      <c r="AI1375" s="316"/>
      <c r="AJ1375" s="316"/>
      <c r="AK1375" s="316"/>
      <c r="AL1375" s="316"/>
      <c r="AM1375" s="416"/>
      <c r="AR1375" s="333"/>
      <c r="AS1375" s="333"/>
      <c r="AT1375" s="333"/>
      <c r="AU1375" s="333"/>
      <c r="AV1375" s="333"/>
    </row>
    <row r="1376" spans="2:48" s="330" customFormat="1" ht="28.15" customHeight="1" x14ac:dyDescent="0.25">
      <c r="B1376" s="331"/>
      <c r="C1376" s="332"/>
      <c r="D1376" s="332"/>
      <c r="E1376" s="333"/>
      <c r="F1376" s="333"/>
      <c r="R1376" s="316"/>
      <c r="S1376" s="404"/>
      <c r="T1376" s="404"/>
      <c r="U1376" s="404"/>
      <c r="V1376" s="404"/>
      <c r="W1376" s="316"/>
      <c r="X1376" s="316"/>
      <c r="Y1376" s="316"/>
      <c r="Z1376" s="316"/>
      <c r="AA1376" s="404"/>
      <c r="AB1376" s="404"/>
      <c r="AC1376" s="404"/>
      <c r="AD1376" s="404"/>
      <c r="AE1376" s="316"/>
      <c r="AF1376" s="316"/>
      <c r="AG1376" s="404"/>
      <c r="AH1376" s="316"/>
      <c r="AI1376" s="316"/>
      <c r="AJ1376" s="316"/>
      <c r="AK1376" s="316"/>
      <c r="AL1376" s="316"/>
      <c r="AM1376" s="416"/>
      <c r="AR1376" s="333"/>
      <c r="AS1376" s="333"/>
      <c r="AT1376" s="333"/>
      <c r="AU1376" s="333"/>
      <c r="AV1376" s="333"/>
    </row>
    <row r="1377" spans="2:48" s="330" customFormat="1" ht="28.15" customHeight="1" x14ac:dyDescent="0.25">
      <c r="B1377" s="331"/>
      <c r="C1377" s="332"/>
      <c r="D1377" s="332"/>
      <c r="E1377" s="333"/>
      <c r="F1377" s="333"/>
      <c r="R1377" s="316"/>
      <c r="S1377" s="404"/>
      <c r="T1377" s="404"/>
      <c r="U1377" s="404"/>
      <c r="V1377" s="404"/>
      <c r="W1377" s="316"/>
      <c r="X1377" s="316"/>
      <c r="Y1377" s="316"/>
      <c r="Z1377" s="316"/>
      <c r="AA1377" s="404"/>
      <c r="AB1377" s="404"/>
      <c r="AC1377" s="404"/>
      <c r="AD1377" s="404"/>
      <c r="AE1377" s="316"/>
      <c r="AF1377" s="316"/>
      <c r="AG1377" s="404"/>
      <c r="AH1377" s="316"/>
      <c r="AI1377" s="316"/>
      <c r="AJ1377" s="316"/>
      <c r="AK1377" s="316"/>
      <c r="AL1377" s="316"/>
      <c r="AM1377" s="416"/>
      <c r="AR1377" s="333"/>
      <c r="AS1377" s="333"/>
      <c r="AT1377" s="333"/>
      <c r="AU1377" s="333"/>
      <c r="AV1377" s="333"/>
    </row>
    <row r="1378" spans="2:48" s="330" customFormat="1" ht="28.15" customHeight="1" x14ac:dyDescent="0.25">
      <c r="B1378" s="331"/>
      <c r="C1378" s="332"/>
      <c r="D1378" s="332"/>
      <c r="E1378" s="333"/>
      <c r="F1378" s="333"/>
      <c r="R1378" s="316"/>
      <c r="S1378" s="404"/>
      <c r="T1378" s="404"/>
      <c r="U1378" s="404"/>
      <c r="V1378" s="404"/>
      <c r="W1378" s="316"/>
      <c r="X1378" s="316"/>
      <c r="Y1378" s="316"/>
      <c r="Z1378" s="316"/>
      <c r="AA1378" s="404"/>
      <c r="AB1378" s="404"/>
      <c r="AC1378" s="404"/>
      <c r="AD1378" s="404"/>
      <c r="AE1378" s="316"/>
      <c r="AF1378" s="316"/>
      <c r="AG1378" s="404"/>
      <c r="AH1378" s="316"/>
      <c r="AI1378" s="316"/>
      <c r="AJ1378" s="316"/>
      <c r="AK1378" s="316"/>
      <c r="AL1378" s="316"/>
      <c r="AM1378" s="416"/>
      <c r="AR1378" s="333"/>
      <c r="AS1378" s="333"/>
      <c r="AT1378" s="333"/>
      <c r="AU1378" s="333"/>
      <c r="AV1378" s="333"/>
    </row>
    <row r="1379" spans="2:48" s="330" customFormat="1" ht="28.15" customHeight="1" x14ac:dyDescent="0.25">
      <c r="B1379" s="331"/>
      <c r="C1379" s="332"/>
      <c r="D1379" s="332"/>
      <c r="E1379" s="333"/>
      <c r="F1379" s="333"/>
      <c r="R1379" s="316"/>
      <c r="S1379" s="404"/>
      <c r="T1379" s="404"/>
      <c r="U1379" s="404"/>
      <c r="V1379" s="404"/>
      <c r="W1379" s="316"/>
      <c r="X1379" s="316"/>
      <c r="Y1379" s="316"/>
      <c r="Z1379" s="316"/>
      <c r="AA1379" s="404"/>
      <c r="AB1379" s="404"/>
      <c r="AC1379" s="404"/>
      <c r="AD1379" s="404"/>
      <c r="AE1379" s="316"/>
      <c r="AF1379" s="316"/>
      <c r="AG1379" s="404"/>
      <c r="AH1379" s="316"/>
      <c r="AI1379" s="316"/>
      <c r="AJ1379" s="316"/>
      <c r="AK1379" s="316"/>
      <c r="AL1379" s="316"/>
      <c r="AM1379" s="416"/>
      <c r="AR1379" s="333"/>
      <c r="AS1379" s="333"/>
      <c r="AT1379" s="333"/>
      <c r="AU1379" s="333"/>
      <c r="AV1379" s="333"/>
    </row>
    <row r="1380" spans="2:48" s="330" customFormat="1" ht="28.15" customHeight="1" x14ac:dyDescent="0.25">
      <c r="B1380" s="331"/>
      <c r="C1380" s="332"/>
      <c r="D1380" s="332"/>
      <c r="E1380" s="333"/>
      <c r="F1380" s="333"/>
      <c r="R1380" s="316"/>
      <c r="S1380" s="404"/>
      <c r="T1380" s="404"/>
      <c r="U1380" s="404"/>
      <c r="V1380" s="404"/>
      <c r="W1380" s="316"/>
      <c r="X1380" s="316"/>
      <c r="Y1380" s="316"/>
      <c r="Z1380" s="316"/>
      <c r="AA1380" s="404"/>
      <c r="AB1380" s="404"/>
      <c r="AC1380" s="404"/>
      <c r="AD1380" s="404"/>
      <c r="AE1380" s="316"/>
      <c r="AF1380" s="316"/>
      <c r="AG1380" s="404"/>
      <c r="AH1380" s="316"/>
      <c r="AI1380" s="316"/>
      <c r="AJ1380" s="316"/>
      <c r="AK1380" s="316"/>
      <c r="AL1380" s="316"/>
      <c r="AM1380" s="416"/>
      <c r="AR1380" s="333"/>
      <c r="AS1380" s="333"/>
      <c r="AT1380" s="333"/>
      <c r="AU1380" s="333"/>
      <c r="AV1380" s="333"/>
    </row>
    <row r="1381" spans="2:48" s="330" customFormat="1" ht="28.15" customHeight="1" x14ac:dyDescent="0.25">
      <c r="B1381" s="331"/>
      <c r="C1381" s="332"/>
      <c r="D1381" s="332"/>
      <c r="E1381" s="333"/>
      <c r="F1381" s="333"/>
      <c r="R1381" s="316"/>
      <c r="S1381" s="404"/>
      <c r="T1381" s="404"/>
      <c r="U1381" s="404"/>
      <c r="V1381" s="404"/>
      <c r="W1381" s="316"/>
      <c r="X1381" s="316"/>
      <c r="Y1381" s="316"/>
      <c r="Z1381" s="316"/>
      <c r="AA1381" s="404"/>
      <c r="AB1381" s="404"/>
      <c r="AC1381" s="404"/>
      <c r="AD1381" s="404"/>
      <c r="AE1381" s="316"/>
      <c r="AF1381" s="316"/>
      <c r="AG1381" s="404"/>
      <c r="AH1381" s="316"/>
      <c r="AI1381" s="316"/>
      <c r="AJ1381" s="316"/>
      <c r="AK1381" s="316"/>
      <c r="AL1381" s="316"/>
      <c r="AM1381" s="416"/>
      <c r="AR1381" s="333"/>
      <c r="AS1381" s="333"/>
      <c r="AT1381" s="333"/>
      <c r="AU1381" s="333"/>
      <c r="AV1381" s="333"/>
    </row>
    <row r="1382" spans="2:48" s="330" customFormat="1" ht="28.15" customHeight="1" x14ac:dyDescent="0.25">
      <c r="B1382" s="331"/>
      <c r="C1382" s="332"/>
      <c r="D1382" s="332"/>
      <c r="E1382" s="333"/>
      <c r="F1382" s="333"/>
      <c r="R1382" s="316"/>
      <c r="S1382" s="404"/>
      <c r="T1382" s="404"/>
      <c r="U1382" s="404"/>
      <c r="V1382" s="404"/>
      <c r="W1382" s="316"/>
      <c r="X1382" s="316"/>
      <c r="Y1382" s="316"/>
      <c r="Z1382" s="316"/>
      <c r="AA1382" s="404"/>
      <c r="AB1382" s="404"/>
      <c r="AC1382" s="404"/>
      <c r="AD1382" s="404"/>
      <c r="AE1382" s="316"/>
      <c r="AF1382" s="316"/>
      <c r="AG1382" s="404"/>
      <c r="AH1382" s="316"/>
      <c r="AI1382" s="316"/>
      <c r="AJ1382" s="316"/>
      <c r="AK1382" s="316"/>
      <c r="AL1382" s="316"/>
      <c r="AM1382" s="416"/>
      <c r="AR1382" s="333"/>
      <c r="AS1382" s="333"/>
      <c r="AT1382" s="333"/>
      <c r="AU1382" s="333"/>
      <c r="AV1382" s="333"/>
    </row>
    <row r="1383" spans="2:48" s="330" customFormat="1" ht="28.15" customHeight="1" x14ac:dyDescent="0.25">
      <c r="B1383" s="331"/>
      <c r="C1383" s="332"/>
      <c r="D1383" s="332"/>
      <c r="E1383" s="333"/>
      <c r="F1383" s="333"/>
      <c r="R1383" s="316"/>
      <c r="S1383" s="404"/>
      <c r="T1383" s="404"/>
      <c r="U1383" s="404"/>
      <c r="V1383" s="404"/>
      <c r="W1383" s="316"/>
      <c r="X1383" s="316"/>
      <c r="Y1383" s="316"/>
      <c r="Z1383" s="316"/>
      <c r="AA1383" s="404"/>
      <c r="AB1383" s="404"/>
      <c r="AC1383" s="404"/>
      <c r="AD1383" s="404"/>
      <c r="AE1383" s="316"/>
      <c r="AF1383" s="316"/>
      <c r="AG1383" s="404"/>
      <c r="AH1383" s="316"/>
      <c r="AI1383" s="316"/>
      <c r="AJ1383" s="316"/>
      <c r="AK1383" s="316"/>
      <c r="AL1383" s="316"/>
      <c r="AM1383" s="416"/>
      <c r="AR1383" s="333"/>
      <c r="AS1383" s="333"/>
      <c r="AT1383" s="333"/>
      <c r="AU1383" s="333"/>
      <c r="AV1383" s="333"/>
    </row>
    <row r="1384" spans="2:48" s="330" customFormat="1" ht="28.15" customHeight="1" x14ac:dyDescent="0.25">
      <c r="B1384" s="331"/>
      <c r="C1384" s="332"/>
      <c r="D1384" s="332"/>
      <c r="E1384" s="333"/>
      <c r="F1384" s="333"/>
      <c r="R1384" s="316"/>
      <c r="S1384" s="404"/>
      <c r="T1384" s="404"/>
      <c r="U1384" s="404"/>
      <c r="V1384" s="404"/>
      <c r="W1384" s="316"/>
      <c r="X1384" s="316"/>
      <c r="Y1384" s="316"/>
      <c r="Z1384" s="316"/>
      <c r="AA1384" s="404"/>
      <c r="AB1384" s="404"/>
      <c r="AC1384" s="404"/>
      <c r="AD1384" s="404"/>
      <c r="AE1384" s="316"/>
      <c r="AF1384" s="316"/>
      <c r="AG1384" s="404"/>
      <c r="AH1384" s="316"/>
      <c r="AI1384" s="316"/>
      <c r="AJ1384" s="316"/>
      <c r="AK1384" s="316"/>
      <c r="AL1384" s="316"/>
      <c r="AM1384" s="416"/>
      <c r="AR1384" s="333"/>
      <c r="AS1384" s="333"/>
      <c r="AT1384" s="333"/>
      <c r="AU1384" s="333"/>
      <c r="AV1384" s="333"/>
    </row>
    <row r="1385" spans="2:48" s="330" customFormat="1" ht="28.15" customHeight="1" x14ac:dyDescent="0.25">
      <c r="B1385" s="331"/>
      <c r="C1385" s="332"/>
      <c r="D1385" s="332"/>
      <c r="E1385" s="333"/>
      <c r="F1385" s="333"/>
      <c r="R1385" s="316"/>
      <c r="S1385" s="404"/>
      <c r="T1385" s="404"/>
      <c r="U1385" s="404"/>
      <c r="V1385" s="404"/>
      <c r="W1385" s="316"/>
      <c r="X1385" s="316"/>
      <c r="Y1385" s="316"/>
      <c r="Z1385" s="316"/>
      <c r="AA1385" s="404"/>
      <c r="AB1385" s="404"/>
      <c r="AC1385" s="404"/>
      <c r="AD1385" s="404"/>
      <c r="AE1385" s="316"/>
      <c r="AF1385" s="316"/>
      <c r="AG1385" s="404"/>
      <c r="AH1385" s="316"/>
      <c r="AI1385" s="316"/>
      <c r="AJ1385" s="316"/>
      <c r="AK1385" s="316"/>
      <c r="AL1385" s="316"/>
      <c r="AM1385" s="416"/>
      <c r="AR1385" s="333"/>
      <c r="AS1385" s="333"/>
      <c r="AT1385" s="333"/>
      <c r="AU1385" s="333"/>
      <c r="AV1385" s="333"/>
    </row>
    <row r="1386" spans="2:48" s="330" customFormat="1" ht="28.15" customHeight="1" x14ac:dyDescent="0.25">
      <c r="B1386" s="331"/>
      <c r="C1386" s="332"/>
      <c r="D1386" s="332"/>
      <c r="E1386" s="333"/>
      <c r="F1386" s="333"/>
      <c r="R1386" s="316"/>
      <c r="S1386" s="404"/>
      <c r="T1386" s="404"/>
      <c r="U1386" s="404"/>
      <c r="V1386" s="404"/>
      <c r="W1386" s="316"/>
      <c r="X1386" s="316"/>
      <c r="Y1386" s="316"/>
      <c r="Z1386" s="316"/>
      <c r="AA1386" s="404"/>
      <c r="AB1386" s="404"/>
      <c r="AC1386" s="404"/>
      <c r="AD1386" s="404"/>
      <c r="AE1386" s="316"/>
      <c r="AF1386" s="316"/>
      <c r="AG1386" s="404"/>
      <c r="AH1386" s="316"/>
      <c r="AI1386" s="316"/>
      <c r="AJ1386" s="316"/>
      <c r="AK1386" s="316"/>
      <c r="AL1386" s="316"/>
      <c r="AM1386" s="416"/>
      <c r="AR1386" s="333"/>
      <c r="AS1386" s="333"/>
      <c r="AT1386" s="333"/>
      <c r="AU1386" s="333"/>
      <c r="AV1386" s="333"/>
    </row>
    <row r="1387" spans="2:48" s="330" customFormat="1" ht="28.15" customHeight="1" x14ac:dyDescent="0.25">
      <c r="B1387" s="331"/>
      <c r="C1387" s="332"/>
      <c r="D1387" s="332"/>
      <c r="E1387" s="333"/>
      <c r="F1387" s="333"/>
      <c r="R1387" s="316"/>
      <c r="S1387" s="404"/>
      <c r="T1387" s="404"/>
      <c r="U1387" s="404"/>
      <c r="V1387" s="404"/>
      <c r="W1387" s="316"/>
      <c r="X1387" s="316"/>
      <c r="Y1387" s="316"/>
      <c r="Z1387" s="316"/>
      <c r="AA1387" s="404"/>
      <c r="AB1387" s="404"/>
      <c r="AC1387" s="404"/>
      <c r="AD1387" s="404"/>
      <c r="AE1387" s="316"/>
      <c r="AF1387" s="316"/>
      <c r="AG1387" s="404"/>
      <c r="AH1387" s="316"/>
      <c r="AI1387" s="316"/>
      <c r="AJ1387" s="316"/>
      <c r="AK1387" s="316"/>
      <c r="AL1387" s="316"/>
      <c r="AM1387" s="416"/>
      <c r="AR1387" s="333"/>
      <c r="AS1387" s="333"/>
      <c r="AT1387" s="333"/>
      <c r="AU1387" s="333"/>
      <c r="AV1387" s="333"/>
    </row>
    <row r="1388" spans="2:48" s="330" customFormat="1" ht="28.15" customHeight="1" x14ac:dyDescent="0.25">
      <c r="B1388" s="331"/>
      <c r="C1388" s="332"/>
      <c r="D1388" s="332"/>
      <c r="E1388" s="333"/>
      <c r="F1388" s="333"/>
      <c r="R1388" s="316"/>
      <c r="S1388" s="404"/>
      <c r="T1388" s="404"/>
      <c r="U1388" s="404"/>
      <c r="V1388" s="404"/>
      <c r="W1388" s="316"/>
      <c r="X1388" s="316"/>
      <c r="Y1388" s="316"/>
      <c r="Z1388" s="316"/>
      <c r="AA1388" s="404"/>
      <c r="AB1388" s="404"/>
      <c r="AC1388" s="404"/>
      <c r="AD1388" s="404"/>
      <c r="AE1388" s="316"/>
      <c r="AF1388" s="316"/>
      <c r="AG1388" s="404"/>
      <c r="AH1388" s="316"/>
      <c r="AI1388" s="316"/>
      <c r="AJ1388" s="316"/>
      <c r="AK1388" s="316"/>
      <c r="AL1388" s="316"/>
      <c r="AM1388" s="416"/>
      <c r="AR1388" s="333"/>
      <c r="AS1388" s="333"/>
      <c r="AT1388" s="333"/>
      <c r="AU1388" s="333"/>
      <c r="AV1388" s="333"/>
    </row>
    <row r="1389" spans="2:48" s="330" customFormat="1" ht="28.15" customHeight="1" x14ac:dyDescent="0.25">
      <c r="B1389" s="331"/>
      <c r="C1389" s="332"/>
      <c r="D1389" s="332"/>
      <c r="E1389" s="333"/>
      <c r="F1389" s="333"/>
      <c r="R1389" s="316"/>
      <c r="S1389" s="404"/>
      <c r="T1389" s="404"/>
      <c r="U1389" s="404"/>
      <c r="V1389" s="404"/>
      <c r="W1389" s="316"/>
      <c r="X1389" s="316"/>
      <c r="Y1389" s="316"/>
      <c r="Z1389" s="316"/>
      <c r="AA1389" s="404"/>
      <c r="AB1389" s="404"/>
      <c r="AC1389" s="404"/>
      <c r="AD1389" s="404"/>
      <c r="AE1389" s="316"/>
      <c r="AF1389" s="316"/>
      <c r="AG1389" s="404"/>
      <c r="AH1389" s="316"/>
      <c r="AI1389" s="316"/>
      <c r="AJ1389" s="316"/>
      <c r="AK1389" s="316"/>
      <c r="AL1389" s="316"/>
      <c r="AM1389" s="416"/>
      <c r="AR1389" s="333"/>
      <c r="AS1389" s="333"/>
      <c r="AT1389" s="333"/>
      <c r="AU1389" s="333"/>
      <c r="AV1389" s="333"/>
    </row>
    <row r="1390" spans="2:48" s="330" customFormat="1" ht="28.15" customHeight="1" x14ac:dyDescent="0.25">
      <c r="B1390" s="331"/>
      <c r="C1390" s="332"/>
      <c r="D1390" s="332"/>
      <c r="E1390" s="333"/>
      <c r="F1390" s="333"/>
      <c r="R1390" s="316"/>
      <c r="S1390" s="404"/>
      <c r="T1390" s="404"/>
      <c r="U1390" s="404"/>
      <c r="V1390" s="404"/>
      <c r="W1390" s="316"/>
      <c r="X1390" s="316"/>
      <c r="Y1390" s="316"/>
      <c r="Z1390" s="316"/>
      <c r="AA1390" s="404"/>
      <c r="AB1390" s="404"/>
      <c r="AC1390" s="404"/>
      <c r="AD1390" s="404"/>
      <c r="AE1390" s="316"/>
      <c r="AF1390" s="316"/>
      <c r="AG1390" s="404"/>
      <c r="AH1390" s="316"/>
      <c r="AI1390" s="316"/>
      <c r="AJ1390" s="316"/>
      <c r="AK1390" s="316"/>
      <c r="AL1390" s="316"/>
      <c r="AM1390" s="416"/>
      <c r="AR1390" s="333"/>
      <c r="AS1390" s="333"/>
      <c r="AT1390" s="333"/>
      <c r="AU1390" s="333"/>
      <c r="AV1390" s="333"/>
    </row>
    <row r="1391" spans="2:48" s="330" customFormat="1" ht="28.15" customHeight="1" x14ac:dyDescent="0.25">
      <c r="B1391" s="331"/>
      <c r="C1391" s="332"/>
      <c r="D1391" s="332"/>
      <c r="E1391" s="333"/>
      <c r="F1391" s="333"/>
      <c r="R1391" s="316"/>
      <c r="S1391" s="404"/>
      <c r="T1391" s="404"/>
      <c r="U1391" s="404"/>
      <c r="V1391" s="404"/>
      <c r="W1391" s="316"/>
      <c r="X1391" s="316"/>
      <c r="Y1391" s="316"/>
      <c r="Z1391" s="316"/>
      <c r="AA1391" s="404"/>
      <c r="AB1391" s="404"/>
      <c r="AC1391" s="404"/>
      <c r="AD1391" s="404"/>
      <c r="AE1391" s="316"/>
      <c r="AF1391" s="316"/>
      <c r="AG1391" s="404"/>
      <c r="AH1391" s="316"/>
      <c r="AI1391" s="316"/>
      <c r="AJ1391" s="316"/>
      <c r="AK1391" s="316"/>
      <c r="AL1391" s="316"/>
      <c r="AM1391" s="416"/>
      <c r="AR1391" s="333"/>
      <c r="AS1391" s="333"/>
      <c r="AT1391" s="333"/>
      <c r="AU1391" s="333"/>
      <c r="AV1391" s="333"/>
    </row>
    <row r="1392" spans="2:48" s="330" customFormat="1" ht="28.15" customHeight="1" x14ac:dyDescent="0.25">
      <c r="B1392" s="331"/>
      <c r="C1392" s="332"/>
      <c r="D1392" s="332"/>
      <c r="E1392" s="333"/>
      <c r="F1392" s="333"/>
      <c r="R1392" s="316"/>
      <c r="S1392" s="404"/>
      <c r="T1392" s="404"/>
      <c r="U1392" s="404"/>
      <c r="V1392" s="404"/>
      <c r="W1392" s="316"/>
      <c r="X1392" s="316"/>
      <c r="Y1392" s="316"/>
      <c r="Z1392" s="316"/>
      <c r="AA1392" s="404"/>
      <c r="AB1392" s="404"/>
      <c r="AC1392" s="404"/>
      <c r="AD1392" s="404"/>
      <c r="AE1392" s="316"/>
      <c r="AF1392" s="316"/>
      <c r="AG1392" s="404"/>
      <c r="AH1392" s="316"/>
      <c r="AI1392" s="316"/>
      <c r="AJ1392" s="316"/>
      <c r="AK1392" s="316"/>
      <c r="AL1392" s="316"/>
      <c r="AM1392" s="416"/>
      <c r="AR1392" s="333"/>
      <c r="AS1392" s="333"/>
      <c r="AT1392" s="333"/>
      <c r="AU1392" s="333"/>
      <c r="AV1392" s="333"/>
    </row>
    <row r="1393" spans="2:48" s="330" customFormat="1" ht="28.15" customHeight="1" x14ac:dyDescent="0.25">
      <c r="B1393" s="331"/>
      <c r="C1393" s="332"/>
      <c r="D1393" s="332"/>
      <c r="E1393" s="333"/>
      <c r="F1393" s="333"/>
      <c r="R1393" s="316"/>
      <c r="S1393" s="404"/>
      <c r="T1393" s="404"/>
      <c r="U1393" s="404"/>
      <c r="V1393" s="404"/>
      <c r="W1393" s="316"/>
      <c r="X1393" s="316"/>
      <c r="Y1393" s="316"/>
      <c r="Z1393" s="316"/>
      <c r="AA1393" s="404"/>
      <c r="AB1393" s="404"/>
      <c r="AC1393" s="404"/>
      <c r="AD1393" s="404"/>
      <c r="AE1393" s="316"/>
      <c r="AF1393" s="316"/>
      <c r="AG1393" s="404"/>
      <c r="AH1393" s="316"/>
      <c r="AI1393" s="316"/>
      <c r="AJ1393" s="316"/>
      <c r="AK1393" s="316"/>
      <c r="AL1393" s="316"/>
      <c r="AM1393" s="416"/>
      <c r="AR1393" s="333"/>
      <c r="AS1393" s="333"/>
      <c r="AT1393" s="333"/>
      <c r="AU1393" s="333"/>
      <c r="AV1393" s="333"/>
    </row>
    <row r="1394" spans="2:48" s="330" customFormat="1" ht="28.15" customHeight="1" x14ac:dyDescent="0.25">
      <c r="B1394" s="331"/>
      <c r="C1394" s="332"/>
      <c r="D1394" s="332"/>
      <c r="E1394" s="333"/>
      <c r="F1394" s="333"/>
      <c r="R1394" s="316"/>
      <c r="S1394" s="404"/>
      <c r="T1394" s="404"/>
      <c r="U1394" s="404"/>
      <c r="V1394" s="404"/>
      <c r="W1394" s="316"/>
      <c r="X1394" s="316"/>
      <c r="Y1394" s="316"/>
      <c r="Z1394" s="316"/>
      <c r="AA1394" s="404"/>
      <c r="AB1394" s="404"/>
      <c r="AC1394" s="404"/>
      <c r="AD1394" s="404"/>
      <c r="AE1394" s="316"/>
      <c r="AF1394" s="316"/>
      <c r="AG1394" s="404"/>
      <c r="AH1394" s="316"/>
      <c r="AI1394" s="316"/>
      <c r="AJ1394" s="316"/>
      <c r="AK1394" s="316"/>
      <c r="AL1394" s="316"/>
      <c r="AM1394" s="416"/>
      <c r="AR1394" s="333"/>
      <c r="AS1394" s="333"/>
      <c r="AT1394" s="333"/>
      <c r="AU1394" s="333"/>
      <c r="AV1394" s="333"/>
    </row>
    <row r="1395" spans="2:48" s="330" customFormat="1" ht="28.15" customHeight="1" x14ac:dyDescent="0.25">
      <c r="B1395" s="331"/>
      <c r="C1395" s="332"/>
      <c r="D1395" s="332"/>
      <c r="E1395" s="333"/>
      <c r="F1395" s="333"/>
      <c r="R1395" s="316"/>
      <c r="S1395" s="404"/>
      <c r="T1395" s="404"/>
      <c r="U1395" s="404"/>
      <c r="V1395" s="404"/>
      <c r="W1395" s="316"/>
      <c r="X1395" s="316"/>
      <c r="Y1395" s="316"/>
      <c r="Z1395" s="316"/>
      <c r="AA1395" s="404"/>
      <c r="AB1395" s="404"/>
      <c r="AC1395" s="404"/>
      <c r="AD1395" s="404"/>
      <c r="AE1395" s="316"/>
      <c r="AF1395" s="316"/>
      <c r="AG1395" s="404"/>
      <c r="AH1395" s="316"/>
      <c r="AI1395" s="316"/>
      <c r="AJ1395" s="316"/>
      <c r="AK1395" s="316"/>
      <c r="AL1395" s="316"/>
      <c r="AM1395" s="416"/>
      <c r="AR1395" s="333"/>
      <c r="AS1395" s="333"/>
      <c r="AT1395" s="333"/>
      <c r="AU1395" s="333"/>
      <c r="AV1395" s="333"/>
    </row>
    <row r="1396" spans="2:48" s="330" customFormat="1" ht="28.15" customHeight="1" x14ac:dyDescent="0.25">
      <c r="B1396" s="331"/>
      <c r="C1396" s="332"/>
      <c r="D1396" s="332"/>
      <c r="E1396" s="333"/>
      <c r="F1396" s="333"/>
      <c r="R1396" s="316"/>
      <c r="S1396" s="404"/>
      <c r="T1396" s="404"/>
      <c r="U1396" s="404"/>
      <c r="V1396" s="404"/>
      <c r="W1396" s="316"/>
      <c r="X1396" s="316"/>
      <c r="Y1396" s="316"/>
      <c r="Z1396" s="316"/>
      <c r="AA1396" s="404"/>
      <c r="AB1396" s="404"/>
      <c r="AC1396" s="404"/>
      <c r="AD1396" s="404"/>
      <c r="AE1396" s="316"/>
      <c r="AF1396" s="316"/>
      <c r="AG1396" s="404"/>
      <c r="AH1396" s="316"/>
      <c r="AI1396" s="316"/>
      <c r="AJ1396" s="316"/>
      <c r="AK1396" s="316"/>
      <c r="AL1396" s="316"/>
      <c r="AM1396" s="416"/>
      <c r="AR1396" s="333"/>
      <c r="AS1396" s="333"/>
      <c r="AT1396" s="333"/>
      <c r="AU1396" s="333"/>
      <c r="AV1396" s="333"/>
    </row>
    <row r="1397" spans="2:48" s="330" customFormat="1" ht="28.15" customHeight="1" x14ac:dyDescent="0.25">
      <c r="B1397" s="331"/>
      <c r="C1397" s="332"/>
      <c r="D1397" s="332"/>
      <c r="E1397" s="333"/>
      <c r="F1397" s="333"/>
      <c r="R1397" s="316"/>
      <c r="S1397" s="404"/>
      <c r="T1397" s="404"/>
      <c r="U1397" s="404"/>
      <c r="V1397" s="404"/>
      <c r="W1397" s="316"/>
      <c r="X1397" s="316"/>
      <c r="Y1397" s="316"/>
      <c r="Z1397" s="316"/>
      <c r="AA1397" s="404"/>
      <c r="AB1397" s="404"/>
      <c r="AC1397" s="404"/>
      <c r="AD1397" s="404"/>
      <c r="AE1397" s="316"/>
      <c r="AF1397" s="316"/>
      <c r="AG1397" s="404"/>
      <c r="AH1397" s="316"/>
      <c r="AI1397" s="316"/>
      <c r="AJ1397" s="316"/>
      <c r="AK1397" s="316"/>
      <c r="AL1397" s="316"/>
      <c r="AM1397" s="416"/>
      <c r="AR1397" s="333"/>
      <c r="AS1397" s="333"/>
      <c r="AT1397" s="333"/>
      <c r="AU1397" s="333"/>
      <c r="AV1397" s="333"/>
    </row>
    <row r="1398" spans="2:48" s="330" customFormat="1" ht="28.15" customHeight="1" x14ac:dyDescent="0.25">
      <c r="B1398" s="331"/>
      <c r="C1398" s="332"/>
      <c r="D1398" s="332"/>
      <c r="E1398" s="333"/>
      <c r="F1398" s="333"/>
      <c r="R1398" s="316"/>
      <c r="S1398" s="404"/>
      <c r="T1398" s="404"/>
      <c r="U1398" s="404"/>
      <c r="V1398" s="404"/>
      <c r="W1398" s="316"/>
      <c r="X1398" s="316"/>
      <c r="Y1398" s="316"/>
      <c r="Z1398" s="316"/>
      <c r="AA1398" s="404"/>
      <c r="AB1398" s="404"/>
      <c r="AC1398" s="404"/>
      <c r="AD1398" s="404"/>
      <c r="AE1398" s="316"/>
      <c r="AF1398" s="316"/>
      <c r="AG1398" s="404"/>
      <c r="AH1398" s="316"/>
      <c r="AI1398" s="316"/>
      <c r="AJ1398" s="316"/>
      <c r="AK1398" s="316"/>
      <c r="AL1398" s="316"/>
      <c r="AM1398" s="416"/>
      <c r="AR1398" s="333"/>
      <c r="AS1398" s="333"/>
      <c r="AT1398" s="333"/>
      <c r="AU1398" s="333"/>
      <c r="AV1398" s="333"/>
    </row>
    <row r="1399" spans="2:48" s="330" customFormat="1" ht="28.15" customHeight="1" x14ac:dyDescent="0.25">
      <c r="B1399" s="331"/>
      <c r="C1399" s="332"/>
      <c r="D1399" s="332"/>
      <c r="E1399" s="333"/>
      <c r="F1399" s="333"/>
      <c r="R1399" s="316"/>
      <c r="S1399" s="404"/>
      <c r="T1399" s="404"/>
      <c r="U1399" s="404"/>
      <c r="V1399" s="404"/>
      <c r="W1399" s="316"/>
      <c r="X1399" s="316"/>
      <c r="Y1399" s="316"/>
      <c r="Z1399" s="316"/>
      <c r="AA1399" s="404"/>
      <c r="AB1399" s="404"/>
      <c r="AC1399" s="404"/>
      <c r="AD1399" s="404"/>
      <c r="AE1399" s="316"/>
      <c r="AF1399" s="316"/>
      <c r="AG1399" s="404"/>
      <c r="AH1399" s="316"/>
      <c r="AI1399" s="316"/>
      <c r="AJ1399" s="316"/>
      <c r="AK1399" s="316"/>
      <c r="AL1399" s="316"/>
      <c r="AM1399" s="416"/>
      <c r="AR1399" s="333"/>
      <c r="AS1399" s="333"/>
      <c r="AT1399" s="333"/>
      <c r="AU1399" s="333"/>
      <c r="AV1399" s="333"/>
    </row>
    <row r="1400" spans="2:48" s="330" customFormat="1" ht="28.15" customHeight="1" x14ac:dyDescent="0.25">
      <c r="B1400" s="331"/>
      <c r="C1400" s="332"/>
      <c r="D1400" s="332"/>
      <c r="E1400" s="333"/>
      <c r="F1400" s="333"/>
      <c r="R1400" s="316"/>
      <c r="S1400" s="404"/>
      <c r="T1400" s="404"/>
      <c r="U1400" s="404"/>
      <c r="V1400" s="404"/>
      <c r="W1400" s="316"/>
      <c r="X1400" s="316"/>
      <c r="Y1400" s="316"/>
      <c r="Z1400" s="316"/>
      <c r="AA1400" s="404"/>
      <c r="AB1400" s="404"/>
      <c r="AC1400" s="404"/>
      <c r="AD1400" s="404"/>
      <c r="AE1400" s="316"/>
      <c r="AF1400" s="316"/>
      <c r="AG1400" s="404"/>
      <c r="AH1400" s="316"/>
      <c r="AI1400" s="316"/>
      <c r="AJ1400" s="316"/>
      <c r="AK1400" s="316"/>
      <c r="AL1400" s="316"/>
      <c r="AM1400" s="416"/>
      <c r="AR1400" s="333"/>
      <c r="AS1400" s="333"/>
      <c r="AT1400" s="333"/>
      <c r="AU1400" s="333"/>
      <c r="AV1400" s="333"/>
    </row>
    <row r="1401" spans="2:48" s="330" customFormat="1" ht="28.15" customHeight="1" x14ac:dyDescent="0.25">
      <c r="B1401" s="331"/>
      <c r="C1401" s="332"/>
      <c r="D1401" s="332"/>
      <c r="E1401" s="333"/>
      <c r="F1401" s="333"/>
      <c r="R1401" s="316"/>
      <c r="S1401" s="404"/>
      <c r="T1401" s="404"/>
      <c r="U1401" s="404"/>
      <c r="V1401" s="404"/>
      <c r="W1401" s="316"/>
      <c r="X1401" s="316"/>
      <c r="Y1401" s="316"/>
      <c r="Z1401" s="316"/>
      <c r="AA1401" s="404"/>
      <c r="AB1401" s="404"/>
      <c r="AC1401" s="404"/>
      <c r="AD1401" s="404"/>
      <c r="AE1401" s="316"/>
      <c r="AF1401" s="316"/>
      <c r="AG1401" s="404"/>
      <c r="AH1401" s="316"/>
      <c r="AI1401" s="316"/>
      <c r="AJ1401" s="316"/>
      <c r="AK1401" s="316"/>
      <c r="AL1401" s="316"/>
      <c r="AM1401" s="416"/>
      <c r="AR1401" s="333"/>
      <c r="AS1401" s="333"/>
      <c r="AT1401" s="333"/>
      <c r="AU1401" s="333"/>
      <c r="AV1401" s="333"/>
    </row>
    <row r="1402" spans="2:48" s="330" customFormat="1" ht="28.15" customHeight="1" x14ac:dyDescent="0.25">
      <c r="B1402" s="331"/>
      <c r="C1402" s="332"/>
      <c r="D1402" s="332"/>
      <c r="E1402" s="333"/>
      <c r="F1402" s="333"/>
      <c r="R1402" s="316"/>
      <c r="S1402" s="404"/>
      <c r="T1402" s="404"/>
      <c r="U1402" s="404"/>
      <c r="V1402" s="404"/>
      <c r="W1402" s="316"/>
      <c r="X1402" s="316"/>
      <c r="Y1402" s="316"/>
      <c r="Z1402" s="316"/>
      <c r="AA1402" s="404"/>
      <c r="AB1402" s="404"/>
      <c r="AC1402" s="404"/>
      <c r="AD1402" s="404"/>
      <c r="AE1402" s="316"/>
      <c r="AF1402" s="316"/>
      <c r="AG1402" s="404"/>
      <c r="AH1402" s="316"/>
      <c r="AI1402" s="316"/>
      <c r="AJ1402" s="316"/>
      <c r="AK1402" s="316"/>
      <c r="AL1402" s="316"/>
      <c r="AM1402" s="416"/>
      <c r="AR1402" s="333"/>
      <c r="AS1402" s="333"/>
      <c r="AT1402" s="333"/>
      <c r="AU1402" s="333"/>
      <c r="AV1402" s="333"/>
    </row>
    <row r="1403" spans="2:48" s="330" customFormat="1" ht="28.15" customHeight="1" x14ac:dyDescent="0.25">
      <c r="B1403" s="331"/>
      <c r="C1403" s="332"/>
      <c r="D1403" s="332"/>
      <c r="E1403" s="333"/>
      <c r="F1403" s="333"/>
      <c r="R1403" s="316"/>
      <c r="S1403" s="404"/>
      <c r="T1403" s="404"/>
      <c r="U1403" s="404"/>
      <c r="V1403" s="404"/>
      <c r="W1403" s="316"/>
      <c r="X1403" s="316"/>
      <c r="Y1403" s="316"/>
      <c r="Z1403" s="316"/>
      <c r="AA1403" s="404"/>
      <c r="AB1403" s="404"/>
      <c r="AC1403" s="404"/>
      <c r="AD1403" s="404"/>
      <c r="AE1403" s="316"/>
      <c r="AF1403" s="316"/>
      <c r="AG1403" s="404"/>
      <c r="AH1403" s="316"/>
      <c r="AI1403" s="316"/>
      <c r="AJ1403" s="316"/>
      <c r="AK1403" s="316"/>
      <c r="AL1403" s="316"/>
      <c r="AM1403" s="416"/>
      <c r="AR1403" s="333"/>
      <c r="AS1403" s="333"/>
      <c r="AT1403" s="333"/>
      <c r="AU1403" s="333"/>
      <c r="AV1403" s="333"/>
    </row>
    <row r="1404" spans="2:48" s="330" customFormat="1" ht="28.15" customHeight="1" x14ac:dyDescent="0.25">
      <c r="B1404" s="331"/>
      <c r="C1404" s="332"/>
      <c r="D1404" s="332"/>
      <c r="E1404" s="333"/>
      <c r="F1404" s="333"/>
      <c r="R1404" s="316"/>
      <c r="S1404" s="404"/>
      <c r="T1404" s="404"/>
      <c r="U1404" s="404"/>
      <c r="V1404" s="404"/>
      <c r="W1404" s="316"/>
      <c r="X1404" s="316"/>
      <c r="Y1404" s="316"/>
      <c r="Z1404" s="316"/>
      <c r="AA1404" s="404"/>
      <c r="AB1404" s="404"/>
      <c r="AC1404" s="404"/>
      <c r="AD1404" s="404"/>
      <c r="AE1404" s="316"/>
      <c r="AF1404" s="316"/>
      <c r="AG1404" s="404"/>
      <c r="AH1404" s="316"/>
      <c r="AI1404" s="316"/>
      <c r="AJ1404" s="316"/>
      <c r="AK1404" s="316"/>
      <c r="AL1404" s="316"/>
      <c r="AM1404" s="416"/>
      <c r="AR1404" s="333"/>
      <c r="AS1404" s="333"/>
      <c r="AT1404" s="333"/>
      <c r="AU1404" s="333"/>
      <c r="AV1404" s="333"/>
    </row>
    <row r="1405" spans="2:48" s="330" customFormat="1" ht="28.15" customHeight="1" x14ac:dyDescent="0.25">
      <c r="B1405" s="331"/>
      <c r="C1405" s="332"/>
      <c r="D1405" s="332"/>
      <c r="E1405" s="333"/>
      <c r="F1405" s="333"/>
      <c r="R1405" s="316"/>
      <c r="S1405" s="404"/>
      <c r="T1405" s="404"/>
      <c r="U1405" s="404"/>
      <c r="V1405" s="404"/>
      <c r="W1405" s="316"/>
      <c r="X1405" s="316"/>
      <c r="Y1405" s="316"/>
      <c r="Z1405" s="316"/>
      <c r="AA1405" s="404"/>
      <c r="AB1405" s="404"/>
      <c r="AC1405" s="404"/>
      <c r="AD1405" s="404"/>
      <c r="AE1405" s="316"/>
      <c r="AF1405" s="316"/>
      <c r="AG1405" s="404"/>
      <c r="AH1405" s="316"/>
      <c r="AI1405" s="316"/>
      <c r="AJ1405" s="316"/>
      <c r="AK1405" s="316"/>
      <c r="AL1405" s="316"/>
      <c r="AM1405" s="416"/>
      <c r="AR1405" s="333"/>
      <c r="AS1405" s="333"/>
      <c r="AT1405" s="333"/>
      <c r="AU1405" s="333"/>
      <c r="AV1405" s="333"/>
    </row>
    <row r="1406" spans="2:48" s="330" customFormat="1" ht="28.15" customHeight="1" x14ac:dyDescent="0.25">
      <c r="B1406" s="331"/>
      <c r="C1406" s="332"/>
      <c r="D1406" s="332"/>
      <c r="E1406" s="333"/>
      <c r="F1406" s="333"/>
      <c r="R1406" s="316"/>
      <c r="S1406" s="404"/>
      <c r="T1406" s="404"/>
      <c r="U1406" s="404"/>
      <c r="V1406" s="404"/>
      <c r="W1406" s="316"/>
      <c r="X1406" s="316"/>
      <c r="Y1406" s="316"/>
      <c r="Z1406" s="316"/>
      <c r="AA1406" s="404"/>
      <c r="AB1406" s="404"/>
      <c r="AC1406" s="404"/>
      <c r="AD1406" s="404"/>
      <c r="AE1406" s="316"/>
      <c r="AF1406" s="316"/>
      <c r="AG1406" s="404"/>
      <c r="AH1406" s="316"/>
      <c r="AI1406" s="316"/>
      <c r="AJ1406" s="316"/>
      <c r="AK1406" s="316"/>
      <c r="AL1406" s="316"/>
      <c r="AM1406" s="416"/>
      <c r="AR1406" s="333"/>
      <c r="AS1406" s="333"/>
      <c r="AT1406" s="333"/>
      <c r="AU1406" s="333"/>
      <c r="AV1406" s="333"/>
    </row>
    <row r="1407" spans="2:48" s="330" customFormat="1" ht="28.15" customHeight="1" x14ac:dyDescent="0.25">
      <c r="B1407" s="331"/>
      <c r="C1407" s="332"/>
      <c r="D1407" s="332"/>
      <c r="E1407" s="333"/>
      <c r="F1407" s="333"/>
      <c r="R1407" s="316"/>
      <c r="S1407" s="404"/>
      <c r="T1407" s="404"/>
      <c r="U1407" s="404"/>
      <c r="V1407" s="404"/>
      <c r="W1407" s="316"/>
      <c r="X1407" s="316"/>
      <c r="Y1407" s="316"/>
      <c r="Z1407" s="316"/>
      <c r="AA1407" s="404"/>
      <c r="AB1407" s="404"/>
      <c r="AC1407" s="404"/>
      <c r="AD1407" s="404"/>
      <c r="AE1407" s="316"/>
      <c r="AF1407" s="316"/>
      <c r="AG1407" s="404"/>
      <c r="AH1407" s="316"/>
      <c r="AI1407" s="316"/>
      <c r="AJ1407" s="316"/>
      <c r="AK1407" s="316"/>
      <c r="AL1407" s="316"/>
      <c r="AM1407" s="416"/>
      <c r="AR1407" s="333"/>
      <c r="AS1407" s="333"/>
      <c r="AT1407" s="333"/>
      <c r="AU1407" s="333"/>
      <c r="AV1407" s="333"/>
    </row>
    <row r="1408" spans="2:48" s="330" customFormat="1" ht="28.15" customHeight="1" x14ac:dyDescent="0.25">
      <c r="B1408" s="331"/>
      <c r="C1408" s="332"/>
      <c r="D1408" s="332"/>
      <c r="E1408" s="333"/>
      <c r="F1408" s="333"/>
      <c r="R1408" s="316"/>
      <c r="S1408" s="404"/>
      <c r="T1408" s="404"/>
      <c r="U1408" s="404"/>
      <c r="V1408" s="404"/>
      <c r="W1408" s="316"/>
      <c r="X1408" s="316"/>
      <c r="Y1408" s="316"/>
      <c r="Z1408" s="316"/>
      <c r="AA1408" s="404"/>
      <c r="AB1408" s="404"/>
      <c r="AC1408" s="404"/>
      <c r="AD1408" s="404"/>
      <c r="AE1408" s="316"/>
      <c r="AF1408" s="316"/>
      <c r="AG1408" s="404"/>
      <c r="AH1408" s="316"/>
      <c r="AI1408" s="316"/>
      <c r="AJ1408" s="316"/>
      <c r="AK1408" s="316"/>
      <c r="AL1408" s="316"/>
      <c r="AM1408" s="416"/>
      <c r="AR1408" s="333"/>
      <c r="AS1408" s="333"/>
      <c r="AT1408" s="333"/>
      <c r="AU1408" s="333"/>
      <c r="AV1408" s="333"/>
    </row>
    <row r="1409" spans="2:48" s="330" customFormat="1" ht="28.15" customHeight="1" x14ac:dyDescent="0.25">
      <c r="B1409" s="331"/>
      <c r="C1409" s="332"/>
      <c r="D1409" s="332"/>
      <c r="E1409" s="333"/>
      <c r="F1409" s="333"/>
      <c r="R1409" s="316"/>
      <c r="S1409" s="404"/>
      <c r="T1409" s="404"/>
      <c r="U1409" s="404"/>
      <c r="V1409" s="404"/>
      <c r="W1409" s="316"/>
      <c r="X1409" s="316"/>
      <c r="Y1409" s="316"/>
      <c r="Z1409" s="316"/>
      <c r="AA1409" s="404"/>
      <c r="AB1409" s="404"/>
      <c r="AC1409" s="404"/>
      <c r="AD1409" s="404"/>
      <c r="AE1409" s="316"/>
      <c r="AF1409" s="316"/>
      <c r="AG1409" s="404"/>
      <c r="AH1409" s="316"/>
      <c r="AI1409" s="316"/>
      <c r="AJ1409" s="316"/>
      <c r="AK1409" s="316"/>
      <c r="AL1409" s="316"/>
      <c r="AM1409" s="416"/>
      <c r="AR1409" s="333"/>
      <c r="AS1409" s="333"/>
      <c r="AT1409" s="333"/>
      <c r="AU1409" s="333"/>
      <c r="AV1409" s="333"/>
    </row>
    <row r="1410" spans="2:48" s="330" customFormat="1" ht="28.15" customHeight="1" x14ac:dyDescent="0.25">
      <c r="B1410" s="331"/>
      <c r="C1410" s="332"/>
      <c r="D1410" s="332"/>
      <c r="E1410" s="333"/>
      <c r="F1410" s="333"/>
      <c r="R1410" s="316"/>
      <c r="S1410" s="404"/>
      <c r="T1410" s="404"/>
      <c r="U1410" s="404"/>
      <c r="V1410" s="404"/>
      <c r="W1410" s="316"/>
      <c r="X1410" s="316"/>
      <c r="Y1410" s="316"/>
      <c r="Z1410" s="316"/>
      <c r="AA1410" s="404"/>
      <c r="AB1410" s="404"/>
      <c r="AC1410" s="404"/>
      <c r="AD1410" s="404"/>
      <c r="AE1410" s="316"/>
      <c r="AF1410" s="316"/>
      <c r="AG1410" s="404"/>
      <c r="AH1410" s="316"/>
      <c r="AI1410" s="316"/>
      <c r="AJ1410" s="316"/>
      <c r="AK1410" s="316"/>
      <c r="AL1410" s="316"/>
      <c r="AM1410" s="416"/>
      <c r="AR1410" s="333"/>
      <c r="AS1410" s="333"/>
      <c r="AT1410" s="333"/>
      <c r="AU1410" s="333"/>
      <c r="AV1410" s="333"/>
    </row>
    <row r="1411" spans="2:48" s="330" customFormat="1" ht="28.15" customHeight="1" x14ac:dyDescent="0.25">
      <c r="B1411" s="331"/>
      <c r="C1411" s="332"/>
      <c r="D1411" s="332"/>
      <c r="E1411" s="333"/>
      <c r="F1411" s="333"/>
      <c r="R1411" s="316"/>
      <c r="S1411" s="404"/>
      <c r="T1411" s="404"/>
      <c r="U1411" s="404"/>
      <c r="V1411" s="404"/>
      <c r="W1411" s="316"/>
      <c r="X1411" s="316"/>
      <c r="Y1411" s="316"/>
      <c r="Z1411" s="316"/>
      <c r="AA1411" s="404"/>
      <c r="AB1411" s="404"/>
      <c r="AC1411" s="404"/>
      <c r="AD1411" s="404"/>
      <c r="AE1411" s="316"/>
      <c r="AF1411" s="316"/>
      <c r="AG1411" s="404"/>
      <c r="AH1411" s="316"/>
      <c r="AI1411" s="316"/>
      <c r="AJ1411" s="316"/>
      <c r="AK1411" s="316"/>
      <c r="AL1411" s="316"/>
      <c r="AM1411" s="416"/>
      <c r="AR1411" s="333"/>
      <c r="AS1411" s="333"/>
      <c r="AT1411" s="333"/>
      <c r="AU1411" s="333"/>
      <c r="AV1411" s="333"/>
    </row>
    <row r="1412" spans="2:48" s="330" customFormat="1" ht="28.15" customHeight="1" x14ac:dyDescent="0.25">
      <c r="B1412" s="331"/>
      <c r="C1412" s="332"/>
      <c r="D1412" s="332"/>
      <c r="E1412" s="333"/>
      <c r="F1412" s="333"/>
      <c r="R1412" s="316"/>
      <c r="S1412" s="404"/>
      <c r="T1412" s="404"/>
      <c r="U1412" s="404"/>
      <c r="V1412" s="404"/>
      <c r="W1412" s="316"/>
      <c r="X1412" s="316"/>
      <c r="Y1412" s="316"/>
      <c r="Z1412" s="316"/>
      <c r="AA1412" s="404"/>
      <c r="AB1412" s="404"/>
      <c r="AC1412" s="404"/>
      <c r="AD1412" s="404"/>
      <c r="AE1412" s="316"/>
      <c r="AF1412" s="316"/>
      <c r="AG1412" s="404"/>
      <c r="AH1412" s="316"/>
      <c r="AI1412" s="316"/>
      <c r="AJ1412" s="316"/>
      <c r="AK1412" s="316"/>
      <c r="AL1412" s="316"/>
      <c r="AM1412" s="416"/>
      <c r="AR1412" s="333"/>
      <c r="AS1412" s="333"/>
      <c r="AT1412" s="333"/>
      <c r="AU1412" s="333"/>
      <c r="AV1412" s="333"/>
    </row>
    <row r="1413" spans="2:48" s="330" customFormat="1" ht="28.15" customHeight="1" x14ac:dyDescent="0.25">
      <c r="B1413" s="331"/>
      <c r="C1413" s="332"/>
      <c r="D1413" s="332"/>
      <c r="E1413" s="333"/>
      <c r="F1413" s="333"/>
      <c r="R1413" s="316"/>
      <c r="S1413" s="404"/>
      <c r="T1413" s="404"/>
      <c r="U1413" s="404"/>
      <c r="V1413" s="404"/>
      <c r="W1413" s="316"/>
      <c r="X1413" s="316"/>
      <c r="Y1413" s="316"/>
      <c r="Z1413" s="316"/>
      <c r="AA1413" s="404"/>
      <c r="AB1413" s="404"/>
      <c r="AC1413" s="404"/>
      <c r="AD1413" s="404"/>
      <c r="AE1413" s="316"/>
      <c r="AF1413" s="316"/>
      <c r="AG1413" s="404"/>
      <c r="AH1413" s="316"/>
      <c r="AI1413" s="316"/>
      <c r="AJ1413" s="316"/>
      <c r="AK1413" s="316"/>
      <c r="AL1413" s="316"/>
      <c r="AM1413" s="416"/>
      <c r="AR1413" s="333"/>
      <c r="AS1413" s="333"/>
      <c r="AT1413" s="333"/>
      <c r="AU1413" s="333"/>
      <c r="AV1413" s="333"/>
    </row>
    <row r="1414" spans="2:48" s="330" customFormat="1" ht="28.15" customHeight="1" x14ac:dyDescent="0.25">
      <c r="B1414" s="331"/>
      <c r="C1414" s="332"/>
      <c r="D1414" s="332"/>
      <c r="E1414" s="333"/>
      <c r="F1414" s="333"/>
      <c r="R1414" s="316"/>
      <c r="S1414" s="404"/>
      <c r="T1414" s="404"/>
      <c r="U1414" s="404"/>
      <c r="V1414" s="404"/>
      <c r="W1414" s="316"/>
      <c r="X1414" s="316"/>
      <c r="Y1414" s="316"/>
      <c r="Z1414" s="316"/>
      <c r="AA1414" s="404"/>
      <c r="AB1414" s="404"/>
      <c r="AC1414" s="404"/>
      <c r="AD1414" s="404"/>
      <c r="AE1414" s="316"/>
      <c r="AF1414" s="316"/>
      <c r="AG1414" s="404"/>
      <c r="AH1414" s="316"/>
      <c r="AI1414" s="316"/>
      <c r="AJ1414" s="316"/>
      <c r="AK1414" s="316"/>
      <c r="AL1414" s="316"/>
      <c r="AM1414" s="416"/>
      <c r="AR1414" s="333"/>
      <c r="AS1414" s="333"/>
      <c r="AT1414" s="333"/>
      <c r="AU1414" s="333"/>
      <c r="AV1414" s="333"/>
    </row>
    <row r="1415" spans="2:48" s="330" customFormat="1" ht="28.15" customHeight="1" x14ac:dyDescent="0.25">
      <c r="B1415" s="331"/>
      <c r="C1415" s="332"/>
      <c r="D1415" s="332"/>
      <c r="E1415" s="333"/>
      <c r="F1415" s="333"/>
      <c r="R1415" s="316"/>
      <c r="S1415" s="404"/>
      <c r="T1415" s="404"/>
      <c r="U1415" s="404"/>
      <c r="V1415" s="404"/>
      <c r="W1415" s="316"/>
      <c r="X1415" s="316"/>
      <c r="Y1415" s="316"/>
      <c r="Z1415" s="316"/>
      <c r="AA1415" s="404"/>
      <c r="AB1415" s="404"/>
      <c r="AC1415" s="404"/>
      <c r="AD1415" s="404"/>
      <c r="AE1415" s="316"/>
      <c r="AF1415" s="316"/>
      <c r="AG1415" s="404"/>
      <c r="AH1415" s="316"/>
      <c r="AI1415" s="316"/>
      <c r="AJ1415" s="316"/>
      <c r="AK1415" s="316"/>
      <c r="AL1415" s="316"/>
      <c r="AM1415" s="416"/>
      <c r="AR1415" s="333"/>
      <c r="AS1415" s="333"/>
      <c r="AT1415" s="333"/>
      <c r="AU1415" s="333"/>
      <c r="AV1415" s="333"/>
    </row>
    <row r="1416" spans="2:48" s="330" customFormat="1" ht="28.15" customHeight="1" x14ac:dyDescent="0.25">
      <c r="B1416" s="331"/>
      <c r="C1416" s="332"/>
      <c r="D1416" s="332"/>
      <c r="E1416" s="333"/>
      <c r="F1416" s="333"/>
      <c r="R1416" s="316"/>
      <c r="S1416" s="404"/>
      <c r="T1416" s="404"/>
      <c r="U1416" s="404"/>
      <c r="V1416" s="404"/>
      <c r="W1416" s="316"/>
      <c r="X1416" s="316"/>
      <c r="Y1416" s="316"/>
      <c r="Z1416" s="316"/>
      <c r="AA1416" s="404"/>
      <c r="AB1416" s="404"/>
      <c r="AC1416" s="404"/>
      <c r="AD1416" s="404"/>
      <c r="AE1416" s="316"/>
      <c r="AF1416" s="316"/>
      <c r="AG1416" s="404"/>
      <c r="AH1416" s="316"/>
      <c r="AI1416" s="316"/>
      <c r="AJ1416" s="316"/>
      <c r="AK1416" s="316"/>
      <c r="AL1416" s="316"/>
      <c r="AM1416" s="416"/>
      <c r="AR1416" s="333"/>
      <c r="AS1416" s="333"/>
      <c r="AT1416" s="333"/>
      <c r="AU1416" s="333"/>
      <c r="AV1416" s="333"/>
    </row>
    <row r="1417" spans="2:48" s="330" customFormat="1" ht="28.15" customHeight="1" x14ac:dyDescent="0.25">
      <c r="B1417" s="331"/>
      <c r="C1417" s="332"/>
      <c r="D1417" s="332"/>
      <c r="E1417" s="333"/>
      <c r="F1417" s="333"/>
      <c r="R1417" s="316"/>
      <c r="S1417" s="404"/>
      <c r="T1417" s="404"/>
      <c r="U1417" s="404"/>
      <c r="V1417" s="404"/>
      <c r="W1417" s="316"/>
      <c r="X1417" s="316"/>
      <c r="Y1417" s="316"/>
      <c r="Z1417" s="316"/>
      <c r="AA1417" s="404"/>
      <c r="AB1417" s="404"/>
      <c r="AC1417" s="404"/>
      <c r="AD1417" s="404"/>
      <c r="AE1417" s="316"/>
      <c r="AF1417" s="316"/>
      <c r="AG1417" s="404"/>
      <c r="AH1417" s="316"/>
      <c r="AI1417" s="316"/>
      <c r="AJ1417" s="316"/>
      <c r="AK1417" s="316"/>
      <c r="AL1417" s="316"/>
      <c r="AM1417" s="416"/>
      <c r="AR1417" s="333"/>
      <c r="AS1417" s="333"/>
      <c r="AT1417" s="333"/>
      <c r="AU1417" s="333"/>
      <c r="AV1417" s="333"/>
    </row>
    <row r="1418" spans="2:48" s="330" customFormat="1" ht="28.15" customHeight="1" x14ac:dyDescent="0.25">
      <c r="B1418" s="331"/>
      <c r="C1418" s="332"/>
      <c r="D1418" s="332"/>
      <c r="E1418" s="333"/>
      <c r="F1418" s="333"/>
      <c r="R1418" s="316"/>
      <c r="S1418" s="404"/>
      <c r="T1418" s="404"/>
      <c r="U1418" s="404"/>
      <c r="V1418" s="404"/>
      <c r="W1418" s="316"/>
      <c r="X1418" s="316"/>
      <c r="Y1418" s="316"/>
      <c r="Z1418" s="316"/>
      <c r="AA1418" s="404"/>
      <c r="AB1418" s="404"/>
      <c r="AC1418" s="404"/>
      <c r="AD1418" s="404"/>
      <c r="AE1418" s="316"/>
      <c r="AF1418" s="316"/>
      <c r="AG1418" s="404"/>
      <c r="AH1418" s="316"/>
      <c r="AI1418" s="316"/>
      <c r="AJ1418" s="316"/>
      <c r="AK1418" s="316"/>
      <c r="AL1418" s="316"/>
      <c r="AM1418" s="416"/>
      <c r="AR1418" s="333"/>
      <c r="AS1418" s="333"/>
      <c r="AT1418" s="333"/>
      <c r="AU1418" s="333"/>
      <c r="AV1418" s="333"/>
    </row>
    <row r="1419" spans="2:48" s="330" customFormat="1" ht="28.15" customHeight="1" x14ac:dyDescent="0.25">
      <c r="B1419" s="331"/>
      <c r="C1419" s="332"/>
      <c r="D1419" s="332"/>
      <c r="E1419" s="333"/>
      <c r="F1419" s="333"/>
      <c r="R1419" s="316"/>
      <c r="S1419" s="404"/>
      <c r="T1419" s="404"/>
      <c r="U1419" s="404"/>
      <c r="V1419" s="404"/>
      <c r="W1419" s="316"/>
      <c r="X1419" s="316"/>
      <c r="Y1419" s="316"/>
      <c r="Z1419" s="316"/>
      <c r="AA1419" s="404"/>
      <c r="AB1419" s="404"/>
      <c r="AC1419" s="404"/>
      <c r="AD1419" s="404"/>
      <c r="AE1419" s="316"/>
      <c r="AF1419" s="316"/>
      <c r="AG1419" s="404"/>
      <c r="AH1419" s="316"/>
      <c r="AI1419" s="316"/>
      <c r="AJ1419" s="316"/>
      <c r="AK1419" s="316"/>
      <c r="AL1419" s="316"/>
      <c r="AM1419" s="416"/>
      <c r="AR1419" s="333"/>
      <c r="AS1419" s="333"/>
      <c r="AT1419" s="333"/>
      <c r="AU1419" s="333"/>
      <c r="AV1419" s="333"/>
    </row>
    <row r="1420" spans="2:48" s="330" customFormat="1" ht="28.15" customHeight="1" x14ac:dyDescent="0.25">
      <c r="B1420" s="331"/>
      <c r="C1420" s="332"/>
      <c r="D1420" s="332"/>
      <c r="E1420" s="333"/>
      <c r="F1420" s="333"/>
      <c r="R1420" s="316"/>
      <c r="S1420" s="404"/>
      <c r="T1420" s="404"/>
      <c r="U1420" s="404"/>
      <c r="V1420" s="404"/>
      <c r="W1420" s="316"/>
      <c r="X1420" s="316"/>
      <c r="Y1420" s="316"/>
      <c r="Z1420" s="316"/>
      <c r="AA1420" s="404"/>
      <c r="AB1420" s="404"/>
      <c r="AC1420" s="404"/>
      <c r="AD1420" s="404"/>
      <c r="AE1420" s="316"/>
      <c r="AF1420" s="316"/>
      <c r="AG1420" s="404"/>
      <c r="AH1420" s="316"/>
      <c r="AI1420" s="316"/>
      <c r="AJ1420" s="316"/>
      <c r="AK1420" s="316"/>
      <c r="AL1420" s="316"/>
      <c r="AM1420" s="416"/>
      <c r="AR1420" s="333"/>
      <c r="AS1420" s="333"/>
      <c r="AT1420" s="333"/>
      <c r="AU1420" s="333"/>
      <c r="AV1420" s="333"/>
    </row>
    <row r="1421" spans="2:48" s="330" customFormat="1" ht="28.15" customHeight="1" x14ac:dyDescent="0.25">
      <c r="B1421" s="331"/>
      <c r="C1421" s="332"/>
      <c r="D1421" s="332"/>
      <c r="E1421" s="333"/>
      <c r="F1421" s="333"/>
      <c r="R1421" s="316"/>
      <c r="S1421" s="404"/>
      <c r="T1421" s="404"/>
      <c r="U1421" s="404"/>
      <c r="V1421" s="404"/>
      <c r="W1421" s="316"/>
      <c r="X1421" s="316"/>
      <c r="Y1421" s="316"/>
      <c r="Z1421" s="316"/>
      <c r="AA1421" s="404"/>
      <c r="AB1421" s="404"/>
      <c r="AC1421" s="404"/>
      <c r="AD1421" s="404"/>
      <c r="AE1421" s="316"/>
      <c r="AF1421" s="316"/>
      <c r="AG1421" s="404"/>
      <c r="AH1421" s="316"/>
      <c r="AI1421" s="316"/>
      <c r="AJ1421" s="316"/>
      <c r="AK1421" s="316"/>
      <c r="AL1421" s="316"/>
      <c r="AM1421" s="416"/>
      <c r="AR1421" s="333"/>
      <c r="AS1421" s="333"/>
      <c r="AT1421" s="333"/>
      <c r="AU1421" s="333"/>
      <c r="AV1421" s="333"/>
    </row>
    <row r="1422" spans="2:48" s="330" customFormat="1" ht="28.15" customHeight="1" x14ac:dyDescent="0.25">
      <c r="B1422" s="331"/>
      <c r="C1422" s="332"/>
      <c r="D1422" s="332"/>
      <c r="E1422" s="333"/>
      <c r="F1422" s="333"/>
      <c r="R1422" s="316"/>
      <c r="S1422" s="404"/>
      <c r="T1422" s="404"/>
      <c r="U1422" s="404"/>
      <c r="V1422" s="404"/>
      <c r="W1422" s="316"/>
      <c r="X1422" s="316"/>
      <c r="Y1422" s="316"/>
      <c r="Z1422" s="316"/>
      <c r="AA1422" s="404"/>
      <c r="AB1422" s="404"/>
      <c r="AC1422" s="404"/>
      <c r="AD1422" s="404"/>
      <c r="AE1422" s="316"/>
      <c r="AF1422" s="316"/>
      <c r="AG1422" s="404"/>
      <c r="AH1422" s="316"/>
      <c r="AI1422" s="316"/>
      <c r="AJ1422" s="316"/>
      <c r="AK1422" s="316"/>
      <c r="AL1422" s="316"/>
      <c r="AM1422" s="416"/>
      <c r="AR1422" s="333"/>
      <c r="AS1422" s="333"/>
      <c r="AT1422" s="333"/>
      <c r="AU1422" s="333"/>
      <c r="AV1422" s="333"/>
    </row>
    <row r="1423" spans="2:48" s="330" customFormat="1" ht="28.15" customHeight="1" x14ac:dyDescent="0.25">
      <c r="B1423" s="331"/>
      <c r="C1423" s="332"/>
      <c r="D1423" s="332"/>
      <c r="E1423" s="333"/>
      <c r="F1423" s="333"/>
      <c r="R1423" s="316"/>
      <c r="S1423" s="404"/>
      <c r="T1423" s="404"/>
      <c r="U1423" s="404"/>
      <c r="V1423" s="404"/>
      <c r="W1423" s="316"/>
      <c r="X1423" s="316"/>
      <c r="Y1423" s="316"/>
      <c r="Z1423" s="316"/>
      <c r="AA1423" s="404"/>
      <c r="AB1423" s="404"/>
      <c r="AC1423" s="404"/>
      <c r="AD1423" s="404"/>
      <c r="AE1423" s="316"/>
      <c r="AF1423" s="316"/>
      <c r="AG1423" s="404"/>
      <c r="AH1423" s="316"/>
      <c r="AI1423" s="316"/>
      <c r="AJ1423" s="316"/>
      <c r="AK1423" s="316"/>
      <c r="AL1423" s="316"/>
      <c r="AM1423" s="416"/>
      <c r="AR1423" s="333"/>
      <c r="AS1423" s="333"/>
      <c r="AT1423" s="333"/>
      <c r="AU1423" s="333"/>
      <c r="AV1423" s="333"/>
    </row>
    <row r="1424" spans="2:48" s="330" customFormat="1" ht="28.15" customHeight="1" x14ac:dyDescent="0.25">
      <c r="B1424" s="331"/>
      <c r="C1424" s="332"/>
      <c r="D1424" s="332"/>
      <c r="E1424" s="333"/>
      <c r="F1424" s="333"/>
      <c r="R1424" s="316"/>
      <c r="S1424" s="404"/>
      <c r="T1424" s="404"/>
      <c r="U1424" s="404"/>
      <c r="V1424" s="404"/>
      <c r="W1424" s="316"/>
      <c r="X1424" s="316"/>
      <c r="Y1424" s="316"/>
      <c r="Z1424" s="316"/>
      <c r="AA1424" s="404"/>
      <c r="AB1424" s="404"/>
      <c r="AC1424" s="404"/>
      <c r="AD1424" s="404"/>
      <c r="AE1424" s="316"/>
      <c r="AF1424" s="316"/>
      <c r="AG1424" s="404"/>
      <c r="AH1424" s="316"/>
      <c r="AI1424" s="316"/>
      <c r="AJ1424" s="316"/>
      <c r="AK1424" s="316"/>
      <c r="AL1424" s="316"/>
      <c r="AM1424" s="416"/>
      <c r="AR1424" s="333"/>
      <c r="AS1424" s="333"/>
      <c r="AT1424" s="333"/>
      <c r="AU1424" s="333"/>
      <c r="AV1424" s="333"/>
    </row>
    <row r="1425" spans="2:48" s="330" customFormat="1" ht="28.15" customHeight="1" x14ac:dyDescent="0.25">
      <c r="B1425" s="331"/>
      <c r="C1425" s="332"/>
      <c r="D1425" s="332"/>
      <c r="E1425" s="333"/>
      <c r="F1425" s="333"/>
      <c r="R1425" s="316"/>
      <c r="S1425" s="404"/>
      <c r="T1425" s="404"/>
      <c r="U1425" s="404"/>
      <c r="V1425" s="404"/>
      <c r="W1425" s="316"/>
      <c r="X1425" s="316"/>
      <c r="Y1425" s="316"/>
      <c r="Z1425" s="316"/>
      <c r="AA1425" s="404"/>
      <c r="AB1425" s="404"/>
      <c r="AC1425" s="404"/>
      <c r="AD1425" s="404"/>
      <c r="AE1425" s="316"/>
      <c r="AF1425" s="316"/>
      <c r="AG1425" s="404"/>
      <c r="AH1425" s="316"/>
      <c r="AI1425" s="316"/>
      <c r="AJ1425" s="316"/>
      <c r="AK1425" s="316"/>
      <c r="AL1425" s="316"/>
      <c r="AM1425" s="416"/>
      <c r="AR1425" s="333"/>
      <c r="AS1425" s="333"/>
      <c r="AT1425" s="333"/>
      <c r="AU1425" s="333"/>
      <c r="AV1425" s="333"/>
    </row>
    <row r="1426" spans="2:48" s="330" customFormat="1" ht="28.15" customHeight="1" x14ac:dyDescent="0.25">
      <c r="B1426" s="331"/>
      <c r="C1426" s="332"/>
      <c r="D1426" s="332"/>
      <c r="E1426" s="333"/>
      <c r="F1426" s="333"/>
      <c r="R1426" s="316"/>
      <c r="S1426" s="404"/>
      <c r="T1426" s="404"/>
      <c r="U1426" s="404"/>
      <c r="V1426" s="404"/>
      <c r="W1426" s="316"/>
      <c r="X1426" s="316"/>
      <c r="Y1426" s="316"/>
      <c r="Z1426" s="316"/>
      <c r="AA1426" s="404"/>
      <c r="AB1426" s="404"/>
      <c r="AC1426" s="404"/>
      <c r="AD1426" s="404"/>
      <c r="AE1426" s="316"/>
      <c r="AF1426" s="316"/>
      <c r="AG1426" s="404"/>
      <c r="AH1426" s="316"/>
      <c r="AI1426" s="316"/>
      <c r="AJ1426" s="316"/>
      <c r="AK1426" s="316"/>
      <c r="AL1426" s="316"/>
      <c r="AM1426" s="416"/>
      <c r="AR1426" s="333"/>
      <c r="AS1426" s="333"/>
      <c r="AT1426" s="333"/>
      <c r="AU1426" s="333"/>
      <c r="AV1426" s="333"/>
    </row>
    <row r="1427" spans="2:48" s="330" customFormat="1" ht="28.15" customHeight="1" x14ac:dyDescent="0.25">
      <c r="B1427" s="331"/>
      <c r="C1427" s="332"/>
      <c r="D1427" s="332"/>
      <c r="E1427" s="333"/>
      <c r="F1427" s="333"/>
      <c r="R1427" s="316"/>
      <c r="S1427" s="404"/>
      <c r="T1427" s="404"/>
      <c r="U1427" s="404"/>
      <c r="V1427" s="404"/>
      <c r="W1427" s="316"/>
      <c r="X1427" s="316"/>
      <c r="Y1427" s="316"/>
      <c r="Z1427" s="316"/>
      <c r="AA1427" s="404"/>
      <c r="AB1427" s="404"/>
      <c r="AC1427" s="404"/>
      <c r="AD1427" s="404"/>
      <c r="AE1427" s="316"/>
      <c r="AF1427" s="316"/>
      <c r="AG1427" s="404"/>
      <c r="AH1427" s="316"/>
      <c r="AI1427" s="316"/>
      <c r="AJ1427" s="316"/>
      <c r="AK1427" s="316"/>
      <c r="AL1427" s="316"/>
      <c r="AM1427" s="416"/>
      <c r="AR1427" s="333"/>
      <c r="AS1427" s="333"/>
      <c r="AT1427" s="333"/>
      <c r="AU1427" s="333"/>
      <c r="AV1427" s="333"/>
    </row>
    <row r="1428" spans="2:48" s="330" customFormat="1" ht="28.15" customHeight="1" x14ac:dyDescent="0.25">
      <c r="B1428" s="331"/>
      <c r="C1428" s="332"/>
      <c r="D1428" s="332"/>
      <c r="E1428" s="333"/>
      <c r="F1428" s="333"/>
      <c r="R1428" s="316"/>
      <c r="S1428" s="404"/>
      <c r="T1428" s="404"/>
      <c r="U1428" s="404"/>
      <c r="V1428" s="404"/>
      <c r="W1428" s="316"/>
      <c r="X1428" s="316"/>
      <c r="Y1428" s="316"/>
      <c r="Z1428" s="316"/>
      <c r="AA1428" s="404"/>
      <c r="AB1428" s="404"/>
      <c r="AC1428" s="404"/>
      <c r="AD1428" s="404"/>
      <c r="AE1428" s="316"/>
      <c r="AF1428" s="316"/>
      <c r="AG1428" s="404"/>
      <c r="AH1428" s="316"/>
      <c r="AI1428" s="316"/>
      <c r="AJ1428" s="316"/>
      <c r="AK1428" s="316"/>
      <c r="AL1428" s="316"/>
      <c r="AM1428" s="416"/>
      <c r="AR1428" s="333"/>
      <c r="AS1428" s="333"/>
      <c r="AT1428" s="333"/>
      <c r="AU1428" s="333"/>
      <c r="AV1428" s="333"/>
    </row>
    <row r="1429" spans="2:48" s="330" customFormat="1" ht="28.15" customHeight="1" x14ac:dyDescent="0.25">
      <c r="B1429" s="331"/>
      <c r="C1429" s="332"/>
      <c r="D1429" s="332"/>
      <c r="E1429" s="333"/>
      <c r="F1429" s="333"/>
      <c r="R1429" s="316"/>
      <c r="S1429" s="404"/>
      <c r="T1429" s="404"/>
      <c r="U1429" s="404"/>
      <c r="V1429" s="404"/>
      <c r="W1429" s="316"/>
      <c r="X1429" s="316"/>
      <c r="Y1429" s="316"/>
      <c r="Z1429" s="316"/>
      <c r="AA1429" s="404"/>
      <c r="AB1429" s="404"/>
      <c r="AC1429" s="404"/>
      <c r="AD1429" s="404"/>
      <c r="AE1429" s="316"/>
      <c r="AF1429" s="316"/>
      <c r="AG1429" s="404"/>
      <c r="AH1429" s="316"/>
      <c r="AI1429" s="316"/>
      <c r="AJ1429" s="316"/>
      <c r="AK1429" s="316"/>
      <c r="AL1429" s="316"/>
      <c r="AM1429" s="416"/>
      <c r="AR1429" s="333"/>
      <c r="AS1429" s="333"/>
      <c r="AT1429" s="333"/>
      <c r="AU1429" s="333"/>
      <c r="AV1429" s="333"/>
    </row>
    <row r="1430" spans="2:48" s="330" customFormat="1" ht="28.15" customHeight="1" x14ac:dyDescent="0.25">
      <c r="B1430" s="331"/>
      <c r="C1430" s="332"/>
      <c r="D1430" s="332"/>
      <c r="E1430" s="333"/>
      <c r="F1430" s="333"/>
      <c r="R1430" s="316"/>
      <c r="S1430" s="404"/>
      <c r="T1430" s="404"/>
      <c r="U1430" s="404"/>
      <c r="V1430" s="404"/>
      <c r="W1430" s="316"/>
      <c r="X1430" s="316"/>
      <c r="Y1430" s="316"/>
      <c r="Z1430" s="316"/>
      <c r="AA1430" s="404"/>
      <c r="AB1430" s="404"/>
      <c r="AC1430" s="404"/>
      <c r="AD1430" s="404"/>
      <c r="AE1430" s="316"/>
      <c r="AF1430" s="316"/>
      <c r="AG1430" s="404"/>
      <c r="AH1430" s="316"/>
      <c r="AI1430" s="316"/>
      <c r="AJ1430" s="316"/>
      <c r="AK1430" s="316"/>
      <c r="AL1430" s="316"/>
      <c r="AM1430" s="416"/>
      <c r="AR1430" s="333"/>
      <c r="AS1430" s="333"/>
      <c r="AT1430" s="333"/>
      <c r="AU1430" s="333"/>
      <c r="AV1430" s="333"/>
    </row>
    <row r="1431" spans="2:48" s="330" customFormat="1" ht="28.15" customHeight="1" x14ac:dyDescent="0.25">
      <c r="B1431" s="331"/>
      <c r="C1431" s="332"/>
      <c r="D1431" s="332"/>
      <c r="E1431" s="333"/>
      <c r="F1431" s="333"/>
      <c r="R1431" s="316"/>
      <c r="S1431" s="404"/>
      <c r="T1431" s="404"/>
      <c r="U1431" s="404"/>
      <c r="V1431" s="404"/>
      <c r="W1431" s="316"/>
      <c r="X1431" s="316"/>
      <c r="Y1431" s="316"/>
      <c r="Z1431" s="316"/>
      <c r="AA1431" s="404"/>
      <c r="AB1431" s="404"/>
      <c r="AC1431" s="404"/>
      <c r="AD1431" s="404"/>
      <c r="AE1431" s="316"/>
      <c r="AF1431" s="316"/>
      <c r="AG1431" s="404"/>
      <c r="AH1431" s="316"/>
      <c r="AI1431" s="316"/>
      <c r="AJ1431" s="316"/>
      <c r="AK1431" s="316"/>
      <c r="AL1431" s="316"/>
      <c r="AM1431" s="416"/>
      <c r="AR1431" s="333"/>
      <c r="AS1431" s="333"/>
      <c r="AT1431" s="333"/>
      <c r="AU1431" s="333"/>
      <c r="AV1431" s="333"/>
    </row>
    <row r="1432" spans="2:48" s="330" customFormat="1" ht="28.15" customHeight="1" x14ac:dyDescent="0.25">
      <c r="B1432" s="331"/>
      <c r="C1432" s="332"/>
      <c r="D1432" s="332"/>
      <c r="E1432" s="333"/>
      <c r="F1432" s="333"/>
      <c r="R1432" s="316"/>
      <c r="S1432" s="404"/>
      <c r="T1432" s="404"/>
      <c r="U1432" s="404"/>
      <c r="V1432" s="404"/>
      <c r="W1432" s="316"/>
      <c r="X1432" s="316"/>
      <c r="Y1432" s="316"/>
      <c r="Z1432" s="316"/>
      <c r="AA1432" s="404"/>
      <c r="AB1432" s="404"/>
      <c r="AC1432" s="404"/>
      <c r="AD1432" s="404"/>
      <c r="AE1432" s="316"/>
      <c r="AF1432" s="316"/>
      <c r="AG1432" s="404"/>
      <c r="AH1432" s="316"/>
      <c r="AI1432" s="316"/>
      <c r="AJ1432" s="316"/>
      <c r="AK1432" s="316"/>
      <c r="AL1432" s="316"/>
      <c r="AM1432" s="416"/>
      <c r="AR1432" s="333"/>
      <c r="AS1432" s="333"/>
      <c r="AT1432" s="333"/>
      <c r="AU1432" s="333"/>
      <c r="AV1432" s="333"/>
    </row>
    <row r="1433" spans="2:48" s="330" customFormat="1" ht="28.15" customHeight="1" x14ac:dyDescent="0.25">
      <c r="B1433" s="331"/>
      <c r="C1433" s="332"/>
      <c r="D1433" s="332"/>
      <c r="E1433" s="333"/>
      <c r="F1433" s="333"/>
      <c r="R1433" s="316"/>
      <c r="S1433" s="404"/>
      <c r="T1433" s="404"/>
      <c r="U1433" s="404"/>
      <c r="V1433" s="404"/>
      <c r="W1433" s="316"/>
      <c r="X1433" s="316"/>
      <c r="Y1433" s="316"/>
      <c r="Z1433" s="316"/>
      <c r="AA1433" s="404"/>
      <c r="AB1433" s="404"/>
      <c r="AC1433" s="404"/>
      <c r="AD1433" s="404"/>
      <c r="AE1433" s="316"/>
      <c r="AF1433" s="316"/>
      <c r="AG1433" s="404"/>
      <c r="AH1433" s="316"/>
      <c r="AI1433" s="316"/>
      <c r="AJ1433" s="316"/>
      <c r="AK1433" s="316"/>
      <c r="AL1433" s="316"/>
      <c r="AM1433" s="416"/>
      <c r="AR1433" s="333"/>
      <c r="AS1433" s="333"/>
      <c r="AT1433" s="333"/>
      <c r="AU1433" s="333"/>
      <c r="AV1433" s="333"/>
    </row>
    <row r="1434" spans="2:48" s="330" customFormat="1" ht="28.15" customHeight="1" x14ac:dyDescent="0.25">
      <c r="B1434" s="331"/>
      <c r="C1434" s="332"/>
      <c r="D1434" s="332"/>
      <c r="E1434" s="333"/>
      <c r="F1434" s="333"/>
      <c r="R1434" s="316"/>
      <c r="S1434" s="404"/>
      <c r="T1434" s="404"/>
      <c r="U1434" s="404"/>
      <c r="V1434" s="404"/>
      <c r="W1434" s="316"/>
      <c r="X1434" s="316"/>
      <c r="Y1434" s="316"/>
      <c r="Z1434" s="316"/>
      <c r="AA1434" s="404"/>
      <c r="AB1434" s="404"/>
      <c r="AC1434" s="404"/>
      <c r="AD1434" s="404"/>
      <c r="AE1434" s="316"/>
      <c r="AF1434" s="316"/>
      <c r="AG1434" s="404"/>
      <c r="AH1434" s="316"/>
      <c r="AI1434" s="316"/>
      <c r="AJ1434" s="316"/>
      <c r="AK1434" s="316"/>
      <c r="AL1434" s="316"/>
      <c r="AM1434" s="416"/>
      <c r="AR1434" s="333"/>
      <c r="AS1434" s="333"/>
      <c r="AT1434" s="333"/>
      <c r="AU1434" s="333"/>
      <c r="AV1434" s="333"/>
    </row>
    <row r="1435" spans="2:48" s="330" customFormat="1" ht="28.15" customHeight="1" x14ac:dyDescent="0.25">
      <c r="B1435" s="331"/>
      <c r="C1435" s="332"/>
      <c r="D1435" s="332"/>
      <c r="E1435" s="333"/>
      <c r="F1435" s="333"/>
      <c r="R1435" s="316"/>
      <c r="S1435" s="404"/>
      <c r="T1435" s="404"/>
      <c r="U1435" s="404"/>
      <c r="V1435" s="404"/>
      <c r="W1435" s="316"/>
      <c r="X1435" s="316"/>
      <c r="Y1435" s="316"/>
      <c r="Z1435" s="316"/>
      <c r="AA1435" s="404"/>
      <c r="AB1435" s="404"/>
      <c r="AC1435" s="404"/>
      <c r="AD1435" s="404"/>
      <c r="AE1435" s="316"/>
      <c r="AF1435" s="316"/>
      <c r="AG1435" s="404"/>
      <c r="AH1435" s="316"/>
      <c r="AI1435" s="316"/>
      <c r="AJ1435" s="316"/>
      <c r="AK1435" s="316"/>
      <c r="AL1435" s="316"/>
      <c r="AM1435" s="416"/>
      <c r="AR1435" s="333"/>
      <c r="AS1435" s="333"/>
      <c r="AT1435" s="333"/>
      <c r="AU1435" s="333"/>
      <c r="AV1435" s="333"/>
    </row>
    <row r="1436" spans="2:48" s="330" customFormat="1" ht="28.15" customHeight="1" x14ac:dyDescent="0.25">
      <c r="B1436" s="331"/>
      <c r="C1436" s="332"/>
      <c r="D1436" s="332"/>
      <c r="E1436" s="333"/>
      <c r="F1436" s="333"/>
      <c r="R1436" s="316"/>
      <c r="S1436" s="404"/>
      <c r="T1436" s="404"/>
      <c r="U1436" s="404"/>
      <c r="V1436" s="404"/>
      <c r="W1436" s="316"/>
      <c r="X1436" s="316"/>
      <c r="Y1436" s="316"/>
      <c r="Z1436" s="316"/>
      <c r="AA1436" s="404"/>
      <c r="AB1436" s="404"/>
      <c r="AC1436" s="404"/>
      <c r="AD1436" s="404"/>
      <c r="AE1436" s="316"/>
      <c r="AF1436" s="316"/>
      <c r="AG1436" s="404"/>
      <c r="AH1436" s="316"/>
      <c r="AI1436" s="316"/>
      <c r="AJ1436" s="316"/>
      <c r="AK1436" s="316"/>
      <c r="AL1436" s="316"/>
      <c r="AM1436" s="416"/>
      <c r="AR1436" s="333"/>
      <c r="AS1436" s="333"/>
      <c r="AT1436" s="333"/>
      <c r="AU1436" s="333"/>
      <c r="AV1436" s="333"/>
    </row>
    <row r="1437" spans="2:48" s="330" customFormat="1" ht="28.15" customHeight="1" x14ac:dyDescent="0.25">
      <c r="B1437" s="331"/>
      <c r="C1437" s="332"/>
      <c r="D1437" s="332"/>
      <c r="E1437" s="333"/>
      <c r="F1437" s="333"/>
      <c r="R1437" s="316"/>
      <c r="S1437" s="404"/>
      <c r="T1437" s="404"/>
      <c r="U1437" s="404"/>
      <c r="V1437" s="404"/>
      <c r="W1437" s="316"/>
      <c r="X1437" s="316"/>
      <c r="Y1437" s="316"/>
      <c r="Z1437" s="316"/>
      <c r="AA1437" s="404"/>
      <c r="AB1437" s="404"/>
      <c r="AC1437" s="404"/>
      <c r="AD1437" s="404"/>
      <c r="AE1437" s="316"/>
      <c r="AF1437" s="316"/>
      <c r="AG1437" s="404"/>
      <c r="AH1437" s="316"/>
      <c r="AI1437" s="316"/>
      <c r="AJ1437" s="316"/>
      <c r="AK1437" s="316"/>
      <c r="AL1437" s="316"/>
      <c r="AM1437" s="416"/>
      <c r="AR1437" s="333"/>
      <c r="AS1437" s="333"/>
      <c r="AT1437" s="333"/>
      <c r="AU1437" s="333"/>
      <c r="AV1437" s="333"/>
    </row>
    <row r="1438" spans="2:48" s="330" customFormat="1" ht="28.15" customHeight="1" x14ac:dyDescent="0.25">
      <c r="B1438" s="331"/>
      <c r="C1438" s="332"/>
      <c r="D1438" s="332"/>
      <c r="E1438" s="333"/>
      <c r="F1438" s="333"/>
      <c r="R1438" s="316"/>
      <c r="S1438" s="404"/>
      <c r="T1438" s="404"/>
      <c r="U1438" s="404"/>
      <c r="V1438" s="404"/>
      <c r="W1438" s="316"/>
      <c r="X1438" s="316"/>
      <c r="Y1438" s="316"/>
      <c r="Z1438" s="316"/>
      <c r="AA1438" s="404"/>
      <c r="AB1438" s="404"/>
      <c r="AC1438" s="404"/>
      <c r="AD1438" s="404"/>
      <c r="AE1438" s="316"/>
      <c r="AF1438" s="316"/>
      <c r="AG1438" s="404"/>
      <c r="AH1438" s="316"/>
      <c r="AI1438" s="316"/>
      <c r="AJ1438" s="316"/>
      <c r="AK1438" s="316"/>
      <c r="AL1438" s="316"/>
      <c r="AM1438" s="416"/>
      <c r="AR1438" s="333"/>
      <c r="AS1438" s="333"/>
      <c r="AT1438" s="333"/>
      <c r="AU1438" s="333"/>
      <c r="AV1438" s="333"/>
    </row>
    <row r="1439" spans="2:48" s="330" customFormat="1" ht="28.15" customHeight="1" x14ac:dyDescent="0.25">
      <c r="B1439" s="331"/>
      <c r="C1439" s="332"/>
      <c r="D1439" s="332"/>
      <c r="E1439" s="333"/>
      <c r="F1439" s="333"/>
      <c r="R1439" s="316"/>
      <c r="S1439" s="404"/>
      <c r="T1439" s="404"/>
      <c r="U1439" s="404"/>
      <c r="V1439" s="404"/>
      <c r="W1439" s="316"/>
      <c r="X1439" s="316"/>
      <c r="Y1439" s="316"/>
      <c r="Z1439" s="316"/>
      <c r="AA1439" s="404"/>
      <c r="AB1439" s="404"/>
      <c r="AC1439" s="404"/>
      <c r="AD1439" s="404"/>
      <c r="AE1439" s="316"/>
      <c r="AF1439" s="316"/>
      <c r="AG1439" s="404"/>
      <c r="AH1439" s="316"/>
      <c r="AI1439" s="316"/>
      <c r="AJ1439" s="316"/>
      <c r="AK1439" s="316"/>
      <c r="AL1439" s="316"/>
      <c r="AM1439" s="416"/>
      <c r="AR1439" s="333"/>
      <c r="AS1439" s="333"/>
      <c r="AT1439" s="333"/>
      <c r="AU1439" s="333"/>
      <c r="AV1439" s="333"/>
    </row>
    <row r="1440" spans="2:48" s="330" customFormat="1" ht="28.15" customHeight="1" x14ac:dyDescent="0.25">
      <c r="B1440" s="331"/>
      <c r="C1440" s="332"/>
      <c r="D1440" s="332"/>
      <c r="E1440" s="333"/>
      <c r="F1440" s="333"/>
      <c r="R1440" s="316"/>
      <c r="S1440" s="404"/>
      <c r="T1440" s="404"/>
      <c r="U1440" s="404"/>
      <c r="V1440" s="404"/>
      <c r="W1440" s="316"/>
      <c r="X1440" s="316"/>
      <c r="Y1440" s="316"/>
      <c r="Z1440" s="316"/>
      <c r="AA1440" s="404"/>
      <c r="AB1440" s="404"/>
      <c r="AC1440" s="404"/>
      <c r="AD1440" s="404"/>
      <c r="AE1440" s="316"/>
      <c r="AF1440" s="316"/>
      <c r="AG1440" s="404"/>
      <c r="AH1440" s="316"/>
      <c r="AI1440" s="316"/>
      <c r="AJ1440" s="316"/>
      <c r="AK1440" s="316"/>
      <c r="AL1440" s="316"/>
      <c r="AM1440" s="416"/>
      <c r="AR1440" s="333"/>
      <c r="AS1440" s="333"/>
      <c r="AT1440" s="333"/>
      <c r="AU1440" s="333"/>
      <c r="AV1440" s="333"/>
    </row>
    <row r="1441" spans="2:48" s="330" customFormat="1" ht="28.15" customHeight="1" x14ac:dyDescent="0.25">
      <c r="B1441" s="331"/>
      <c r="C1441" s="332"/>
      <c r="D1441" s="332"/>
      <c r="E1441" s="333"/>
      <c r="F1441" s="333"/>
      <c r="R1441" s="316"/>
      <c r="S1441" s="404"/>
      <c r="T1441" s="404"/>
      <c r="U1441" s="404"/>
      <c r="V1441" s="404"/>
      <c r="W1441" s="316"/>
      <c r="X1441" s="316"/>
      <c r="Y1441" s="316"/>
      <c r="Z1441" s="316"/>
      <c r="AA1441" s="404"/>
      <c r="AB1441" s="404"/>
      <c r="AC1441" s="404"/>
      <c r="AD1441" s="404"/>
      <c r="AE1441" s="316"/>
      <c r="AF1441" s="316"/>
      <c r="AG1441" s="404"/>
      <c r="AH1441" s="316"/>
      <c r="AI1441" s="316"/>
      <c r="AJ1441" s="316"/>
      <c r="AK1441" s="316"/>
      <c r="AL1441" s="316"/>
      <c r="AM1441" s="416"/>
      <c r="AR1441" s="333"/>
      <c r="AS1441" s="333"/>
      <c r="AT1441" s="333"/>
      <c r="AU1441" s="333"/>
      <c r="AV1441" s="333"/>
    </row>
    <row r="1442" spans="2:48" s="330" customFormat="1" ht="28.15" customHeight="1" x14ac:dyDescent="0.25">
      <c r="B1442" s="331"/>
      <c r="C1442" s="332"/>
      <c r="D1442" s="332"/>
      <c r="E1442" s="333"/>
      <c r="F1442" s="333"/>
      <c r="R1442" s="316"/>
      <c r="S1442" s="404"/>
      <c r="T1442" s="404"/>
      <c r="U1442" s="404"/>
      <c r="V1442" s="404"/>
      <c r="W1442" s="316"/>
      <c r="X1442" s="316"/>
      <c r="Y1442" s="316"/>
      <c r="Z1442" s="316"/>
      <c r="AA1442" s="404"/>
      <c r="AB1442" s="404"/>
      <c r="AC1442" s="404"/>
      <c r="AD1442" s="404"/>
      <c r="AE1442" s="316"/>
      <c r="AF1442" s="316"/>
      <c r="AG1442" s="404"/>
      <c r="AH1442" s="316"/>
      <c r="AI1442" s="316"/>
      <c r="AJ1442" s="316"/>
      <c r="AK1442" s="316"/>
      <c r="AL1442" s="316"/>
      <c r="AM1442" s="416"/>
      <c r="AR1442" s="333"/>
      <c r="AS1442" s="333"/>
      <c r="AT1442" s="333"/>
      <c r="AU1442" s="333"/>
      <c r="AV1442" s="333"/>
    </row>
    <row r="1443" spans="2:48" s="330" customFormat="1" ht="28.15" customHeight="1" x14ac:dyDescent="0.25">
      <c r="B1443" s="331"/>
      <c r="C1443" s="332"/>
      <c r="D1443" s="332"/>
      <c r="E1443" s="333"/>
      <c r="F1443" s="333"/>
      <c r="R1443" s="316"/>
      <c r="S1443" s="404"/>
      <c r="T1443" s="404"/>
      <c r="U1443" s="404"/>
      <c r="V1443" s="404"/>
      <c r="W1443" s="316"/>
      <c r="X1443" s="316"/>
      <c r="Y1443" s="316"/>
      <c r="Z1443" s="316"/>
      <c r="AA1443" s="404"/>
      <c r="AB1443" s="404"/>
      <c r="AC1443" s="404"/>
      <c r="AD1443" s="404"/>
      <c r="AE1443" s="316"/>
      <c r="AF1443" s="316"/>
      <c r="AG1443" s="404"/>
      <c r="AH1443" s="316"/>
      <c r="AI1443" s="316"/>
      <c r="AJ1443" s="316"/>
      <c r="AK1443" s="316"/>
      <c r="AL1443" s="316"/>
      <c r="AM1443" s="416"/>
      <c r="AR1443" s="333"/>
      <c r="AS1443" s="333"/>
      <c r="AT1443" s="333"/>
      <c r="AU1443" s="333"/>
      <c r="AV1443" s="333"/>
    </row>
    <row r="1444" spans="2:48" s="330" customFormat="1" ht="28.15" customHeight="1" x14ac:dyDescent="0.25">
      <c r="B1444" s="331"/>
      <c r="C1444" s="332"/>
      <c r="D1444" s="332"/>
      <c r="E1444" s="333"/>
      <c r="F1444" s="333"/>
      <c r="R1444" s="316"/>
      <c r="S1444" s="404"/>
      <c r="T1444" s="404"/>
      <c r="U1444" s="404"/>
      <c r="V1444" s="404"/>
      <c r="W1444" s="316"/>
      <c r="X1444" s="316"/>
      <c r="Y1444" s="316"/>
      <c r="Z1444" s="316"/>
      <c r="AA1444" s="404"/>
      <c r="AB1444" s="404"/>
      <c r="AC1444" s="404"/>
      <c r="AD1444" s="404"/>
      <c r="AE1444" s="316"/>
      <c r="AF1444" s="316"/>
      <c r="AG1444" s="404"/>
      <c r="AH1444" s="316"/>
      <c r="AI1444" s="316"/>
      <c r="AJ1444" s="316"/>
      <c r="AK1444" s="316"/>
      <c r="AL1444" s="316"/>
      <c r="AM1444" s="416"/>
      <c r="AR1444" s="333"/>
      <c r="AS1444" s="333"/>
      <c r="AT1444" s="333"/>
      <c r="AU1444" s="333"/>
      <c r="AV1444" s="333"/>
    </row>
    <row r="1445" spans="2:48" s="330" customFormat="1" ht="28.15" customHeight="1" x14ac:dyDescent="0.25">
      <c r="B1445" s="331"/>
      <c r="C1445" s="332"/>
      <c r="D1445" s="332"/>
      <c r="E1445" s="333"/>
      <c r="F1445" s="333"/>
      <c r="R1445" s="316"/>
      <c r="S1445" s="404"/>
      <c r="T1445" s="404"/>
      <c r="U1445" s="404"/>
      <c r="V1445" s="404"/>
      <c r="W1445" s="316"/>
      <c r="X1445" s="316"/>
      <c r="Y1445" s="316"/>
      <c r="Z1445" s="316"/>
      <c r="AA1445" s="404"/>
      <c r="AB1445" s="404"/>
      <c r="AC1445" s="404"/>
      <c r="AD1445" s="404"/>
      <c r="AE1445" s="316"/>
      <c r="AF1445" s="316"/>
      <c r="AG1445" s="404"/>
      <c r="AH1445" s="316"/>
      <c r="AI1445" s="316"/>
      <c r="AJ1445" s="316"/>
      <c r="AK1445" s="316"/>
      <c r="AL1445" s="316"/>
      <c r="AM1445" s="416"/>
      <c r="AR1445" s="333"/>
      <c r="AS1445" s="333"/>
      <c r="AT1445" s="333"/>
      <c r="AU1445" s="333"/>
      <c r="AV1445" s="333"/>
    </row>
    <row r="1446" spans="2:48" s="330" customFormat="1" ht="28.15" customHeight="1" x14ac:dyDescent="0.25">
      <c r="B1446" s="331"/>
      <c r="C1446" s="332"/>
      <c r="D1446" s="332"/>
      <c r="E1446" s="333"/>
      <c r="F1446" s="333"/>
      <c r="R1446" s="316"/>
      <c r="S1446" s="404"/>
      <c r="T1446" s="404"/>
      <c r="U1446" s="404"/>
      <c r="V1446" s="404"/>
      <c r="W1446" s="316"/>
      <c r="X1446" s="316"/>
      <c r="Y1446" s="316"/>
      <c r="Z1446" s="316"/>
      <c r="AA1446" s="404"/>
      <c r="AB1446" s="404"/>
      <c r="AC1446" s="404"/>
      <c r="AD1446" s="404"/>
      <c r="AE1446" s="316"/>
      <c r="AF1446" s="316"/>
      <c r="AG1446" s="404"/>
      <c r="AH1446" s="316"/>
      <c r="AI1446" s="316"/>
      <c r="AJ1446" s="316"/>
      <c r="AK1446" s="316"/>
      <c r="AL1446" s="316"/>
      <c r="AM1446" s="416"/>
      <c r="AR1446" s="333"/>
      <c r="AS1446" s="333"/>
      <c r="AT1446" s="333"/>
      <c r="AU1446" s="333"/>
      <c r="AV1446" s="333"/>
    </row>
    <row r="1447" spans="2:48" s="330" customFormat="1" ht="28.15" customHeight="1" x14ac:dyDescent="0.25">
      <c r="B1447" s="331"/>
      <c r="C1447" s="332"/>
      <c r="D1447" s="332"/>
      <c r="E1447" s="333"/>
      <c r="F1447" s="333"/>
      <c r="R1447" s="316"/>
      <c r="S1447" s="404"/>
      <c r="T1447" s="404"/>
      <c r="U1447" s="404"/>
      <c r="V1447" s="404"/>
      <c r="W1447" s="316"/>
      <c r="X1447" s="316"/>
      <c r="Y1447" s="316"/>
      <c r="Z1447" s="316"/>
      <c r="AA1447" s="404"/>
      <c r="AB1447" s="404"/>
      <c r="AC1447" s="404"/>
      <c r="AD1447" s="404"/>
      <c r="AE1447" s="316"/>
      <c r="AF1447" s="316"/>
      <c r="AG1447" s="404"/>
      <c r="AH1447" s="316"/>
      <c r="AI1447" s="316"/>
      <c r="AJ1447" s="316"/>
      <c r="AK1447" s="316"/>
      <c r="AL1447" s="316"/>
      <c r="AM1447" s="416"/>
      <c r="AR1447" s="333"/>
      <c r="AS1447" s="333"/>
      <c r="AT1447" s="333"/>
      <c r="AU1447" s="333"/>
      <c r="AV1447" s="333"/>
    </row>
    <row r="1448" spans="2:48" s="330" customFormat="1" ht="28.15" customHeight="1" x14ac:dyDescent="0.25">
      <c r="B1448" s="331"/>
      <c r="C1448" s="332"/>
      <c r="D1448" s="332"/>
      <c r="E1448" s="333"/>
      <c r="F1448" s="333"/>
      <c r="R1448" s="316"/>
      <c r="S1448" s="404"/>
      <c r="T1448" s="404"/>
      <c r="U1448" s="404"/>
      <c r="V1448" s="404"/>
      <c r="W1448" s="316"/>
      <c r="X1448" s="316"/>
      <c r="Y1448" s="316"/>
      <c r="Z1448" s="316"/>
      <c r="AA1448" s="404"/>
      <c r="AB1448" s="404"/>
      <c r="AC1448" s="404"/>
      <c r="AD1448" s="404"/>
      <c r="AE1448" s="316"/>
      <c r="AF1448" s="316"/>
      <c r="AG1448" s="404"/>
      <c r="AH1448" s="316"/>
      <c r="AI1448" s="316"/>
      <c r="AJ1448" s="316"/>
      <c r="AK1448" s="316"/>
      <c r="AL1448" s="316"/>
      <c r="AM1448" s="416"/>
      <c r="AR1448" s="333"/>
      <c r="AS1448" s="333"/>
      <c r="AT1448" s="333"/>
      <c r="AU1448" s="333"/>
      <c r="AV1448" s="333"/>
    </row>
    <row r="1449" spans="2:48" s="330" customFormat="1" ht="28.15" customHeight="1" x14ac:dyDescent="0.25">
      <c r="B1449" s="331"/>
      <c r="C1449" s="332"/>
      <c r="D1449" s="332"/>
      <c r="E1449" s="333"/>
      <c r="F1449" s="333"/>
      <c r="R1449" s="316"/>
      <c r="S1449" s="404"/>
      <c r="T1449" s="404"/>
      <c r="U1449" s="404"/>
      <c r="V1449" s="404"/>
      <c r="W1449" s="316"/>
      <c r="X1449" s="316"/>
      <c r="Y1449" s="316"/>
      <c r="Z1449" s="316"/>
      <c r="AA1449" s="404"/>
      <c r="AB1449" s="404"/>
      <c r="AC1449" s="404"/>
      <c r="AD1449" s="404"/>
      <c r="AE1449" s="316"/>
      <c r="AF1449" s="316"/>
      <c r="AG1449" s="404"/>
      <c r="AH1449" s="316"/>
      <c r="AI1449" s="316"/>
      <c r="AJ1449" s="316"/>
      <c r="AK1449" s="316"/>
      <c r="AL1449" s="316"/>
      <c r="AM1449" s="416"/>
      <c r="AR1449" s="333"/>
      <c r="AS1449" s="333"/>
      <c r="AT1449" s="333"/>
      <c r="AU1449" s="333"/>
      <c r="AV1449" s="333"/>
    </row>
    <row r="1450" spans="2:48" s="330" customFormat="1" ht="28.15" customHeight="1" x14ac:dyDescent="0.25">
      <c r="B1450" s="331"/>
      <c r="C1450" s="332"/>
      <c r="D1450" s="332"/>
      <c r="E1450" s="333"/>
      <c r="F1450" s="333"/>
      <c r="R1450" s="316"/>
      <c r="S1450" s="404"/>
      <c r="T1450" s="404"/>
      <c r="U1450" s="404"/>
      <c r="V1450" s="404"/>
      <c r="W1450" s="316"/>
      <c r="X1450" s="316"/>
      <c r="Y1450" s="316"/>
      <c r="Z1450" s="316"/>
      <c r="AA1450" s="404"/>
      <c r="AB1450" s="404"/>
      <c r="AC1450" s="404"/>
      <c r="AD1450" s="404"/>
      <c r="AE1450" s="316"/>
      <c r="AF1450" s="316"/>
      <c r="AG1450" s="404"/>
      <c r="AH1450" s="316"/>
      <c r="AI1450" s="316"/>
      <c r="AJ1450" s="316"/>
      <c r="AK1450" s="316"/>
      <c r="AL1450" s="316"/>
      <c r="AM1450" s="416"/>
      <c r="AR1450" s="333"/>
      <c r="AS1450" s="333"/>
      <c r="AT1450" s="333"/>
      <c r="AU1450" s="333"/>
      <c r="AV1450" s="333"/>
    </row>
    <row r="1451" spans="2:48" s="330" customFormat="1" ht="28.15" customHeight="1" x14ac:dyDescent="0.25">
      <c r="B1451" s="331"/>
      <c r="C1451" s="332"/>
      <c r="D1451" s="332"/>
      <c r="E1451" s="333"/>
      <c r="F1451" s="333"/>
      <c r="R1451" s="316"/>
      <c r="S1451" s="404"/>
      <c r="T1451" s="404"/>
      <c r="U1451" s="404"/>
      <c r="V1451" s="404"/>
      <c r="W1451" s="316"/>
      <c r="X1451" s="316"/>
      <c r="Y1451" s="316"/>
      <c r="Z1451" s="316"/>
      <c r="AA1451" s="404"/>
      <c r="AB1451" s="404"/>
      <c r="AC1451" s="404"/>
      <c r="AD1451" s="404"/>
      <c r="AE1451" s="316"/>
      <c r="AF1451" s="316"/>
      <c r="AG1451" s="404"/>
      <c r="AH1451" s="316"/>
      <c r="AI1451" s="316"/>
      <c r="AJ1451" s="316"/>
      <c r="AK1451" s="316"/>
      <c r="AL1451" s="316"/>
      <c r="AM1451" s="416"/>
      <c r="AR1451" s="333"/>
      <c r="AS1451" s="333"/>
      <c r="AT1451" s="333"/>
      <c r="AU1451" s="333"/>
      <c r="AV1451" s="333"/>
    </row>
    <row r="1452" spans="2:48" s="330" customFormat="1" ht="28.15" customHeight="1" x14ac:dyDescent="0.25">
      <c r="B1452" s="331"/>
      <c r="C1452" s="332"/>
      <c r="D1452" s="332"/>
      <c r="E1452" s="333"/>
      <c r="F1452" s="333"/>
      <c r="R1452" s="316"/>
      <c r="S1452" s="404"/>
      <c r="T1452" s="404"/>
      <c r="U1452" s="404"/>
      <c r="V1452" s="404"/>
      <c r="W1452" s="316"/>
      <c r="X1452" s="316"/>
      <c r="Y1452" s="316"/>
      <c r="Z1452" s="316"/>
      <c r="AA1452" s="404"/>
      <c r="AB1452" s="404"/>
      <c r="AC1452" s="404"/>
      <c r="AD1452" s="404"/>
      <c r="AE1452" s="316"/>
      <c r="AF1452" s="316"/>
      <c r="AG1452" s="404"/>
      <c r="AH1452" s="316"/>
      <c r="AI1452" s="316"/>
      <c r="AJ1452" s="316"/>
      <c r="AK1452" s="316"/>
      <c r="AL1452" s="316"/>
      <c r="AM1452" s="416"/>
      <c r="AR1452" s="333"/>
      <c r="AS1452" s="333"/>
      <c r="AT1452" s="333"/>
      <c r="AU1452" s="333"/>
      <c r="AV1452" s="333"/>
    </row>
    <row r="1453" spans="2:48" s="330" customFormat="1" ht="28.15" customHeight="1" x14ac:dyDescent="0.25">
      <c r="B1453" s="331"/>
      <c r="C1453" s="332"/>
      <c r="D1453" s="332"/>
      <c r="E1453" s="333"/>
      <c r="F1453" s="333"/>
      <c r="R1453" s="316"/>
      <c r="S1453" s="404"/>
      <c r="T1453" s="404"/>
      <c r="U1453" s="404"/>
      <c r="V1453" s="404"/>
      <c r="W1453" s="316"/>
      <c r="X1453" s="316"/>
      <c r="Y1453" s="316"/>
      <c r="Z1453" s="316"/>
      <c r="AA1453" s="404"/>
      <c r="AB1453" s="404"/>
      <c r="AC1453" s="404"/>
      <c r="AD1453" s="404"/>
      <c r="AE1453" s="316"/>
      <c r="AF1453" s="316"/>
      <c r="AG1453" s="404"/>
      <c r="AH1453" s="316"/>
      <c r="AI1453" s="316"/>
      <c r="AJ1453" s="316"/>
      <c r="AK1453" s="316"/>
      <c r="AL1453" s="316"/>
      <c r="AM1453" s="416"/>
      <c r="AR1453" s="333"/>
      <c r="AS1453" s="333"/>
      <c r="AT1453" s="333"/>
      <c r="AU1453" s="333"/>
      <c r="AV1453" s="333"/>
    </row>
    <row r="1454" spans="2:48" s="330" customFormat="1" ht="28.15" customHeight="1" x14ac:dyDescent="0.25">
      <c r="B1454" s="331"/>
      <c r="C1454" s="332"/>
      <c r="D1454" s="332"/>
      <c r="E1454" s="333"/>
      <c r="F1454" s="333"/>
      <c r="R1454" s="316"/>
      <c r="S1454" s="404"/>
      <c r="T1454" s="404"/>
      <c r="U1454" s="404"/>
      <c r="V1454" s="404"/>
      <c r="W1454" s="316"/>
      <c r="X1454" s="316"/>
      <c r="Y1454" s="316"/>
      <c r="Z1454" s="316"/>
      <c r="AA1454" s="404"/>
      <c r="AB1454" s="404"/>
      <c r="AC1454" s="404"/>
      <c r="AD1454" s="404"/>
      <c r="AE1454" s="316"/>
      <c r="AF1454" s="316"/>
      <c r="AG1454" s="404"/>
      <c r="AH1454" s="316"/>
      <c r="AI1454" s="316"/>
      <c r="AJ1454" s="316"/>
      <c r="AK1454" s="316"/>
      <c r="AL1454" s="316"/>
      <c r="AM1454" s="416"/>
      <c r="AR1454" s="333"/>
      <c r="AS1454" s="333"/>
      <c r="AT1454" s="333"/>
      <c r="AU1454" s="333"/>
      <c r="AV1454" s="333"/>
    </row>
    <row r="1455" spans="2:48" s="330" customFormat="1" ht="28.15" customHeight="1" x14ac:dyDescent="0.25">
      <c r="B1455" s="331"/>
      <c r="C1455" s="332"/>
      <c r="D1455" s="332"/>
      <c r="E1455" s="333"/>
      <c r="F1455" s="333"/>
      <c r="R1455" s="316"/>
      <c r="S1455" s="404"/>
      <c r="T1455" s="404"/>
      <c r="U1455" s="404"/>
      <c r="V1455" s="404"/>
      <c r="W1455" s="316"/>
      <c r="X1455" s="316"/>
      <c r="Y1455" s="316"/>
      <c r="Z1455" s="316"/>
      <c r="AA1455" s="404"/>
      <c r="AB1455" s="404"/>
      <c r="AC1455" s="404"/>
      <c r="AD1455" s="404"/>
      <c r="AE1455" s="316"/>
      <c r="AF1455" s="316"/>
      <c r="AG1455" s="404"/>
      <c r="AH1455" s="316"/>
      <c r="AI1455" s="316"/>
      <c r="AJ1455" s="316"/>
      <c r="AK1455" s="316"/>
      <c r="AL1455" s="316"/>
      <c r="AM1455" s="416"/>
      <c r="AR1455" s="333"/>
      <c r="AS1455" s="333"/>
      <c r="AT1455" s="333"/>
      <c r="AU1455" s="333"/>
      <c r="AV1455" s="333"/>
    </row>
    <row r="1456" spans="2:48" s="330" customFormat="1" ht="28.15" customHeight="1" x14ac:dyDescent="0.25">
      <c r="B1456" s="331"/>
      <c r="C1456" s="332"/>
      <c r="D1456" s="332"/>
      <c r="E1456" s="333"/>
      <c r="F1456" s="333"/>
      <c r="R1456" s="316"/>
      <c r="S1456" s="404"/>
      <c r="T1456" s="404"/>
      <c r="U1456" s="404"/>
      <c r="V1456" s="404"/>
      <c r="W1456" s="316"/>
      <c r="X1456" s="316"/>
      <c r="Y1456" s="316"/>
      <c r="Z1456" s="316"/>
      <c r="AA1456" s="404"/>
      <c r="AB1456" s="404"/>
      <c r="AC1456" s="404"/>
      <c r="AD1456" s="404"/>
      <c r="AE1456" s="316"/>
      <c r="AF1456" s="316"/>
      <c r="AG1456" s="404"/>
      <c r="AH1456" s="316"/>
      <c r="AI1456" s="316"/>
      <c r="AJ1456" s="316"/>
      <c r="AK1456" s="316"/>
      <c r="AL1456" s="316"/>
      <c r="AM1456" s="416"/>
      <c r="AR1456" s="333"/>
      <c r="AS1456" s="333"/>
      <c r="AT1456" s="333"/>
      <c r="AU1456" s="333"/>
      <c r="AV1456" s="333"/>
    </row>
    <row r="1457" spans="2:48" s="330" customFormat="1" ht="28.15" customHeight="1" x14ac:dyDescent="0.25">
      <c r="B1457" s="331"/>
      <c r="C1457" s="332"/>
      <c r="D1457" s="332"/>
      <c r="E1457" s="333"/>
      <c r="F1457" s="333"/>
      <c r="R1457" s="316"/>
      <c r="S1457" s="404"/>
      <c r="T1457" s="404"/>
      <c r="U1457" s="404"/>
      <c r="V1457" s="404"/>
      <c r="W1457" s="316"/>
      <c r="X1457" s="316"/>
      <c r="Y1457" s="316"/>
      <c r="Z1457" s="316"/>
      <c r="AA1457" s="404"/>
      <c r="AB1457" s="404"/>
      <c r="AC1457" s="404"/>
      <c r="AD1457" s="404"/>
      <c r="AE1457" s="316"/>
      <c r="AF1457" s="316"/>
      <c r="AG1457" s="404"/>
      <c r="AH1457" s="316"/>
      <c r="AI1457" s="316"/>
      <c r="AJ1457" s="316"/>
      <c r="AK1457" s="316"/>
      <c r="AL1457" s="316"/>
      <c r="AM1457" s="416"/>
      <c r="AR1457" s="333"/>
      <c r="AS1457" s="333"/>
      <c r="AT1457" s="333"/>
      <c r="AU1457" s="333"/>
      <c r="AV1457" s="333"/>
    </row>
    <row r="1458" spans="2:48" s="330" customFormat="1" ht="28.15" customHeight="1" x14ac:dyDescent="0.25">
      <c r="B1458" s="331"/>
      <c r="C1458" s="332"/>
      <c r="D1458" s="332"/>
      <c r="E1458" s="333"/>
      <c r="F1458" s="333"/>
      <c r="R1458" s="316"/>
      <c r="S1458" s="404"/>
      <c r="T1458" s="404"/>
      <c r="U1458" s="404"/>
      <c r="V1458" s="404"/>
      <c r="W1458" s="316"/>
      <c r="X1458" s="316"/>
      <c r="Y1458" s="316"/>
      <c r="Z1458" s="316"/>
      <c r="AA1458" s="404"/>
      <c r="AB1458" s="404"/>
      <c r="AC1458" s="404"/>
      <c r="AD1458" s="404"/>
      <c r="AE1458" s="316"/>
      <c r="AF1458" s="316"/>
      <c r="AG1458" s="404"/>
      <c r="AH1458" s="316"/>
      <c r="AI1458" s="316"/>
      <c r="AJ1458" s="316"/>
      <c r="AK1458" s="316"/>
      <c r="AL1458" s="316"/>
      <c r="AM1458" s="416"/>
      <c r="AR1458" s="333"/>
      <c r="AS1458" s="333"/>
      <c r="AT1458" s="333"/>
      <c r="AU1458" s="333"/>
      <c r="AV1458" s="333"/>
    </row>
    <row r="1459" spans="2:48" s="330" customFormat="1" ht="28.15" customHeight="1" x14ac:dyDescent="0.25">
      <c r="B1459" s="331"/>
      <c r="C1459" s="332"/>
      <c r="D1459" s="332"/>
      <c r="E1459" s="333"/>
      <c r="F1459" s="333"/>
      <c r="R1459" s="316"/>
      <c r="S1459" s="404"/>
      <c r="T1459" s="404"/>
      <c r="U1459" s="404"/>
      <c r="V1459" s="404"/>
      <c r="W1459" s="316"/>
      <c r="X1459" s="316"/>
      <c r="Y1459" s="316"/>
      <c r="Z1459" s="316"/>
      <c r="AA1459" s="404"/>
      <c r="AB1459" s="404"/>
      <c r="AC1459" s="404"/>
      <c r="AD1459" s="404"/>
      <c r="AE1459" s="316"/>
      <c r="AF1459" s="316"/>
      <c r="AG1459" s="404"/>
      <c r="AH1459" s="316"/>
      <c r="AI1459" s="316"/>
      <c r="AJ1459" s="316"/>
      <c r="AK1459" s="316"/>
      <c r="AL1459" s="316"/>
      <c r="AM1459" s="416"/>
      <c r="AR1459" s="333"/>
      <c r="AS1459" s="333"/>
      <c r="AT1459" s="333"/>
      <c r="AU1459" s="333"/>
      <c r="AV1459" s="333"/>
    </row>
    <row r="1460" spans="2:48" s="330" customFormat="1" ht="28.15" customHeight="1" x14ac:dyDescent="0.25">
      <c r="B1460" s="331"/>
      <c r="C1460" s="332"/>
      <c r="D1460" s="332"/>
      <c r="E1460" s="333"/>
      <c r="F1460" s="333"/>
      <c r="R1460" s="316"/>
      <c r="S1460" s="404"/>
      <c r="T1460" s="404"/>
      <c r="U1460" s="404"/>
      <c r="V1460" s="404"/>
      <c r="W1460" s="316"/>
      <c r="X1460" s="316"/>
      <c r="Y1460" s="316"/>
      <c r="Z1460" s="316"/>
      <c r="AA1460" s="404"/>
      <c r="AB1460" s="404"/>
      <c r="AC1460" s="404"/>
      <c r="AD1460" s="404"/>
      <c r="AE1460" s="316"/>
      <c r="AF1460" s="316"/>
      <c r="AG1460" s="404"/>
      <c r="AH1460" s="316"/>
      <c r="AI1460" s="316"/>
      <c r="AJ1460" s="316"/>
      <c r="AK1460" s="316"/>
      <c r="AL1460" s="316"/>
      <c r="AM1460" s="416"/>
      <c r="AR1460" s="333"/>
      <c r="AS1460" s="333"/>
      <c r="AT1460" s="333"/>
      <c r="AU1460" s="333"/>
      <c r="AV1460" s="333"/>
    </row>
    <row r="1461" spans="2:48" s="330" customFormat="1" ht="28.15" customHeight="1" x14ac:dyDescent="0.25">
      <c r="B1461" s="331"/>
      <c r="C1461" s="332"/>
      <c r="D1461" s="332"/>
      <c r="E1461" s="333"/>
      <c r="F1461" s="333"/>
      <c r="R1461" s="316"/>
      <c r="S1461" s="404"/>
      <c r="T1461" s="404"/>
      <c r="U1461" s="404"/>
      <c r="V1461" s="404"/>
      <c r="W1461" s="316"/>
      <c r="X1461" s="316"/>
      <c r="Y1461" s="316"/>
      <c r="Z1461" s="316"/>
      <c r="AA1461" s="404"/>
      <c r="AB1461" s="404"/>
      <c r="AC1461" s="404"/>
      <c r="AD1461" s="404"/>
      <c r="AE1461" s="316"/>
      <c r="AF1461" s="316"/>
      <c r="AG1461" s="404"/>
      <c r="AH1461" s="316"/>
      <c r="AI1461" s="316"/>
      <c r="AJ1461" s="316"/>
      <c r="AK1461" s="316"/>
      <c r="AL1461" s="316"/>
      <c r="AM1461" s="416"/>
      <c r="AR1461" s="333"/>
      <c r="AS1461" s="333"/>
      <c r="AT1461" s="333"/>
      <c r="AU1461" s="333"/>
      <c r="AV1461" s="333"/>
    </row>
    <row r="1462" spans="2:48" s="330" customFormat="1" ht="28.15" customHeight="1" x14ac:dyDescent="0.25">
      <c r="B1462" s="331"/>
      <c r="C1462" s="332"/>
      <c r="D1462" s="332"/>
      <c r="E1462" s="333"/>
      <c r="F1462" s="333"/>
      <c r="R1462" s="316"/>
      <c r="S1462" s="404"/>
      <c r="T1462" s="404"/>
      <c r="U1462" s="404"/>
      <c r="V1462" s="404"/>
      <c r="W1462" s="316"/>
      <c r="X1462" s="316"/>
      <c r="Y1462" s="316"/>
      <c r="Z1462" s="316"/>
      <c r="AA1462" s="404"/>
      <c r="AB1462" s="404"/>
      <c r="AC1462" s="404"/>
      <c r="AD1462" s="404"/>
      <c r="AE1462" s="316"/>
      <c r="AF1462" s="316"/>
      <c r="AG1462" s="404"/>
      <c r="AH1462" s="316"/>
      <c r="AI1462" s="316"/>
      <c r="AJ1462" s="316"/>
      <c r="AK1462" s="316"/>
      <c r="AL1462" s="316"/>
      <c r="AM1462" s="416"/>
      <c r="AR1462" s="333"/>
      <c r="AS1462" s="333"/>
      <c r="AT1462" s="333"/>
      <c r="AU1462" s="333"/>
      <c r="AV1462" s="333"/>
    </row>
    <row r="1463" spans="2:48" s="330" customFormat="1" ht="28.15" customHeight="1" x14ac:dyDescent="0.25">
      <c r="B1463" s="331"/>
      <c r="C1463" s="332"/>
      <c r="D1463" s="332"/>
      <c r="E1463" s="333"/>
      <c r="F1463" s="333"/>
      <c r="R1463" s="316"/>
      <c r="S1463" s="404"/>
      <c r="T1463" s="404"/>
      <c r="U1463" s="404"/>
      <c r="V1463" s="404"/>
      <c r="W1463" s="316"/>
      <c r="X1463" s="316"/>
      <c r="Y1463" s="316"/>
      <c r="Z1463" s="316"/>
      <c r="AA1463" s="404"/>
      <c r="AB1463" s="404"/>
      <c r="AC1463" s="404"/>
      <c r="AD1463" s="404"/>
      <c r="AE1463" s="316"/>
      <c r="AF1463" s="316"/>
      <c r="AG1463" s="404"/>
      <c r="AH1463" s="316"/>
      <c r="AI1463" s="316"/>
      <c r="AJ1463" s="316"/>
      <c r="AK1463" s="316"/>
      <c r="AL1463" s="316"/>
      <c r="AM1463" s="416"/>
      <c r="AR1463" s="333"/>
      <c r="AS1463" s="333"/>
      <c r="AT1463" s="333"/>
      <c r="AU1463" s="333"/>
      <c r="AV1463" s="333"/>
    </row>
    <row r="1464" spans="2:48" s="330" customFormat="1" ht="28.15" customHeight="1" x14ac:dyDescent="0.25">
      <c r="B1464" s="331"/>
      <c r="C1464" s="332"/>
      <c r="D1464" s="332"/>
      <c r="E1464" s="333"/>
      <c r="F1464" s="333"/>
      <c r="R1464" s="316"/>
      <c r="S1464" s="404"/>
      <c r="T1464" s="404"/>
      <c r="U1464" s="404"/>
      <c r="V1464" s="404"/>
      <c r="W1464" s="316"/>
      <c r="X1464" s="316"/>
      <c r="Y1464" s="316"/>
      <c r="Z1464" s="316"/>
      <c r="AA1464" s="404"/>
      <c r="AB1464" s="404"/>
      <c r="AC1464" s="404"/>
      <c r="AD1464" s="404"/>
      <c r="AE1464" s="316"/>
      <c r="AF1464" s="316"/>
      <c r="AG1464" s="404"/>
      <c r="AH1464" s="316"/>
      <c r="AI1464" s="316"/>
      <c r="AJ1464" s="316"/>
      <c r="AK1464" s="316"/>
      <c r="AL1464" s="316"/>
      <c r="AM1464" s="416"/>
      <c r="AR1464" s="333"/>
      <c r="AS1464" s="333"/>
      <c r="AT1464" s="333"/>
      <c r="AU1464" s="333"/>
      <c r="AV1464" s="333"/>
    </row>
    <row r="1465" spans="2:48" s="330" customFormat="1" ht="28.15" customHeight="1" x14ac:dyDescent="0.25">
      <c r="B1465" s="331"/>
      <c r="C1465" s="332"/>
      <c r="D1465" s="332"/>
      <c r="E1465" s="333"/>
      <c r="F1465" s="333"/>
      <c r="R1465" s="316"/>
      <c r="S1465" s="404"/>
      <c r="T1465" s="404"/>
      <c r="U1465" s="404"/>
      <c r="V1465" s="404"/>
      <c r="W1465" s="316"/>
      <c r="X1465" s="316"/>
      <c r="Y1465" s="316"/>
      <c r="Z1465" s="316"/>
      <c r="AA1465" s="404"/>
      <c r="AB1465" s="404"/>
      <c r="AC1465" s="404"/>
      <c r="AD1465" s="404"/>
      <c r="AE1465" s="316"/>
      <c r="AF1465" s="316"/>
      <c r="AG1465" s="404"/>
      <c r="AH1465" s="316"/>
      <c r="AI1465" s="316"/>
      <c r="AJ1465" s="316"/>
      <c r="AK1465" s="316"/>
      <c r="AL1465" s="316"/>
      <c r="AM1465" s="416"/>
      <c r="AR1465" s="333"/>
      <c r="AS1465" s="333"/>
      <c r="AT1465" s="333"/>
      <c r="AU1465" s="333"/>
      <c r="AV1465" s="333"/>
    </row>
    <row r="1466" spans="2:48" s="330" customFormat="1" ht="28.15" customHeight="1" x14ac:dyDescent="0.25">
      <c r="B1466" s="331"/>
      <c r="C1466" s="332"/>
      <c r="D1466" s="332"/>
      <c r="E1466" s="333"/>
      <c r="F1466" s="333"/>
      <c r="R1466" s="316"/>
      <c r="S1466" s="404"/>
      <c r="T1466" s="404"/>
      <c r="U1466" s="404"/>
      <c r="V1466" s="404"/>
      <c r="W1466" s="316"/>
      <c r="X1466" s="316"/>
      <c r="Y1466" s="316"/>
      <c r="Z1466" s="316"/>
      <c r="AA1466" s="404"/>
      <c r="AB1466" s="404"/>
      <c r="AC1466" s="404"/>
      <c r="AD1466" s="404"/>
      <c r="AE1466" s="316"/>
      <c r="AF1466" s="316"/>
      <c r="AG1466" s="404"/>
      <c r="AH1466" s="316"/>
      <c r="AI1466" s="316"/>
      <c r="AJ1466" s="316"/>
      <c r="AK1466" s="316"/>
      <c r="AL1466" s="316"/>
      <c r="AM1466" s="416"/>
      <c r="AR1466" s="333"/>
      <c r="AS1466" s="333"/>
      <c r="AT1466" s="333"/>
      <c r="AU1466" s="333"/>
      <c r="AV1466" s="333"/>
    </row>
    <row r="1467" spans="2:48" s="330" customFormat="1" ht="28.15" customHeight="1" x14ac:dyDescent="0.25">
      <c r="B1467" s="331"/>
      <c r="C1467" s="332"/>
      <c r="D1467" s="332"/>
      <c r="E1467" s="333"/>
      <c r="F1467" s="333"/>
      <c r="R1467" s="316"/>
      <c r="S1467" s="404"/>
      <c r="T1467" s="404"/>
      <c r="U1467" s="404"/>
      <c r="V1467" s="404"/>
      <c r="W1467" s="316"/>
      <c r="X1467" s="316"/>
      <c r="Y1467" s="316"/>
      <c r="Z1467" s="316"/>
      <c r="AA1467" s="404"/>
      <c r="AB1467" s="404"/>
      <c r="AC1467" s="404"/>
      <c r="AD1467" s="404"/>
      <c r="AE1467" s="316"/>
      <c r="AF1467" s="316"/>
      <c r="AG1467" s="404"/>
      <c r="AH1467" s="316"/>
      <c r="AI1467" s="316"/>
      <c r="AJ1467" s="316"/>
      <c r="AK1467" s="316"/>
      <c r="AL1467" s="316"/>
      <c r="AM1467" s="416"/>
      <c r="AR1467" s="333"/>
      <c r="AS1467" s="333"/>
      <c r="AT1467" s="333"/>
      <c r="AU1467" s="333"/>
      <c r="AV1467" s="333"/>
    </row>
    <row r="1468" spans="2:48" s="330" customFormat="1" ht="28.15" customHeight="1" x14ac:dyDescent="0.25">
      <c r="B1468" s="331"/>
      <c r="C1468" s="332"/>
      <c r="D1468" s="332"/>
      <c r="E1468" s="333"/>
      <c r="F1468" s="333"/>
      <c r="R1468" s="316"/>
      <c r="S1468" s="404"/>
      <c r="T1468" s="404"/>
      <c r="U1468" s="404"/>
      <c r="V1468" s="404"/>
      <c r="W1468" s="316"/>
      <c r="X1468" s="316"/>
      <c r="Y1468" s="316"/>
      <c r="Z1468" s="316"/>
      <c r="AA1468" s="404"/>
      <c r="AB1468" s="404"/>
      <c r="AC1468" s="404"/>
      <c r="AD1468" s="404"/>
      <c r="AE1468" s="316"/>
      <c r="AF1468" s="316"/>
      <c r="AG1468" s="404"/>
      <c r="AH1468" s="316"/>
      <c r="AI1468" s="316"/>
      <c r="AJ1468" s="316"/>
      <c r="AK1468" s="316"/>
      <c r="AL1468" s="316"/>
      <c r="AM1468" s="416"/>
      <c r="AR1468" s="333"/>
      <c r="AS1468" s="333"/>
      <c r="AT1468" s="333"/>
      <c r="AU1468" s="333"/>
      <c r="AV1468" s="333"/>
    </row>
    <row r="1469" spans="2:48" s="330" customFormat="1" ht="28.15" customHeight="1" x14ac:dyDescent="0.25">
      <c r="B1469" s="331"/>
      <c r="C1469" s="332"/>
      <c r="D1469" s="332"/>
      <c r="E1469" s="333"/>
      <c r="F1469" s="333"/>
      <c r="R1469" s="316"/>
      <c r="S1469" s="404"/>
      <c r="T1469" s="404"/>
      <c r="U1469" s="404"/>
      <c r="V1469" s="404"/>
      <c r="W1469" s="316"/>
      <c r="X1469" s="316"/>
      <c r="Y1469" s="316"/>
      <c r="Z1469" s="316"/>
      <c r="AA1469" s="404"/>
      <c r="AB1469" s="404"/>
      <c r="AC1469" s="404"/>
      <c r="AD1469" s="404"/>
      <c r="AE1469" s="316"/>
      <c r="AF1469" s="316"/>
      <c r="AG1469" s="404"/>
      <c r="AH1469" s="316"/>
      <c r="AI1469" s="316"/>
      <c r="AJ1469" s="316"/>
      <c r="AK1469" s="316"/>
      <c r="AL1469" s="316"/>
      <c r="AM1469" s="416"/>
      <c r="AR1469" s="333"/>
      <c r="AS1469" s="333"/>
      <c r="AT1469" s="333"/>
      <c r="AU1469" s="333"/>
      <c r="AV1469" s="333"/>
    </row>
    <row r="1470" spans="2:48" s="330" customFormat="1" ht="28.15" customHeight="1" x14ac:dyDescent="0.25">
      <c r="B1470" s="331"/>
      <c r="C1470" s="332"/>
      <c r="D1470" s="332"/>
      <c r="E1470" s="333"/>
      <c r="F1470" s="333"/>
      <c r="R1470" s="316"/>
      <c r="S1470" s="404"/>
      <c r="T1470" s="404"/>
      <c r="U1470" s="404"/>
      <c r="V1470" s="404"/>
      <c r="W1470" s="316"/>
      <c r="X1470" s="316"/>
      <c r="Y1470" s="316"/>
      <c r="Z1470" s="316"/>
      <c r="AA1470" s="404"/>
      <c r="AB1470" s="404"/>
      <c r="AC1470" s="404"/>
      <c r="AD1470" s="404"/>
      <c r="AE1470" s="316"/>
      <c r="AF1470" s="316"/>
      <c r="AG1470" s="404"/>
      <c r="AH1470" s="316"/>
      <c r="AI1470" s="316"/>
      <c r="AJ1470" s="316"/>
      <c r="AK1470" s="316"/>
      <c r="AL1470" s="316"/>
      <c r="AM1470" s="416"/>
      <c r="AR1470" s="333"/>
      <c r="AS1470" s="333"/>
      <c r="AT1470" s="333"/>
      <c r="AU1470" s="333"/>
      <c r="AV1470" s="333"/>
    </row>
    <row r="1471" spans="2:48" s="330" customFormat="1" ht="28.15" customHeight="1" x14ac:dyDescent="0.25">
      <c r="B1471" s="331"/>
      <c r="C1471" s="332"/>
      <c r="D1471" s="332"/>
      <c r="E1471" s="333"/>
      <c r="F1471" s="333"/>
      <c r="R1471" s="316"/>
      <c r="S1471" s="404"/>
      <c r="T1471" s="404"/>
      <c r="U1471" s="404"/>
      <c r="V1471" s="404"/>
      <c r="W1471" s="316"/>
      <c r="X1471" s="316"/>
      <c r="Y1471" s="316"/>
      <c r="Z1471" s="316"/>
      <c r="AA1471" s="404"/>
      <c r="AB1471" s="404"/>
      <c r="AC1471" s="404"/>
      <c r="AD1471" s="404"/>
      <c r="AE1471" s="316"/>
      <c r="AF1471" s="316"/>
      <c r="AG1471" s="404"/>
      <c r="AH1471" s="316"/>
      <c r="AI1471" s="316"/>
      <c r="AJ1471" s="316"/>
      <c r="AK1471" s="316"/>
      <c r="AL1471" s="316"/>
      <c r="AM1471" s="416"/>
      <c r="AR1471" s="333"/>
      <c r="AS1471" s="333"/>
      <c r="AT1471" s="333"/>
      <c r="AU1471" s="333"/>
      <c r="AV1471" s="333"/>
    </row>
    <row r="1472" spans="2:48" s="330" customFormat="1" ht="28.15" customHeight="1" x14ac:dyDescent="0.25">
      <c r="B1472" s="331"/>
      <c r="C1472" s="332"/>
      <c r="D1472" s="332"/>
      <c r="E1472" s="333"/>
      <c r="F1472" s="333"/>
      <c r="R1472" s="316"/>
      <c r="S1472" s="404"/>
      <c r="T1472" s="404"/>
      <c r="U1472" s="404"/>
      <c r="V1472" s="404"/>
      <c r="W1472" s="316"/>
      <c r="X1472" s="316"/>
      <c r="Y1472" s="316"/>
      <c r="Z1472" s="316"/>
      <c r="AA1472" s="404"/>
      <c r="AB1472" s="404"/>
      <c r="AC1472" s="404"/>
      <c r="AD1472" s="404"/>
      <c r="AE1472" s="316"/>
      <c r="AF1472" s="316"/>
      <c r="AG1472" s="404"/>
      <c r="AH1472" s="316"/>
      <c r="AI1472" s="316"/>
      <c r="AJ1472" s="316"/>
      <c r="AK1472" s="316"/>
      <c r="AL1472" s="316"/>
      <c r="AM1472" s="416"/>
      <c r="AR1472" s="333"/>
      <c r="AS1472" s="333"/>
      <c r="AT1472" s="333"/>
      <c r="AU1472" s="333"/>
      <c r="AV1472" s="333"/>
    </row>
    <row r="1473" spans="2:48" s="330" customFormat="1" ht="28.15" customHeight="1" x14ac:dyDescent="0.25">
      <c r="B1473" s="331"/>
      <c r="C1473" s="332"/>
      <c r="D1473" s="332"/>
      <c r="E1473" s="333"/>
      <c r="F1473" s="333"/>
      <c r="R1473" s="316"/>
      <c r="S1473" s="404"/>
      <c r="T1473" s="404"/>
      <c r="U1473" s="404"/>
      <c r="V1473" s="404"/>
      <c r="W1473" s="316"/>
      <c r="X1473" s="316"/>
      <c r="Y1473" s="316"/>
      <c r="Z1473" s="316"/>
      <c r="AA1473" s="404"/>
      <c r="AB1473" s="404"/>
      <c r="AC1473" s="404"/>
      <c r="AD1473" s="404"/>
      <c r="AE1473" s="316"/>
      <c r="AF1473" s="316"/>
      <c r="AG1473" s="404"/>
      <c r="AH1473" s="316"/>
      <c r="AI1473" s="316"/>
      <c r="AJ1473" s="316"/>
      <c r="AK1473" s="316"/>
      <c r="AL1473" s="316"/>
      <c r="AM1473" s="416"/>
      <c r="AR1473" s="333"/>
      <c r="AS1473" s="333"/>
      <c r="AT1473" s="333"/>
      <c r="AU1473" s="333"/>
      <c r="AV1473" s="333"/>
    </row>
    <row r="1474" spans="2:48" s="330" customFormat="1" ht="28.15" customHeight="1" x14ac:dyDescent="0.25">
      <c r="B1474" s="331"/>
      <c r="C1474" s="332"/>
      <c r="D1474" s="332"/>
      <c r="E1474" s="333"/>
      <c r="F1474" s="333"/>
      <c r="R1474" s="316"/>
      <c r="S1474" s="404"/>
      <c r="T1474" s="404"/>
      <c r="U1474" s="404"/>
      <c r="V1474" s="404"/>
      <c r="W1474" s="316"/>
      <c r="X1474" s="316"/>
      <c r="Y1474" s="316"/>
      <c r="Z1474" s="316"/>
      <c r="AA1474" s="404"/>
      <c r="AB1474" s="404"/>
      <c r="AC1474" s="404"/>
      <c r="AD1474" s="404"/>
      <c r="AE1474" s="316"/>
      <c r="AF1474" s="316"/>
      <c r="AG1474" s="404"/>
      <c r="AH1474" s="316"/>
      <c r="AI1474" s="316"/>
      <c r="AJ1474" s="316"/>
      <c r="AK1474" s="316"/>
      <c r="AL1474" s="316"/>
      <c r="AM1474" s="416"/>
      <c r="AR1474" s="333"/>
      <c r="AS1474" s="333"/>
      <c r="AT1474" s="333"/>
      <c r="AU1474" s="333"/>
      <c r="AV1474" s="333"/>
    </row>
    <row r="1475" spans="2:48" s="330" customFormat="1" ht="28.15" customHeight="1" x14ac:dyDescent="0.25">
      <c r="B1475" s="331"/>
      <c r="C1475" s="332"/>
      <c r="D1475" s="332"/>
      <c r="E1475" s="333"/>
      <c r="F1475" s="333"/>
      <c r="R1475" s="316"/>
      <c r="S1475" s="404"/>
      <c r="T1475" s="404"/>
      <c r="U1475" s="404"/>
      <c r="V1475" s="404"/>
      <c r="W1475" s="316"/>
      <c r="X1475" s="316"/>
      <c r="Y1475" s="316"/>
      <c r="Z1475" s="316"/>
      <c r="AA1475" s="404"/>
      <c r="AB1475" s="404"/>
      <c r="AC1475" s="404"/>
      <c r="AD1475" s="404"/>
      <c r="AE1475" s="316"/>
      <c r="AF1475" s="316"/>
      <c r="AG1475" s="404"/>
      <c r="AH1475" s="316"/>
      <c r="AI1475" s="316"/>
      <c r="AJ1475" s="316"/>
      <c r="AK1475" s="316"/>
      <c r="AL1475" s="316"/>
      <c r="AM1475" s="416"/>
      <c r="AR1475" s="333"/>
      <c r="AS1475" s="333"/>
      <c r="AT1475" s="333"/>
      <c r="AU1475" s="333"/>
      <c r="AV1475" s="333"/>
    </row>
    <row r="1476" spans="2:48" s="330" customFormat="1" ht="28.15" customHeight="1" x14ac:dyDescent="0.25">
      <c r="B1476" s="331"/>
      <c r="C1476" s="332"/>
      <c r="D1476" s="332"/>
      <c r="E1476" s="333"/>
      <c r="F1476" s="333"/>
      <c r="R1476" s="316"/>
      <c r="S1476" s="404"/>
      <c r="T1476" s="404"/>
      <c r="U1476" s="404"/>
      <c r="V1476" s="404"/>
      <c r="W1476" s="316"/>
      <c r="X1476" s="316"/>
      <c r="Y1476" s="316"/>
      <c r="Z1476" s="316"/>
      <c r="AA1476" s="404"/>
      <c r="AB1476" s="404"/>
      <c r="AC1476" s="404"/>
      <c r="AD1476" s="404"/>
      <c r="AE1476" s="316"/>
      <c r="AF1476" s="316"/>
      <c r="AG1476" s="404"/>
      <c r="AH1476" s="316"/>
      <c r="AI1476" s="316"/>
      <c r="AJ1476" s="316"/>
      <c r="AK1476" s="316"/>
      <c r="AL1476" s="316"/>
      <c r="AM1476" s="416"/>
      <c r="AR1476" s="333"/>
      <c r="AS1476" s="333"/>
      <c r="AT1476" s="333"/>
      <c r="AU1476" s="333"/>
      <c r="AV1476" s="333"/>
    </row>
    <row r="1477" spans="2:48" s="330" customFormat="1" ht="28.15" customHeight="1" x14ac:dyDescent="0.25">
      <c r="B1477" s="331"/>
      <c r="C1477" s="332"/>
      <c r="D1477" s="332"/>
      <c r="E1477" s="333"/>
      <c r="F1477" s="333"/>
      <c r="R1477" s="316"/>
      <c r="S1477" s="404"/>
      <c r="T1477" s="404"/>
      <c r="U1477" s="404"/>
      <c r="V1477" s="404"/>
      <c r="W1477" s="316"/>
      <c r="X1477" s="316"/>
      <c r="Y1477" s="316"/>
      <c r="Z1477" s="316"/>
      <c r="AA1477" s="404"/>
      <c r="AB1477" s="404"/>
      <c r="AC1477" s="404"/>
      <c r="AD1477" s="404"/>
      <c r="AE1477" s="316"/>
      <c r="AF1477" s="316"/>
      <c r="AG1477" s="404"/>
      <c r="AH1477" s="316"/>
      <c r="AI1477" s="316"/>
      <c r="AJ1477" s="316"/>
      <c r="AK1477" s="316"/>
      <c r="AL1477" s="316"/>
      <c r="AM1477" s="416"/>
      <c r="AR1477" s="333"/>
      <c r="AS1477" s="333"/>
      <c r="AT1477" s="333"/>
      <c r="AU1477" s="333"/>
      <c r="AV1477" s="333"/>
    </row>
    <row r="1478" spans="2:48" s="330" customFormat="1" ht="28.15" customHeight="1" x14ac:dyDescent="0.25">
      <c r="B1478" s="331"/>
      <c r="C1478" s="332"/>
      <c r="D1478" s="332"/>
      <c r="E1478" s="333"/>
      <c r="F1478" s="333"/>
      <c r="R1478" s="316"/>
      <c r="S1478" s="404"/>
      <c r="T1478" s="404"/>
      <c r="U1478" s="404"/>
      <c r="V1478" s="404"/>
      <c r="W1478" s="316"/>
      <c r="X1478" s="316"/>
      <c r="Y1478" s="316"/>
      <c r="Z1478" s="316"/>
      <c r="AA1478" s="404"/>
      <c r="AB1478" s="404"/>
      <c r="AC1478" s="404"/>
      <c r="AD1478" s="404"/>
      <c r="AE1478" s="316"/>
      <c r="AF1478" s="316"/>
      <c r="AG1478" s="404"/>
      <c r="AH1478" s="316"/>
      <c r="AI1478" s="316"/>
      <c r="AJ1478" s="316"/>
      <c r="AK1478" s="316"/>
      <c r="AL1478" s="316"/>
      <c r="AM1478" s="416"/>
      <c r="AR1478" s="333"/>
      <c r="AS1478" s="333"/>
      <c r="AT1478" s="333"/>
      <c r="AU1478" s="333"/>
      <c r="AV1478" s="333"/>
    </row>
    <row r="1479" spans="2:48" s="330" customFormat="1" ht="28.15" customHeight="1" x14ac:dyDescent="0.25">
      <c r="B1479" s="331"/>
      <c r="C1479" s="332"/>
      <c r="D1479" s="332"/>
      <c r="E1479" s="333"/>
      <c r="F1479" s="333"/>
      <c r="R1479" s="316"/>
      <c r="S1479" s="404"/>
      <c r="T1479" s="404"/>
      <c r="U1479" s="404"/>
      <c r="V1479" s="404"/>
      <c r="W1479" s="316"/>
      <c r="X1479" s="316"/>
      <c r="Y1479" s="316"/>
      <c r="Z1479" s="316"/>
      <c r="AA1479" s="404"/>
      <c r="AB1479" s="404"/>
      <c r="AC1479" s="404"/>
      <c r="AD1479" s="404"/>
      <c r="AE1479" s="316"/>
      <c r="AF1479" s="316"/>
      <c r="AG1479" s="404"/>
      <c r="AH1479" s="316"/>
      <c r="AI1479" s="316"/>
      <c r="AJ1479" s="316"/>
      <c r="AK1479" s="316"/>
      <c r="AL1479" s="316"/>
      <c r="AM1479" s="416"/>
      <c r="AR1479" s="333"/>
      <c r="AS1479" s="333"/>
      <c r="AT1479" s="333"/>
      <c r="AU1479" s="333"/>
      <c r="AV1479" s="333"/>
    </row>
    <row r="1480" spans="2:48" s="330" customFormat="1" ht="28.15" customHeight="1" x14ac:dyDescent="0.25">
      <c r="B1480" s="331"/>
      <c r="C1480" s="332"/>
      <c r="D1480" s="332"/>
      <c r="E1480" s="333"/>
      <c r="F1480" s="333"/>
      <c r="R1480" s="316"/>
      <c r="S1480" s="404"/>
      <c r="T1480" s="404"/>
      <c r="U1480" s="404"/>
      <c r="V1480" s="404"/>
      <c r="W1480" s="316"/>
      <c r="X1480" s="316"/>
      <c r="Y1480" s="316"/>
      <c r="Z1480" s="316"/>
      <c r="AA1480" s="404"/>
      <c r="AB1480" s="404"/>
      <c r="AC1480" s="404"/>
      <c r="AD1480" s="404"/>
      <c r="AE1480" s="316"/>
      <c r="AF1480" s="316"/>
      <c r="AG1480" s="404"/>
      <c r="AH1480" s="316"/>
      <c r="AI1480" s="316"/>
      <c r="AJ1480" s="316"/>
      <c r="AK1480" s="316"/>
      <c r="AL1480" s="316"/>
      <c r="AM1480" s="416"/>
      <c r="AR1480" s="333"/>
      <c r="AS1480" s="333"/>
      <c r="AT1480" s="333"/>
      <c r="AU1480" s="333"/>
      <c r="AV1480" s="333"/>
    </row>
    <row r="1481" spans="2:48" s="330" customFormat="1" ht="28.15" customHeight="1" x14ac:dyDescent="0.25">
      <c r="B1481" s="331"/>
      <c r="C1481" s="332"/>
      <c r="D1481" s="332"/>
      <c r="E1481" s="333"/>
      <c r="F1481" s="333"/>
      <c r="R1481" s="316"/>
      <c r="S1481" s="404"/>
      <c r="T1481" s="404"/>
      <c r="U1481" s="404"/>
      <c r="V1481" s="404"/>
      <c r="W1481" s="316"/>
      <c r="X1481" s="316"/>
      <c r="Y1481" s="316"/>
      <c r="Z1481" s="316"/>
      <c r="AA1481" s="404"/>
      <c r="AB1481" s="404"/>
      <c r="AC1481" s="404"/>
      <c r="AD1481" s="404"/>
      <c r="AE1481" s="316"/>
      <c r="AF1481" s="316"/>
      <c r="AG1481" s="404"/>
      <c r="AH1481" s="316"/>
      <c r="AI1481" s="316"/>
      <c r="AJ1481" s="316"/>
      <c r="AK1481" s="316"/>
      <c r="AL1481" s="316"/>
      <c r="AM1481" s="416"/>
      <c r="AR1481" s="333"/>
      <c r="AS1481" s="333"/>
      <c r="AT1481" s="333"/>
      <c r="AU1481" s="333"/>
      <c r="AV1481" s="333"/>
    </row>
    <row r="1482" spans="2:48" s="330" customFormat="1" ht="28.15" customHeight="1" x14ac:dyDescent="0.25">
      <c r="B1482" s="331"/>
      <c r="C1482" s="332"/>
      <c r="D1482" s="332"/>
      <c r="E1482" s="333"/>
      <c r="F1482" s="333"/>
      <c r="R1482" s="316"/>
      <c r="S1482" s="404"/>
      <c r="T1482" s="404"/>
      <c r="U1482" s="404"/>
      <c r="V1482" s="404"/>
      <c r="W1482" s="316"/>
      <c r="X1482" s="316"/>
      <c r="Y1482" s="316"/>
      <c r="Z1482" s="316"/>
      <c r="AA1482" s="404"/>
      <c r="AB1482" s="404"/>
      <c r="AC1482" s="404"/>
      <c r="AD1482" s="404"/>
      <c r="AE1482" s="316"/>
      <c r="AF1482" s="316"/>
      <c r="AG1482" s="404"/>
      <c r="AH1482" s="316"/>
      <c r="AI1482" s="316"/>
      <c r="AJ1482" s="316"/>
      <c r="AK1482" s="316"/>
      <c r="AL1482" s="316"/>
      <c r="AM1482" s="416"/>
      <c r="AR1482" s="333"/>
      <c r="AS1482" s="333"/>
      <c r="AT1482" s="333"/>
      <c r="AU1482" s="333"/>
      <c r="AV1482" s="333"/>
    </row>
    <row r="1483" spans="2:48" s="330" customFormat="1" ht="28.15" customHeight="1" x14ac:dyDescent="0.25">
      <c r="B1483" s="331"/>
      <c r="C1483" s="332"/>
      <c r="D1483" s="332"/>
      <c r="E1483" s="333"/>
      <c r="F1483" s="333"/>
      <c r="R1483" s="316"/>
      <c r="S1483" s="404"/>
      <c r="T1483" s="404"/>
      <c r="U1483" s="404"/>
      <c r="V1483" s="404"/>
      <c r="W1483" s="316"/>
      <c r="X1483" s="316"/>
      <c r="Y1483" s="316"/>
      <c r="Z1483" s="316"/>
      <c r="AA1483" s="404"/>
      <c r="AB1483" s="404"/>
      <c r="AC1483" s="404"/>
      <c r="AD1483" s="404"/>
      <c r="AE1483" s="316"/>
      <c r="AF1483" s="316"/>
      <c r="AG1483" s="404"/>
      <c r="AH1483" s="316"/>
      <c r="AI1483" s="316"/>
      <c r="AJ1483" s="316"/>
      <c r="AK1483" s="316"/>
      <c r="AL1483" s="316"/>
      <c r="AM1483" s="416"/>
      <c r="AR1483" s="333"/>
      <c r="AS1483" s="333"/>
      <c r="AT1483" s="333"/>
      <c r="AU1483" s="333"/>
      <c r="AV1483" s="333"/>
    </row>
    <row r="1484" spans="2:48" s="330" customFormat="1" ht="28.15" customHeight="1" x14ac:dyDescent="0.25">
      <c r="B1484" s="331"/>
      <c r="C1484" s="332"/>
      <c r="D1484" s="332"/>
      <c r="E1484" s="333"/>
      <c r="F1484" s="333"/>
      <c r="R1484" s="316"/>
      <c r="S1484" s="404"/>
      <c r="T1484" s="404"/>
      <c r="U1484" s="404"/>
      <c r="V1484" s="404"/>
      <c r="W1484" s="316"/>
      <c r="X1484" s="316"/>
      <c r="Y1484" s="316"/>
      <c r="Z1484" s="316"/>
      <c r="AA1484" s="404"/>
      <c r="AB1484" s="404"/>
      <c r="AC1484" s="404"/>
      <c r="AD1484" s="404"/>
      <c r="AE1484" s="316"/>
      <c r="AF1484" s="316"/>
      <c r="AG1484" s="404"/>
      <c r="AH1484" s="316"/>
      <c r="AI1484" s="316"/>
      <c r="AJ1484" s="316"/>
      <c r="AK1484" s="316"/>
      <c r="AL1484" s="316"/>
      <c r="AM1484" s="416"/>
      <c r="AR1484" s="333"/>
      <c r="AS1484" s="333"/>
      <c r="AT1484" s="333"/>
      <c r="AU1484" s="333"/>
      <c r="AV1484" s="333"/>
    </row>
    <row r="1485" spans="2:48" s="330" customFormat="1" ht="28.15" customHeight="1" x14ac:dyDescent="0.25">
      <c r="B1485" s="331"/>
      <c r="C1485" s="332"/>
      <c r="D1485" s="332"/>
      <c r="E1485" s="333"/>
      <c r="F1485" s="333"/>
      <c r="R1485" s="316"/>
      <c r="S1485" s="404"/>
      <c r="T1485" s="404"/>
      <c r="U1485" s="404"/>
      <c r="V1485" s="404"/>
      <c r="W1485" s="316"/>
      <c r="X1485" s="316"/>
      <c r="Y1485" s="316"/>
      <c r="Z1485" s="316"/>
      <c r="AA1485" s="404"/>
      <c r="AB1485" s="404"/>
      <c r="AC1485" s="404"/>
      <c r="AD1485" s="404"/>
      <c r="AE1485" s="316"/>
      <c r="AF1485" s="316"/>
      <c r="AG1485" s="404"/>
      <c r="AH1485" s="316"/>
      <c r="AI1485" s="316"/>
      <c r="AJ1485" s="316"/>
      <c r="AK1485" s="316"/>
      <c r="AL1485" s="316"/>
      <c r="AM1485" s="416"/>
      <c r="AR1485" s="333"/>
      <c r="AS1485" s="333"/>
      <c r="AT1485" s="333"/>
      <c r="AU1485" s="333"/>
      <c r="AV1485" s="333"/>
    </row>
    <row r="1486" spans="2:48" s="330" customFormat="1" ht="28.15" customHeight="1" x14ac:dyDescent="0.25">
      <c r="B1486" s="331"/>
      <c r="C1486" s="332"/>
      <c r="D1486" s="332"/>
      <c r="E1486" s="333"/>
      <c r="F1486" s="333"/>
      <c r="R1486" s="316"/>
      <c r="S1486" s="404"/>
      <c r="T1486" s="404"/>
      <c r="U1486" s="404"/>
      <c r="V1486" s="404"/>
      <c r="W1486" s="316"/>
      <c r="X1486" s="316"/>
      <c r="Y1486" s="316"/>
      <c r="Z1486" s="316"/>
      <c r="AA1486" s="404"/>
      <c r="AB1486" s="404"/>
      <c r="AC1486" s="404"/>
      <c r="AD1486" s="404"/>
      <c r="AE1486" s="316"/>
      <c r="AF1486" s="316"/>
      <c r="AG1486" s="404"/>
      <c r="AH1486" s="316"/>
      <c r="AI1486" s="316"/>
      <c r="AJ1486" s="316"/>
      <c r="AK1486" s="316"/>
      <c r="AL1486" s="316"/>
      <c r="AM1486" s="416"/>
      <c r="AR1486" s="333"/>
      <c r="AS1486" s="333"/>
      <c r="AT1486" s="333"/>
      <c r="AU1486" s="333"/>
      <c r="AV1486" s="333"/>
    </row>
    <row r="1487" spans="2:48" s="330" customFormat="1" ht="28.15" customHeight="1" x14ac:dyDescent="0.25">
      <c r="B1487" s="331"/>
      <c r="C1487" s="332"/>
      <c r="D1487" s="332"/>
      <c r="E1487" s="333"/>
      <c r="F1487" s="333"/>
      <c r="R1487" s="316"/>
      <c r="S1487" s="404"/>
      <c r="T1487" s="404"/>
      <c r="U1487" s="404"/>
      <c r="V1487" s="404"/>
      <c r="W1487" s="316"/>
      <c r="X1487" s="316"/>
      <c r="Y1487" s="316"/>
      <c r="Z1487" s="316"/>
      <c r="AA1487" s="404"/>
      <c r="AB1487" s="404"/>
      <c r="AC1487" s="404"/>
      <c r="AD1487" s="404"/>
      <c r="AE1487" s="316"/>
      <c r="AF1487" s="316"/>
      <c r="AG1487" s="404"/>
      <c r="AH1487" s="316"/>
      <c r="AI1487" s="316"/>
      <c r="AJ1487" s="316"/>
      <c r="AK1487" s="316"/>
      <c r="AL1487" s="316"/>
      <c r="AM1487" s="416"/>
      <c r="AR1487" s="333"/>
      <c r="AS1487" s="333"/>
      <c r="AT1487" s="333"/>
      <c r="AU1487" s="333"/>
      <c r="AV1487" s="333"/>
    </row>
    <row r="1488" spans="2:48" s="330" customFormat="1" ht="28.15" customHeight="1" x14ac:dyDescent="0.25">
      <c r="B1488" s="331"/>
      <c r="C1488" s="332"/>
      <c r="D1488" s="332"/>
      <c r="E1488" s="333"/>
      <c r="F1488" s="333"/>
      <c r="R1488" s="316"/>
      <c r="S1488" s="404"/>
      <c r="T1488" s="404"/>
      <c r="U1488" s="404"/>
      <c r="V1488" s="404"/>
      <c r="W1488" s="316"/>
      <c r="X1488" s="316"/>
      <c r="Y1488" s="316"/>
      <c r="Z1488" s="316"/>
      <c r="AA1488" s="404"/>
      <c r="AB1488" s="404"/>
      <c r="AC1488" s="404"/>
      <c r="AD1488" s="404"/>
      <c r="AE1488" s="316"/>
      <c r="AF1488" s="316"/>
      <c r="AG1488" s="404"/>
      <c r="AH1488" s="316"/>
      <c r="AI1488" s="316"/>
      <c r="AJ1488" s="316"/>
      <c r="AK1488" s="316"/>
      <c r="AL1488" s="316"/>
      <c r="AM1488" s="416"/>
      <c r="AR1488" s="333"/>
      <c r="AS1488" s="333"/>
      <c r="AT1488" s="333"/>
      <c r="AU1488" s="333"/>
      <c r="AV1488" s="333"/>
    </row>
    <row r="1489" spans="2:48" s="330" customFormat="1" ht="28.15" customHeight="1" x14ac:dyDescent="0.25">
      <c r="B1489" s="331"/>
      <c r="C1489" s="332"/>
      <c r="D1489" s="332"/>
      <c r="E1489" s="333"/>
      <c r="F1489" s="333"/>
      <c r="R1489" s="316"/>
      <c r="S1489" s="404"/>
      <c r="T1489" s="404"/>
      <c r="U1489" s="404"/>
      <c r="V1489" s="404"/>
      <c r="W1489" s="316"/>
      <c r="X1489" s="316"/>
      <c r="Y1489" s="316"/>
      <c r="Z1489" s="316"/>
      <c r="AA1489" s="404"/>
      <c r="AB1489" s="404"/>
      <c r="AC1489" s="404"/>
      <c r="AD1489" s="404"/>
      <c r="AE1489" s="316"/>
      <c r="AF1489" s="316"/>
      <c r="AG1489" s="404"/>
      <c r="AH1489" s="316"/>
      <c r="AI1489" s="316"/>
      <c r="AJ1489" s="316"/>
      <c r="AK1489" s="316"/>
      <c r="AL1489" s="316"/>
      <c r="AM1489" s="416"/>
      <c r="AR1489" s="333"/>
      <c r="AS1489" s="333"/>
      <c r="AT1489" s="333"/>
      <c r="AU1489" s="333"/>
      <c r="AV1489" s="333"/>
    </row>
    <row r="1490" spans="2:48" s="330" customFormat="1" ht="28.15" customHeight="1" x14ac:dyDescent="0.25">
      <c r="B1490" s="331"/>
      <c r="C1490" s="332"/>
      <c r="D1490" s="332"/>
      <c r="E1490" s="333"/>
      <c r="F1490" s="333"/>
      <c r="R1490" s="316"/>
      <c r="S1490" s="404"/>
      <c r="T1490" s="404"/>
      <c r="U1490" s="404"/>
      <c r="V1490" s="404"/>
      <c r="W1490" s="316"/>
      <c r="X1490" s="316"/>
      <c r="Y1490" s="316"/>
      <c r="Z1490" s="316"/>
      <c r="AA1490" s="404"/>
      <c r="AB1490" s="404"/>
      <c r="AC1490" s="404"/>
      <c r="AD1490" s="404"/>
      <c r="AE1490" s="316"/>
      <c r="AF1490" s="316"/>
      <c r="AG1490" s="404"/>
      <c r="AH1490" s="316"/>
      <c r="AI1490" s="316"/>
      <c r="AJ1490" s="316"/>
      <c r="AK1490" s="316"/>
      <c r="AL1490" s="316"/>
      <c r="AM1490" s="416"/>
      <c r="AR1490" s="333"/>
      <c r="AS1490" s="333"/>
      <c r="AT1490" s="333"/>
      <c r="AU1490" s="333"/>
      <c r="AV1490" s="333"/>
    </row>
    <row r="1491" spans="2:48" s="330" customFormat="1" ht="28.15" customHeight="1" x14ac:dyDescent="0.25">
      <c r="B1491" s="331"/>
      <c r="C1491" s="332"/>
      <c r="D1491" s="332"/>
      <c r="E1491" s="333"/>
      <c r="F1491" s="333"/>
      <c r="R1491" s="316"/>
      <c r="S1491" s="404"/>
      <c r="T1491" s="404"/>
      <c r="U1491" s="404"/>
      <c r="V1491" s="404"/>
      <c r="W1491" s="316"/>
      <c r="X1491" s="316"/>
      <c r="Y1491" s="316"/>
      <c r="Z1491" s="316"/>
      <c r="AA1491" s="404"/>
      <c r="AB1491" s="404"/>
      <c r="AC1491" s="404"/>
      <c r="AD1491" s="404"/>
      <c r="AE1491" s="316"/>
      <c r="AF1491" s="316"/>
      <c r="AG1491" s="404"/>
      <c r="AH1491" s="316"/>
      <c r="AI1491" s="316"/>
      <c r="AJ1491" s="316"/>
      <c r="AK1491" s="316"/>
      <c r="AL1491" s="316"/>
      <c r="AM1491" s="416"/>
      <c r="AR1491" s="333"/>
      <c r="AS1491" s="333"/>
      <c r="AT1491" s="333"/>
      <c r="AU1491" s="333"/>
      <c r="AV1491" s="333"/>
    </row>
    <row r="1492" spans="2:48" s="330" customFormat="1" ht="28.15" customHeight="1" x14ac:dyDescent="0.25">
      <c r="B1492" s="331"/>
      <c r="C1492" s="332"/>
      <c r="D1492" s="332"/>
      <c r="E1492" s="333"/>
      <c r="F1492" s="333"/>
      <c r="R1492" s="316"/>
      <c r="S1492" s="404"/>
      <c r="T1492" s="404"/>
      <c r="U1492" s="404"/>
      <c r="V1492" s="404"/>
      <c r="W1492" s="316"/>
      <c r="X1492" s="316"/>
      <c r="Y1492" s="316"/>
      <c r="Z1492" s="316"/>
      <c r="AA1492" s="404"/>
      <c r="AB1492" s="404"/>
      <c r="AC1492" s="404"/>
      <c r="AD1492" s="404"/>
      <c r="AE1492" s="316"/>
      <c r="AF1492" s="316"/>
      <c r="AG1492" s="404"/>
      <c r="AH1492" s="316"/>
      <c r="AI1492" s="316"/>
      <c r="AJ1492" s="316"/>
      <c r="AK1492" s="316"/>
      <c r="AL1492" s="316"/>
      <c r="AM1492" s="416"/>
      <c r="AR1492" s="333"/>
      <c r="AS1492" s="333"/>
      <c r="AT1492" s="333"/>
      <c r="AU1492" s="333"/>
      <c r="AV1492" s="333"/>
    </row>
    <row r="1493" spans="2:48" s="330" customFormat="1" ht="28.15" customHeight="1" x14ac:dyDescent="0.25">
      <c r="B1493" s="331"/>
      <c r="C1493" s="332"/>
      <c r="D1493" s="332"/>
      <c r="E1493" s="333"/>
      <c r="F1493" s="333"/>
      <c r="R1493" s="316"/>
      <c r="S1493" s="404"/>
      <c r="T1493" s="404"/>
      <c r="U1493" s="404"/>
      <c r="V1493" s="404"/>
      <c r="W1493" s="316"/>
      <c r="X1493" s="316"/>
      <c r="Y1493" s="316"/>
      <c r="Z1493" s="316"/>
      <c r="AA1493" s="404"/>
      <c r="AB1493" s="404"/>
      <c r="AC1493" s="404"/>
      <c r="AD1493" s="404"/>
      <c r="AE1493" s="316"/>
      <c r="AF1493" s="316"/>
      <c r="AG1493" s="404"/>
      <c r="AH1493" s="316"/>
      <c r="AI1493" s="316"/>
      <c r="AJ1493" s="316"/>
      <c r="AK1493" s="316"/>
      <c r="AL1493" s="316"/>
      <c r="AM1493" s="416"/>
      <c r="AR1493" s="333"/>
      <c r="AS1493" s="333"/>
      <c r="AT1493" s="333"/>
      <c r="AU1493" s="333"/>
      <c r="AV1493" s="333"/>
    </row>
    <row r="1494" spans="2:48" s="330" customFormat="1" ht="28.15" customHeight="1" x14ac:dyDescent="0.25">
      <c r="B1494" s="331"/>
      <c r="C1494" s="332"/>
      <c r="D1494" s="332"/>
      <c r="E1494" s="333"/>
      <c r="F1494" s="333"/>
      <c r="R1494" s="316"/>
      <c r="S1494" s="404"/>
      <c r="T1494" s="404"/>
      <c r="U1494" s="404"/>
      <c r="V1494" s="404"/>
      <c r="W1494" s="316"/>
      <c r="X1494" s="316"/>
      <c r="Y1494" s="316"/>
      <c r="Z1494" s="316"/>
      <c r="AA1494" s="404"/>
      <c r="AB1494" s="404"/>
      <c r="AC1494" s="404"/>
      <c r="AD1494" s="404"/>
      <c r="AE1494" s="316"/>
      <c r="AF1494" s="316"/>
      <c r="AG1494" s="404"/>
      <c r="AH1494" s="316"/>
      <c r="AI1494" s="316"/>
      <c r="AJ1494" s="316"/>
      <c r="AK1494" s="316"/>
      <c r="AL1494" s="316"/>
      <c r="AM1494" s="416"/>
      <c r="AR1494" s="333"/>
      <c r="AS1494" s="333"/>
      <c r="AT1494" s="333"/>
      <c r="AU1494" s="333"/>
      <c r="AV1494" s="333"/>
    </row>
    <row r="1495" spans="2:48" s="330" customFormat="1" ht="28.15" customHeight="1" x14ac:dyDescent="0.25">
      <c r="B1495" s="331"/>
      <c r="C1495" s="332"/>
      <c r="D1495" s="332"/>
      <c r="E1495" s="333"/>
      <c r="F1495" s="333"/>
      <c r="R1495" s="316"/>
      <c r="S1495" s="404"/>
      <c r="T1495" s="404"/>
      <c r="U1495" s="404"/>
      <c r="V1495" s="404"/>
      <c r="W1495" s="316"/>
      <c r="X1495" s="316"/>
      <c r="Y1495" s="316"/>
      <c r="Z1495" s="316"/>
      <c r="AA1495" s="404"/>
      <c r="AB1495" s="404"/>
      <c r="AC1495" s="404"/>
      <c r="AD1495" s="404"/>
      <c r="AE1495" s="316"/>
      <c r="AF1495" s="316"/>
      <c r="AG1495" s="404"/>
      <c r="AH1495" s="316"/>
      <c r="AI1495" s="316"/>
      <c r="AJ1495" s="316"/>
      <c r="AK1495" s="316"/>
      <c r="AL1495" s="316"/>
      <c r="AM1495" s="416"/>
      <c r="AR1495" s="333"/>
      <c r="AS1495" s="333"/>
      <c r="AT1495" s="333"/>
      <c r="AU1495" s="333"/>
      <c r="AV1495" s="333"/>
    </row>
    <row r="1496" spans="2:48" s="330" customFormat="1" ht="28.15" customHeight="1" x14ac:dyDescent="0.25">
      <c r="B1496" s="331"/>
      <c r="C1496" s="332"/>
      <c r="D1496" s="332"/>
      <c r="E1496" s="333"/>
      <c r="F1496" s="333"/>
      <c r="R1496" s="316"/>
      <c r="S1496" s="404"/>
      <c r="T1496" s="404"/>
      <c r="U1496" s="404"/>
      <c r="V1496" s="404"/>
      <c r="W1496" s="316"/>
      <c r="X1496" s="316"/>
      <c r="Y1496" s="316"/>
      <c r="Z1496" s="316"/>
      <c r="AA1496" s="404"/>
      <c r="AB1496" s="404"/>
      <c r="AC1496" s="404"/>
      <c r="AD1496" s="404"/>
      <c r="AE1496" s="316"/>
      <c r="AF1496" s="316"/>
      <c r="AG1496" s="404"/>
      <c r="AH1496" s="316"/>
      <c r="AI1496" s="316"/>
      <c r="AJ1496" s="316"/>
      <c r="AK1496" s="316"/>
      <c r="AL1496" s="316"/>
      <c r="AM1496" s="416"/>
      <c r="AR1496" s="333"/>
      <c r="AS1496" s="333"/>
      <c r="AT1496" s="333"/>
      <c r="AU1496" s="333"/>
      <c r="AV1496" s="333"/>
    </row>
    <row r="1497" spans="2:48" s="330" customFormat="1" ht="28.15" customHeight="1" x14ac:dyDescent="0.25">
      <c r="B1497" s="331"/>
      <c r="C1497" s="332"/>
      <c r="D1497" s="332"/>
      <c r="E1497" s="333"/>
      <c r="F1497" s="333"/>
      <c r="R1497" s="316"/>
      <c r="S1497" s="404"/>
      <c r="T1497" s="404"/>
      <c r="U1497" s="404"/>
      <c r="V1497" s="404"/>
      <c r="W1497" s="316"/>
      <c r="X1497" s="316"/>
      <c r="Y1497" s="316"/>
      <c r="Z1497" s="316"/>
      <c r="AA1497" s="404"/>
      <c r="AB1497" s="404"/>
      <c r="AC1497" s="404"/>
      <c r="AD1497" s="404"/>
      <c r="AE1497" s="316"/>
      <c r="AF1497" s="316"/>
      <c r="AG1497" s="404"/>
      <c r="AH1497" s="316"/>
      <c r="AI1497" s="316"/>
      <c r="AJ1497" s="316"/>
      <c r="AK1497" s="316"/>
      <c r="AL1497" s="316"/>
      <c r="AM1497" s="416"/>
      <c r="AR1497" s="333"/>
      <c r="AS1497" s="333"/>
      <c r="AT1497" s="333"/>
      <c r="AU1497" s="333"/>
      <c r="AV1497" s="333"/>
    </row>
    <row r="1498" spans="2:48" s="330" customFormat="1" ht="28.15" customHeight="1" x14ac:dyDescent="0.25">
      <c r="B1498" s="331"/>
      <c r="C1498" s="332"/>
      <c r="D1498" s="332"/>
      <c r="E1498" s="333"/>
      <c r="F1498" s="333"/>
      <c r="R1498" s="316"/>
      <c r="S1498" s="404"/>
      <c r="T1498" s="404"/>
      <c r="U1498" s="404"/>
      <c r="V1498" s="404"/>
      <c r="W1498" s="316"/>
      <c r="X1498" s="316"/>
      <c r="Y1498" s="316"/>
      <c r="Z1498" s="316"/>
      <c r="AA1498" s="404"/>
      <c r="AB1498" s="404"/>
      <c r="AC1498" s="404"/>
      <c r="AD1498" s="404"/>
      <c r="AE1498" s="316"/>
      <c r="AF1498" s="316"/>
      <c r="AG1498" s="404"/>
      <c r="AH1498" s="316"/>
      <c r="AI1498" s="316"/>
      <c r="AJ1498" s="316"/>
      <c r="AK1498" s="316"/>
      <c r="AL1498" s="316"/>
      <c r="AM1498" s="416"/>
      <c r="AR1498" s="333"/>
      <c r="AS1498" s="333"/>
      <c r="AT1498" s="333"/>
      <c r="AU1498" s="333"/>
      <c r="AV1498" s="333"/>
    </row>
    <row r="1499" spans="2:48" s="330" customFormat="1" ht="28.15" customHeight="1" x14ac:dyDescent="0.25">
      <c r="B1499" s="331"/>
      <c r="C1499" s="332"/>
      <c r="D1499" s="332"/>
      <c r="E1499" s="333"/>
      <c r="F1499" s="333"/>
      <c r="R1499" s="316"/>
      <c r="S1499" s="404"/>
      <c r="T1499" s="404"/>
      <c r="U1499" s="404"/>
      <c r="V1499" s="404"/>
      <c r="W1499" s="316"/>
      <c r="X1499" s="316"/>
      <c r="Y1499" s="316"/>
      <c r="Z1499" s="316"/>
      <c r="AA1499" s="404"/>
      <c r="AB1499" s="404"/>
      <c r="AC1499" s="404"/>
      <c r="AD1499" s="404"/>
      <c r="AE1499" s="316"/>
      <c r="AF1499" s="316"/>
      <c r="AG1499" s="404"/>
      <c r="AH1499" s="316"/>
      <c r="AI1499" s="316"/>
      <c r="AJ1499" s="316"/>
      <c r="AK1499" s="316"/>
      <c r="AL1499" s="316"/>
      <c r="AM1499" s="416"/>
      <c r="AR1499" s="333"/>
      <c r="AS1499" s="333"/>
      <c r="AT1499" s="333"/>
      <c r="AU1499" s="333"/>
      <c r="AV1499" s="333"/>
    </row>
    <row r="1500" spans="2:48" s="330" customFormat="1" ht="28.15" customHeight="1" x14ac:dyDescent="0.25">
      <c r="B1500" s="331"/>
      <c r="C1500" s="332"/>
      <c r="D1500" s="332"/>
      <c r="E1500" s="333"/>
      <c r="F1500" s="333"/>
      <c r="R1500" s="316"/>
      <c r="S1500" s="404"/>
      <c r="T1500" s="404"/>
      <c r="U1500" s="404"/>
      <c r="V1500" s="404"/>
      <c r="W1500" s="316"/>
      <c r="X1500" s="316"/>
      <c r="Y1500" s="316"/>
      <c r="Z1500" s="316"/>
      <c r="AA1500" s="404"/>
      <c r="AB1500" s="404"/>
      <c r="AC1500" s="404"/>
      <c r="AD1500" s="404"/>
      <c r="AE1500" s="316"/>
      <c r="AF1500" s="316"/>
      <c r="AG1500" s="404"/>
      <c r="AH1500" s="316"/>
      <c r="AI1500" s="316"/>
      <c r="AJ1500" s="316"/>
      <c r="AK1500" s="316"/>
      <c r="AL1500" s="316"/>
      <c r="AM1500" s="416"/>
      <c r="AR1500" s="333"/>
      <c r="AS1500" s="333"/>
      <c r="AT1500" s="333"/>
      <c r="AU1500" s="333"/>
      <c r="AV1500" s="333"/>
    </row>
    <row r="1501" spans="2:48" s="330" customFormat="1" ht="28.15" customHeight="1" x14ac:dyDescent="0.25">
      <c r="B1501" s="331"/>
      <c r="C1501" s="332"/>
      <c r="D1501" s="332"/>
      <c r="E1501" s="333"/>
      <c r="F1501" s="333"/>
      <c r="R1501" s="316"/>
      <c r="S1501" s="404"/>
      <c r="T1501" s="404"/>
      <c r="U1501" s="404"/>
      <c r="V1501" s="404"/>
      <c r="W1501" s="316"/>
      <c r="X1501" s="316"/>
      <c r="Y1501" s="316"/>
      <c r="Z1501" s="316"/>
      <c r="AA1501" s="404"/>
      <c r="AB1501" s="404"/>
      <c r="AC1501" s="404"/>
      <c r="AD1501" s="404"/>
      <c r="AE1501" s="316"/>
      <c r="AF1501" s="316"/>
      <c r="AG1501" s="404"/>
      <c r="AH1501" s="316"/>
      <c r="AI1501" s="316"/>
      <c r="AJ1501" s="316"/>
      <c r="AK1501" s="316"/>
      <c r="AL1501" s="316"/>
      <c r="AM1501" s="416"/>
      <c r="AR1501" s="333"/>
      <c r="AS1501" s="333"/>
      <c r="AT1501" s="333"/>
      <c r="AU1501" s="333"/>
      <c r="AV1501" s="333"/>
    </row>
    <row r="1502" spans="2:48" s="330" customFormat="1" ht="28.15" customHeight="1" x14ac:dyDescent="0.25">
      <c r="B1502" s="331"/>
      <c r="C1502" s="332"/>
      <c r="D1502" s="332"/>
      <c r="E1502" s="333"/>
      <c r="F1502" s="333"/>
      <c r="R1502" s="316"/>
      <c r="S1502" s="404"/>
      <c r="T1502" s="404"/>
      <c r="U1502" s="404"/>
      <c r="V1502" s="404"/>
      <c r="W1502" s="316"/>
      <c r="X1502" s="316"/>
      <c r="Y1502" s="316"/>
      <c r="Z1502" s="316"/>
      <c r="AA1502" s="404"/>
      <c r="AB1502" s="404"/>
      <c r="AC1502" s="404"/>
      <c r="AD1502" s="404"/>
      <c r="AE1502" s="316"/>
      <c r="AF1502" s="316"/>
      <c r="AG1502" s="404"/>
      <c r="AH1502" s="316"/>
      <c r="AI1502" s="316"/>
      <c r="AJ1502" s="316"/>
      <c r="AK1502" s="316"/>
      <c r="AL1502" s="316"/>
      <c r="AM1502" s="416"/>
      <c r="AR1502" s="333"/>
      <c r="AS1502" s="333"/>
      <c r="AT1502" s="333"/>
      <c r="AU1502" s="333"/>
      <c r="AV1502" s="333"/>
    </row>
    <row r="1503" spans="2:48" s="330" customFormat="1" ht="28.15" customHeight="1" x14ac:dyDescent="0.25">
      <c r="B1503" s="331"/>
      <c r="C1503" s="332"/>
      <c r="D1503" s="332"/>
      <c r="E1503" s="333"/>
      <c r="F1503" s="333"/>
      <c r="R1503" s="316"/>
      <c r="S1503" s="404"/>
      <c r="T1503" s="404"/>
      <c r="U1503" s="404"/>
      <c r="V1503" s="404"/>
      <c r="W1503" s="316"/>
      <c r="X1503" s="316"/>
      <c r="Y1503" s="316"/>
      <c r="Z1503" s="316"/>
      <c r="AA1503" s="404"/>
      <c r="AB1503" s="404"/>
      <c r="AC1503" s="404"/>
      <c r="AD1503" s="404"/>
      <c r="AE1503" s="316"/>
      <c r="AF1503" s="316"/>
      <c r="AG1503" s="404"/>
      <c r="AH1503" s="316"/>
      <c r="AI1503" s="316"/>
      <c r="AJ1503" s="316"/>
      <c r="AK1503" s="316"/>
      <c r="AL1503" s="316"/>
      <c r="AM1503" s="416"/>
      <c r="AR1503" s="333"/>
      <c r="AS1503" s="333"/>
      <c r="AT1503" s="333"/>
      <c r="AU1503" s="333"/>
      <c r="AV1503" s="333"/>
    </row>
    <row r="1504" spans="2:48" s="330" customFormat="1" ht="28.15" customHeight="1" x14ac:dyDescent="0.25">
      <c r="B1504" s="331"/>
      <c r="C1504" s="332"/>
      <c r="D1504" s="332"/>
      <c r="E1504" s="333"/>
      <c r="F1504" s="333"/>
      <c r="R1504" s="316"/>
      <c r="S1504" s="404"/>
      <c r="T1504" s="404"/>
      <c r="U1504" s="404"/>
      <c r="V1504" s="404"/>
      <c r="W1504" s="316"/>
      <c r="X1504" s="316"/>
      <c r="Y1504" s="316"/>
      <c r="Z1504" s="316"/>
      <c r="AA1504" s="404"/>
      <c r="AB1504" s="404"/>
      <c r="AC1504" s="404"/>
      <c r="AD1504" s="404"/>
      <c r="AE1504" s="316"/>
      <c r="AF1504" s="316"/>
      <c r="AG1504" s="404"/>
      <c r="AH1504" s="316"/>
      <c r="AI1504" s="316"/>
      <c r="AJ1504" s="316"/>
      <c r="AK1504" s="316"/>
      <c r="AL1504" s="316"/>
      <c r="AM1504" s="416"/>
      <c r="AR1504" s="333"/>
      <c r="AS1504" s="333"/>
      <c r="AT1504" s="333"/>
      <c r="AU1504" s="333"/>
      <c r="AV1504" s="333"/>
    </row>
    <row r="1505" spans="2:48" s="330" customFormat="1" ht="28.15" customHeight="1" x14ac:dyDescent="0.25">
      <c r="B1505" s="331"/>
      <c r="C1505" s="332"/>
      <c r="D1505" s="332"/>
      <c r="E1505" s="333"/>
      <c r="F1505" s="333"/>
      <c r="R1505" s="316"/>
      <c r="S1505" s="404"/>
      <c r="T1505" s="404"/>
      <c r="U1505" s="404"/>
      <c r="V1505" s="404"/>
      <c r="W1505" s="316"/>
      <c r="X1505" s="316"/>
      <c r="Y1505" s="316"/>
      <c r="Z1505" s="316"/>
      <c r="AA1505" s="404"/>
      <c r="AB1505" s="404"/>
      <c r="AC1505" s="404"/>
      <c r="AD1505" s="404"/>
      <c r="AE1505" s="316"/>
      <c r="AF1505" s="316"/>
      <c r="AG1505" s="404"/>
      <c r="AH1505" s="316"/>
      <c r="AI1505" s="316"/>
      <c r="AJ1505" s="316"/>
      <c r="AK1505" s="316"/>
      <c r="AL1505" s="316"/>
      <c r="AM1505" s="416"/>
      <c r="AR1505" s="333"/>
      <c r="AS1505" s="333"/>
      <c r="AT1505" s="333"/>
      <c r="AU1505" s="333"/>
      <c r="AV1505" s="333"/>
    </row>
    <row r="1506" spans="2:48" s="330" customFormat="1" ht="28.15" customHeight="1" x14ac:dyDescent="0.25">
      <c r="B1506" s="331"/>
      <c r="C1506" s="332"/>
      <c r="D1506" s="332"/>
      <c r="E1506" s="333"/>
      <c r="F1506" s="333"/>
      <c r="R1506" s="316"/>
      <c r="S1506" s="404"/>
      <c r="T1506" s="404"/>
      <c r="U1506" s="404"/>
      <c r="V1506" s="404"/>
      <c r="W1506" s="316"/>
      <c r="X1506" s="316"/>
      <c r="Y1506" s="316"/>
      <c r="Z1506" s="316"/>
      <c r="AA1506" s="404"/>
      <c r="AB1506" s="404"/>
      <c r="AC1506" s="404"/>
      <c r="AD1506" s="404"/>
      <c r="AE1506" s="316"/>
      <c r="AF1506" s="316"/>
      <c r="AG1506" s="404"/>
      <c r="AH1506" s="316"/>
      <c r="AI1506" s="316"/>
      <c r="AJ1506" s="316"/>
      <c r="AK1506" s="316"/>
      <c r="AL1506" s="316"/>
      <c r="AM1506" s="416"/>
      <c r="AR1506" s="333"/>
      <c r="AS1506" s="333"/>
      <c r="AT1506" s="333"/>
      <c r="AU1506" s="333"/>
      <c r="AV1506" s="333"/>
    </row>
    <row r="1507" spans="2:48" s="330" customFormat="1" ht="28.15" customHeight="1" x14ac:dyDescent="0.25">
      <c r="B1507" s="331"/>
      <c r="C1507" s="332"/>
      <c r="D1507" s="332"/>
      <c r="E1507" s="333"/>
      <c r="F1507" s="333"/>
      <c r="R1507" s="316"/>
      <c r="S1507" s="404"/>
      <c r="T1507" s="404"/>
      <c r="U1507" s="404"/>
      <c r="V1507" s="404"/>
      <c r="W1507" s="316"/>
      <c r="X1507" s="316"/>
      <c r="Y1507" s="316"/>
      <c r="Z1507" s="316"/>
      <c r="AA1507" s="404"/>
      <c r="AB1507" s="404"/>
      <c r="AC1507" s="404"/>
      <c r="AD1507" s="404"/>
      <c r="AE1507" s="316"/>
      <c r="AF1507" s="316"/>
      <c r="AG1507" s="404"/>
      <c r="AH1507" s="316"/>
      <c r="AI1507" s="316"/>
      <c r="AJ1507" s="316"/>
      <c r="AK1507" s="316"/>
      <c r="AL1507" s="316"/>
      <c r="AM1507" s="416"/>
      <c r="AR1507" s="333"/>
      <c r="AS1507" s="333"/>
      <c r="AT1507" s="333"/>
      <c r="AU1507" s="333"/>
      <c r="AV1507" s="333"/>
    </row>
    <row r="1508" spans="2:48" s="330" customFormat="1" ht="28.15" customHeight="1" x14ac:dyDescent="0.25">
      <c r="B1508" s="331"/>
      <c r="C1508" s="332"/>
      <c r="D1508" s="332"/>
      <c r="E1508" s="333"/>
      <c r="F1508" s="333"/>
      <c r="R1508" s="316"/>
      <c r="S1508" s="404"/>
      <c r="T1508" s="404"/>
      <c r="U1508" s="404"/>
      <c r="V1508" s="404"/>
      <c r="W1508" s="316"/>
      <c r="X1508" s="316"/>
      <c r="Y1508" s="316"/>
      <c r="Z1508" s="316"/>
      <c r="AA1508" s="404"/>
      <c r="AB1508" s="404"/>
      <c r="AC1508" s="404"/>
      <c r="AD1508" s="404"/>
      <c r="AE1508" s="316"/>
      <c r="AF1508" s="316"/>
      <c r="AG1508" s="404"/>
      <c r="AH1508" s="316"/>
      <c r="AI1508" s="316"/>
      <c r="AJ1508" s="316"/>
      <c r="AK1508" s="316"/>
      <c r="AL1508" s="316"/>
      <c r="AM1508" s="416"/>
      <c r="AR1508" s="333"/>
      <c r="AS1508" s="333"/>
      <c r="AT1508" s="333"/>
      <c r="AU1508" s="333"/>
      <c r="AV1508" s="333"/>
    </row>
    <row r="1509" spans="2:48" s="330" customFormat="1" ht="28.15" customHeight="1" x14ac:dyDescent="0.25">
      <c r="B1509" s="331"/>
      <c r="C1509" s="332"/>
      <c r="D1509" s="332"/>
      <c r="E1509" s="333"/>
      <c r="F1509" s="333"/>
      <c r="R1509" s="316"/>
      <c r="S1509" s="404"/>
      <c r="T1509" s="404"/>
      <c r="U1509" s="404"/>
      <c r="V1509" s="404"/>
      <c r="W1509" s="316"/>
      <c r="X1509" s="316"/>
      <c r="Y1509" s="316"/>
      <c r="Z1509" s="316"/>
      <c r="AA1509" s="404"/>
      <c r="AB1509" s="404"/>
      <c r="AC1509" s="404"/>
      <c r="AD1509" s="404"/>
      <c r="AE1509" s="316"/>
      <c r="AF1509" s="316"/>
      <c r="AG1509" s="404"/>
      <c r="AH1509" s="316"/>
      <c r="AI1509" s="316"/>
      <c r="AJ1509" s="316"/>
      <c r="AK1509" s="316"/>
      <c r="AL1509" s="316"/>
      <c r="AM1509" s="416"/>
      <c r="AR1509" s="333"/>
      <c r="AS1509" s="333"/>
      <c r="AT1509" s="333"/>
      <c r="AU1509" s="333"/>
      <c r="AV1509" s="333"/>
    </row>
    <row r="1510" spans="2:48" s="330" customFormat="1" ht="28.15" customHeight="1" x14ac:dyDescent="0.25">
      <c r="B1510" s="331"/>
      <c r="C1510" s="332"/>
      <c r="D1510" s="332"/>
      <c r="E1510" s="333"/>
      <c r="F1510" s="333"/>
      <c r="R1510" s="316"/>
      <c r="S1510" s="404"/>
      <c r="T1510" s="404"/>
      <c r="U1510" s="404"/>
      <c r="V1510" s="404"/>
      <c r="W1510" s="316"/>
      <c r="X1510" s="316"/>
      <c r="Y1510" s="316"/>
      <c r="Z1510" s="316"/>
      <c r="AA1510" s="404"/>
      <c r="AB1510" s="404"/>
      <c r="AC1510" s="404"/>
      <c r="AD1510" s="404"/>
      <c r="AE1510" s="316"/>
      <c r="AF1510" s="316"/>
      <c r="AG1510" s="404"/>
      <c r="AH1510" s="316"/>
      <c r="AI1510" s="316"/>
      <c r="AJ1510" s="316"/>
      <c r="AK1510" s="316"/>
      <c r="AL1510" s="316"/>
      <c r="AM1510" s="416"/>
      <c r="AR1510" s="333"/>
      <c r="AS1510" s="333"/>
      <c r="AT1510" s="333"/>
      <c r="AU1510" s="333"/>
      <c r="AV1510" s="333"/>
    </row>
    <row r="1511" spans="2:48" s="330" customFormat="1" ht="28.15" customHeight="1" x14ac:dyDescent="0.25">
      <c r="B1511" s="331"/>
      <c r="C1511" s="332"/>
      <c r="D1511" s="332"/>
      <c r="E1511" s="333"/>
      <c r="F1511" s="333"/>
      <c r="R1511" s="316"/>
      <c r="S1511" s="404"/>
      <c r="T1511" s="404"/>
      <c r="U1511" s="404"/>
      <c r="V1511" s="404"/>
      <c r="W1511" s="316"/>
      <c r="X1511" s="316"/>
      <c r="Y1511" s="316"/>
      <c r="Z1511" s="316"/>
      <c r="AA1511" s="404"/>
      <c r="AB1511" s="404"/>
      <c r="AC1511" s="404"/>
      <c r="AD1511" s="404"/>
      <c r="AE1511" s="316"/>
      <c r="AF1511" s="316"/>
      <c r="AG1511" s="404"/>
      <c r="AH1511" s="316"/>
      <c r="AI1511" s="316"/>
      <c r="AJ1511" s="316"/>
      <c r="AK1511" s="316"/>
      <c r="AL1511" s="316"/>
      <c r="AM1511" s="416"/>
      <c r="AR1511" s="333"/>
      <c r="AS1511" s="333"/>
      <c r="AT1511" s="333"/>
      <c r="AU1511" s="333"/>
      <c r="AV1511" s="333"/>
    </row>
    <row r="1512" spans="2:48" s="330" customFormat="1" ht="28.15" customHeight="1" x14ac:dyDescent="0.25">
      <c r="B1512" s="331"/>
      <c r="C1512" s="332"/>
      <c r="D1512" s="332"/>
      <c r="E1512" s="333"/>
      <c r="F1512" s="333"/>
      <c r="R1512" s="316"/>
      <c r="S1512" s="404"/>
      <c r="T1512" s="404"/>
      <c r="U1512" s="404"/>
      <c r="V1512" s="404"/>
      <c r="W1512" s="316"/>
      <c r="X1512" s="316"/>
      <c r="Y1512" s="316"/>
      <c r="Z1512" s="316"/>
      <c r="AA1512" s="404"/>
      <c r="AB1512" s="404"/>
      <c r="AC1512" s="404"/>
      <c r="AD1512" s="404"/>
      <c r="AE1512" s="316"/>
      <c r="AF1512" s="316"/>
      <c r="AG1512" s="404"/>
      <c r="AH1512" s="316"/>
      <c r="AI1512" s="316"/>
      <c r="AJ1512" s="316"/>
      <c r="AK1512" s="316"/>
      <c r="AL1512" s="316"/>
      <c r="AM1512" s="416"/>
      <c r="AR1512" s="333"/>
      <c r="AS1512" s="333"/>
      <c r="AT1512" s="333"/>
      <c r="AU1512" s="333"/>
      <c r="AV1512" s="333"/>
    </row>
    <row r="1513" spans="2:48" s="330" customFormat="1" ht="28.15" customHeight="1" x14ac:dyDescent="0.25">
      <c r="B1513" s="331"/>
      <c r="C1513" s="332"/>
      <c r="D1513" s="332"/>
      <c r="E1513" s="333"/>
      <c r="F1513" s="333"/>
      <c r="R1513" s="316"/>
      <c r="S1513" s="404"/>
      <c r="T1513" s="404"/>
      <c r="U1513" s="404"/>
      <c r="V1513" s="404"/>
      <c r="W1513" s="316"/>
      <c r="X1513" s="316"/>
      <c r="Y1513" s="316"/>
      <c r="Z1513" s="316"/>
      <c r="AA1513" s="404"/>
      <c r="AB1513" s="404"/>
      <c r="AC1513" s="404"/>
      <c r="AD1513" s="404"/>
      <c r="AE1513" s="316"/>
      <c r="AF1513" s="316"/>
      <c r="AG1513" s="404"/>
      <c r="AH1513" s="316"/>
      <c r="AI1513" s="316"/>
      <c r="AJ1513" s="316"/>
      <c r="AK1513" s="316"/>
      <c r="AL1513" s="316"/>
      <c r="AM1513" s="416"/>
      <c r="AR1513" s="333"/>
      <c r="AS1513" s="333"/>
      <c r="AT1513" s="333"/>
      <c r="AU1513" s="333"/>
      <c r="AV1513" s="333"/>
    </row>
    <row r="1514" spans="2:48" s="330" customFormat="1" ht="28.15" customHeight="1" x14ac:dyDescent="0.25">
      <c r="B1514" s="331"/>
      <c r="C1514" s="332"/>
      <c r="D1514" s="332"/>
      <c r="E1514" s="333"/>
      <c r="F1514" s="333"/>
      <c r="R1514" s="316"/>
      <c r="S1514" s="404"/>
      <c r="T1514" s="404"/>
      <c r="U1514" s="404"/>
      <c r="V1514" s="404"/>
      <c r="W1514" s="316"/>
      <c r="X1514" s="316"/>
      <c r="Y1514" s="316"/>
      <c r="Z1514" s="316"/>
      <c r="AA1514" s="404"/>
      <c r="AB1514" s="404"/>
      <c r="AC1514" s="404"/>
      <c r="AD1514" s="404"/>
      <c r="AE1514" s="316"/>
      <c r="AF1514" s="316"/>
      <c r="AG1514" s="404"/>
      <c r="AH1514" s="316"/>
      <c r="AI1514" s="316"/>
      <c r="AJ1514" s="316"/>
      <c r="AK1514" s="316"/>
      <c r="AL1514" s="316"/>
      <c r="AM1514" s="416"/>
      <c r="AR1514" s="333"/>
      <c r="AS1514" s="333"/>
      <c r="AT1514" s="333"/>
      <c r="AU1514" s="333"/>
      <c r="AV1514" s="333"/>
    </row>
    <row r="1515" spans="2:48" s="330" customFormat="1" ht="28.15" customHeight="1" x14ac:dyDescent="0.25">
      <c r="B1515" s="331"/>
      <c r="C1515" s="332"/>
      <c r="D1515" s="332"/>
      <c r="E1515" s="333"/>
      <c r="F1515" s="333"/>
      <c r="R1515" s="316"/>
      <c r="S1515" s="404"/>
      <c r="T1515" s="404"/>
      <c r="U1515" s="404"/>
      <c r="V1515" s="404"/>
      <c r="W1515" s="316"/>
      <c r="X1515" s="316"/>
      <c r="Y1515" s="316"/>
      <c r="Z1515" s="316"/>
      <c r="AA1515" s="404"/>
      <c r="AB1515" s="404"/>
      <c r="AC1515" s="404"/>
      <c r="AD1515" s="404"/>
      <c r="AE1515" s="316"/>
      <c r="AF1515" s="316"/>
      <c r="AG1515" s="404"/>
      <c r="AH1515" s="316"/>
      <c r="AI1515" s="316"/>
      <c r="AJ1515" s="316"/>
      <c r="AK1515" s="316"/>
      <c r="AL1515" s="316"/>
      <c r="AM1515" s="416"/>
      <c r="AR1515" s="333"/>
      <c r="AS1515" s="333"/>
      <c r="AT1515" s="333"/>
      <c r="AU1515" s="333"/>
      <c r="AV1515" s="333"/>
    </row>
    <row r="1516" spans="2:48" s="330" customFormat="1" ht="28.15" customHeight="1" x14ac:dyDescent="0.25">
      <c r="B1516" s="331"/>
      <c r="C1516" s="332"/>
      <c r="D1516" s="332"/>
      <c r="E1516" s="333"/>
      <c r="F1516" s="333"/>
      <c r="R1516" s="316"/>
      <c r="S1516" s="404"/>
      <c r="T1516" s="404"/>
      <c r="U1516" s="404"/>
      <c r="V1516" s="404"/>
      <c r="W1516" s="316"/>
      <c r="X1516" s="316"/>
      <c r="Y1516" s="316"/>
      <c r="Z1516" s="316"/>
      <c r="AA1516" s="404"/>
      <c r="AB1516" s="404"/>
      <c r="AC1516" s="404"/>
      <c r="AD1516" s="404"/>
      <c r="AE1516" s="316"/>
      <c r="AF1516" s="316"/>
      <c r="AG1516" s="404"/>
      <c r="AH1516" s="316"/>
      <c r="AI1516" s="316"/>
      <c r="AJ1516" s="316"/>
      <c r="AK1516" s="316"/>
      <c r="AL1516" s="316"/>
      <c r="AM1516" s="416"/>
      <c r="AR1516" s="333"/>
      <c r="AS1516" s="333"/>
      <c r="AT1516" s="333"/>
      <c r="AU1516" s="333"/>
      <c r="AV1516" s="333"/>
    </row>
    <row r="1517" spans="2:48" s="330" customFormat="1" ht="28.15" customHeight="1" x14ac:dyDescent="0.25">
      <c r="B1517" s="331"/>
      <c r="C1517" s="332"/>
      <c r="D1517" s="332"/>
      <c r="E1517" s="333"/>
      <c r="F1517" s="333"/>
      <c r="R1517" s="316"/>
      <c r="S1517" s="404"/>
      <c r="T1517" s="404"/>
      <c r="U1517" s="404"/>
      <c r="V1517" s="404"/>
      <c r="W1517" s="316"/>
      <c r="X1517" s="316"/>
      <c r="Y1517" s="316"/>
      <c r="Z1517" s="316"/>
      <c r="AA1517" s="404"/>
      <c r="AB1517" s="404"/>
      <c r="AC1517" s="404"/>
      <c r="AD1517" s="404"/>
      <c r="AE1517" s="316"/>
      <c r="AF1517" s="316"/>
      <c r="AG1517" s="404"/>
      <c r="AH1517" s="316"/>
      <c r="AI1517" s="316"/>
      <c r="AJ1517" s="316"/>
      <c r="AK1517" s="316"/>
      <c r="AL1517" s="316"/>
      <c r="AM1517" s="416"/>
      <c r="AR1517" s="333"/>
      <c r="AS1517" s="333"/>
      <c r="AT1517" s="333"/>
      <c r="AU1517" s="333"/>
      <c r="AV1517" s="333"/>
    </row>
    <row r="1518" spans="2:48" s="330" customFormat="1" ht="28.15" customHeight="1" x14ac:dyDescent="0.25">
      <c r="B1518" s="331"/>
      <c r="C1518" s="332"/>
      <c r="D1518" s="332"/>
      <c r="E1518" s="333"/>
      <c r="F1518" s="333"/>
      <c r="R1518" s="316"/>
      <c r="S1518" s="404"/>
      <c r="T1518" s="404"/>
      <c r="U1518" s="404"/>
      <c r="V1518" s="404"/>
      <c r="W1518" s="316"/>
      <c r="X1518" s="316"/>
      <c r="Y1518" s="316"/>
      <c r="Z1518" s="316"/>
      <c r="AA1518" s="404"/>
      <c r="AB1518" s="404"/>
      <c r="AC1518" s="404"/>
      <c r="AD1518" s="404"/>
      <c r="AE1518" s="316"/>
      <c r="AF1518" s="316"/>
      <c r="AG1518" s="404"/>
      <c r="AH1518" s="316"/>
      <c r="AI1518" s="316"/>
      <c r="AJ1518" s="316"/>
      <c r="AK1518" s="316"/>
      <c r="AL1518" s="316"/>
      <c r="AM1518" s="416"/>
      <c r="AR1518" s="333"/>
      <c r="AS1518" s="333"/>
      <c r="AT1518" s="333"/>
      <c r="AU1518" s="333"/>
      <c r="AV1518" s="333"/>
    </row>
    <row r="1519" spans="2:48" s="330" customFormat="1" ht="28.15" customHeight="1" x14ac:dyDescent="0.25">
      <c r="B1519" s="331"/>
      <c r="C1519" s="332"/>
      <c r="D1519" s="332"/>
      <c r="E1519" s="333"/>
      <c r="F1519" s="333"/>
      <c r="R1519" s="316"/>
      <c r="S1519" s="404"/>
      <c r="T1519" s="404"/>
      <c r="U1519" s="404"/>
      <c r="V1519" s="404"/>
      <c r="W1519" s="316"/>
      <c r="X1519" s="316"/>
      <c r="Y1519" s="316"/>
      <c r="Z1519" s="316"/>
      <c r="AA1519" s="404"/>
      <c r="AB1519" s="404"/>
      <c r="AC1519" s="404"/>
      <c r="AD1519" s="404"/>
      <c r="AE1519" s="316"/>
      <c r="AF1519" s="316"/>
      <c r="AG1519" s="404"/>
      <c r="AH1519" s="316"/>
      <c r="AI1519" s="316"/>
      <c r="AJ1519" s="316"/>
      <c r="AK1519" s="316"/>
      <c r="AL1519" s="316"/>
      <c r="AM1519" s="416"/>
      <c r="AR1519" s="333"/>
      <c r="AS1519" s="333"/>
      <c r="AT1519" s="333"/>
      <c r="AU1519" s="333"/>
      <c r="AV1519" s="333"/>
    </row>
    <row r="1520" spans="2:48" s="330" customFormat="1" ht="28.15" customHeight="1" x14ac:dyDescent="0.25">
      <c r="B1520" s="331"/>
      <c r="C1520" s="332"/>
      <c r="D1520" s="332"/>
      <c r="E1520" s="333"/>
      <c r="F1520" s="333"/>
      <c r="R1520" s="316"/>
      <c r="S1520" s="404"/>
      <c r="T1520" s="404"/>
      <c r="U1520" s="404"/>
      <c r="V1520" s="404"/>
      <c r="W1520" s="316"/>
      <c r="X1520" s="316"/>
      <c r="Y1520" s="316"/>
      <c r="Z1520" s="316"/>
      <c r="AA1520" s="404"/>
      <c r="AB1520" s="404"/>
      <c r="AC1520" s="404"/>
      <c r="AD1520" s="404"/>
      <c r="AE1520" s="316"/>
      <c r="AF1520" s="316"/>
      <c r="AG1520" s="404"/>
      <c r="AH1520" s="316"/>
      <c r="AI1520" s="316"/>
      <c r="AJ1520" s="316"/>
      <c r="AK1520" s="316"/>
      <c r="AL1520" s="316"/>
      <c r="AM1520" s="416"/>
      <c r="AR1520" s="333"/>
      <c r="AS1520" s="333"/>
      <c r="AT1520" s="333"/>
      <c r="AU1520" s="333"/>
      <c r="AV1520" s="333"/>
    </row>
    <row r="1521" spans="2:48" s="330" customFormat="1" ht="28.15" customHeight="1" x14ac:dyDescent="0.25">
      <c r="B1521" s="331"/>
      <c r="C1521" s="332"/>
      <c r="D1521" s="332"/>
      <c r="E1521" s="333"/>
      <c r="F1521" s="333"/>
      <c r="R1521" s="316"/>
      <c r="S1521" s="404"/>
      <c r="T1521" s="404"/>
      <c r="U1521" s="404"/>
      <c r="V1521" s="404"/>
      <c r="W1521" s="316"/>
      <c r="X1521" s="316"/>
      <c r="Y1521" s="316"/>
      <c r="Z1521" s="316"/>
      <c r="AA1521" s="404"/>
      <c r="AB1521" s="404"/>
      <c r="AC1521" s="404"/>
      <c r="AD1521" s="404"/>
      <c r="AE1521" s="316"/>
      <c r="AF1521" s="316"/>
      <c r="AG1521" s="404"/>
      <c r="AH1521" s="316"/>
      <c r="AI1521" s="316"/>
      <c r="AJ1521" s="316"/>
      <c r="AK1521" s="316"/>
      <c r="AL1521" s="316"/>
      <c r="AM1521" s="416"/>
      <c r="AR1521" s="333"/>
      <c r="AS1521" s="333"/>
      <c r="AT1521" s="333"/>
      <c r="AU1521" s="333"/>
      <c r="AV1521" s="333"/>
    </row>
    <row r="1522" spans="2:48" s="330" customFormat="1" ht="28.15" customHeight="1" x14ac:dyDescent="0.25">
      <c r="B1522" s="331"/>
      <c r="C1522" s="332"/>
      <c r="D1522" s="332"/>
      <c r="E1522" s="333"/>
      <c r="F1522" s="333"/>
      <c r="R1522" s="316"/>
      <c r="S1522" s="404"/>
      <c r="T1522" s="404"/>
      <c r="U1522" s="404"/>
      <c r="V1522" s="404"/>
      <c r="W1522" s="316"/>
      <c r="X1522" s="316"/>
      <c r="Y1522" s="316"/>
      <c r="Z1522" s="316"/>
      <c r="AA1522" s="404"/>
      <c r="AB1522" s="404"/>
      <c r="AC1522" s="404"/>
      <c r="AD1522" s="404"/>
      <c r="AE1522" s="316"/>
      <c r="AF1522" s="316"/>
      <c r="AG1522" s="404"/>
      <c r="AH1522" s="316"/>
      <c r="AI1522" s="316"/>
      <c r="AJ1522" s="316"/>
      <c r="AK1522" s="316"/>
      <c r="AL1522" s="316"/>
      <c r="AM1522" s="416"/>
      <c r="AR1522" s="333"/>
      <c r="AS1522" s="333"/>
      <c r="AT1522" s="333"/>
      <c r="AU1522" s="333"/>
      <c r="AV1522" s="333"/>
    </row>
    <row r="1523" spans="2:48" s="330" customFormat="1" ht="28.15" customHeight="1" x14ac:dyDescent="0.25">
      <c r="B1523" s="331"/>
      <c r="C1523" s="332"/>
      <c r="D1523" s="332"/>
      <c r="E1523" s="333"/>
      <c r="F1523" s="333"/>
      <c r="R1523" s="316"/>
      <c r="S1523" s="404"/>
      <c r="T1523" s="404"/>
      <c r="U1523" s="404"/>
      <c r="V1523" s="404"/>
      <c r="W1523" s="316"/>
      <c r="X1523" s="316"/>
      <c r="Y1523" s="316"/>
      <c r="Z1523" s="316"/>
      <c r="AA1523" s="404"/>
      <c r="AB1523" s="404"/>
      <c r="AC1523" s="404"/>
      <c r="AD1523" s="404"/>
      <c r="AE1523" s="316"/>
      <c r="AF1523" s="316"/>
      <c r="AG1523" s="404"/>
      <c r="AH1523" s="316"/>
      <c r="AI1523" s="316"/>
      <c r="AJ1523" s="316"/>
      <c r="AK1523" s="316"/>
      <c r="AL1523" s="316"/>
      <c r="AM1523" s="416"/>
      <c r="AR1523" s="333"/>
      <c r="AS1523" s="333"/>
      <c r="AT1523" s="333"/>
      <c r="AU1523" s="333"/>
      <c r="AV1523" s="333"/>
    </row>
    <row r="1524" spans="2:48" s="330" customFormat="1" ht="28.15" customHeight="1" x14ac:dyDescent="0.25">
      <c r="B1524" s="331"/>
      <c r="C1524" s="332"/>
      <c r="D1524" s="332"/>
      <c r="E1524" s="333"/>
      <c r="F1524" s="333"/>
      <c r="R1524" s="316"/>
      <c r="S1524" s="404"/>
      <c r="T1524" s="404"/>
      <c r="U1524" s="404"/>
      <c r="V1524" s="404"/>
      <c r="W1524" s="316"/>
      <c r="X1524" s="316"/>
      <c r="Y1524" s="316"/>
      <c r="Z1524" s="316"/>
      <c r="AA1524" s="404"/>
      <c r="AB1524" s="404"/>
      <c r="AC1524" s="404"/>
      <c r="AD1524" s="404"/>
      <c r="AE1524" s="316"/>
      <c r="AF1524" s="316"/>
      <c r="AG1524" s="404"/>
      <c r="AH1524" s="316"/>
      <c r="AI1524" s="316"/>
      <c r="AJ1524" s="316"/>
      <c r="AK1524" s="316"/>
      <c r="AL1524" s="316"/>
      <c r="AM1524" s="416"/>
      <c r="AR1524" s="333"/>
      <c r="AS1524" s="333"/>
      <c r="AT1524" s="333"/>
      <c r="AU1524" s="333"/>
      <c r="AV1524" s="333"/>
    </row>
    <row r="1525" spans="2:48" s="330" customFormat="1" ht="28.15" customHeight="1" x14ac:dyDescent="0.25">
      <c r="B1525" s="331"/>
      <c r="C1525" s="332"/>
      <c r="D1525" s="332"/>
      <c r="E1525" s="333"/>
      <c r="F1525" s="333"/>
      <c r="R1525" s="316"/>
      <c r="S1525" s="404"/>
      <c r="T1525" s="404"/>
      <c r="U1525" s="404"/>
      <c r="V1525" s="404"/>
      <c r="W1525" s="316"/>
      <c r="X1525" s="316"/>
      <c r="Y1525" s="316"/>
      <c r="Z1525" s="316"/>
      <c r="AA1525" s="404"/>
      <c r="AB1525" s="404"/>
      <c r="AC1525" s="404"/>
      <c r="AD1525" s="404"/>
      <c r="AE1525" s="316"/>
      <c r="AF1525" s="316"/>
      <c r="AG1525" s="404"/>
      <c r="AH1525" s="316"/>
      <c r="AI1525" s="316"/>
      <c r="AJ1525" s="316"/>
      <c r="AK1525" s="316"/>
      <c r="AL1525" s="316"/>
      <c r="AM1525" s="416"/>
      <c r="AR1525" s="333"/>
      <c r="AS1525" s="333"/>
      <c r="AT1525" s="333"/>
      <c r="AU1525" s="333"/>
      <c r="AV1525" s="333"/>
    </row>
    <row r="1526" spans="2:48" s="330" customFormat="1" ht="28.15" customHeight="1" x14ac:dyDescent="0.25">
      <c r="B1526" s="331"/>
      <c r="C1526" s="332"/>
      <c r="D1526" s="332"/>
      <c r="E1526" s="333"/>
      <c r="F1526" s="333"/>
      <c r="R1526" s="316"/>
      <c r="S1526" s="404"/>
      <c r="T1526" s="404"/>
      <c r="U1526" s="404"/>
      <c r="V1526" s="404"/>
      <c r="W1526" s="316"/>
      <c r="X1526" s="316"/>
      <c r="Y1526" s="316"/>
      <c r="Z1526" s="316"/>
      <c r="AA1526" s="404"/>
      <c r="AB1526" s="404"/>
      <c r="AC1526" s="404"/>
      <c r="AD1526" s="404"/>
      <c r="AE1526" s="316"/>
      <c r="AF1526" s="316"/>
      <c r="AG1526" s="404"/>
      <c r="AH1526" s="316"/>
      <c r="AI1526" s="316"/>
      <c r="AJ1526" s="316"/>
      <c r="AK1526" s="316"/>
      <c r="AL1526" s="316"/>
      <c r="AM1526" s="416"/>
      <c r="AR1526" s="333"/>
      <c r="AS1526" s="333"/>
      <c r="AT1526" s="333"/>
      <c r="AU1526" s="333"/>
      <c r="AV1526" s="333"/>
    </row>
    <row r="1527" spans="2:48" s="330" customFormat="1" ht="28.15" customHeight="1" x14ac:dyDescent="0.25">
      <c r="B1527" s="331"/>
      <c r="C1527" s="332"/>
      <c r="D1527" s="332"/>
      <c r="E1527" s="333"/>
      <c r="F1527" s="333"/>
      <c r="R1527" s="316"/>
      <c r="S1527" s="404"/>
      <c r="T1527" s="404"/>
      <c r="U1527" s="404"/>
      <c r="V1527" s="404"/>
      <c r="W1527" s="316"/>
      <c r="X1527" s="316"/>
      <c r="Y1527" s="316"/>
      <c r="Z1527" s="316"/>
      <c r="AA1527" s="404"/>
      <c r="AB1527" s="404"/>
      <c r="AC1527" s="404"/>
      <c r="AD1527" s="404"/>
      <c r="AE1527" s="316"/>
      <c r="AF1527" s="316"/>
      <c r="AG1527" s="404"/>
      <c r="AH1527" s="316"/>
      <c r="AI1527" s="316"/>
      <c r="AJ1527" s="316"/>
      <c r="AK1527" s="316"/>
      <c r="AL1527" s="316"/>
      <c r="AM1527" s="416"/>
      <c r="AR1527" s="333"/>
      <c r="AS1527" s="333"/>
      <c r="AT1527" s="333"/>
      <c r="AU1527" s="333"/>
      <c r="AV1527" s="333"/>
    </row>
    <row r="1528" spans="2:48" s="330" customFormat="1" ht="28.15" customHeight="1" x14ac:dyDescent="0.25">
      <c r="B1528" s="331"/>
      <c r="C1528" s="332"/>
      <c r="D1528" s="332"/>
      <c r="E1528" s="333"/>
      <c r="F1528" s="333"/>
      <c r="R1528" s="316"/>
      <c r="S1528" s="404"/>
      <c r="T1528" s="404"/>
      <c r="U1528" s="404"/>
      <c r="V1528" s="404"/>
      <c r="W1528" s="316"/>
      <c r="X1528" s="316"/>
      <c r="Y1528" s="316"/>
      <c r="Z1528" s="316"/>
      <c r="AA1528" s="404"/>
      <c r="AB1528" s="404"/>
      <c r="AC1528" s="404"/>
      <c r="AD1528" s="404"/>
      <c r="AE1528" s="316"/>
      <c r="AF1528" s="316"/>
      <c r="AG1528" s="404"/>
      <c r="AH1528" s="316"/>
      <c r="AI1528" s="316"/>
      <c r="AJ1528" s="316"/>
      <c r="AK1528" s="316"/>
      <c r="AL1528" s="316"/>
      <c r="AM1528" s="416"/>
      <c r="AR1528" s="333"/>
      <c r="AS1528" s="333"/>
      <c r="AT1528" s="333"/>
      <c r="AU1528" s="333"/>
      <c r="AV1528" s="333"/>
    </row>
    <row r="1529" spans="2:48" s="330" customFormat="1" ht="28.15" customHeight="1" x14ac:dyDescent="0.25">
      <c r="B1529" s="331"/>
      <c r="C1529" s="332"/>
      <c r="D1529" s="332"/>
      <c r="E1529" s="333"/>
      <c r="F1529" s="333"/>
      <c r="R1529" s="316"/>
      <c r="S1529" s="404"/>
      <c r="T1529" s="404"/>
      <c r="U1529" s="404"/>
      <c r="V1529" s="404"/>
      <c r="W1529" s="316"/>
      <c r="X1529" s="316"/>
      <c r="Y1529" s="316"/>
      <c r="Z1529" s="316"/>
      <c r="AA1529" s="404"/>
      <c r="AB1529" s="404"/>
      <c r="AC1529" s="404"/>
      <c r="AD1529" s="404"/>
      <c r="AE1529" s="316"/>
      <c r="AF1529" s="316"/>
      <c r="AG1529" s="404"/>
      <c r="AH1529" s="316"/>
      <c r="AI1529" s="316"/>
      <c r="AJ1529" s="316"/>
      <c r="AK1529" s="316"/>
      <c r="AL1529" s="316"/>
      <c r="AM1529" s="416"/>
      <c r="AR1529" s="333"/>
      <c r="AS1529" s="333"/>
      <c r="AT1529" s="333"/>
      <c r="AU1529" s="333"/>
      <c r="AV1529" s="333"/>
    </row>
    <row r="1530" spans="2:48" s="330" customFormat="1" ht="28.15" customHeight="1" x14ac:dyDescent="0.25">
      <c r="B1530" s="331"/>
      <c r="C1530" s="332"/>
      <c r="D1530" s="332"/>
      <c r="E1530" s="333"/>
      <c r="F1530" s="333"/>
      <c r="R1530" s="316"/>
      <c r="S1530" s="404"/>
      <c r="T1530" s="404"/>
      <c r="U1530" s="404"/>
      <c r="V1530" s="404"/>
      <c r="W1530" s="316"/>
      <c r="X1530" s="316"/>
      <c r="Y1530" s="316"/>
      <c r="Z1530" s="316"/>
      <c r="AA1530" s="404"/>
      <c r="AB1530" s="404"/>
      <c r="AC1530" s="404"/>
      <c r="AD1530" s="404"/>
      <c r="AE1530" s="316"/>
      <c r="AF1530" s="316"/>
      <c r="AG1530" s="404"/>
      <c r="AH1530" s="316"/>
      <c r="AI1530" s="316"/>
      <c r="AJ1530" s="316"/>
      <c r="AK1530" s="316"/>
      <c r="AL1530" s="316"/>
      <c r="AM1530" s="416"/>
      <c r="AR1530" s="333"/>
      <c r="AS1530" s="333"/>
      <c r="AT1530" s="333"/>
      <c r="AU1530" s="333"/>
      <c r="AV1530" s="333"/>
    </row>
    <row r="1531" spans="2:48" s="330" customFormat="1" ht="28.15" customHeight="1" x14ac:dyDescent="0.25">
      <c r="B1531" s="331"/>
      <c r="C1531" s="332"/>
      <c r="D1531" s="332"/>
      <c r="E1531" s="333"/>
      <c r="F1531" s="333"/>
      <c r="R1531" s="316"/>
      <c r="S1531" s="404"/>
      <c r="T1531" s="404"/>
      <c r="U1531" s="404"/>
      <c r="V1531" s="404"/>
      <c r="W1531" s="316"/>
      <c r="X1531" s="316"/>
      <c r="Y1531" s="316"/>
      <c r="Z1531" s="316"/>
      <c r="AA1531" s="404"/>
      <c r="AB1531" s="404"/>
      <c r="AC1531" s="404"/>
      <c r="AD1531" s="404"/>
      <c r="AE1531" s="316"/>
      <c r="AF1531" s="316"/>
      <c r="AG1531" s="404"/>
      <c r="AH1531" s="316"/>
      <c r="AI1531" s="316"/>
      <c r="AJ1531" s="316"/>
      <c r="AK1531" s="316"/>
      <c r="AL1531" s="316"/>
      <c r="AM1531" s="416"/>
      <c r="AR1531" s="333"/>
      <c r="AS1531" s="333"/>
      <c r="AT1531" s="333"/>
      <c r="AU1531" s="333"/>
      <c r="AV1531" s="333"/>
    </row>
    <row r="1532" spans="2:48" s="330" customFormat="1" ht="28.15" customHeight="1" x14ac:dyDescent="0.25">
      <c r="B1532" s="331"/>
      <c r="C1532" s="332"/>
      <c r="D1532" s="332"/>
      <c r="E1532" s="333"/>
      <c r="F1532" s="333"/>
      <c r="R1532" s="316"/>
      <c r="S1532" s="404"/>
      <c r="T1532" s="404"/>
      <c r="U1532" s="404"/>
      <c r="V1532" s="404"/>
      <c r="W1532" s="316"/>
      <c r="X1532" s="316"/>
      <c r="Y1532" s="316"/>
      <c r="Z1532" s="316"/>
      <c r="AA1532" s="404"/>
      <c r="AB1532" s="404"/>
      <c r="AC1532" s="404"/>
      <c r="AD1532" s="404"/>
      <c r="AE1532" s="316"/>
      <c r="AF1532" s="316"/>
      <c r="AG1532" s="404"/>
      <c r="AH1532" s="316"/>
      <c r="AI1532" s="316"/>
      <c r="AJ1532" s="316"/>
      <c r="AK1532" s="316"/>
      <c r="AL1532" s="316"/>
      <c r="AM1532" s="416"/>
      <c r="AR1532" s="333"/>
      <c r="AS1532" s="333"/>
      <c r="AT1532" s="333"/>
      <c r="AU1532" s="333"/>
      <c r="AV1532" s="333"/>
    </row>
    <row r="1533" spans="2:48" s="330" customFormat="1" ht="28.15" customHeight="1" x14ac:dyDescent="0.25">
      <c r="B1533" s="331"/>
      <c r="C1533" s="332"/>
      <c r="D1533" s="332"/>
      <c r="E1533" s="333"/>
      <c r="F1533" s="333"/>
      <c r="R1533" s="316"/>
      <c r="S1533" s="404"/>
      <c r="T1533" s="404"/>
      <c r="U1533" s="404"/>
      <c r="V1533" s="404"/>
      <c r="W1533" s="316"/>
      <c r="X1533" s="316"/>
      <c r="Y1533" s="316"/>
      <c r="Z1533" s="316"/>
      <c r="AA1533" s="404"/>
      <c r="AB1533" s="404"/>
      <c r="AC1533" s="404"/>
      <c r="AD1533" s="404"/>
      <c r="AE1533" s="316"/>
      <c r="AF1533" s="316"/>
      <c r="AG1533" s="404"/>
      <c r="AH1533" s="316"/>
      <c r="AI1533" s="316"/>
      <c r="AJ1533" s="316"/>
      <c r="AK1533" s="316"/>
      <c r="AL1533" s="316"/>
      <c r="AM1533" s="416"/>
      <c r="AR1533" s="333"/>
      <c r="AS1533" s="333"/>
      <c r="AT1533" s="333"/>
      <c r="AU1533" s="333"/>
      <c r="AV1533" s="333"/>
    </row>
    <row r="1534" spans="2:48" s="330" customFormat="1" ht="28.15" customHeight="1" x14ac:dyDescent="0.25">
      <c r="B1534" s="331"/>
      <c r="C1534" s="332"/>
      <c r="D1534" s="332"/>
      <c r="E1534" s="333"/>
      <c r="F1534" s="333"/>
      <c r="R1534" s="316"/>
      <c r="S1534" s="404"/>
      <c r="T1534" s="404"/>
      <c r="U1534" s="404"/>
      <c r="V1534" s="404"/>
      <c r="W1534" s="316"/>
      <c r="X1534" s="316"/>
      <c r="Y1534" s="316"/>
      <c r="Z1534" s="316"/>
      <c r="AA1534" s="404"/>
      <c r="AB1534" s="404"/>
      <c r="AC1534" s="404"/>
      <c r="AD1534" s="404"/>
      <c r="AE1534" s="316"/>
      <c r="AF1534" s="316"/>
      <c r="AG1534" s="404"/>
      <c r="AH1534" s="316"/>
      <c r="AI1534" s="316"/>
      <c r="AJ1534" s="316"/>
      <c r="AK1534" s="316"/>
      <c r="AL1534" s="316"/>
      <c r="AM1534" s="416"/>
      <c r="AR1534" s="333"/>
      <c r="AS1534" s="333"/>
      <c r="AT1534" s="333"/>
      <c r="AU1534" s="333"/>
      <c r="AV1534" s="333"/>
    </row>
    <row r="1535" spans="2:48" s="330" customFormat="1" ht="28.15" customHeight="1" x14ac:dyDescent="0.25">
      <c r="B1535" s="331"/>
      <c r="C1535" s="332"/>
      <c r="D1535" s="332"/>
      <c r="E1535" s="333"/>
      <c r="F1535" s="333"/>
      <c r="R1535" s="316"/>
      <c r="S1535" s="404"/>
      <c r="T1535" s="404"/>
      <c r="U1535" s="404"/>
      <c r="V1535" s="404"/>
      <c r="W1535" s="316"/>
      <c r="X1535" s="316"/>
      <c r="Y1535" s="316"/>
      <c r="Z1535" s="316"/>
      <c r="AA1535" s="404"/>
      <c r="AB1535" s="404"/>
      <c r="AC1535" s="404"/>
      <c r="AD1535" s="404"/>
      <c r="AE1535" s="316"/>
      <c r="AF1535" s="316"/>
      <c r="AG1535" s="404"/>
      <c r="AH1535" s="316"/>
      <c r="AI1535" s="316"/>
      <c r="AJ1535" s="316"/>
      <c r="AK1535" s="316"/>
      <c r="AL1535" s="316"/>
      <c r="AM1535" s="416"/>
      <c r="AR1535" s="333"/>
      <c r="AS1535" s="333"/>
      <c r="AT1535" s="333"/>
      <c r="AU1535" s="333"/>
      <c r="AV1535" s="333"/>
    </row>
    <row r="1536" spans="2:48" s="330" customFormat="1" ht="28.15" customHeight="1" x14ac:dyDescent="0.25">
      <c r="B1536" s="331"/>
      <c r="C1536" s="332"/>
      <c r="D1536" s="332"/>
      <c r="E1536" s="333"/>
      <c r="F1536" s="333"/>
      <c r="R1536" s="316"/>
      <c r="S1536" s="404"/>
      <c r="T1536" s="404"/>
      <c r="U1536" s="404"/>
      <c r="V1536" s="404"/>
      <c r="W1536" s="316"/>
      <c r="X1536" s="316"/>
      <c r="Y1536" s="316"/>
      <c r="Z1536" s="316"/>
      <c r="AA1536" s="404"/>
      <c r="AB1536" s="404"/>
      <c r="AC1536" s="404"/>
      <c r="AD1536" s="404"/>
      <c r="AE1536" s="316"/>
      <c r="AF1536" s="316"/>
      <c r="AG1536" s="404"/>
      <c r="AH1536" s="316"/>
      <c r="AI1536" s="316"/>
      <c r="AJ1536" s="316"/>
      <c r="AK1536" s="316"/>
      <c r="AL1536" s="316"/>
      <c r="AM1536" s="416"/>
      <c r="AR1536" s="333"/>
      <c r="AS1536" s="333"/>
      <c r="AT1536" s="333"/>
      <c r="AU1536" s="333"/>
      <c r="AV1536" s="333"/>
    </row>
    <row r="1537" spans="2:48" s="330" customFormat="1" ht="28.15" customHeight="1" x14ac:dyDescent="0.25">
      <c r="B1537" s="331"/>
      <c r="C1537" s="332"/>
      <c r="D1537" s="332"/>
      <c r="E1537" s="333"/>
      <c r="F1537" s="333"/>
      <c r="R1537" s="316"/>
      <c r="S1537" s="404"/>
      <c r="T1537" s="404"/>
      <c r="U1537" s="404"/>
      <c r="V1537" s="404"/>
      <c r="W1537" s="316"/>
      <c r="X1537" s="316"/>
      <c r="Y1537" s="316"/>
      <c r="Z1537" s="316"/>
      <c r="AA1537" s="404"/>
      <c r="AB1537" s="404"/>
      <c r="AC1537" s="404"/>
      <c r="AD1537" s="404"/>
      <c r="AE1537" s="316"/>
      <c r="AF1537" s="316"/>
      <c r="AG1537" s="404"/>
      <c r="AH1537" s="316"/>
      <c r="AI1537" s="316"/>
      <c r="AJ1537" s="316"/>
      <c r="AK1537" s="316"/>
      <c r="AL1537" s="316"/>
      <c r="AM1537" s="416"/>
      <c r="AR1537" s="333"/>
      <c r="AS1537" s="333"/>
      <c r="AT1537" s="333"/>
      <c r="AU1537" s="333"/>
      <c r="AV1537" s="333"/>
    </row>
    <row r="1538" spans="2:48" s="330" customFormat="1" ht="28.15" customHeight="1" x14ac:dyDescent="0.25">
      <c r="B1538" s="331"/>
      <c r="C1538" s="332"/>
      <c r="D1538" s="332"/>
      <c r="E1538" s="333"/>
      <c r="F1538" s="333"/>
      <c r="R1538" s="316"/>
      <c r="S1538" s="404"/>
      <c r="T1538" s="404"/>
      <c r="U1538" s="404"/>
      <c r="V1538" s="404"/>
      <c r="W1538" s="316"/>
      <c r="X1538" s="316"/>
      <c r="Y1538" s="316"/>
      <c r="Z1538" s="316"/>
      <c r="AA1538" s="404"/>
      <c r="AB1538" s="404"/>
      <c r="AC1538" s="404"/>
      <c r="AD1538" s="404"/>
      <c r="AE1538" s="316"/>
      <c r="AF1538" s="316"/>
      <c r="AG1538" s="404"/>
      <c r="AH1538" s="316"/>
      <c r="AI1538" s="316"/>
      <c r="AJ1538" s="316"/>
      <c r="AK1538" s="316"/>
      <c r="AL1538" s="316"/>
      <c r="AM1538" s="416"/>
      <c r="AR1538" s="333"/>
      <c r="AS1538" s="333"/>
      <c r="AT1538" s="333"/>
      <c r="AU1538" s="333"/>
      <c r="AV1538" s="333"/>
    </row>
    <row r="1539" spans="2:48" s="330" customFormat="1" ht="28.15" customHeight="1" x14ac:dyDescent="0.25">
      <c r="B1539" s="331"/>
      <c r="C1539" s="332"/>
      <c r="D1539" s="332"/>
      <c r="E1539" s="333"/>
      <c r="F1539" s="333"/>
      <c r="R1539" s="316"/>
      <c r="S1539" s="404"/>
      <c r="T1539" s="404"/>
      <c r="U1539" s="404"/>
      <c r="V1539" s="404"/>
      <c r="W1539" s="316"/>
      <c r="X1539" s="316"/>
      <c r="Y1539" s="316"/>
      <c r="Z1539" s="316"/>
      <c r="AA1539" s="404"/>
      <c r="AB1539" s="404"/>
      <c r="AC1539" s="404"/>
      <c r="AD1539" s="404"/>
      <c r="AE1539" s="316"/>
      <c r="AF1539" s="316"/>
      <c r="AG1539" s="404"/>
      <c r="AH1539" s="316"/>
      <c r="AI1539" s="316"/>
      <c r="AJ1539" s="316"/>
      <c r="AK1539" s="316"/>
      <c r="AL1539" s="316"/>
      <c r="AM1539" s="416"/>
      <c r="AR1539" s="333"/>
      <c r="AS1539" s="333"/>
      <c r="AT1539" s="333"/>
      <c r="AU1539" s="333"/>
      <c r="AV1539" s="333"/>
    </row>
    <row r="1540" spans="2:48" s="330" customFormat="1" ht="28.15" customHeight="1" x14ac:dyDescent="0.25">
      <c r="B1540" s="331"/>
      <c r="C1540" s="332"/>
      <c r="D1540" s="332"/>
      <c r="E1540" s="333"/>
      <c r="F1540" s="333"/>
      <c r="R1540" s="316"/>
      <c r="S1540" s="404"/>
      <c r="T1540" s="404"/>
      <c r="U1540" s="404"/>
      <c r="V1540" s="404"/>
      <c r="W1540" s="316"/>
      <c r="X1540" s="316"/>
      <c r="Y1540" s="316"/>
      <c r="Z1540" s="316"/>
      <c r="AA1540" s="404"/>
      <c r="AB1540" s="404"/>
      <c r="AC1540" s="404"/>
      <c r="AD1540" s="404"/>
      <c r="AE1540" s="316"/>
      <c r="AF1540" s="316"/>
      <c r="AG1540" s="404"/>
      <c r="AH1540" s="316"/>
      <c r="AI1540" s="316"/>
      <c r="AJ1540" s="316"/>
      <c r="AK1540" s="316"/>
      <c r="AL1540" s="316"/>
      <c r="AM1540" s="416"/>
      <c r="AR1540" s="333"/>
      <c r="AS1540" s="333"/>
      <c r="AT1540" s="333"/>
      <c r="AU1540" s="333"/>
      <c r="AV1540" s="333"/>
    </row>
    <row r="1541" spans="2:48" s="330" customFormat="1" ht="28.15" customHeight="1" x14ac:dyDescent="0.25">
      <c r="B1541" s="331"/>
      <c r="C1541" s="332"/>
      <c r="D1541" s="332"/>
      <c r="E1541" s="333"/>
      <c r="F1541" s="333"/>
      <c r="R1541" s="316"/>
      <c r="S1541" s="404"/>
      <c r="T1541" s="404"/>
      <c r="U1541" s="404"/>
      <c r="V1541" s="404"/>
      <c r="W1541" s="316"/>
      <c r="X1541" s="316"/>
      <c r="Y1541" s="316"/>
      <c r="Z1541" s="316"/>
      <c r="AA1541" s="404"/>
      <c r="AB1541" s="404"/>
      <c r="AC1541" s="404"/>
      <c r="AD1541" s="404"/>
      <c r="AE1541" s="316"/>
      <c r="AF1541" s="316"/>
      <c r="AG1541" s="404"/>
      <c r="AH1541" s="316"/>
      <c r="AI1541" s="316"/>
      <c r="AJ1541" s="316"/>
      <c r="AK1541" s="316"/>
      <c r="AL1541" s="316"/>
      <c r="AM1541" s="416"/>
      <c r="AR1541" s="333"/>
      <c r="AS1541" s="333"/>
      <c r="AT1541" s="333"/>
      <c r="AU1541" s="333"/>
      <c r="AV1541" s="333"/>
    </row>
    <row r="1542" spans="2:48" s="330" customFormat="1" ht="28.15" customHeight="1" x14ac:dyDescent="0.25">
      <c r="B1542" s="331"/>
      <c r="C1542" s="332"/>
      <c r="D1542" s="332"/>
      <c r="E1542" s="333"/>
      <c r="F1542" s="333"/>
      <c r="R1542" s="316"/>
      <c r="S1542" s="404"/>
      <c r="T1542" s="404"/>
      <c r="U1542" s="404"/>
      <c r="V1542" s="404"/>
      <c r="W1542" s="316"/>
      <c r="X1542" s="316"/>
      <c r="Y1542" s="316"/>
      <c r="Z1542" s="316"/>
      <c r="AA1542" s="404"/>
      <c r="AB1542" s="404"/>
      <c r="AC1542" s="404"/>
      <c r="AD1542" s="404"/>
      <c r="AE1542" s="316"/>
      <c r="AF1542" s="316"/>
      <c r="AG1542" s="404"/>
      <c r="AH1542" s="316"/>
      <c r="AI1542" s="316"/>
      <c r="AJ1542" s="316"/>
      <c r="AK1542" s="316"/>
      <c r="AL1542" s="316"/>
      <c r="AM1542" s="416"/>
      <c r="AR1542" s="333"/>
      <c r="AS1542" s="333"/>
      <c r="AT1542" s="333"/>
      <c r="AU1542" s="333"/>
      <c r="AV1542" s="333"/>
    </row>
    <row r="1543" spans="2:48" s="330" customFormat="1" ht="28.15" customHeight="1" x14ac:dyDescent="0.25">
      <c r="B1543" s="331"/>
      <c r="C1543" s="332"/>
      <c r="D1543" s="332"/>
      <c r="E1543" s="333"/>
      <c r="F1543" s="333"/>
      <c r="R1543" s="316"/>
      <c r="S1543" s="404"/>
      <c r="T1543" s="404"/>
      <c r="U1543" s="404"/>
      <c r="V1543" s="404"/>
      <c r="W1543" s="316"/>
      <c r="X1543" s="316"/>
      <c r="Y1543" s="316"/>
      <c r="Z1543" s="316"/>
      <c r="AA1543" s="404"/>
      <c r="AB1543" s="404"/>
      <c r="AC1543" s="404"/>
      <c r="AD1543" s="404"/>
      <c r="AE1543" s="316"/>
      <c r="AF1543" s="316"/>
      <c r="AG1543" s="404"/>
      <c r="AH1543" s="316"/>
      <c r="AI1543" s="316"/>
      <c r="AJ1543" s="316"/>
      <c r="AK1543" s="316"/>
      <c r="AL1543" s="316"/>
      <c r="AM1543" s="416"/>
      <c r="AR1543" s="333"/>
      <c r="AS1543" s="333"/>
      <c r="AT1543" s="333"/>
      <c r="AU1543" s="333"/>
      <c r="AV1543" s="333"/>
    </row>
    <row r="1544" spans="2:48" s="330" customFormat="1" ht="28.15" customHeight="1" x14ac:dyDescent="0.25">
      <c r="B1544" s="331"/>
      <c r="C1544" s="332"/>
      <c r="D1544" s="332"/>
      <c r="E1544" s="333"/>
      <c r="F1544" s="333"/>
      <c r="R1544" s="316"/>
      <c r="S1544" s="404"/>
      <c r="T1544" s="404"/>
      <c r="U1544" s="404"/>
      <c r="V1544" s="404"/>
      <c r="W1544" s="316"/>
      <c r="X1544" s="316"/>
      <c r="Y1544" s="316"/>
      <c r="Z1544" s="316"/>
      <c r="AA1544" s="404"/>
      <c r="AB1544" s="404"/>
      <c r="AC1544" s="404"/>
      <c r="AD1544" s="404"/>
      <c r="AE1544" s="316"/>
      <c r="AF1544" s="316"/>
      <c r="AG1544" s="404"/>
      <c r="AH1544" s="316"/>
      <c r="AI1544" s="316"/>
      <c r="AJ1544" s="316"/>
      <c r="AK1544" s="316"/>
      <c r="AL1544" s="316"/>
      <c r="AM1544" s="416"/>
      <c r="AR1544" s="333"/>
      <c r="AS1544" s="333"/>
      <c r="AT1544" s="333"/>
      <c r="AU1544" s="333"/>
      <c r="AV1544" s="333"/>
    </row>
    <row r="1545" spans="2:48" s="330" customFormat="1" ht="28.15" customHeight="1" x14ac:dyDescent="0.25">
      <c r="B1545" s="331"/>
      <c r="C1545" s="332"/>
      <c r="D1545" s="332"/>
      <c r="E1545" s="333"/>
      <c r="F1545" s="333"/>
      <c r="R1545" s="316"/>
      <c r="S1545" s="404"/>
      <c r="T1545" s="404"/>
      <c r="U1545" s="404"/>
      <c r="V1545" s="404"/>
      <c r="W1545" s="316"/>
      <c r="X1545" s="316"/>
      <c r="Y1545" s="316"/>
      <c r="Z1545" s="316"/>
      <c r="AA1545" s="404"/>
      <c r="AB1545" s="404"/>
      <c r="AC1545" s="404"/>
      <c r="AD1545" s="404"/>
      <c r="AE1545" s="316"/>
      <c r="AF1545" s="316"/>
      <c r="AG1545" s="404"/>
      <c r="AH1545" s="316"/>
      <c r="AI1545" s="316"/>
      <c r="AJ1545" s="316"/>
      <c r="AK1545" s="316"/>
      <c r="AL1545" s="316"/>
      <c r="AM1545" s="416"/>
      <c r="AR1545" s="333"/>
      <c r="AS1545" s="333"/>
      <c r="AT1545" s="333"/>
      <c r="AU1545" s="333"/>
      <c r="AV1545" s="333"/>
    </row>
    <row r="1546" spans="2:48" s="330" customFormat="1" ht="28.15" customHeight="1" x14ac:dyDescent="0.25">
      <c r="B1546" s="331"/>
      <c r="C1546" s="332"/>
      <c r="D1546" s="332"/>
      <c r="E1546" s="333"/>
      <c r="F1546" s="333"/>
      <c r="R1546" s="316"/>
      <c r="S1546" s="404"/>
      <c r="T1546" s="404"/>
      <c r="U1546" s="404"/>
      <c r="V1546" s="404"/>
      <c r="W1546" s="316"/>
      <c r="X1546" s="316"/>
      <c r="Y1546" s="316"/>
      <c r="Z1546" s="316"/>
      <c r="AA1546" s="404"/>
      <c r="AB1546" s="404"/>
      <c r="AC1546" s="404"/>
      <c r="AD1546" s="404"/>
      <c r="AE1546" s="316"/>
      <c r="AF1546" s="316"/>
      <c r="AG1546" s="404"/>
      <c r="AH1546" s="316"/>
      <c r="AI1546" s="316"/>
      <c r="AJ1546" s="316"/>
      <c r="AK1546" s="316"/>
      <c r="AL1546" s="316"/>
      <c r="AM1546" s="416"/>
      <c r="AR1546" s="333"/>
      <c r="AS1546" s="333"/>
      <c r="AT1546" s="333"/>
      <c r="AU1546" s="333"/>
      <c r="AV1546" s="333"/>
    </row>
    <row r="1547" spans="2:48" s="330" customFormat="1" ht="28.15" customHeight="1" x14ac:dyDescent="0.25">
      <c r="B1547" s="331"/>
      <c r="C1547" s="332"/>
      <c r="D1547" s="332"/>
      <c r="E1547" s="333"/>
      <c r="F1547" s="333"/>
      <c r="R1547" s="316"/>
      <c r="S1547" s="404"/>
      <c r="T1547" s="404"/>
      <c r="U1547" s="404"/>
      <c r="V1547" s="404"/>
      <c r="W1547" s="316"/>
      <c r="X1547" s="316"/>
      <c r="Y1547" s="316"/>
      <c r="Z1547" s="316"/>
      <c r="AA1547" s="404"/>
      <c r="AB1547" s="404"/>
      <c r="AC1547" s="404"/>
      <c r="AD1547" s="404"/>
      <c r="AE1547" s="316"/>
      <c r="AF1547" s="316"/>
      <c r="AG1547" s="404"/>
      <c r="AH1547" s="316"/>
      <c r="AI1547" s="316"/>
      <c r="AJ1547" s="316"/>
      <c r="AK1547" s="316"/>
      <c r="AL1547" s="316"/>
      <c r="AM1547" s="416"/>
      <c r="AR1547" s="333"/>
      <c r="AS1547" s="333"/>
      <c r="AT1547" s="333"/>
      <c r="AU1547" s="333"/>
      <c r="AV1547" s="333"/>
    </row>
    <row r="1548" spans="2:48" s="330" customFormat="1" ht="28.15" customHeight="1" x14ac:dyDescent="0.25">
      <c r="B1548" s="331"/>
      <c r="C1548" s="332"/>
      <c r="D1548" s="332"/>
      <c r="E1548" s="333"/>
      <c r="F1548" s="333"/>
      <c r="R1548" s="316"/>
      <c r="S1548" s="404"/>
      <c r="T1548" s="404"/>
      <c r="U1548" s="404"/>
      <c r="V1548" s="404"/>
      <c r="W1548" s="316"/>
      <c r="X1548" s="316"/>
      <c r="Y1548" s="316"/>
      <c r="Z1548" s="316"/>
      <c r="AA1548" s="404"/>
      <c r="AB1548" s="404"/>
      <c r="AC1548" s="404"/>
      <c r="AD1548" s="404"/>
      <c r="AE1548" s="316"/>
      <c r="AF1548" s="316"/>
      <c r="AG1548" s="404"/>
      <c r="AH1548" s="316"/>
      <c r="AI1548" s="316"/>
      <c r="AJ1548" s="316"/>
      <c r="AK1548" s="316"/>
      <c r="AL1548" s="316"/>
      <c r="AM1548" s="416"/>
      <c r="AR1548" s="333"/>
      <c r="AS1548" s="333"/>
      <c r="AT1548" s="333"/>
      <c r="AU1548" s="333"/>
      <c r="AV1548" s="333"/>
    </row>
    <row r="1549" spans="2:48" s="330" customFormat="1" ht="28.15" customHeight="1" x14ac:dyDescent="0.25">
      <c r="B1549" s="331"/>
      <c r="C1549" s="332"/>
      <c r="D1549" s="332"/>
      <c r="E1549" s="333"/>
      <c r="F1549" s="333"/>
      <c r="R1549" s="316"/>
      <c r="S1549" s="404"/>
      <c r="T1549" s="404"/>
      <c r="U1549" s="404"/>
      <c r="V1549" s="404"/>
      <c r="W1549" s="316"/>
      <c r="X1549" s="316"/>
      <c r="Y1549" s="316"/>
      <c r="Z1549" s="316"/>
      <c r="AA1549" s="404"/>
      <c r="AB1549" s="404"/>
      <c r="AC1549" s="404"/>
      <c r="AD1549" s="404"/>
      <c r="AE1549" s="316"/>
      <c r="AF1549" s="316"/>
      <c r="AG1549" s="404"/>
      <c r="AH1549" s="316"/>
      <c r="AI1549" s="316"/>
      <c r="AJ1549" s="316"/>
      <c r="AK1549" s="316"/>
      <c r="AL1549" s="316"/>
      <c r="AM1549" s="416"/>
      <c r="AR1549" s="333"/>
      <c r="AS1549" s="333"/>
      <c r="AT1549" s="333"/>
      <c r="AU1549" s="333"/>
      <c r="AV1549" s="333"/>
    </row>
    <row r="1550" spans="2:48" s="330" customFormat="1" ht="28.15" customHeight="1" x14ac:dyDescent="0.25">
      <c r="B1550" s="331"/>
      <c r="C1550" s="332"/>
      <c r="D1550" s="332"/>
      <c r="E1550" s="333"/>
      <c r="F1550" s="333"/>
      <c r="R1550" s="316"/>
      <c r="S1550" s="404"/>
      <c r="T1550" s="404"/>
      <c r="U1550" s="404"/>
      <c r="V1550" s="404"/>
      <c r="W1550" s="316"/>
      <c r="X1550" s="316"/>
      <c r="Y1550" s="316"/>
      <c r="Z1550" s="316"/>
      <c r="AA1550" s="404"/>
      <c r="AB1550" s="404"/>
      <c r="AC1550" s="404"/>
      <c r="AD1550" s="404"/>
      <c r="AE1550" s="316"/>
      <c r="AF1550" s="316"/>
      <c r="AG1550" s="404"/>
      <c r="AH1550" s="316"/>
      <c r="AI1550" s="316"/>
      <c r="AJ1550" s="316"/>
      <c r="AK1550" s="316"/>
      <c r="AL1550" s="316"/>
      <c r="AM1550" s="416"/>
      <c r="AR1550" s="333"/>
      <c r="AS1550" s="333"/>
      <c r="AT1550" s="333"/>
      <c r="AU1550" s="333"/>
      <c r="AV1550" s="333"/>
    </row>
    <row r="1551" spans="2:48" s="330" customFormat="1" ht="28.15" customHeight="1" x14ac:dyDescent="0.25">
      <c r="B1551" s="331"/>
      <c r="C1551" s="332"/>
      <c r="D1551" s="332"/>
      <c r="E1551" s="333"/>
      <c r="F1551" s="333"/>
      <c r="R1551" s="316"/>
      <c r="S1551" s="404"/>
      <c r="T1551" s="404"/>
      <c r="U1551" s="404"/>
      <c r="V1551" s="404"/>
      <c r="W1551" s="316"/>
      <c r="X1551" s="316"/>
      <c r="Y1551" s="316"/>
      <c r="Z1551" s="316"/>
      <c r="AA1551" s="404"/>
      <c r="AB1551" s="404"/>
      <c r="AC1551" s="404"/>
      <c r="AD1551" s="404"/>
      <c r="AE1551" s="316"/>
      <c r="AF1551" s="316"/>
      <c r="AG1551" s="404"/>
      <c r="AH1551" s="316"/>
      <c r="AI1551" s="316"/>
      <c r="AJ1551" s="316"/>
      <c r="AK1551" s="316"/>
      <c r="AL1551" s="316"/>
      <c r="AM1551" s="416"/>
      <c r="AR1551" s="333"/>
      <c r="AS1551" s="333"/>
      <c r="AT1551" s="333"/>
      <c r="AU1551" s="333"/>
      <c r="AV1551" s="333"/>
    </row>
    <row r="1552" spans="2:48" s="330" customFormat="1" ht="28.15" customHeight="1" x14ac:dyDescent="0.25">
      <c r="B1552" s="331"/>
      <c r="C1552" s="332"/>
      <c r="D1552" s="332"/>
      <c r="E1552" s="333"/>
      <c r="F1552" s="333"/>
      <c r="R1552" s="316"/>
      <c r="S1552" s="404"/>
      <c r="T1552" s="404"/>
      <c r="U1552" s="404"/>
      <c r="V1552" s="404"/>
      <c r="W1552" s="316"/>
      <c r="X1552" s="316"/>
      <c r="Y1552" s="316"/>
      <c r="Z1552" s="316"/>
      <c r="AA1552" s="404"/>
      <c r="AB1552" s="404"/>
      <c r="AC1552" s="404"/>
      <c r="AD1552" s="404"/>
      <c r="AE1552" s="316"/>
      <c r="AF1552" s="316"/>
      <c r="AG1552" s="404"/>
      <c r="AH1552" s="316"/>
      <c r="AI1552" s="316"/>
      <c r="AJ1552" s="316"/>
      <c r="AK1552" s="316"/>
      <c r="AL1552" s="316"/>
      <c r="AM1552" s="416"/>
      <c r="AR1552" s="333"/>
      <c r="AS1552" s="333"/>
      <c r="AT1552" s="333"/>
      <c r="AU1552" s="333"/>
      <c r="AV1552" s="333"/>
    </row>
    <row r="1553" spans="2:48" s="330" customFormat="1" ht="28.15" customHeight="1" x14ac:dyDescent="0.25">
      <c r="B1553" s="331"/>
      <c r="C1553" s="332"/>
      <c r="D1553" s="332"/>
      <c r="E1553" s="333"/>
      <c r="F1553" s="333"/>
      <c r="R1553" s="316"/>
      <c r="S1553" s="404"/>
      <c r="T1553" s="404"/>
      <c r="U1553" s="404"/>
      <c r="V1553" s="404"/>
      <c r="W1553" s="316"/>
      <c r="X1553" s="316"/>
      <c r="Y1553" s="316"/>
      <c r="Z1553" s="316"/>
      <c r="AA1553" s="404"/>
      <c r="AB1553" s="404"/>
      <c r="AC1553" s="404"/>
      <c r="AD1553" s="404"/>
      <c r="AE1553" s="316"/>
      <c r="AF1553" s="316"/>
      <c r="AG1553" s="404"/>
      <c r="AH1553" s="316"/>
      <c r="AI1553" s="316"/>
      <c r="AJ1553" s="316"/>
      <c r="AK1553" s="316"/>
      <c r="AL1553" s="316"/>
      <c r="AM1553" s="416"/>
      <c r="AR1553" s="333"/>
      <c r="AS1553" s="333"/>
      <c r="AT1553" s="333"/>
      <c r="AU1553" s="333"/>
      <c r="AV1553" s="333"/>
    </row>
    <row r="1554" spans="2:48" s="330" customFormat="1" ht="28.15" customHeight="1" x14ac:dyDescent="0.25">
      <c r="B1554" s="331"/>
      <c r="C1554" s="332"/>
      <c r="D1554" s="332"/>
      <c r="E1554" s="333"/>
      <c r="F1554" s="333"/>
      <c r="R1554" s="316"/>
      <c r="S1554" s="404"/>
      <c r="T1554" s="404"/>
      <c r="U1554" s="404"/>
      <c r="V1554" s="404"/>
      <c r="W1554" s="316"/>
      <c r="X1554" s="316"/>
      <c r="Y1554" s="316"/>
      <c r="Z1554" s="316"/>
      <c r="AA1554" s="404"/>
      <c r="AB1554" s="404"/>
      <c r="AC1554" s="404"/>
      <c r="AD1554" s="404"/>
      <c r="AE1554" s="316"/>
      <c r="AF1554" s="316"/>
      <c r="AG1554" s="404"/>
      <c r="AH1554" s="316"/>
      <c r="AI1554" s="316"/>
      <c r="AJ1554" s="316"/>
      <c r="AK1554" s="316"/>
      <c r="AL1554" s="316"/>
      <c r="AM1554" s="416"/>
      <c r="AR1554" s="333"/>
      <c r="AS1554" s="333"/>
      <c r="AT1554" s="333"/>
      <c r="AU1554" s="333"/>
      <c r="AV1554" s="333"/>
    </row>
    <row r="1555" spans="2:48" s="330" customFormat="1" ht="28.15" customHeight="1" x14ac:dyDescent="0.25">
      <c r="B1555" s="331"/>
      <c r="C1555" s="332"/>
      <c r="D1555" s="332"/>
      <c r="E1555" s="333"/>
      <c r="F1555" s="333"/>
      <c r="R1555" s="316"/>
      <c r="S1555" s="404"/>
      <c r="T1555" s="404"/>
      <c r="U1555" s="404"/>
      <c r="V1555" s="404"/>
      <c r="W1555" s="316"/>
      <c r="X1555" s="316"/>
      <c r="Y1555" s="316"/>
      <c r="Z1555" s="316"/>
      <c r="AA1555" s="404"/>
      <c r="AB1555" s="404"/>
      <c r="AC1555" s="404"/>
      <c r="AD1555" s="404"/>
      <c r="AE1555" s="316"/>
      <c r="AF1555" s="316"/>
      <c r="AG1555" s="404"/>
      <c r="AH1555" s="316"/>
      <c r="AI1555" s="316"/>
      <c r="AJ1555" s="316"/>
      <c r="AK1555" s="316"/>
      <c r="AL1555" s="316"/>
      <c r="AM1555" s="416"/>
      <c r="AR1555" s="333"/>
      <c r="AS1555" s="333"/>
      <c r="AT1555" s="333"/>
      <c r="AU1555" s="333"/>
      <c r="AV1555" s="333"/>
    </row>
    <row r="1556" spans="2:48" s="330" customFormat="1" ht="28.15" customHeight="1" x14ac:dyDescent="0.25">
      <c r="B1556" s="331"/>
      <c r="C1556" s="332"/>
      <c r="D1556" s="332"/>
      <c r="E1556" s="333"/>
      <c r="F1556" s="333"/>
      <c r="R1556" s="316"/>
      <c r="S1556" s="404"/>
      <c r="T1556" s="404"/>
      <c r="U1556" s="404"/>
      <c r="V1556" s="404"/>
      <c r="W1556" s="316"/>
      <c r="X1556" s="316"/>
      <c r="Y1556" s="316"/>
      <c r="Z1556" s="316"/>
      <c r="AA1556" s="404"/>
      <c r="AB1556" s="404"/>
      <c r="AC1556" s="404"/>
      <c r="AD1556" s="404"/>
      <c r="AE1556" s="316"/>
      <c r="AF1556" s="316"/>
      <c r="AG1556" s="404"/>
      <c r="AH1556" s="316"/>
      <c r="AI1556" s="316"/>
      <c r="AJ1556" s="316"/>
      <c r="AK1556" s="316"/>
      <c r="AL1556" s="316"/>
      <c r="AM1556" s="416"/>
      <c r="AR1556" s="333"/>
      <c r="AS1556" s="333"/>
      <c r="AT1556" s="333"/>
      <c r="AU1556" s="333"/>
      <c r="AV1556" s="333"/>
    </row>
    <row r="1557" spans="2:48" s="330" customFormat="1" ht="28.15" customHeight="1" x14ac:dyDescent="0.25">
      <c r="B1557" s="331"/>
      <c r="C1557" s="332"/>
      <c r="D1557" s="332"/>
      <c r="E1557" s="333"/>
      <c r="F1557" s="333"/>
      <c r="R1557" s="316"/>
      <c r="S1557" s="404"/>
      <c r="T1557" s="404"/>
      <c r="U1557" s="404"/>
      <c r="V1557" s="404"/>
      <c r="W1557" s="316"/>
      <c r="X1557" s="316"/>
      <c r="Y1557" s="316"/>
      <c r="Z1557" s="316"/>
      <c r="AA1557" s="404"/>
      <c r="AB1557" s="404"/>
      <c r="AC1557" s="404"/>
      <c r="AD1557" s="404"/>
      <c r="AE1557" s="316"/>
      <c r="AF1557" s="316"/>
      <c r="AG1557" s="404"/>
      <c r="AH1557" s="316"/>
      <c r="AI1557" s="316"/>
      <c r="AJ1557" s="316"/>
      <c r="AK1557" s="316"/>
      <c r="AL1557" s="316"/>
      <c r="AM1557" s="416"/>
      <c r="AR1557" s="333"/>
      <c r="AS1557" s="333"/>
      <c r="AT1557" s="333"/>
      <c r="AU1557" s="333"/>
      <c r="AV1557" s="333"/>
    </row>
    <row r="1558" spans="2:48" s="330" customFormat="1" ht="28.15" customHeight="1" x14ac:dyDescent="0.25">
      <c r="B1558" s="331"/>
      <c r="C1558" s="332"/>
      <c r="D1558" s="332"/>
      <c r="E1558" s="333"/>
      <c r="F1558" s="333"/>
      <c r="R1558" s="316"/>
      <c r="S1558" s="404"/>
      <c r="T1558" s="404"/>
      <c r="U1558" s="404"/>
      <c r="V1558" s="404"/>
      <c r="W1558" s="316"/>
      <c r="X1558" s="316"/>
      <c r="Y1558" s="316"/>
      <c r="Z1558" s="316"/>
      <c r="AA1558" s="404"/>
      <c r="AB1558" s="404"/>
      <c r="AC1558" s="404"/>
      <c r="AD1558" s="404"/>
      <c r="AE1558" s="316"/>
      <c r="AF1558" s="316"/>
      <c r="AG1558" s="404"/>
      <c r="AH1558" s="316"/>
      <c r="AI1558" s="316"/>
      <c r="AJ1558" s="316"/>
      <c r="AK1558" s="316"/>
      <c r="AL1558" s="316"/>
      <c r="AM1558" s="416"/>
      <c r="AR1558" s="333"/>
      <c r="AS1558" s="333"/>
      <c r="AT1558" s="333"/>
      <c r="AU1558" s="333"/>
      <c r="AV1558" s="333"/>
    </row>
    <row r="1559" spans="2:48" s="330" customFormat="1" ht="28.15" customHeight="1" x14ac:dyDescent="0.25">
      <c r="B1559" s="331"/>
      <c r="C1559" s="332"/>
      <c r="D1559" s="332"/>
      <c r="E1559" s="333"/>
      <c r="F1559" s="333"/>
      <c r="R1559" s="316"/>
      <c r="S1559" s="404"/>
      <c r="T1559" s="404"/>
      <c r="U1559" s="404"/>
      <c r="V1559" s="404"/>
      <c r="W1559" s="316"/>
      <c r="X1559" s="316"/>
      <c r="Y1559" s="316"/>
      <c r="Z1559" s="316"/>
      <c r="AA1559" s="404"/>
      <c r="AB1559" s="404"/>
      <c r="AC1559" s="404"/>
      <c r="AD1559" s="404"/>
      <c r="AE1559" s="316"/>
      <c r="AF1559" s="316"/>
      <c r="AG1559" s="404"/>
      <c r="AH1559" s="316"/>
      <c r="AI1559" s="316"/>
      <c r="AJ1559" s="316"/>
      <c r="AK1559" s="316"/>
      <c r="AL1559" s="316"/>
      <c r="AM1559" s="416"/>
      <c r="AR1559" s="333"/>
      <c r="AS1559" s="333"/>
      <c r="AT1559" s="333"/>
      <c r="AU1559" s="333"/>
      <c r="AV1559" s="333"/>
    </row>
    <row r="1560" spans="2:48" s="330" customFormat="1" ht="28.15" customHeight="1" x14ac:dyDescent="0.25">
      <c r="B1560" s="331"/>
      <c r="C1560" s="332"/>
      <c r="D1560" s="332"/>
      <c r="E1560" s="333"/>
      <c r="F1560" s="333"/>
      <c r="R1560" s="316"/>
      <c r="S1560" s="404"/>
      <c r="T1560" s="404"/>
      <c r="U1560" s="404"/>
      <c r="V1560" s="404"/>
      <c r="W1560" s="316"/>
      <c r="X1560" s="316"/>
      <c r="Y1560" s="316"/>
      <c r="Z1560" s="316"/>
      <c r="AA1560" s="404"/>
      <c r="AB1560" s="404"/>
      <c r="AC1560" s="404"/>
      <c r="AD1560" s="404"/>
      <c r="AE1560" s="316"/>
      <c r="AF1560" s="316"/>
      <c r="AG1560" s="404"/>
      <c r="AH1560" s="316"/>
      <c r="AI1560" s="316"/>
      <c r="AJ1560" s="316"/>
      <c r="AK1560" s="316"/>
      <c r="AL1560" s="316"/>
      <c r="AM1560" s="416"/>
      <c r="AR1560" s="333"/>
      <c r="AS1560" s="333"/>
      <c r="AT1560" s="333"/>
      <c r="AU1560" s="333"/>
      <c r="AV1560" s="333"/>
    </row>
    <row r="1561" spans="2:48" s="330" customFormat="1" ht="28.15" customHeight="1" x14ac:dyDescent="0.25">
      <c r="B1561" s="331"/>
      <c r="C1561" s="332"/>
      <c r="D1561" s="332"/>
      <c r="E1561" s="333"/>
      <c r="F1561" s="333"/>
      <c r="R1561" s="316"/>
      <c r="S1561" s="404"/>
      <c r="T1561" s="404"/>
      <c r="U1561" s="404"/>
      <c r="V1561" s="404"/>
      <c r="W1561" s="316"/>
      <c r="X1561" s="316"/>
      <c r="Y1561" s="316"/>
      <c r="Z1561" s="316"/>
      <c r="AA1561" s="404"/>
      <c r="AB1561" s="404"/>
      <c r="AC1561" s="404"/>
      <c r="AD1561" s="404"/>
      <c r="AE1561" s="316"/>
      <c r="AF1561" s="316"/>
      <c r="AG1561" s="404"/>
      <c r="AH1561" s="316"/>
      <c r="AI1561" s="316"/>
      <c r="AJ1561" s="316"/>
      <c r="AK1561" s="316"/>
      <c r="AL1561" s="316"/>
      <c r="AM1561" s="416"/>
      <c r="AR1561" s="333"/>
      <c r="AS1561" s="333"/>
      <c r="AT1561" s="333"/>
      <c r="AU1561" s="333"/>
      <c r="AV1561" s="333"/>
    </row>
    <row r="1562" spans="2:48" s="330" customFormat="1" ht="28.15" customHeight="1" x14ac:dyDescent="0.25">
      <c r="B1562" s="331"/>
      <c r="C1562" s="332"/>
      <c r="D1562" s="332"/>
      <c r="E1562" s="333"/>
      <c r="F1562" s="333"/>
      <c r="R1562" s="316"/>
      <c r="S1562" s="404"/>
      <c r="T1562" s="404"/>
      <c r="U1562" s="404"/>
      <c r="V1562" s="404"/>
      <c r="W1562" s="316"/>
      <c r="X1562" s="316"/>
      <c r="Y1562" s="316"/>
      <c r="Z1562" s="316"/>
      <c r="AA1562" s="404"/>
      <c r="AB1562" s="404"/>
      <c r="AC1562" s="404"/>
      <c r="AD1562" s="404"/>
      <c r="AE1562" s="316"/>
      <c r="AF1562" s="316"/>
      <c r="AG1562" s="404"/>
      <c r="AH1562" s="316"/>
      <c r="AI1562" s="316"/>
      <c r="AJ1562" s="316"/>
      <c r="AK1562" s="316"/>
      <c r="AL1562" s="316"/>
      <c r="AM1562" s="416"/>
      <c r="AR1562" s="333"/>
      <c r="AS1562" s="333"/>
      <c r="AT1562" s="333"/>
      <c r="AU1562" s="333"/>
      <c r="AV1562" s="333"/>
    </row>
    <row r="1563" spans="2:48" s="330" customFormat="1" ht="28.15" customHeight="1" x14ac:dyDescent="0.25">
      <c r="B1563" s="331"/>
      <c r="C1563" s="332"/>
      <c r="D1563" s="332"/>
      <c r="E1563" s="333"/>
      <c r="F1563" s="333"/>
      <c r="R1563" s="316"/>
      <c r="S1563" s="404"/>
      <c r="T1563" s="404"/>
      <c r="U1563" s="404"/>
      <c r="V1563" s="404"/>
      <c r="W1563" s="316"/>
      <c r="X1563" s="316"/>
      <c r="Y1563" s="316"/>
      <c r="Z1563" s="316"/>
      <c r="AA1563" s="404"/>
      <c r="AB1563" s="404"/>
      <c r="AC1563" s="404"/>
      <c r="AD1563" s="404"/>
      <c r="AE1563" s="316"/>
      <c r="AF1563" s="316"/>
      <c r="AG1563" s="404"/>
      <c r="AH1563" s="316"/>
      <c r="AI1563" s="316"/>
      <c r="AJ1563" s="316"/>
      <c r="AK1563" s="316"/>
      <c r="AL1563" s="316"/>
      <c r="AM1563" s="416"/>
      <c r="AR1563" s="333"/>
      <c r="AS1563" s="333"/>
      <c r="AT1563" s="333"/>
      <c r="AU1563" s="333"/>
      <c r="AV1563" s="333"/>
    </row>
    <row r="1564" spans="2:48" s="330" customFormat="1" ht="28.15" customHeight="1" x14ac:dyDescent="0.25">
      <c r="B1564" s="331"/>
      <c r="C1564" s="332"/>
      <c r="D1564" s="332"/>
      <c r="E1564" s="333"/>
      <c r="F1564" s="333"/>
      <c r="R1564" s="316"/>
      <c r="S1564" s="404"/>
      <c r="T1564" s="404"/>
      <c r="U1564" s="404"/>
      <c r="V1564" s="404"/>
      <c r="W1564" s="316"/>
      <c r="X1564" s="316"/>
      <c r="Y1564" s="316"/>
      <c r="Z1564" s="316"/>
      <c r="AA1564" s="404"/>
      <c r="AB1564" s="404"/>
      <c r="AC1564" s="404"/>
      <c r="AD1564" s="404"/>
      <c r="AE1564" s="316"/>
      <c r="AF1564" s="316"/>
      <c r="AG1564" s="404"/>
      <c r="AH1564" s="316"/>
      <c r="AI1564" s="316"/>
      <c r="AJ1564" s="316"/>
      <c r="AK1564" s="316"/>
      <c r="AL1564" s="316"/>
      <c r="AM1564" s="416"/>
      <c r="AR1564" s="333"/>
      <c r="AS1564" s="333"/>
      <c r="AT1564" s="333"/>
      <c r="AU1564" s="333"/>
      <c r="AV1564" s="333"/>
    </row>
    <row r="1565" spans="2:48" s="330" customFormat="1" ht="28.15" customHeight="1" x14ac:dyDescent="0.25">
      <c r="B1565" s="331"/>
      <c r="C1565" s="332"/>
      <c r="D1565" s="332"/>
      <c r="E1565" s="333"/>
      <c r="F1565" s="333"/>
      <c r="R1565" s="316"/>
      <c r="S1565" s="404"/>
      <c r="T1565" s="404"/>
      <c r="U1565" s="404"/>
      <c r="V1565" s="404"/>
      <c r="W1565" s="316"/>
      <c r="X1565" s="316"/>
      <c r="Y1565" s="316"/>
      <c r="Z1565" s="316"/>
      <c r="AA1565" s="404"/>
      <c r="AB1565" s="404"/>
      <c r="AC1565" s="404"/>
      <c r="AD1565" s="404"/>
      <c r="AE1565" s="316"/>
      <c r="AF1565" s="316"/>
      <c r="AG1565" s="404"/>
      <c r="AH1565" s="316"/>
      <c r="AI1565" s="316"/>
      <c r="AJ1565" s="316"/>
      <c r="AK1565" s="316"/>
      <c r="AL1565" s="316"/>
      <c r="AM1565" s="416"/>
      <c r="AR1565" s="333"/>
      <c r="AS1565" s="333"/>
      <c r="AT1565" s="333"/>
      <c r="AU1565" s="333"/>
      <c r="AV1565" s="333"/>
    </row>
    <row r="1566" spans="2:48" s="330" customFormat="1" ht="28.15" customHeight="1" x14ac:dyDescent="0.25">
      <c r="B1566" s="331"/>
      <c r="C1566" s="332"/>
      <c r="D1566" s="332"/>
      <c r="E1566" s="333"/>
      <c r="F1566" s="333"/>
      <c r="R1566" s="316"/>
      <c r="S1566" s="404"/>
      <c r="T1566" s="404"/>
      <c r="U1566" s="404"/>
      <c r="V1566" s="404"/>
      <c r="W1566" s="316"/>
      <c r="X1566" s="316"/>
      <c r="Y1566" s="316"/>
      <c r="Z1566" s="316"/>
      <c r="AA1566" s="404"/>
      <c r="AB1566" s="404"/>
      <c r="AC1566" s="404"/>
      <c r="AD1566" s="404"/>
      <c r="AE1566" s="316"/>
      <c r="AF1566" s="316"/>
      <c r="AG1566" s="404"/>
      <c r="AH1566" s="316"/>
      <c r="AI1566" s="316"/>
      <c r="AJ1566" s="316"/>
      <c r="AK1566" s="316"/>
      <c r="AL1566" s="316"/>
      <c r="AM1566" s="416"/>
      <c r="AR1566" s="333"/>
      <c r="AS1566" s="333"/>
      <c r="AT1566" s="333"/>
      <c r="AU1566" s="333"/>
      <c r="AV1566" s="333"/>
    </row>
    <row r="1567" spans="2:48" s="330" customFormat="1" ht="28.15" customHeight="1" x14ac:dyDescent="0.25">
      <c r="B1567" s="331"/>
      <c r="C1567" s="332"/>
      <c r="D1567" s="332"/>
      <c r="E1567" s="333"/>
      <c r="F1567" s="333"/>
      <c r="R1567" s="316"/>
      <c r="S1567" s="404"/>
      <c r="T1567" s="404"/>
      <c r="U1567" s="404"/>
      <c r="V1567" s="404"/>
      <c r="W1567" s="316"/>
      <c r="X1567" s="316"/>
      <c r="Y1567" s="316"/>
      <c r="Z1567" s="316"/>
      <c r="AA1567" s="404"/>
      <c r="AB1567" s="404"/>
      <c r="AC1567" s="404"/>
      <c r="AD1567" s="404"/>
      <c r="AE1567" s="316"/>
      <c r="AF1567" s="316"/>
      <c r="AG1567" s="404"/>
      <c r="AH1567" s="316"/>
      <c r="AI1567" s="316"/>
      <c r="AJ1567" s="316"/>
      <c r="AK1567" s="316"/>
      <c r="AL1567" s="316"/>
      <c r="AM1567" s="416"/>
      <c r="AR1567" s="333"/>
      <c r="AS1567" s="333"/>
      <c r="AT1567" s="333"/>
      <c r="AU1567" s="333"/>
      <c r="AV1567" s="333"/>
    </row>
    <row r="1568" spans="2:48" s="330" customFormat="1" ht="28.15" customHeight="1" x14ac:dyDescent="0.25">
      <c r="B1568" s="331"/>
      <c r="C1568" s="332"/>
      <c r="D1568" s="332"/>
      <c r="E1568" s="333"/>
      <c r="F1568" s="333"/>
      <c r="R1568" s="316"/>
      <c r="S1568" s="404"/>
      <c r="T1568" s="404"/>
      <c r="U1568" s="404"/>
      <c r="V1568" s="404"/>
      <c r="W1568" s="316"/>
      <c r="X1568" s="316"/>
      <c r="Y1568" s="316"/>
      <c r="Z1568" s="316"/>
      <c r="AA1568" s="404"/>
      <c r="AB1568" s="404"/>
      <c r="AC1568" s="404"/>
      <c r="AD1568" s="404"/>
      <c r="AE1568" s="316"/>
      <c r="AF1568" s="316"/>
      <c r="AG1568" s="404"/>
      <c r="AH1568" s="316"/>
      <c r="AI1568" s="316"/>
      <c r="AJ1568" s="316"/>
      <c r="AK1568" s="316"/>
      <c r="AL1568" s="316"/>
      <c r="AM1568" s="416"/>
      <c r="AR1568" s="333"/>
      <c r="AS1568" s="333"/>
      <c r="AT1568" s="333"/>
      <c r="AU1568" s="333"/>
      <c r="AV1568" s="333"/>
    </row>
    <row r="1569" spans="2:48" s="330" customFormat="1" ht="28.15" customHeight="1" x14ac:dyDescent="0.25">
      <c r="B1569" s="331"/>
      <c r="C1569" s="332"/>
      <c r="D1569" s="332"/>
      <c r="E1569" s="333"/>
      <c r="F1569" s="333"/>
      <c r="R1569" s="316"/>
      <c r="S1569" s="404"/>
      <c r="T1569" s="404"/>
      <c r="U1569" s="404"/>
      <c r="V1569" s="404"/>
      <c r="W1569" s="316"/>
      <c r="X1569" s="316"/>
      <c r="Y1569" s="316"/>
      <c r="Z1569" s="316"/>
      <c r="AA1569" s="404"/>
      <c r="AB1569" s="404"/>
      <c r="AC1569" s="404"/>
      <c r="AD1569" s="404"/>
      <c r="AE1569" s="316"/>
      <c r="AF1569" s="316"/>
      <c r="AG1569" s="404"/>
      <c r="AH1569" s="316"/>
      <c r="AI1569" s="316"/>
      <c r="AJ1569" s="316"/>
      <c r="AK1569" s="316"/>
      <c r="AL1569" s="316"/>
      <c r="AM1569" s="416"/>
      <c r="AR1569" s="333"/>
      <c r="AS1569" s="333"/>
      <c r="AT1569" s="333"/>
      <c r="AU1569" s="333"/>
      <c r="AV1569" s="333"/>
    </row>
    <row r="1570" spans="2:48" s="330" customFormat="1" ht="28.15" customHeight="1" x14ac:dyDescent="0.25">
      <c r="B1570" s="331"/>
      <c r="C1570" s="332"/>
      <c r="D1570" s="332"/>
      <c r="E1570" s="333"/>
      <c r="F1570" s="333"/>
      <c r="R1570" s="316"/>
      <c r="S1570" s="404"/>
      <c r="T1570" s="404"/>
      <c r="U1570" s="404"/>
      <c r="V1570" s="404"/>
      <c r="W1570" s="316"/>
      <c r="X1570" s="316"/>
      <c r="Y1570" s="316"/>
      <c r="Z1570" s="316"/>
      <c r="AA1570" s="404"/>
      <c r="AB1570" s="404"/>
      <c r="AC1570" s="404"/>
      <c r="AD1570" s="404"/>
      <c r="AE1570" s="316"/>
      <c r="AF1570" s="316"/>
      <c r="AG1570" s="404"/>
      <c r="AH1570" s="316"/>
      <c r="AI1570" s="316"/>
      <c r="AJ1570" s="316"/>
      <c r="AK1570" s="316"/>
      <c r="AL1570" s="316"/>
      <c r="AM1570" s="416"/>
      <c r="AR1570" s="333"/>
      <c r="AS1570" s="333"/>
      <c r="AT1570" s="333"/>
      <c r="AU1570" s="333"/>
      <c r="AV1570" s="333"/>
    </row>
    <row r="1571" spans="2:48" s="330" customFormat="1" ht="28.15" customHeight="1" x14ac:dyDescent="0.25">
      <c r="B1571" s="331"/>
      <c r="C1571" s="332"/>
      <c r="D1571" s="332"/>
      <c r="E1571" s="333"/>
      <c r="F1571" s="333"/>
      <c r="R1571" s="316"/>
      <c r="S1571" s="404"/>
      <c r="T1571" s="404"/>
      <c r="U1571" s="404"/>
      <c r="V1571" s="404"/>
      <c r="W1571" s="316"/>
      <c r="X1571" s="316"/>
      <c r="Y1571" s="316"/>
      <c r="Z1571" s="316"/>
      <c r="AA1571" s="404"/>
      <c r="AB1571" s="404"/>
      <c r="AC1571" s="404"/>
      <c r="AD1571" s="404"/>
      <c r="AE1571" s="316"/>
      <c r="AF1571" s="316"/>
      <c r="AG1571" s="404"/>
      <c r="AH1571" s="316"/>
      <c r="AI1571" s="316"/>
      <c r="AJ1571" s="316"/>
      <c r="AK1571" s="316"/>
      <c r="AL1571" s="316"/>
      <c r="AM1571" s="416"/>
      <c r="AR1571" s="333"/>
      <c r="AS1571" s="333"/>
      <c r="AT1571" s="333"/>
      <c r="AU1571" s="333"/>
      <c r="AV1571" s="333"/>
    </row>
    <row r="1572" spans="2:48" s="330" customFormat="1" ht="28.15" customHeight="1" x14ac:dyDescent="0.25">
      <c r="B1572" s="331"/>
      <c r="C1572" s="332"/>
      <c r="D1572" s="332"/>
      <c r="E1572" s="333"/>
      <c r="F1572" s="333"/>
      <c r="R1572" s="316"/>
      <c r="S1572" s="404"/>
      <c r="T1572" s="404"/>
      <c r="U1572" s="404"/>
      <c r="V1572" s="404"/>
      <c r="W1572" s="316"/>
      <c r="X1572" s="316"/>
      <c r="Y1572" s="316"/>
      <c r="Z1572" s="316"/>
      <c r="AA1572" s="404"/>
      <c r="AB1572" s="404"/>
      <c r="AC1572" s="404"/>
      <c r="AD1572" s="404"/>
      <c r="AE1572" s="316"/>
      <c r="AF1572" s="316"/>
      <c r="AG1572" s="404"/>
      <c r="AH1572" s="316"/>
      <c r="AI1572" s="316"/>
      <c r="AJ1572" s="316"/>
      <c r="AK1572" s="316"/>
      <c r="AL1572" s="316"/>
      <c r="AM1572" s="416"/>
      <c r="AR1572" s="333"/>
      <c r="AS1572" s="333"/>
      <c r="AT1572" s="333"/>
      <c r="AU1572" s="333"/>
      <c r="AV1572" s="333"/>
    </row>
    <row r="1573" spans="2:48" s="330" customFormat="1" ht="28.15" customHeight="1" x14ac:dyDescent="0.25">
      <c r="B1573" s="331"/>
      <c r="C1573" s="332"/>
      <c r="D1573" s="332"/>
      <c r="E1573" s="333"/>
      <c r="F1573" s="333"/>
      <c r="R1573" s="316"/>
      <c r="S1573" s="404"/>
      <c r="T1573" s="404"/>
      <c r="U1573" s="404"/>
      <c r="V1573" s="404"/>
      <c r="W1573" s="316"/>
      <c r="X1573" s="316"/>
      <c r="Y1573" s="316"/>
      <c r="Z1573" s="316"/>
      <c r="AA1573" s="404"/>
      <c r="AB1573" s="404"/>
      <c r="AC1573" s="404"/>
      <c r="AD1573" s="404"/>
      <c r="AE1573" s="316"/>
      <c r="AF1573" s="316"/>
      <c r="AG1573" s="404"/>
      <c r="AH1573" s="316"/>
      <c r="AI1573" s="316"/>
      <c r="AJ1573" s="316"/>
      <c r="AK1573" s="316"/>
      <c r="AL1573" s="316"/>
      <c r="AM1573" s="416"/>
      <c r="AR1573" s="333"/>
      <c r="AS1573" s="333"/>
      <c r="AT1573" s="333"/>
      <c r="AU1573" s="333"/>
      <c r="AV1573" s="333"/>
    </row>
    <row r="1574" spans="2:48" s="330" customFormat="1" ht="28.15" customHeight="1" x14ac:dyDescent="0.25">
      <c r="B1574" s="331"/>
      <c r="C1574" s="332"/>
      <c r="D1574" s="332"/>
      <c r="E1574" s="333"/>
      <c r="F1574" s="333"/>
      <c r="R1574" s="316"/>
      <c r="S1574" s="404"/>
      <c r="T1574" s="404"/>
      <c r="U1574" s="404"/>
      <c r="V1574" s="404"/>
      <c r="W1574" s="316"/>
      <c r="X1574" s="316"/>
      <c r="Y1574" s="316"/>
      <c r="Z1574" s="316"/>
      <c r="AA1574" s="404"/>
      <c r="AB1574" s="404"/>
      <c r="AC1574" s="404"/>
      <c r="AD1574" s="404"/>
      <c r="AE1574" s="316"/>
      <c r="AF1574" s="316"/>
      <c r="AG1574" s="404"/>
      <c r="AH1574" s="316"/>
      <c r="AI1574" s="316"/>
      <c r="AJ1574" s="316"/>
      <c r="AK1574" s="316"/>
      <c r="AL1574" s="316"/>
      <c r="AM1574" s="416"/>
      <c r="AR1574" s="333"/>
      <c r="AS1574" s="333"/>
      <c r="AT1574" s="333"/>
      <c r="AU1574" s="333"/>
      <c r="AV1574" s="333"/>
    </row>
    <row r="1575" spans="2:48" s="330" customFormat="1" ht="28.15" customHeight="1" x14ac:dyDescent="0.25">
      <c r="B1575" s="331"/>
      <c r="C1575" s="332"/>
      <c r="D1575" s="332"/>
      <c r="E1575" s="333"/>
      <c r="F1575" s="333"/>
      <c r="R1575" s="316"/>
      <c r="S1575" s="404"/>
      <c r="T1575" s="404"/>
      <c r="U1575" s="404"/>
      <c r="V1575" s="404"/>
      <c r="W1575" s="316"/>
      <c r="X1575" s="316"/>
      <c r="Y1575" s="316"/>
      <c r="Z1575" s="316"/>
      <c r="AA1575" s="404"/>
      <c r="AB1575" s="404"/>
      <c r="AC1575" s="404"/>
      <c r="AD1575" s="404"/>
      <c r="AE1575" s="316"/>
      <c r="AF1575" s="316"/>
      <c r="AG1575" s="404"/>
      <c r="AH1575" s="316"/>
      <c r="AI1575" s="316"/>
      <c r="AJ1575" s="316"/>
      <c r="AK1575" s="316"/>
      <c r="AL1575" s="316"/>
      <c r="AM1575" s="416"/>
      <c r="AR1575" s="333"/>
      <c r="AS1575" s="333"/>
      <c r="AT1575" s="333"/>
      <c r="AU1575" s="333"/>
      <c r="AV1575" s="333"/>
    </row>
    <row r="1576" spans="2:48" s="330" customFormat="1" ht="28.15" customHeight="1" x14ac:dyDescent="0.25">
      <c r="B1576" s="331"/>
      <c r="C1576" s="332"/>
      <c r="D1576" s="332"/>
      <c r="E1576" s="333"/>
      <c r="F1576" s="333"/>
      <c r="R1576" s="316"/>
      <c r="S1576" s="404"/>
      <c r="T1576" s="404"/>
      <c r="U1576" s="404"/>
      <c r="V1576" s="404"/>
      <c r="W1576" s="316"/>
      <c r="X1576" s="316"/>
      <c r="Y1576" s="316"/>
      <c r="Z1576" s="316"/>
      <c r="AA1576" s="404"/>
      <c r="AB1576" s="404"/>
      <c r="AC1576" s="404"/>
      <c r="AD1576" s="404"/>
      <c r="AE1576" s="316"/>
      <c r="AF1576" s="316"/>
      <c r="AG1576" s="404"/>
      <c r="AH1576" s="316"/>
      <c r="AI1576" s="316"/>
      <c r="AJ1576" s="316"/>
      <c r="AK1576" s="316"/>
      <c r="AL1576" s="316"/>
      <c r="AM1576" s="416"/>
      <c r="AR1576" s="333"/>
      <c r="AS1576" s="333"/>
      <c r="AT1576" s="333"/>
      <c r="AU1576" s="333"/>
      <c r="AV1576" s="333"/>
    </row>
    <row r="1577" spans="2:48" s="330" customFormat="1" ht="28.15" customHeight="1" x14ac:dyDescent="0.25">
      <c r="B1577" s="331"/>
      <c r="C1577" s="332"/>
      <c r="D1577" s="332"/>
      <c r="E1577" s="333"/>
      <c r="F1577" s="333"/>
      <c r="R1577" s="316"/>
      <c r="S1577" s="404"/>
      <c r="T1577" s="404"/>
      <c r="U1577" s="404"/>
      <c r="V1577" s="404"/>
      <c r="W1577" s="316"/>
      <c r="X1577" s="316"/>
      <c r="Y1577" s="316"/>
      <c r="Z1577" s="316"/>
      <c r="AA1577" s="404"/>
      <c r="AB1577" s="404"/>
      <c r="AC1577" s="404"/>
      <c r="AD1577" s="404"/>
      <c r="AE1577" s="316"/>
      <c r="AF1577" s="316"/>
      <c r="AG1577" s="404"/>
      <c r="AH1577" s="316"/>
      <c r="AI1577" s="316"/>
      <c r="AJ1577" s="316"/>
      <c r="AK1577" s="316"/>
      <c r="AL1577" s="316"/>
      <c r="AM1577" s="416"/>
      <c r="AR1577" s="333"/>
      <c r="AS1577" s="333"/>
      <c r="AT1577" s="333"/>
      <c r="AU1577" s="333"/>
      <c r="AV1577" s="333"/>
    </row>
    <row r="1578" spans="2:48" s="330" customFormat="1" ht="28.15" customHeight="1" x14ac:dyDescent="0.25">
      <c r="B1578" s="331"/>
      <c r="C1578" s="332"/>
      <c r="D1578" s="332"/>
      <c r="E1578" s="333"/>
      <c r="F1578" s="333"/>
      <c r="R1578" s="316"/>
      <c r="S1578" s="404"/>
      <c r="T1578" s="404"/>
      <c r="U1578" s="404"/>
      <c r="V1578" s="404"/>
      <c r="W1578" s="316"/>
      <c r="X1578" s="316"/>
      <c r="Y1578" s="316"/>
      <c r="Z1578" s="316"/>
      <c r="AA1578" s="404"/>
      <c r="AB1578" s="404"/>
      <c r="AC1578" s="404"/>
      <c r="AD1578" s="404"/>
      <c r="AE1578" s="316"/>
      <c r="AF1578" s="316"/>
      <c r="AG1578" s="404"/>
      <c r="AH1578" s="316"/>
      <c r="AI1578" s="316"/>
      <c r="AJ1578" s="316"/>
      <c r="AK1578" s="316"/>
      <c r="AL1578" s="316"/>
      <c r="AM1578" s="416"/>
      <c r="AR1578" s="333"/>
      <c r="AS1578" s="333"/>
      <c r="AT1578" s="333"/>
      <c r="AU1578" s="333"/>
      <c r="AV1578" s="333"/>
    </row>
    <row r="1579" spans="2:48" s="330" customFormat="1" ht="28.15" customHeight="1" x14ac:dyDescent="0.25">
      <c r="B1579" s="331"/>
      <c r="C1579" s="332"/>
      <c r="D1579" s="332"/>
      <c r="E1579" s="333"/>
      <c r="F1579" s="333"/>
      <c r="R1579" s="316"/>
      <c r="S1579" s="404"/>
      <c r="T1579" s="404"/>
      <c r="U1579" s="404"/>
      <c r="V1579" s="404"/>
      <c r="W1579" s="316"/>
      <c r="X1579" s="316"/>
      <c r="Y1579" s="316"/>
      <c r="Z1579" s="316"/>
      <c r="AA1579" s="404"/>
      <c r="AB1579" s="404"/>
      <c r="AC1579" s="404"/>
      <c r="AD1579" s="404"/>
      <c r="AE1579" s="316"/>
      <c r="AF1579" s="316"/>
      <c r="AG1579" s="404"/>
      <c r="AH1579" s="316"/>
      <c r="AI1579" s="316"/>
      <c r="AJ1579" s="316"/>
      <c r="AK1579" s="316"/>
      <c r="AL1579" s="316"/>
      <c r="AM1579" s="416"/>
      <c r="AR1579" s="333"/>
      <c r="AS1579" s="333"/>
      <c r="AT1579" s="333"/>
      <c r="AU1579" s="333"/>
      <c r="AV1579" s="333"/>
    </row>
    <row r="1580" spans="2:48" s="330" customFormat="1" ht="28.15" customHeight="1" x14ac:dyDescent="0.25">
      <c r="B1580" s="331"/>
      <c r="C1580" s="332"/>
      <c r="D1580" s="332"/>
      <c r="E1580" s="333"/>
      <c r="F1580" s="333"/>
      <c r="R1580" s="316"/>
      <c r="S1580" s="404"/>
      <c r="T1580" s="404"/>
      <c r="U1580" s="404"/>
      <c r="V1580" s="404"/>
      <c r="W1580" s="316"/>
      <c r="X1580" s="316"/>
      <c r="Y1580" s="316"/>
      <c r="Z1580" s="316"/>
      <c r="AA1580" s="404"/>
      <c r="AB1580" s="404"/>
      <c r="AC1580" s="404"/>
      <c r="AD1580" s="404"/>
      <c r="AE1580" s="316"/>
      <c r="AF1580" s="316"/>
      <c r="AG1580" s="404"/>
      <c r="AH1580" s="316"/>
      <c r="AI1580" s="316"/>
      <c r="AJ1580" s="316"/>
      <c r="AK1580" s="316"/>
      <c r="AL1580" s="316"/>
      <c r="AM1580" s="416"/>
      <c r="AR1580" s="333"/>
      <c r="AS1580" s="333"/>
      <c r="AT1580" s="333"/>
      <c r="AU1580" s="333"/>
      <c r="AV1580" s="333"/>
    </row>
    <row r="1581" spans="2:48" s="330" customFormat="1" ht="28.15" customHeight="1" x14ac:dyDescent="0.25">
      <c r="B1581" s="331"/>
      <c r="C1581" s="332"/>
      <c r="D1581" s="332"/>
      <c r="E1581" s="333"/>
      <c r="F1581" s="333"/>
      <c r="R1581" s="316"/>
      <c r="S1581" s="404"/>
      <c r="T1581" s="404"/>
      <c r="U1581" s="404"/>
      <c r="V1581" s="404"/>
      <c r="W1581" s="316"/>
      <c r="X1581" s="316"/>
      <c r="Y1581" s="316"/>
      <c r="Z1581" s="316"/>
      <c r="AA1581" s="404"/>
      <c r="AB1581" s="404"/>
      <c r="AC1581" s="404"/>
      <c r="AD1581" s="404"/>
      <c r="AE1581" s="316"/>
      <c r="AF1581" s="316"/>
      <c r="AG1581" s="404"/>
      <c r="AH1581" s="316"/>
      <c r="AI1581" s="316"/>
      <c r="AJ1581" s="316"/>
      <c r="AK1581" s="316"/>
      <c r="AL1581" s="316"/>
      <c r="AM1581" s="416"/>
      <c r="AR1581" s="333"/>
      <c r="AS1581" s="333"/>
      <c r="AT1581" s="333"/>
      <c r="AU1581" s="333"/>
      <c r="AV1581" s="333"/>
    </row>
    <row r="1582" spans="2:48" s="330" customFormat="1" ht="28.15" customHeight="1" x14ac:dyDescent="0.25">
      <c r="B1582" s="331"/>
      <c r="C1582" s="332"/>
      <c r="D1582" s="332"/>
      <c r="E1582" s="333"/>
      <c r="F1582" s="333"/>
      <c r="R1582" s="316"/>
      <c r="S1582" s="404"/>
      <c r="T1582" s="404"/>
      <c r="U1582" s="404"/>
      <c r="V1582" s="404"/>
      <c r="W1582" s="316"/>
      <c r="X1582" s="316"/>
      <c r="Y1582" s="316"/>
      <c r="Z1582" s="316"/>
      <c r="AA1582" s="404"/>
      <c r="AB1582" s="404"/>
      <c r="AC1582" s="404"/>
      <c r="AD1582" s="404"/>
      <c r="AE1582" s="316"/>
      <c r="AF1582" s="316"/>
      <c r="AG1582" s="404"/>
      <c r="AH1582" s="316"/>
      <c r="AI1582" s="316"/>
      <c r="AJ1582" s="316"/>
      <c r="AK1582" s="316"/>
      <c r="AL1582" s="316"/>
      <c r="AM1582" s="416"/>
      <c r="AR1582" s="333"/>
      <c r="AS1582" s="333"/>
      <c r="AT1582" s="333"/>
      <c r="AU1582" s="333"/>
      <c r="AV1582" s="333"/>
    </row>
    <row r="1583" spans="2:48" s="330" customFormat="1" ht="28.15" customHeight="1" x14ac:dyDescent="0.25">
      <c r="B1583" s="331"/>
      <c r="C1583" s="332"/>
      <c r="D1583" s="332"/>
      <c r="E1583" s="333"/>
      <c r="F1583" s="333"/>
      <c r="R1583" s="316"/>
      <c r="S1583" s="404"/>
      <c r="T1583" s="404"/>
      <c r="U1583" s="404"/>
      <c r="V1583" s="404"/>
      <c r="W1583" s="316"/>
      <c r="X1583" s="316"/>
      <c r="Y1583" s="316"/>
      <c r="Z1583" s="316"/>
      <c r="AA1583" s="404"/>
      <c r="AB1583" s="404"/>
      <c r="AC1583" s="404"/>
      <c r="AD1583" s="404"/>
      <c r="AE1583" s="316"/>
      <c r="AF1583" s="316"/>
      <c r="AG1583" s="404"/>
      <c r="AH1583" s="316"/>
      <c r="AI1583" s="316"/>
      <c r="AJ1583" s="316"/>
      <c r="AK1583" s="316"/>
      <c r="AL1583" s="316"/>
      <c r="AM1583" s="416"/>
      <c r="AR1583" s="333"/>
      <c r="AS1583" s="333"/>
      <c r="AT1583" s="333"/>
      <c r="AU1583" s="333"/>
      <c r="AV1583" s="333"/>
    </row>
    <row r="1584" spans="2:48" s="330" customFormat="1" ht="28.15" customHeight="1" x14ac:dyDescent="0.25">
      <c r="B1584" s="331"/>
      <c r="C1584" s="332"/>
      <c r="D1584" s="332"/>
      <c r="E1584" s="333"/>
      <c r="F1584" s="333"/>
      <c r="R1584" s="316"/>
      <c r="S1584" s="404"/>
      <c r="T1584" s="404"/>
      <c r="U1584" s="404"/>
      <c r="V1584" s="404"/>
      <c r="W1584" s="316"/>
      <c r="X1584" s="316"/>
      <c r="Y1584" s="316"/>
      <c r="Z1584" s="316"/>
      <c r="AA1584" s="404"/>
      <c r="AB1584" s="404"/>
      <c r="AC1584" s="404"/>
      <c r="AD1584" s="404"/>
      <c r="AE1584" s="316"/>
      <c r="AF1584" s="316"/>
      <c r="AG1584" s="404"/>
      <c r="AH1584" s="316"/>
      <c r="AI1584" s="316"/>
      <c r="AJ1584" s="316"/>
      <c r="AK1584" s="316"/>
      <c r="AL1584" s="316"/>
      <c r="AM1584" s="416"/>
      <c r="AR1584" s="333"/>
      <c r="AS1584" s="333"/>
      <c r="AT1584" s="333"/>
      <c r="AU1584" s="333"/>
      <c r="AV1584" s="333"/>
    </row>
    <row r="1585" spans="2:48" s="330" customFormat="1" ht="28.15" customHeight="1" x14ac:dyDescent="0.25">
      <c r="B1585" s="331"/>
      <c r="C1585" s="332"/>
      <c r="D1585" s="332"/>
      <c r="E1585" s="333"/>
      <c r="F1585" s="333"/>
      <c r="R1585" s="316"/>
      <c r="S1585" s="404"/>
      <c r="T1585" s="404"/>
      <c r="U1585" s="404"/>
      <c r="V1585" s="404"/>
      <c r="W1585" s="316"/>
      <c r="X1585" s="316"/>
      <c r="Y1585" s="316"/>
      <c r="Z1585" s="316"/>
      <c r="AA1585" s="404"/>
      <c r="AB1585" s="404"/>
      <c r="AC1585" s="404"/>
      <c r="AD1585" s="404"/>
      <c r="AE1585" s="316"/>
      <c r="AF1585" s="316"/>
      <c r="AG1585" s="404"/>
      <c r="AH1585" s="316"/>
      <c r="AI1585" s="316"/>
      <c r="AJ1585" s="316"/>
      <c r="AK1585" s="316"/>
      <c r="AL1585" s="316"/>
      <c r="AM1585" s="416"/>
      <c r="AR1585" s="333"/>
      <c r="AS1585" s="333"/>
      <c r="AT1585" s="333"/>
      <c r="AU1585" s="333"/>
      <c r="AV1585" s="333"/>
    </row>
    <row r="1586" spans="2:48" s="330" customFormat="1" ht="28.15" customHeight="1" x14ac:dyDescent="0.25">
      <c r="B1586" s="331"/>
      <c r="C1586" s="332"/>
      <c r="D1586" s="332"/>
      <c r="E1586" s="333"/>
      <c r="F1586" s="333"/>
      <c r="R1586" s="316"/>
      <c r="S1586" s="404"/>
      <c r="T1586" s="404"/>
      <c r="U1586" s="404"/>
      <c r="V1586" s="404"/>
      <c r="W1586" s="316"/>
      <c r="X1586" s="316"/>
      <c r="Y1586" s="316"/>
      <c r="Z1586" s="316"/>
      <c r="AA1586" s="404"/>
      <c r="AB1586" s="404"/>
      <c r="AC1586" s="404"/>
      <c r="AD1586" s="404"/>
      <c r="AE1586" s="316"/>
      <c r="AF1586" s="316"/>
      <c r="AG1586" s="404"/>
      <c r="AH1586" s="316"/>
      <c r="AI1586" s="316"/>
      <c r="AJ1586" s="316"/>
      <c r="AK1586" s="316"/>
      <c r="AL1586" s="316"/>
      <c r="AM1586" s="416"/>
      <c r="AR1586" s="333"/>
      <c r="AS1586" s="333"/>
      <c r="AT1586" s="333"/>
      <c r="AU1586" s="333"/>
      <c r="AV1586" s="333"/>
    </row>
    <row r="1587" spans="2:48" s="330" customFormat="1" ht="28.15" customHeight="1" x14ac:dyDescent="0.25">
      <c r="B1587" s="331"/>
      <c r="C1587" s="332"/>
      <c r="D1587" s="332"/>
      <c r="E1587" s="333"/>
      <c r="F1587" s="333"/>
      <c r="R1587" s="316"/>
      <c r="S1587" s="404"/>
      <c r="T1587" s="404"/>
      <c r="U1587" s="404"/>
      <c r="V1587" s="404"/>
      <c r="W1587" s="316"/>
      <c r="X1587" s="316"/>
      <c r="Y1587" s="316"/>
      <c r="Z1587" s="316"/>
      <c r="AA1587" s="404"/>
      <c r="AB1587" s="404"/>
      <c r="AC1587" s="404"/>
      <c r="AD1587" s="404"/>
      <c r="AE1587" s="316"/>
      <c r="AF1587" s="316"/>
      <c r="AG1587" s="404"/>
      <c r="AH1587" s="316"/>
      <c r="AI1587" s="316"/>
      <c r="AJ1587" s="316"/>
      <c r="AK1587" s="316"/>
      <c r="AL1587" s="316"/>
      <c r="AM1587" s="416"/>
      <c r="AR1587" s="333"/>
      <c r="AS1587" s="333"/>
      <c r="AT1587" s="333"/>
      <c r="AU1587" s="333"/>
      <c r="AV1587" s="333"/>
    </row>
    <row r="1588" spans="2:48" s="330" customFormat="1" ht="28.15" customHeight="1" x14ac:dyDescent="0.25">
      <c r="B1588" s="331"/>
      <c r="C1588" s="332"/>
      <c r="D1588" s="332"/>
      <c r="E1588" s="333"/>
      <c r="F1588" s="333"/>
      <c r="R1588" s="316"/>
      <c r="S1588" s="404"/>
      <c r="T1588" s="404"/>
      <c r="U1588" s="404"/>
      <c r="V1588" s="404"/>
      <c r="W1588" s="316"/>
      <c r="X1588" s="316"/>
      <c r="Y1588" s="316"/>
      <c r="Z1588" s="316"/>
      <c r="AA1588" s="404"/>
      <c r="AB1588" s="404"/>
      <c r="AC1588" s="404"/>
      <c r="AD1588" s="404"/>
      <c r="AE1588" s="316"/>
      <c r="AF1588" s="316"/>
      <c r="AG1588" s="404"/>
      <c r="AH1588" s="316"/>
      <c r="AI1588" s="316"/>
      <c r="AJ1588" s="316"/>
      <c r="AK1588" s="316"/>
      <c r="AL1588" s="316"/>
      <c r="AM1588" s="416"/>
      <c r="AR1588" s="333"/>
      <c r="AS1588" s="333"/>
      <c r="AT1588" s="333"/>
      <c r="AU1588" s="333"/>
      <c r="AV1588" s="333"/>
    </row>
    <row r="1589" spans="2:48" s="330" customFormat="1" ht="28.15" customHeight="1" x14ac:dyDescent="0.25">
      <c r="B1589" s="331"/>
      <c r="C1589" s="332"/>
      <c r="D1589" s="332"/>
      <c r="E1589" s="333"/>
      <c r="F1589" s="333"/>
      <c r="R1589" s="316"/>
      <c r="S1589" s="404"/>
      <c r="T1589" s="404"/>
      <c r="U1589" s="404"/>
      <c r="V1589" s="404"/>
      <c r="W1589" s="316"/>
      <c r="X1589" s="316"/>
      <c r="Y1589" s="316"/>
      <c r="Z1589" s="316"/>
      <c r="AA1589" s="404"/>
      <c r="AB1589" s="404"/>
      <c r="AC1589" s="404"/>
      <c r="AD1589" s="404"/>
      <c r="AE1589" s="316"/>
      <c r="AF1589" s="316"/>
      <c r="AG1589" s="404"/>
      <c r="AH1589" s="316"/>
      <c r="AI1589" s="316"/>
      <c r="AJ1589" s="316"/>
      <c r="AK1589" s="316"/>
      <c r="AL1589" s="316"/>
      <c r="AM1589" s="416"/>
      <c r="AR1589" s="333"/>
      <c r="AS1589" s="333"/>
      <c r="AT1589" s="333"/>
      <c r="AU1589" s="333"/>
      <c r="AV1589" s="333"/>
    </row>
    <row r="1590" spans="2:48" s="330" customFormat="1" ht="28.15" customHeight="1" x14ac:dyDescent="0.25">
      <c r="B1590" s="331"/>
      <c r="C1590" s="332"/>
      <c r="D1590" s="332"/>
      <c r="E1590" s="333"/>
      <c r="F1590" s="333"/>
      <c r="R1590" s="316"/>
      <c r="S1590" s="404"/>
      <c r="T1590" s="404"/>
      <c r="U1590" s="404"/>
      <c r="V1590" s="404"/>
      <c r="W1590" s="316"/>
      <c r="X1590" s="316"/>
      <c r="Y1590" s="316"/>
      <c r="Z1590" s="316"/>
      <c r="AA1590" s="404"/>
      <c r="AB1590" s="404"/>
      <c r="AC1590" s="404"/>
      <c r="AD1590" s="404"/>
      <c r="AE1590" s="316"/>
      <c r="AF1590" s="316"/>
      <c r="AG1590" s="404"/>
      <c r="AH1590" s="316"/>
      <c r="AI1590" s="316"/>
      <c r="AJ1590" s="316"/>
      <c r="AK1590" s="316"/>
      <c r="AL1590" s="316"/>
      <c r="AM1590" s="416"/>
      <c r="AR1590" s="333"/>
      <c r="AS1590" s="333"/>
      <c r="AT1590" s="333"/>
      <c r="AU1590" s="333"/>
      <c r="AV1590" s="333"/>
    </row>
    <row r="1591" spans="2:48" s="330" customFormat="1" ht="28.15" customHeight="1" x14ac:dyDescent="0.25">
      <c r="B1591" s="331"/>
      <c r="C1591" s="332"/>
      <c r="D1591" s="332"/>
      <c r="E1591" s="333"/>
      <c r="F1591" s="333"/>
      <c r="R1591" s="316"/>
      <c r="S1591" s="404"/>
      <c r="T1591" s="404"/>
      <c r="U1591" s="404"/>
      <c r="V1591" s="404"/>
      <c r="W1591" s="316"/>
      <c r="X1591" s="316"/>
      <c r="Y1591" s="316"/>
      <c r="Z1591" s="316"/>
      <c r="AA1591" s="404"/>
      <c r="AB1591" s="404"/>
      <c r="AC1591" s="404"/>
      <c r="AD1591" s="404"/>
      <c r="AE1591" s="316"/>
      <c r="AF1591" s="316"/>
      <c r="AG1591" s="404"/>
      <c r="AH1591" s="316"/>
      <c r="AI1591" s="316"/>
      <c r="AJ1591" s="316"/>
      <c r="AK1591" s="316"/>
      <c r="AL1591" s="316"/>
      <c r="AM1591" s="416"/>
      <c r="AR1591" s="333"/>
      <c r="AS1591" s="333"/>
      <c r="AT1591" s="333"/>
      <c r="AU1591" s="333"/>
      <c r="AV1591" s="333"/>
    </row>
    <row r="1592" spans="2:48" s="330" customFormat="1" ht="28.15" customHeight="1" x14ac:dyDescent="0.25">
      <c r="B1592" s="331"/>
      <c r="C1592" s="332"/>
      <c r="D1592" s="332"/>
      <c r="E1592" s="333"/>
      <c r="F1592" s="333"/>
      <c r="R1592" s="316"/>
      <c r="S1592" s="404"/>
      <c r="T1592" s="404"/>
      <c r="U1592" s="404"/>
      <c r="V1592" s="404"/>
      <c r="W1592" s="316"/>
      <c r="X1592" s="316"/>
      <c r="Y1592" s="316"/>
      <c r="Z1592" s="316"/>
      <c r="AA1592" s="404"/>
      <c r="AB1592" s="404"/>
      <c r="AC1592" s="404"/>
      <c r="AD1592" s="404"/>
      <c r="AE1592" s="316"/>
      <c r="AF1592" s="316"/>
      <c r="AG1592" s="404"/>
      <c r="AH1592" s="316"/>
      <c r="AI1592" s="316"/>
      <c r="AJ1592" s="316"/>
      <c r="AK1592" s="316"/>
      <c r="AL1592" s="316"/>
      <c r="AM1592" s="416"/>
      <c r="AR1592" s="333"/>
      <c r="AS1592" s="333"/>
      <c r="AT1592" s="333"/>
      <c r="AU1592" s="333"/>
      <c r="AV1592" s="333"/>
    </row>
    <row r="1593" spans="2:48" s="330" customFormat="1" ht="28.15" customHeight="1" x14ac:dyDescent="0.25">
      <c r="B1593" s="331"/>
      <c r="C1593" s="332"/>
      <c r="D1593" s="332"/>
      <c r="E1593" s="333"/>
      <c r="F1593" s="333"/>
      <c r="R1593" s="316"/>
      <c r="S1593" s="404"/>
      <c r="T1593" s="404"/>
      <c r="U1593" s="404"/>
      <c r="V1593" s="404"/>
      <c r="W1593" s="316"/>
      <c r="X1593" s="316"/>
      <c r="Y1593" s="316"/>
      <c r="Z1593" s="316"/>
      <c r="AA1593" s="404"/>
      <c r="AB1593" s="404"/>
      <c r="AC1593" s="404"/>
      <c r="AD1593" s="404"/>
      <c r="AE1593" s="316"/>
      <c r="AF1593" s="316"/>
      <c r="AG1593" s="404"/>
      <c r="AH1593" s="316"/>
      <c r="AI1593" s="316"/>
      <c r="AJ1593" s="316"/>
      <c r="AK1593" s="316"/>
      <c r="AL1593" s="316"/>
      <c r="AM1593" s="416"/>
      <c r="AR1593" s="333"/>
      <c r="AS1593" s="333"/>
      <c r="AT1593" s="333"/>
      <c r="AU1593" s="333"/>
      <c r="AV1593" s="333"/>
    </row>
    <row r="1594" spans="2:48" s="330" customFormat="1" ht="28.15" customHeight="1" x14ac:dyDescent="0.25">
      <c r="B1594" s="331"/>
      <c r="C1594" s="332"/>
      <c r="D1594" s="332"/>
      <c r="E1594" s="333"/>
      <c r="F1594" s="333"/>
      <c r="R1594" s="316"/>
      <c r="S1594" s="404"/>
      <c r="T1594" s="404"/>
      <c r="U1594" s="404"/>
      <c r="V1594" s="404"/>
      <c r="W1594" s="316"/>
      <c r="X1594" s="316"/>
      <c r="Y1594" s="316"/>
      <c r="Z1594" s="316"/>
      <c r="AA1594" s="404"/>
      <c r="AB1594" s="404"/>
      <c r="AC1594" s="404"/>
      <c r="AD1594" s="404"/>
      <c r="AE1594" s="316"/>
      <c r="AF1594" s="316"/>
      <c r="AG1594" s="404"/>
      <c r="AH1594" s="316"/>
      <c r="AI1594" s="316"/>
      <c r="AJ1594" s="316"/>
      <c r="AK1594" s="316"/>
      <c r="AL1594" s="316"/>
      <c r="AM1594" s="416"/>
      <c r="AR1594" s="333"/>
      <c r="AS1594" s="333"/>
      <c r="AT1594" s="333"/>
      <c r="AU1594" s="333"/>
      <c r="AV1594" s="333"/>
    </row>
    <row r="1595" spans="2:48" s="330" customFormat="1" ht="28.15" customHeight="1" x14ac:dyDescent="0.25">
      <c r="B1595" s="331"/>
      <c r="C1595" s="332"/>
      <c r="D1595" s="332"/>
      <c r="E1595" s="333"/>
      <c r="F1595" s="333"/>
      <c r="R1595" s="316"/>
      <c r="S1595" s="404"/>
      <c r="T1595" s="404"/>
      <c r="U1595" s="404"/>
      <c r="V1595" s="404"/>
      <c r="W1595" s="316"/>
      <c r="X1595" s="316"/>
      <c r="Y1595" s="316"/>
      <c r="Z1595" s="316"/>
      <c r="AA1595" s="404"/>
      <c r="AB1595" s="404"/>
      <c r="AC1595" s="404"/>
      <c r="AD1595" s="404"/>
      <c r="AE1595" s="316"/>
      <c r="AF1595" s="316"/>
      <c r="AG1595" s="404"/>
      <c r="AH1595" s="316"/>
      <c r="AI1595" s="316"/>
      <c r="AJ1595" s="316"/>
      <c r="AK1595" s="316"/>
      <c r="AL1595" s="316"/>
      <c r="AM1595" s="416"/>
      <c r="AR1595" s="333"/>
      <c r="AS1595" s="333"/>
      <c r="AT1595" s="333"/>
      <c r="AU1595" s="333"/>
      <c r="AV1595" s="333"/>
    </row>
    <row r="1596" spans="2:48" s="330" customFormat="1" ht="28.15" customHeight="1" x14ac:dyDescent="0.25">
      <c r="B1596" s="331"/>
      <c r="C1596" s="332"/>
      <c r="D1596" s="332"/>
      <c r="E1596" s="333"/>
      <c r="F1596" s="333"/>
      <c r="R1596" s="316"/>
      <c r="S1596" s="404"/>
      <c r="T1596" s="404"/>
      <c r="U1596" s="404"/>
      <c r="V1596" s="404"/>
      <c r="W1596" s="316"/>
      <c r="X1596" s="316"/>
      <c r="Y1596" s="316"/>
      <c r="Z1596" s="316"/>
      <c r="AA1596" s="404"/>
      <c r="AB1596" s="404"/>
      <c r="AC1596" s="404"/>
      <c r="AD1596" s="404"/>
      <c r="AE1596" s="316"/>
      <c r="AF1596" s="316"/>
      <c r="AG1596" s="404"/>
      <c r="AH1596" s="316"/>
      <c r="AI1596" s="316"/>
      <c r="AJ1596" s="316"/>
      <c r="AK1596" s="316"/>
      <c r="AL1596" s="316"/>
      <c r="AM1596" s="416"/>
      <c r="AR1596" s="333"/>
      <c r="AS1596" s="333"/>
      <c r="AT1596" s="333"/>
      <c r="AU1596" s="333"/>
      <c r="AV1596" s="333"/>
    </row>
    <row r="1597" spans="2:48" s="330" customFormat="1" ht="28.15" customHeight="1" x14ac:dyDescent="0.25">
      <c r="B1597" s="331"/>
      <c r="C1597" s="332"/>
      <c r="D1597" s="332"/>
      <c r="E1597" s="333"/>
      <c r="F1597" s="333"/>
      <c r="R1597" s="316"/>
      <c r="S1597" s="404"/>
      <c r="T1597" s="404"/>
      <c r="U1597" s="404"/>
      <c r="V1597" s="404"/>
      <c r="W1597" s="316"/>
      <c r="X1597" s="316"/>
      <c r="Y1597" s="316"/>
      <c r="Z1597" s="316"/>
      <c r="AA1597" s="404"/>
      <c r="AB1597" s="404"/>
      <c r="AC1597" s="404"/>
      <c r="AD1597" s="404"/>
      <c r="AE1597" s="316"/>
      <c r="AF1597" s="316"/>
      <c r="AG1597" s="404"/>
      <c r="AH1597" s="316"/>
      <c r="AI1597" s="316"/>
      <c r="AJ1597" s="316"/>
      <c r="AK1597" s="316"/>
      <c r="AL1597" s="316"/>
      <c r="AM1597" s="416"/>
      <c r="AR1597" s="333"/>
      <c r="AS1597" s="333"/>
      <c r="AT1597" s="333"/>
      <c r="AU1597" s="333"/>
      <c r="AV1597" s="333"/>
    </row>
    <row r="1598" spans="2:48" s="330" customFormat="1" ht="28.15" customHeight="1" x14ac:dyDescent="0.25">
      <c r="B1598" s="331"/>
      <c r="C1598" s="332"/>
      <c r="D1598" s="332"/>
      <c r="E1598" s="333"/>
      <c r="F1598" s="333"/>
      <c r="R1598" s="316"/>
      <c r="S1598" s="404"/>
      <c r="T1598" s="404"/>
      <c r="U1598" s="404"/>
      <c r="V1598" s="404"/>
      <c r="W1598" s="316"/>
      <c r="X1598" s="316"/>
      <c r="Y1598" s="316"/>
      <c r="Z1598" s="316"/>
      <c r="AA1598" s="404"/>
      <c r="AB1598" s="404"/>
      <c r="AC1598" s="404"/>
      <c r="AD1598" s="404"/>
      <c r="AE1598" s="316"/>
      <c r="AF1598" s="316"/>
      <c r="AG1598" s="404"/>
      <c r="AH1598" s="316"/>
      <c r="AI1598" s="316"/>
      <c r="AJ1598" s="316"/>
      <c r="AK1598" s="316"/>
      <c r="AL1598" s="316"/>
      <c r="AM1598" s="416"/>
      <c r="AR1598" s="333"/>
      <c r="AS1598" s="333"/>
      <c r="AT1598" s="333"/>
      <c r="AU1598" s="333"/>
      <c r="AV1598" s="333"/>
    </row>
    <row r="1599" spans="2:48" s="330" customFormat="1" ht="28.15" customHeight="1" x14ac:dyDescent="0.25">
      <c r="B1599" s="331"/>
      <c r="C1599" s="332"/>
      <c r="D1599" s="332"/>
      <c r="E1599" s="333"/>
      <c r="F1599" s="333"/>
      <c r="R1599" s="316"/>
      <c r="S1599" s="404"/>
      <c r="T1599" s="404"/>
      <c r="U1599" s="404"/>
      <c r="V1599" s="404"/>
      <c r="W1599" s="316"/>
      <c r="X1599" s="316"/>
      <c r="Y1599" s="316"/>
      <c r="Z1599" s="316"/>
      <c r="AA1599" s="404"/>
      <c r="AB1599" s="404"/>
      <c r="AC1599" s="404"/>
      <c r="AD1599" s="404"/>
      <c r="AE1599" s="316"/>
      <c r="AF1599" s="316"/>
      <c r="AG1599" s="404"/>
      <c r="AH1599" s="316"/>
      <c r="AI1599" s="316"/>
      <c r="AJ1599" s="316"/>
      <c r="AK1599" s="316"/>
      <c r="AL1599" s="316"/>
      <c r="AM1599" s="416"/>
      <c r="AR1599" s="333"/>
      <c r="AS1599" s="333"/>
      <c r="AT1599" s="333"/>
      <c r="AU1599" s="333"/>
      <c r="AV1599" s="333"/>
    </row>
    <row r="1600" spans="2:48" s="330" customFormat="1" ht="28.15" customHeight="1" x14ac:dyDescent="0.25">
      <c r="B1600" s="331"/>
      <c r="C1600" s="332"/>
      <c r="D1600" s="332"/>
      <c r="E1600" s="333"/>
      <c r="F1600" s="333"/>
      <c r="R1600" s="316"/>
      <c r="S1600" s="404"/>
      <c r="T1600" s="404"/>
      <c r="U1600" s="404"/>
      <c r="V1600" s="404"/>
      <c r="W1600" s="316"/>
      <c r="X1600" s="316"/>
      <c r="Y1600" s="316"/>
      <c r="Z1600" s="316"/>
      <c r="AA1600" s="404"/>
      <c r="AB1600" s="404"/>
      <c r="AC1600" s="404"/>
      <c r="AD1600" s="404"/>
      <c r="AE1600" s="316"/>
      <c r="AF1600" s="316"/>
      <c r="AG1600" s="404"/>
      <c r="AH1600" s="316"/>
      <c r="AI1600" s="316"/>
      <c r="AJ1600" s="316"/>
      <c r="AK1600" s="316"/>
      <c r="AL1600" s="316"/>
      <c r="AM1600" s="416"/>
      <c r="AR1600" s="333"/>
      <c r="AS1600" s="333"/>
      <c r="AT1600" s="333"/>
      <c r="AU1600" s="333"/>
      <c r="AV1600" s="333"/>
    </row>
    <row r="1601" spans="2:48" s="330" customFormat="1" ht="28.15" customHeight="1" x14ac:dyDescent="0.25">
      <c r="B1601" s="331"/>
      <c r="C1601" s="332"/>
      <c r="D1601" s="332"/>
      <c r="E1601" s="333"/>
      <c r="F1601" s="333"/>
      <c r="R1601" s="316"/>
      <c r="S1601" s="404"/>
      <c r="T1601" s="404"/>
      <c r="U1601" s="404"/>
      <c r="V1601" s="404"/>
      <c r="W1601" s="316"/>
      <c r="X1601" s="316"/>
      <c r="Y1601" s="316"/>
      <c r="Z1601" s="316"/>
      <c r="AA1601" s="404"/>
      <c r="AB1601" s="404"/>
      <c r="AC1601" s="404"/>
      <c r="AD1601" s="404"/>
      <c r="AE1601" s="316"/>
      <c r="AF1601" s="316"/>
      <c r="AG1601" s="404"/>
      <c r="AH1601" s="316"/>
      <c r="AI1601" s="316"/>
      <c r="AJ1601" s="316"/>
      <c r="AK1601" s="316"/>
      <c r="AL1601" s="316"/>
      <c r="AM1601" s="416"/>
      <c r="AR1601" s="333"/>
      <c r="AS1601" s="333"/>
      <c r="AT1601" s="333"/>
      <c r="AU1601" s="333"/>
      <c r="AV1601" s="333"/>
    </row>
    <row r="1602" spans="2:48" s="330" customFormat="1" ht="28.15" customHeight="1" x14ac:dyDescent="0.25">
      <c r="B1602" s="331"/>
      <c r="C1602" s="332"/>
      <c r="D1602" s="332"/>
      <c r="E1602" s="333"/>
      <c r="F1602" s="333"/>
      <c r="R1602" s="316"/>
      <c r="S1602" s="404"/>
      <c r="T1602" s="404"/>
      <c r="U1602" s="404"/>
      <c r="V1602" s="404"/>
      <c r="W1602" s="316"/>
      <c r="X1602" s="316"/>
      <c r="Y1602" s="316"/>
      <c r="Z1602" s="316"/>
      <c r="AA1602" s="404"/>
      <c r="AB1602" s="404"/>
      <c r="AC1602" s="404"/>
      <c r="AD1602" s="404"/>
      <c r="AE1602" s="316"/>
      <c r="AF1602" s="316"/>
      <c r="AG1602" s="404"/>
      <c r="AH1602" s="316"/>
      <c r="AI1602" s="316"/>
      <c r="AJ1602" s="316"/>
      <c r="AK1602" s="316"/>
      <c r="AL1602" s="316"/>
      <c r="AM1602" s="416"/>
      <c r="AR1602" s="333"/>
      <c r="AS1602" s="333"/>
      <c r="AT1602" s="333"/>
      <c r="AU1602" s="333"/>
      <c r="AV1602" s="333"/>
    </row>
    <row r="1603" spans="2:48" s="330" customFormat="1" ht="28.15" customHeight="1" x14ac:dyDescent="0.25">
      <c r="B1603" s="331"/>
      <c r="C1603" s="332"/>
      <c r="D1603" s="332"/>
      <c r="E1603" s="333"/>
      <c r="F1603" s="333"/>
      <c r="R1603" s="316"/>
      <c r="S1603" s="404"/>
      <c r="T1603" s="404"/>
      <c r="U1603" s="404"/>
      <c r="V1603" s="404"/>
      <c r="W1603" s="316"/>
      <c r="X1603" s="316"/>
      <c r="Y1603" s="316"/>
      <c r="Z1603" s="316"/>
      <c r="AA1603" s="404"/>
      <c r="AB1603" s="404"/>
      <c r="AC1603" s="404"/>
      <c r="AD1603" s="404"/>
      <c r="AE1603" s="316"/>
      <c r="AF1603" s="316"/>
      <c r="AG1603" s="404"/>
      <c r="AH1603" s="316"/>
      <c r="AI1603" s="316"/>
      <c r="AJ1603" s="316"/>
      <c r="AK1603" s="316"/>
      <c r="AL1603" s="316"/>
      <c r="AM1603" s="416"/>
      <c r="AR1603" s="333"/>
      <c r="AS1603" s="333"/>
      <c r="AT1603" s="333"/>
      <c r="AU1603" s="333"/>
      <c r="AV1603" s="333"/>
    </row>
    <row r="1604" spans="2:48" s="330" customFormat="1" ht="28.15" customHeight="1" x14ac:dyDescent="0.25">
      <c r="B1604" s="331"/>
      <c r="C1604" s="332"/>
      <c r="D1604" s="332"/>
      <c r="E1604" s="333"/>
      <c r="F1604" s="333"/>
      <c r="R1604" s="316"/>
      <c r="S1604" s="404"/>
      <c r="T1604" s="404"/>
      <c r="U1604" s="404"/>
      <c r="V1604" s="404"/>
      <c r="W1604" s="316"/>
      <c r="X1604" s="316"/>
      <c r="Y1604" s="316"/>
      <c r="Z1604" s="316"/>
      <c r="AA1604" s="404"/>
      <c r="AB1604" s="404"/>
      <c r="AC1604" s="404"/>
      <c r="AD1604" s="404"/>
      <c r="AE1604" s="316"/>
      <c r="AF1604" s="316"/>
      <c r="AG1604" s="404"/>
      <c r="AH1604" s="316"/>
      <c r="AI1604" s="316"/>
      <c r="AJ1604" s="316"/>
      <c r="AK1604" s="316"/>
      <c r="AL1604" s="316"/>
      <c r="AM1604" s="416"/>
      <c r="AR1604" s="333"/>
      <c r="AS1604" s="333"/>
      <c r="AT1604" s="333"/>
      <c r="AU1604" s="333"/>
      <c r="AV1604" s="333"/>
    </row>
    <row r="1605" spans="2:48" s="330" customFormat="1" ht="28.15" customHeight="1" x14ac:dyDescent="0.25">
      <c r="B1605" s="331"/>
      <c r="C1605" s="332"/>
      <c r="D1605" s="332"/>
      <c r="E1605" s="333"/>
      <c r="F1605" s="333"/>
      <c r="R1605" s="316"/>
      <c r="S1605" s="404"/>
      <c r="T1605" s="404"/>
      <c r="U1605" s="404"/>
      <c r="V1605" s="404"/>
      <c r="W1605" s="316"/>
      <c r="X1605" s="316"/>
      <c r="Y1605" s="316"/>
      <c r="Z1605" s="316"/>
      <c r="AA1605" s="404"/>
      <c r="AB1605" s="404"/>
      <c r="AC1605" s="404"/>
      <c r="AD1605" s="404"/>
      <c r="AE1605" s="316"/>
      <c r="AF1605" s="316"/>
      <c r="AG1605" s="404"/>
      <c r="AH1605" s="316"/>
      <c r="AI1605" s="316"/>
      <c r="AJ1605" s="316"/>
      <c r="AK1605" s="316"/>
      <c r="AL1605" s="316"/>
      <c r="AM1605" s="416"/>
      <c r="AR1605" s="333"/>
      <c r="AS1605" s="333"/>
      <c r="AT1605" s="333"/>
      <c r="AU1605" s="333"/>
      <c r="AV1605" s="333"/>
    </row>
    <row r="1606" spans="2:48" s="330" customFormat="1" ht="28.15" customHeight="1" x14ac:dyDescent="0.25">
      <c r="B1606" s="331"/>
      <c r="C1606" s="332"/>
      <c r="D1606" s="332"/>
      <c r="E1606" s="333"/>
      <c r="F1606" s="333"/>
      <c r="R1606" s="316"/>
      <c r="S1606" s="404"/>
      <c r="T1606" s="404"/>
      <c r="U1606" s="404"/>
      <c r="V1606" s="404"/>
      <c r="W1606" s="316"/>
      <c r="X1606" s="316"/>
      <c r="Y1606" s="316"/>
      <c r="Z1606" s="316"/>
      <c r="AA1606" s="404"/>
      <c r="AB1606" s="404"/>
      <c r="AC1606" s="404"/>
      <c r="AD1606" s="404"/>
      <c r="AE1606" s="316"/>
      <c r="AF1606" s="316"/>
      <c r="AG1606" s="404"/>
      <c r="AH1606" s="316"/>
      <c r="AI1606" s="316"/>
      <c r="AJ1606" s="316"/>
      <c r="AK1606" s="316"/>
      <c r="AL1606" s="316"/>
      <c r="AM1606" s="416"/>
      <c r="AR1606" s="333"/>
      <c r="AS1606" s="333"/>
      <c r="AT1606" s="333"/>
      <c r="AU1606" s="333"/>
      <c r="AV1606" s="333"/>
    </row>
    <row r="1607" spans="2:48" s="330" customFormat="1" ht="28.15" customHeight="1" x14ac:dyDescent="0.25">
      <c r="B1607" s="331"/>
      <c r="C1607" s="332"/>
      <c r="D1607" s="332"/>
      <c r="E1607" s="333"/>
      <c r="F1607" s="333"/>
      <c r="R1607" s="316"/>
      <c r="S1607" s="404"/>
      <c r="T1607" s="404"/>
      <c r="U1607" s="404"/>
      <c r="V1607" s="404"/>
      <c r="W1607" s="316"/>
      <c r="X1607" s="316"/>
      <c r="Y1607" s="316"/>
      <c r="Z1607" s="316"/>
      <c r="AA1607" s="404"/>
      <c r="AB1607" s="404"/>
      <c r="AC1607" s="404"/>
      <c r="AD1607" s="404"/>
      <c r="AE1607" s="316"/>
      <c r="AF1607" s="316"/>
      <c r="AG1607" s="404"/>
      <c r="AH1607" s="316"/>
      <c r="AI1607" s="316"/>
      <c r="AJ1607" s="316"/>
      <c r="AK1607" s="316"/>
      <c r="AL1607" s="316"/>
      <c r="AM1607" s="416"/>
      <c r="AR1607" s="333"/>
      <c r="AS1607" s="333"/>
      <c r="AT1607" s="333"/>
      <c r="AU1607" s="333"/>
      <c r="AV1607" s="333"/>
    </row>
    <row r="1608" spans="2:48" s="330" customFormat="1" ht="28.15" customHeight="1" x14ac:dyDescent="0.25">
      <c r="B1608" s="331"/>
      <c r="C1608" s="332"/>
      <c r="D1608" s="332"/>
      <c r="E1608" s="333"/>
      <c r="F1608" s="333"/>
      <c r="R1608" s="316"/>
      <c r="S1608" s="404"/>
      <c r="T1608" s="404"/>
      <c r="U1608" s="404"/>
      <c r="V1608" s="404"/>
      <c r="W1608" s="316"/>
      <c r="X1608" s="316"/>
      <c r="Y1608" s="316"/>
      <c r="Z1608" s="316"/>
      <c r="AA1608" s="404"/>
      <c r="AB1608" s="404"/>
      <c r="AC1608" s="404"/>
      <c r="AD1608" s="404"/>
      <c r="AE1608" s="316"/>
      <c r="AF1608" s="316"/>
      <c r="AG1608" s="404"/>
      <c r="AH1608" s="316"/>
      <c r="AI1608" s="316"/>
      <c r="AJ1608" s="316"/>
      <c r="AK1608" s="316"/>
      <c r="AL1608" s="316"/>
      <c r="AM1608" s="416"/>
      <c r="AR1608" s="333"/>
      <c r="AS1608" s="333"/>
      <c r="AT1608" s="333"/>
      <c r="AU1608" s="333"/>
      <c r="AV1608" s="333"/>
    </row>
    <row r="1609" spans="2:48" s="330" customFormat="1" ht="28.15" customHeight="1" x14ac:dyDescent="0.25">
      <c r="B1609" s="331"/>
      <c r="C1609" s="332"/>
      <c r="D1609" s="332"/>
      <c r="E1609" s="333"/>
      <c r="F1609" s="333"/>
      <c r="R1609" s="316"/>
      <c r="S1609" s="404"/>
      <c r="T1609" s="404"/>
      <c r="U1609" s="404"/>
      <c r="V1609" s="404"/>
      <c r="W1609" s="316"/>
      <c r="X1609" s="316"/>
      <c r="Y1609" s="316"/>
      <c r="Z1609" s="316"/>
      <c r="AA1609" s="404"/>
      <c r="AB1609" s="404"/>
      <c r="AC1609" s="404"/>
      <c r="AD1609" s="404"/>
      <c r="AE1609" s="316"/>
      <c r="AF1609" s="316"/>
      <c r="AG1609" s="404"/>
      <c r="AH1609" s="316"/>
      <c r="AI1609" s="316"/>
      <c r="AJ1609" s="316"/>
      <c r="AK1609" s="316"/>
      <c r="AL1609" s="316"/>
      <c r="AM1609" s="416"/>
      <c r="AR1609" s="333"/>
      <c r="AS1609" s="333"/>
      <c r="AT1609" s="333"/>
      <c r="AU1609" s="333"/>
      <c r="AV1609" s="333"/>
    </row>
    <row r="1610" spans="2:48" s="330" customFormat="1" ht="28.15" customHeight="1" x14ac:dyDescent="0.25">
      <c r="B1610" s="331"/>
      <c r="C1610" s="332"/>
      <c r="D1610" s="332"/>
      <c r="E1610" s="333"/>
      <c r="F1610" s="333"/>
      <c r="R1610" s="316"/>
      <c r="S1610" s="404"/>
      <c r="T1610" s="404"/>
      <c r="U1610" s="404"/>
      <c r="V1610" s="404"/>
      <c r="W1610" s="316"/>
      <c r="X1610" s="316"/>
      <c r="Y1610" s="316"/>
      <c r="Z1610" s="316"/>
      <c r="AA1610" s="404"/>
      <c r="AB1610" s="404"/>
      <c r="AC1610" s="404"/>
      <c r="AD1610" s="404"/>
      <c r="AE1610" s="316"/>
      <c r="AF1610" s="316"/>
      <c r="AG1610" s="404"/>
      <c r="AH1610" s="316"/>
      <c r="AI1610" s="316"/>
      <c r="AJ1610" s="316"/>
      <c r="AK1610" s="316"/>
      <c r="AL1610" s="316"/>
      <c r="AM1610" s="416"/>
      <c r="AR1610" s="333"/>
      <c r="AS1610" s="333"/>
      <c r="AT1610" s="333"/>
      <c r="AU1610" s="333"/>
      <c r="AV1610" s="333"/>
    </row>
    <row r="1611" spans="2:48" s="330" customFormat="1" ht="28.15" customHeight="1" x14ac:dyDescent="0.25">
      <c r="B1611" s="331"/>
      <c r="C1611" s="332"/>
      <c r="D1611" s="332"/>
      <c r="E1611" s="333"/>
      <c r="F1611" s="333"/>
      <c r="R1611" s="316"/>
      <c r="S1611" s="404"/>
      <c r="T1611" s="404"/>
      <c r="U1611" s="404"/>
      <c r="V1611" s="404"/>
      <c r="W1611" s="316"/>
      <c r="X1611" s="316"/>
      <c r="Y1611" s="316"/>
      <c r="Z1611" s="316"/>
      <c r="AA1611" s="404"/>
      <c r="AB1611" s="404"/>
      <c r="AC1611" s="404"/>
      <c r="AD1611" s="404"/>
      <c r="AE1611" s="316"/>
      <c r="AF1611" s="316"/>
      <c r="AG1611" s="404"/>
      <c r="AH1611" s="316"/>
      <c r="AI1611" s="316"/>
      <c r="AJ1611" s="316"/>
      <c r="AK1611" s="316"/>
      <c r="AL1611" s="316"/>
      <c r="AM1611" s="416"/>
      <c r="AR1611" s="333"/>
      <c r="AS1611" s="333"/>
      <c r="AT1611" s="333"/>
      <c r="AU1611" s="333"/>
      <c r="AV1611" s="333"/>
    </row>
    <row r="1612" spans="2:48" s="330" customFormat="1" ht="28.15" customHeight="1" x14ac:dyDescent="0.25">
      <c r="B1612" s="331"/>
      <c r="C1612" s="332"/>
      <c r="D1612" s="332"/>
      <c r="E1612" s="333"/>
      <c r="F1612" s="333"/>
      <c r="R1612" s="316"/>
      <c r="S1612" s="404"/>
      <c r="T1612" s="404"/>
      <c r="U1612" s="404"/>
      <c r="V1612" s="404"/>
      <c r="W1612" s="316"/>
      <c r="X1612" s="316"/>
      <c r="Y1612" s="316"/>
      <c r="Z1612" s="316"/>
      <c r="AA1612" s="404"/>
      <c r="AB1612" s="404"/>
      <c r="AC1612" s="404"/>
      <c r="AD1612" s="404"/>
      <c r="AE1612" s="316"/>
      <c r="AF1612" s="316"/>
      <c r="AG1612" s="404"/>
      <c r="AH1612" s="316"/>
      <c r="AI1612" s="316"/>
      <c r="AJ1612" s="316"/>
      <c r="AK1612" s="316"/>
      <c r="AL1612" s="316"/>
      <c r="AM1612" s="416"/>
      <c r="AR1612" s="333"/>
      <c r="AS1612" s="333"/>
      <c r="AT1612" s="333"/>
      <c r="AU1612" s="333"/>
      <c r="AV1612" s="333"/>
    </row>
    <row r="1613" spans="2:48" s="330" customFormat="1" ht="28.15" customHeight="1" x14ac:dyDescent="0.25">
      <c r="B1613" s="331"/>
      <c r="C1613" s="332"/>
      <c r="D1613" s="332"/>
      <c r="E1613" s="333"/>
      <c r="F1613" s="333"/>
      <c r="R1613" s="316"/>
      <c r="S1613" s="404"/>
      <c r="T1613" s="404"/>
      <c r="U1613" s="404"/>
      <c r="V1613" s="404"/>
      <c r="W1613" s="316"/>
      <c r="X1613" s="316"/>
      <c r="Y1613" s="316"/>
      <c r="Z1613" s="316"/>
      <c r="AA1613" s="404"/>
      <c r="AB1613" s="404"/>
      <c r="AC1613" s="404"/>
      <c r="AD1613" s="404"/>
      <c r="AE1613" s="316"/>
      <c r="AF1613" s="316"/>
      <c r="AG1613" s="404"/>
      <c r="AH1613" s="316"/>
      <c r="AI1613" s="316"/>
      <c r="AJ1613" s="316"/>
      <c r="AK1613" s="316"/>
      <c r="AL1613" s="316"/>
      <c r="AM1613" s="416"/>
      <c r="AR1613" s="333"/>
      <c r="AS1613" s="333"/>
      <c r="AT1613" s="333"/>
      <c r="AU1613" s="333"/>
      <c r="AV1613" s="333"/>
    </row>
    <row r="1614" spans="2:48" s="330" customFormat="1" ht="28.15" customHeight="1" x14ac:dyDescent="0.25">
      <c r="B1614" s="331"/>
      <c r="C1614" s="332"/>
      <c r="D1614" s="332"/>
      <c r="E1614" s="333"/>
      <c r="F1614" s="333"/>
      <c r="R1614" s="316"/>
      <c r="S1614" s="404"/>
      <c r="T1614" s="404"/>
      <c r="U1614" s="404"/>
      <c r="V1614" s="404"/>
      <c r="W1614" s="316"/>
      <c r="X1614" s="316"/>
      <c r="Y1614" s="316"/>
      <c r="Z1614" s="316"/>
      <c r="AA1614" s="404"/>
      <c r="AB1614" s="404"/>
      <c r="AC1614" s="404"/>
      <c r="AD1614" s="404"/>
      <c r="AE1614" s="316"/>
      <c r="AF1614" s="316"/>
      <c r="AG1614" s="404"/>
      <c r="AH1614" s="316"/>
      <c r="AI1614" s="316"/>
      <c r="AJ1614" s="316"/>
      <c r="AK1614" s="316"/>
      <c r="AL1614" s="316"/>
      <c r="AM1614" s="416"/>
      <c r="AR1614" s="333"/>
      <c r="AS1614" s="333"/>
      <c r="AT1614" s="333"/>
      <c r="AU1614" s="333"/>
      <c r="AV1614" s="333"/>
    </row>
    <row r="1615" spans="2:48" s="330" customFormat="1" ht="28.15" customHeight="1" x14ac:dyDescent="0.25">
      <c r="B1615" s="331"/>
      <c r="C1615" s="332"/>
      <c r="D1615" s="332"/>
      <c r="E1615" s="333"/>
      <c r="F1615" s="333"/>
      <c r="R1615" s="316"/>
      <c r="S1615" s="404"/>
      <c r="T1615" s="404"/>
      <c r="U1615" s="404"/>
      <c r="V1615" s="404"/>
      <c r="W1615" s="316"/>
      <c r="X1615" s="316"/>
      <c r="Y1615" s="316"/>
      <c r="Z1615" s="316"/>
      <c r="AA1615" s="404"/>
      <c r="AB1615" s="404"/>
      <c r="AC1615" s="404"/>
      <c r="AD1615" s="404"/>
      <c r="AE1615" s="316"/>
      <c r="AF1615" s="316"/>
      <c r="AG1615" s="404"/>
      <c r="AH1615" s="316"/>
      <c r="AI1615" s="316"/>
      <c r="AJ1615" s="316"/>
      <c r="AK1615" s="316"/>
      <c r="AL1615" s="316"/>
      <c r="AM1615" s="416"/>
      <c r="AR1615" s="333"/>
      <c r="AS1615" s="333"/>
      <c r="AT1615" s="333"/>
      <c r="AU1615" s="333"/>
      <c r="AV1615" s="333"/>
    </row>
    <row r="1616" spans="2:48" s="330" customFormat="1" ht="28.15" customHeight="1" x14ac:dyDescent="0.25">
      <c r="B1616" s="331"/>
      <c r="C1616" s="332"/>
      <c r="D1616" s="332"/>
      <c r="E1616" s="333"/>
      <c r="F1616" s="333"/>
      <c r="R1616" s="316"/>
      <c r="S1616" s="404"/>
      <c r="T1616" s="404"/>
      <c r="U1616" s="404"/>
      <c r="V1616" s="404"/>
      <c r="W1616" s="316"/>
      <c r="X1616" s="316"/>
      <c r="Y1616" s="316"/>
      <c r="Z1616" s="316"/>
      <c r="AA1616" s="404"/>
      <c r="AB1616" s="404"/>
      <c r="AC1616" s="404"/>
      <c r="AD1616" s="404"/>
      <c r="AE1616" s="316"/>
      <c r="AF1616" s="316"/>
      <c r="AG1616" s="404"/>
      <c r="AH1616" s="316"/>
      <c r="AI1616" s="316"/>
      <c r="AJ1616" s="316"/>
      <c r="AK1616" s="316"/>
      <c r="AL1616" s="316"/>
      <c r="AM1616" s="416"/>
      <c r="AR1616" s="333"/>
      <c r="AS1616" s="333"/>
      <c r="AT1616" s="333"/>
      <c r="AU1616" s="333"/>
      <c r="AV1616" s="333"/>
    </row>
    <row r="1617" spans="2:48" s="330" customFormat="1" ht="28.15" customHeight="1" x14ac:dyDescent="0.25">
      <c r="B1617" s="331"/>
      <c r="C1617" s="332"/>
      <c r="D1617" s="332"/>
      <c r="E1617" s="333"/>
      <c r="F1617" s="333"/>
      <c r="R1617" s="316"/>
      <c r="S1617" s="404"/>
      <c r="T1617" s="404"/>
      <c r="U1617" s="404"/>
      <c r="V1617" s="404"/>
      <c r="W1617" s="316"/>
      <c r="X1617" s="316"/>
      <c r="Y1617" s="316"/>
      <c r="Z1617" s="316"/>
      <c r="AA1617" s="404"/>
      <c r="AB1617" s="404"/>
      <c r="AC1617" s="404"/>
      <c r="AD1617" s="404"/>
      <c r="AE1617" s="316"/>
      <c r="AF1617" s="316"/>
      <c r="AG1617" s="404"/>
      <c r="AH1617" s="316"/>
      <c r="AI1617" s="316"/>
      <c r="AJ1617" s="316"/>
      <c r="AK1617" s="316"/>
      <c r="AL1617" s="316"/>
      <c r="AM1617" s="416"/>
      <c r="AR1617" s="333"/>
      <c r="AS1617" s="333"/>
      <c r="AT1617" s="333"/>
      <c r="AU1617" s="333"/>
      <c r="AV1617" s="333"/>
    </row>
    <row r="1618" spans="2:48" s="330" customFormat="1" ht="28.15" customHeight="1" x14ac:dyDescent="0.25">
      <c r="B1618" s="331"/>
      <c r="C1618" s="332"/>
      <c r="D1618" s="332"/>
      <c r="E1618" s="333"/>
      <c r="F1618" s="333"/>
      <c r="R1618" s="316"/>
      <c r="S1618" s="404"/>
      <c r="T1618" s="404"/>
      <c r="U1618" s="404"/>
      <c r="V1618" s="404"/>
      <c r="W1618" s="316"/>
      <c r="X1618" s="316"/>
      <c r="Y1618" s="316"/>
      <c r="Z1618" s="316"/>
      <c r="AA1618" s="404"/>
      <c r="AB1618" s="404"/>
      <c r="AC1618" s="404"/>
      <c r="AD1618" s="404"/>
      <c r="AE1618" s="316"/>
      <c r="AF1618" s="316"/>
      <c r="AG1618" s="404"/>
      <c r="AH1618" s="316"/>
      <c r="AI1618" s="316"/>
      <c r="AJ1618" s="316"/>
      <c r="AK1618" s="316"/>
      <c r="AL1618" s="316"/>
      <c r="AM1618" s="416"/>
      <c r="AR1618" s="333"/>
      <c r="AS1618" s="333"/>
      <c r="AT1618" s="333"/>
      <c r="AU1618" s="333"/>
      <c r="AV1618" s="333"/>
    </row>
    <row r="1619" spans="2:48" s="330" customFormat="1" ht="28.15" customHeight="1" x14ac:dyDescent="0.25">
      <c r="B1619" s="331"/>
      <c r="C1619" s="332"/>
      <c r="D1619" s="332"/>
      <c r="E1619" s="333"/>
      <c r="F1619" s="333"/>
      <c r="R1619" s="316"/>
      <c r="S1619" s="404"/>
      <c r="T1619" s="404"/>
      <c r="U1619" s="404"/>
      <c r="V1619" s="404"/>
      <c r="W1619" s="316"/>
      <c r="X1619" s="316"/>
      <c r="Y1619" s="316"/>
      <c r="Z1619" s="316"/>
      <c r="AA1619" s="404"/>
      <c r="AB1619" s="404"/>
      <c r="AC1619" s="404"/>
      <c r="AD1619" s="404"/>
      <c r="AE1619" s="316"/>
      <c r="AF1619" s="316"/>
      <c r="AG1619" s="404"/>
      <c r="AH1619" s="316"/>
      <c r="AI1619" s="316"/>
      <c r="AJ1619" s="316"/>
      <c r="AK1619" s="316"/>
      <c r="AL1619" s="316"/>
      <c r="AM1619" s="416"/>
      <c r="AR1619" s="333"/>
      <c r="AS1619" s="333"/>
      <c r="AT1619" s="333"/>
      <c r="AU1619" s="333"/>
      <c r="AV1619" s="333"/>
    </row>
    <row r="1620" spans="2:48" s="330" customFormat="1" ht="28.15" customHeight="1" x14ac:dyDescent="0.25">
      <c r="B1620" s="331"/>
      <c r="C1620" s="332"/>
      <c r="D1620" s="332"/>
      <c r="E1620" s="333"/>
      <c r="F1620" s="333"/>
      <c r="R1620" s="316"/>
      <c r="S1620" s="404"/>
      <c r="T1620" s="404"/>
      <c r="U1620" s="404"/>
      <c r="V1620" s="404"/>
      <c r="W1620" s="316"/>
      <c r="X1620" s="316"/>
      <c r="Y1620" s="316"/>
      <c r="Z1620" s="316"/>
      <c r="AA1620" s="404"/>
      <c r="AB1620" s="404"/>
      <c r="AC1620" s="404"/>
      <c r="AD1620" s="404"/>
      <c r="AE1620" s="316"/>
      <c r="AF1620" s="316"/>
      <c r="AG1620" s="404"/>
      <c r="AH1620" s="316"/>
      <c r="AI1620" s="316"/>
      <c r="AJ1620" s="316"/>
      <c r="AK1620" s="316"/>
      <c r="AL1620" s="316"/>
      <c r="AM1620" s="416"/>
      <c r="AR1620" s="333"/>
      <c r="AS1620" s="333"/>
      <c r="AT1620" s="333"/>
      <c r="AU1620" s="333"/>
      <c r="AV1620" s="333"/>
    </row>
    <row r="1621" spans="2:48" s="330" customFormat="1" ht="28.15" customHeight="1" x14ac:dyDescent="0.25">
      <c r="B1621" s="331"/>
      <c r="C1621" s="332"/>
      <c r="D1621" s="332"/>
      <c r="E1621" s="333"/>
      <c r="F1621" s="333"/>
      <c r="R1621" s="316"/>
      <c r="S1621" s="404"/>
      <c r="T1621" s="404"/>
      <c r="U1621" s="404"/>
      <c r="V1621" s="404"/>
      <c r="W1621" s="316"/>
      <c r="X1621" s="316"/>
      <c r="Y1621" s="316"/>
      <c r="Z1621" s="316"/>
      <c r="AA1621" s="404"/>
      <c r="AB1621" s="404"/>
      <c r="AC1621" s="404"/>
      <c r="AD1621" s="404"/>
      <c r="AE1621" s="316"/>
      <c r="AF1621" s="316"/>
      <c r="AG1621" s="404"/>
      <c r="AH1621" s="316"/>
      <c r="AI1621" s="316"/>
      <c r="AJ1621" s="316"/>
      <c r="AK1621" s="316"/>
      <c r="AL1621" s="316"/>
      <c r="AM1621" s="416"/>
      <c r="AR1621" s="333"/>
      <c r="AS1621" s="333"/>
      <c r="AT1621" s="333"/>
      <c r="AU1621" s="333"/>
      <c r="AV1621" s="333"/>
    </row>
    <row r="1622" spans="2:48" s="330" customFormat="1" ht="28.15" customHeight="1" x14ac:dyDescent="0.25">
      <c r="B1622" s="331"/>
      <c r="C1622" s="332"/>
      <c r="D1622" s="332"/>
      <c r="E1622" s="333"/>
      <c r="F1622" s="333"/>
      <c r="R1622" s="316"/>
      <c r="S1622" s="404"/>
      <c r="T1622" s="404"/>
      <c r="U1622" s="404"/>
      <c r="V1622" s="404"/>
      <c r="W1622" s="316"/>
      <c r="X1622" s="316"/>
      <c r="Y1622" s="316"/>
      <c r="Z1622" s="316"/>
      <c r="AA1622" s="404"/>
      <c r="AB1622" s="404"/>
      <c r="AC1622" s="404"/>
      <c r="AD1622" s="404"/>
      <c r="AE1622" s="316"/>
      <c r="AF1622" s="316"/>
      <c r="AG1622" s="404"/>
      <c r="AH1622" s="316"/>
      <c r="AI1622" s="316"/>
      <c r="AJ1622" s="316"/>
      <c r="AK1622" s="316"/>
      <c r="AL1622" s="316"/>
      <c r="AM1622" s="416"/>
      <c r="AR1622" s="333"/>
      <c r="AS1622" s="333"/>
      <c r="AT1622" s="333"/>
      <c r="AU1622" s="333"/>
      <c r="AV1622" s="333"/>
    </row>
    <row r="1623" spans="2:48" s="330" customFormat="1" ht="28.15" customHeight="1" x14ac:dyDescent="0.25">
      <c r="B1623" s="331"/>
      <c r="C1623" s="332"/>
      <c r="D1623" s="332"/>
      <c r="E1623" s="333"/>
      <c r="F1623" s="333"/>
      <c r="R1623" s="316"/>
      <c r="S1623" s="404"/>
      <c r="T1623" s="404"/>
      <c r="U1623" s="404"/>
      <c r="V1623" s="404"/>
      <c r="W1623" s="316"/>
      <c r="X1623" s="316"/>
      <c r="Y1623" s="316"/>
      <c r="Z1623" s="316"/>
      <c r="AA1623" s="404"/>
      <c r="AB1623" s="404"/>
      <c r="AC1623" s="404"/>
      <c r="AD1623" s="404"/>
      <c r="AE1623" s="316"/>
      <c r="AF1623" s="316"/>
      <c r="AG1623" s="404"/>
      <c r="AH1623" s="316"/>
      <c r="AI1623" s="316"/>
      <c r="AJ1623" s="316"/>
      <c r="AK1623" s="316"/>
      <c r="AL1623" s="316"/>
      <c r="AM1623" s="416"/>
      <c r="AR1623" s="333"/>
      <c r="AS1623" s="333"/>
      <c r="AT1623" s="333"/>
      <c r="AU1623" s="333"/>
      <c r="AV1623" s="333"/>
    </row>
    <row r="1624" spans="2:48" s="330" customFormat="1" ht="28.15" customHeight="1" x14ac:dyDescent="0.25">
      <c r="B1624" s="331"/>
      <c r="C1624" s="332"/>
      <c r="D1624" s="332"/>
      <c r="E1624" s="333"/>
      <c r="F1624" s="333"/>
      <c r="R1624" s="316"/>
      <c r="S1624" s="404"/>
      <c r="T1624" s="404"/>
      <c r="U1624" s="404"/>
      <c r="V1624" s="404"/>
      <c r="W1624" s="316"/>
      <c r="X1624" s="316"/>
      <c r="Y1624" s="316"/>
      <c r="Z1624" s="316"/>
      <c r="AA1624" s="404"/>
      <c r="AB1624" s="404"/>
      <c r="AC1624" s="404"/>
      <c r="AD1624" s="404"/>
      <c r="AE1624" s="316"/>
      <c r="AF1624" s="316"/>
      <c r="AG1624" s="404"/>
      <c r="AH1624" s="316"/>
      <c r="AI1624" s="316"/>
      <c r="AJ1624" s="316"/>
      <c r="AK1624" s="316"/>
      <c r="AL1624" s="316"/>
      <c r="AM1624" s="416"/>
      <c r="AR1624" s="333"/>
      <c r="AS1624" s="333"/>
      <c r="AT1624" s="333"/>
      <c r="AU1624" s="333"/>
      <c r="AV1624" s="333"/>
    </row>
    <row r="1625" spans="2:48" s="330" customFormat="1" ht="28.15" customHeight="1" x14ac:dyDescent="0.25">
      <c r="B1625" s="331"/>
      <c r="C1625" s="332"/>
      <c r="D1625" s="332"/>
      <c r="E1625" s="333"/>
      <c r="F1625" s="333"/>
      <c r="R1625" s="316"/>
      <c r="S1625" s="404"/>
      <c r="T1625" s="404"/>
      <c r="U1625" s="404"/>
      <c r="V1625" s="404"/>
      <c r="W1625" s="316"/>
      <c r="X1625" s="316"/>
      <c r="Y1625" s="316"/>
      <c r="Z1625" s="316"/>
      <c r="AA1625" s="404"/>
      <c r="AB1625" s="404"/>
      <c r="AC1625" s="404"/>
      <c r="AD1625" s="404"/>
      <c r="AE1625" s="316"/>
      <c r="AF1625" s="316"/>
      <c r="AG1625" s="404"/>
      <c r="AH1625" s="316"/>
      <c r="AI1625" s="316"/>
      <c r="AJ1625" s="316"/>
      <c r="AK1625" s="316"/>
      <c r="AL1625" s="316"/>
      <c r="AM1625" s="416"/>
      <c r="AR1625" s="333"/>
      <c r="AS1625" s="333"/>
      <c r="AT1625" s="333"/>
      <c r="AU1625" s="333"/>
      <c r="AV1625" s="333"/>
    </row>
    <row r="1626" spans="2:48" s="330" customFormat="1" ht="28.15" customHeight="1" x14ac:dyDescent="0.25">
      <c r="B1626" s="331"/>
      <c r="C1626" s="332"/>
      <c r="D1626" s="332"/>
      <c r="E1626" s="333"/>
      <c r="F1626" s="333"/>
      <c r="R1626" s="316"/>
      <c r="S1626" s="404"/>
      <c r="T1626" s="404"/>
      <c r="U1626" s="404"/>
      <c r="V1626" s="404"/>
      <c r="W1626" s="316"/>
      <c r="X1626" s="316"/>
      <c r="Y1626" s="316"/>
      <c r="Z1626" s="316"/>
      <c r="AA1626" s="404"/>
      <c r="AB1626" s="404"/>
      <c r="AC1626" s="404"/>
      <c r="AD1626" s="404"/>
      <c r="AE1626" s="316"/>
      <c r="AF1626" s="316"/>
      <c r="AG1626" s="404"/>
      <c r="AH1626" s="316"/>
      <c r="AI1626" s="316"/>
      <c r="AJ1626" s="316"/>
      <c r="AK1626" s="316"/>
      <c r="AL1626" s="316"/>
      <c r="AM1626" s="416"/>
      <c r="AR1626" s="333"/>
      <c r="AS1626" s="333"/>
      <c r="AT1626" s="333"/>
      <c r="AU1626" s="333"/>
      <c r="AV1626" s="333"/>
    </row>
    <row r="1627" spans="2:48" s="330" customFormat="1" ht="28.15" customHeight="1" x14ac:dyDescent="0.25">
      <c r="B1627" s="331"/>
      <c r="C1627" s="332"/>
      <c r="D1627" s="332"/>
      <c r="E1627" s="333"/>
      <c r="F1627" s="333"/>
      <c r="R1627" s="316"/>
      <c r="S1627" s="404"/>
      <c r="T1627" s="404"/>
      <c r="U1627" s="404"/>
      <c r="V1627" s="404"/>
      <c r="W1627" s="316"/>
      <c r="X1627" s="316"/>
      <c r="Y1627" s="316"/>
      <c r="Z1627" s="316"/>
      <c r="AA1627" s="404"/>
      <c r="AB1627" s="404"/>
      <c r="AC1627" s="404"/>
      <c r="AD1627" s="404"/>
      <c r="AE1627" s="316"/>
      <c r="AF1627" s="316"/>
      <c r="AG1627" s="404"/>
      <c r="AH1627" s="316"/>
      <c r="AI1627" s="316"/>
      <c r="AJ1627" s="316"/>
      <c r="AK1627" s="316"/>
      <c r="AL1627" s="316"/>
      <c r="AM1627" s="416"/>
      <c r="AR1627" s="333"/>
      <c r="AS1627" s="333"/>
      <c r="AT1627" s="333"/>
      <c r="AU1627" s="333"/>
      <c r="AV1627" s="333"/>
    </row>
    <row r="1628" spans="2:48" s="330" customFormat="1" ht="28.15" customHeight="1" x14ac:dyDescent="0.25">
      <c r="B1628" s="331"/>
      <c r="C1628" s="332"/>
      <c r="D1628" s="332"/>
      <c r="E1628" s="333"/>
      <c r="F1628" s="333"/>
      <c r="R1628" s="316"/>
      <c r="S1628" s="404"/>
      <c r="T1628" s="404"/>
      <c r="U1628" s="404"/>
      <c r="V1628" s="404"/>
      <c r="W1628" s="316"/>
      <c r="X1628" s="316"/>
      <c r="Y1628" s="316"/>
      <c r="Z1628" s="316"/>
      <c r="AA1628" s="404"/>
      <c r="AB1628" s="404"/>
      <c r="AC1628" s="404"/>
      <c r="AD1628" s="404"/>
      <c r="AE1628" s="316"/>
      <c r="AF1628" s="316"/>
      <c r="AG1628" s="404"/>
      <c r="AH1628" s="316"/>
      <c r="AI1628" s="316"/>
      <c r="AJ1628" s="316"/>
      <c r="AK1628" s="316"/>
      <c r="AL1628" s="316"/>
      <c r="AM1628" s="416"/>
      <c r="AR1628" s="333"/>
      <c r="AS1628" s="333"/>
      <c r="AT1628" s="333"/>
      <c r="AU1628" s="333"/>
      <c r="AV1628" s="333"/>
    </row>
    <row r="1629" spans="2:48" s="330" customFormat="1" ht="28.15" customHeight="1" x14ac:dyDescent="0.25">
      <c r="B1629" s="331"/>
      <c r="C1629" s="332"/>
      <c r="D1629" s="332"/>
      <c r="E1629" s="333"/>
      <c r="F1629" s="333"/>
      <c r="R1629" s="316"/>
      <c r="S1629" s="404"/>
      <c r="T1629" s="404"/>
      <c r="U1629" s="404"/>
      <c r="V1629" s="404"/>
      <c r="W1629" s="316"/>
      <c r="X1629" s="316"/>
      <c r="Y1629" s="316"/>
      <c r="Z1629" s="316"/>
      <c r="AA1629" s="404"/>
      <c r="AB1629" s="404"/>
      <c r="AC1629" s="404"/>
      <c r="AD1629" s="404"/>
      <c r="AE1629" s="316"/>
      <c r="AF1629" s="316"/>
      <c r="AG1629" s="404"/>
      <c r="AH1629" s="316"/>
      <c r="AI1629" s="316"/>
      <c r="AJ1629" s="316"/>
      <c r="AK1629" s="316"/>
      <c r="AL1629" s="316"/>
      <c r="AM1629" s="416"/>
      <c r="AR1629" s="333"/>
      <c r="AS1629" s="333"/>
      <c r="AT1629" s="333"/>
      <c r="AU1629" s="333"/>
      <c r="AV1629" s="333"/>
    </row>
    <row r="1630" spans="2:48" s="330" customFormat="1" ht="28.15" customHeight="1" x14ac:dyDescent="0.25">
      <c r="B1630" s="331"/>
      <c r="C1630" s="332"/>
      <c r="D1630" s="332"/>
      <c r="E1630" s="333"/>
      <c r="F1630" s="333"/>
      <c r="R1630" s="316"/>
      <c r="S1630" s="404"/>
      <c r="T1630" s="404"/>
      <c r="U1630" s="404"/>
      <c r="V1630" s="404"/>
      <c r="W1630" s="316"/>
      <c r="X1630" s="316"/>
      <c r="Y1630" s="316"/>
      <c r="Z1630" s="316"/>
      <c r="AA1630" s="404"/>
      <c r="AB1630" s="404"/>
      <c r="AC1630" s="404"/>
      <c r="AD1630" s="404"/>
      <c r="AE1630" s="316"/>
      <c r="AF1630" s="316"/>
      <c r="AG1630" s="404"/>
      <c r="AH1630" s="316"/>
      <c r="AI1630" s="316"/>
      <c r="AJ1630" s="316"/>
      <c r="AK1630" s="316"/>
      <c r="AL1630" s="316"/>
      <c r="AM1630" s="416"/>
      <c r="AR1630" s="333"/>
      <c r="AS1630" s="333"/>
      <c r="AT1630" s="333"/>
      <c r="AU1630" s="333"/>
      <c r="AV1630" s="333"/>
    </row>
    <row r="1631" spans="2:48" s="330" customFormat="1" ht="28.15" customHeight="1" x14ac:dyDescent="0.25">
      <c r="B1631" s="331"/>
      <c r="C1631" s="332"/>
      <c r="D1631" s="332"/>
      <c r="E1631" s="333"/>
      <c r="F1631" s="333"/>
      <c r="R1631" s="316"/>
      <c r="S1631" s="404"/>
      <c r="T1631" s="404"/>
      <c r="U1631" s="404"/>
      <c r="V1631" s="404"/>
      <c r="W1631" s="316"/>
      <c r="X1631" s="316"/>
      <c r="Y1631" s="316"/>
      <c r="Z1631" s="316"/>
      <c r="AA1631" s="404"/>
      <c r="AB1631" s="404"/>
      <c r="AC1631" s="404"/>
      <c r="AD1631" s="404"/>
      <c r="AE1631" s="316"/>
      <c r="AF1631" s="316"/>
      <c r="AG1631" s="404"/>
      <c r="AH1631" s="316"/>
      <c r="AI1631" s="316"/>
      <c r="AJ1631" s="316"/>
      <c r="AK1631" s="316"/>
      <c r="AL1631" s="316"/>
      <c r="AM1631" s="416"/>
      <c r="AR1631" s="333"/>
      <c r="AS1631" s="333"/>
      <c r="AT1631" s="333"/>
      <c r="AU1631" s="333"/>
      <c r="AV1631" s="333"/>
    </row>
    <row r="1632" spans="2:48" s="330" customFormat="1" ht="28.15" customHeight="1" x14ac:dyDescent="0.25">
      <c r="B1632" s="331"/>
      <c r="C1632" s="332"/>
      <c r="D1632" s="332"/>
      <c r="E1632" s="333"/>
      <c r="F1632" s="333"/>
      <c r="R1632" s="316"/>
      <c r="S1632" s="404"/>
      <c r="T1632" s="404"/>
      <c r="U1632" s="404"/>
      <c r="V1632" s="404"/>
      <c r="W1632" s="316"/>
      <c r="X1632" s="316"/>
      <c r="Y1632" s="316"/>
      <c r="Z1632" s="316"/>
      <c r="AA1632" s="404"/>
      <c r="AB1632" s="404"/>
      <c r="AC1632" s="404"/>
      <c r="AD1632" s="404"/>
      <c r="AE1632" s="316"/>
      <c r="AF1632" s="316"/>
      <c r="AG1632" s="404"/>
      <c r="AH1632" s="316"/>
      <c r="AI1632" s="316"/>
      <c r="AJ1632" s="316"/>
      <c r="AK1632" s="316"/>
      <c r="AL1632" s="316"/>
      <c r="AM1632" s="416"/>
      <c r="AR1632" s="333"/>
      <c r="AS1632" s="333"/>
      <c r="AT1632" s="333"/>
      <c r="AU1632" s="333"/>
      <c r="AV1632" s="333"/>
    </row>
    <row r="1633" spans="2:48" s="330" customFormat="1" ht="28.15" customHeight="1" x14ac:dyDescent="0.25">
      <c r="B1633" s="331"/>
      <c r="C1633" s="332"/>
      <c r="D1633" s="332"/>
      <c r="E1633" s="333"/>
      <c r="F1633" s="333"/>
      <c r="R1633" s="316"/>
      <c r="S1633" s="404"/>
      <c r="T1633" s="404"/>
      <c r="U1633" s="404"/>
      <c r="V1633" s="404"/>
      <c r="W1633" s="316"/>
      <c r="X1633" s="316"/>
      <c r="Y1633" s="316"/>
      <c r="Z1633" s="316"/>
      <c r="AA1633" s="404"/>
      <c r="AB1633" s="404"/>
      <c r="AC1633" s="404"/>
      <c r="AD1633" s="404"/>
      <c r="AE1633" s="316"/>
      <c r="AF1633" s="316"/>
      <c r="AG1633" s="404"/>
      <c r="AH1633" s="316"/>
      <c r="AI1633" s="316"/>
      <c r="AJ1633" s="316"/>
      <c r="AK1633" s="316"/>
      <c r="AL1633" s="316"/>
      <c r="AM1633" s="416"/>
      <c r="AR1633" s="333"/>
      <c r="AS1633" s="333"/>
      <c r="AT1633" s="333"/>
      <c r="AU1633" s="333"/>
      <c r="AV1633" s="333"/>
    </row>
    <row r="1634" spans="2:48" s="330" customFormat="1" ht="28.15" customHeight="1" x14ac:dyDescent="0.25">
      <c r="B1634" s="331"/>
      <c r="C1634" s="332"/>
      <c r="D1634" s="332"/>
      <c r="E1634" s="333"/>
      <c r="F1634" s="333"/>
      <c r="R1634" s="316"/>
      <c r="S1634" s="404"/>
      <c r="T1634" s="404"/>
      <c r="U1634" s="404"/>
      <c r="V1634" s="404"/>
      <c r="W1634" s="316"/>
      <c r="X1634" s="316"/>
      <c r="Y1634" s="316"/>
      <c r="Z1634" s="316"/>
      <c r="AA1634" s="404"/>
      <c r="AB1634" s="404"/>
      <c r="AC1634" s="404"/>
      <c r="AD1634" s="404"/>
      <c r="AE1634" s="316"/>
      <c r="AF1634" s="316"/>
      <c r="AG1634" s="404"/>
      <c r="AH1634" s="316"/>
      <c r="AI1634" s="316"/>
      <c r="AJ1634" s="316"/>
      <c r="AK1634" s="316"/>
      <c r="AL1634" s="316"/>
      <c r="AM1634" s="416"/>
      <c r="AR1634" s="333"/>
      <c r="AS1634" s="333"/>
      <c r="AT1634" s="333"/>
      <c r="AU1634" s="333"/>
      <c r="AV1634" s="333"/>
    </row>
    <row r="1635" spans="2:48" s="330" customFormat="1" ht="28.15" customHeight="1" x14ac:dyDescent="0.25">
      <c r="B1635" s="331"/>
      <c r="C1635" s="332"/>
      <c r="D1635" s="332"/>
      <c r="E1635" s="333"/>
      <c r="F1635" s="333"/>
      <c r="R1635" s="316"/>
      <c r="S1635" s="404"/>
      <c r="T1635" s="404"/>
      <c r="U1635" s="404"/>
      <c r="V1635" s="404"/>
      <c r="W1635" s="316"/>
      <c r="X1635" s="316"/>
      <c r="Y1635" s="316"/>
      <c r="Z1635" s="316"/>
      <c r="AA1635" s="404"/>
      <c r="AB1635" s="404"/>
      <c r="AC1635" s="404"/>
      <c r="AD1635" s="404"/>
      <c r="AE1635" s="316"/>
      <c r="AF1635" s="316"/>
      <c r="AG1635" s="404"/>
      <c r="AH1635" s="316"/>
      <c r="AI1635" s="316"/>
      <c r="AJ1635" s="316"/>
      <c r="AK1635" s="316"/>
      <c r="AL1635" s="316"/>
      <c r="AM1635" s="416"/>
      <c r="AR1635" s="333"/>
      <c r="AS1635" s="333"/>
      <c r="AT1635" s="333"/>
      <c r="AU1635" s="333"/>
      <c r="AV1635" s="333"/>
    </row>
    <row r="1636" spans="2:48" s="330" customFormat="1" ht="28.15" customHeight="1" x14ac:dyDescent="0.25">
      <c r="B1636" s="331"/>
      <c r="C1636" s="332"/>
      <c r="D1636" s="332"/>
      <c r="E1636" s="333"/>
      <c r="F1636" s="333"/>
      <c r="R1636" s="316"/>
      <c r="S1636" s="404"/>
      <c r="T1636" s="404"/>
      <c r="U1636" s="404"/>
      <c r="V1636" s="404"/>
      <c r="W1636" s="316"/>
      <c r="X1636" s="316"/>
      <c r="Y1636" s="316"/>
      <c r="Z1636" s="316"/>
      <c r="AA1636" s="404"/>
      <c r="AB1636" s="404"/>
      <c r="AC1636" s="404"/>
      <c r="AD1636" s="404"/>
      <c r="AE1636" s="316"/>
      <c r="AF1636" s="316"/>
      <c r="AG1636" s="404"/>
      <c r="AH1636" s="316"/>
      <c r="AI1636" s="316"/>
      <c r="AJ1636" s="316"/>
      <c r="AK1636" s="316"/>
      <c r="AL1636" s="316"/>
      <c r="AM1636" s="416"/>
      <c r="AR1636" s="333"/>
      <c r="AS1636" s="333"/>
      <c r="AT1636" s="333"/>
      <c r="AU1636" s="333"/>
      <c r="AV1636" s="333"/>
    </row>
    <row r="1637" spans="2:48" s="330" customFormat="1" ht="28.15" customHeight="1" x14ac:dyDescent="0.25">
      <c r="B1637" s="331"/>
      <c r="C1637" s="332"/>
      <c r="D1637" s="332"/>
      <c r="E1637" s="333"/>
      <c r="F1637" s="333"/>
      <c r="R1637" s="316"/>
      <c r="S1637" s="404"/>
      <c r="T1637" s="404"/>
      <c r="U1637" s="404"/>
      <c r="V1637" s="404"/>
      <c r="W1637" s="316"/>
      <c r="X1637" s="316"/>
      <c r="Y1637" s="316"/>
      <c r="Z1637" s="316"/>
      <c r="AA1637" s="404"/>
      <c r="AB1637" s="404"/>
      <c r="AC1637" s="404"/>
      <c r="AD1637" s="404"/>
      <c r="AE1637" s="316"/>
      <c r="AF1637" s="316"/>
      <c r="AG1637" s="404"/>
      <c r="AH1637" s="316"/>
      <c r="AI1637" s="316"/>
      <c r="AJ1637" s="316"/>
      <c r="AK1637" s="316"/>
      <c r="AL1637" s="316"/>
      <c r="AM1637" s="416"/>
      <c r="AR1637" s="333"/>
      <c r="AS1637" s="333"/>
      <c r="AT1637" s="333"/>
      <c r="AU1637" s="333"/>
      <c r="AV1637" s="333"/>
    </row>
    <row r="1638" spans="2:48" s="330" customFormat="1" ht="28.15" customHeight="1" x14ac:dyDescent="0.25">
      <c r="B1638" s="331"/>
      <c r="C1638" s="332"/>
      <c r="D1638" s="332"/>
      <c r="E1638" s="333"/>
      <c r="F1638" s="333"/>
      <c r="R1638" s="316"/>
      <c r="S1638" s="404"/>
      <c r="T1638" s="404"/>
      <c r="U1638" s="404"/>
      <c r="V1638" s="404"/>
      <c r="W1638" s="316"/>
      <c r="X1638" s="316"/>
      <c r="Y1638" s="316"/>
      <c r="Z1638" s="316"/>
      <c r="AA1638" s="404"/>
      <c r="AB1638" s="404"/>
      <c r="AC1638" s="404"/>
      <c r="AD1638" s="404"/>
      <c r="AE1638" s="316"/>
      <c r="AF1638" s="316"/>
      <c r="AG1638" s="404"/>
      <c r="AH1638" s="316"/>
      <c r="AI1638" s="316"/>
      <c r="AJ1638" s="316"/>
      <c r="AK1638" s="316"/>
      <c r="AL1638" s="316"/>
      <c r="AM1638" s="416"/>
      <c r="AR1638" s="333"/>
      <c r="AS1638" s="333"/>
      <c r="AT1638" s="333"/>
      <c r="AU1638" s="333"/>
      <c r="AV1638" s="333"/>
    </row>
    <row r="1639" spans="2:48" s="330" customFormat="1" ht="28.15" customHeight="1" x14ac:dyDescent="0.25">
      <c r="B1639" s="331"/>
      <c r="C1639" s="332"/>
      <c r="D1639" s="332"/>
      <c r="E1639" s="333"/>
      <c r="F1639" s="333"/>
      <c r="R1639" s="316"/>
      <c r="S1639" s="404"/>
      <c r="T1639" s="404"/>
      <c r="U1639" s="404"/>
      <c r="V1639" s="404"/>
      <c r="W1639" s="316"/>
      <c r="X1639" s="316"/>
      <c r="Y1639" s="316"/>
      <c r="Z1639" s="316"/>
      <c r="AA1639" s="404"/>
      <c r="AB1639" s="404"/>
      <c r="AC1639" s="404"/>
      <c r="AD1639" s="404"/>
      <c r="AE1639" s="316"/>
      <c r="AF1639" s="316"/>
      <c r="AG1639" s="404"/>
      <c r="AH1639" s="316"/>
      <c r="AI1639" s="316"/>
      <c r="AJ1639" s="316"/>
      <c r="AK1639" s="316"/>
      <c r="AL1639" s="316"/>
      <c r="AM1639" s="416"/>
      <c r="AR1639" s="333"/>
      <c r="AS1639" s="333"/>
      <c r="AT1639" s="333"/>
      <c r="AU1639" s="333"/>
      <c r="AV1639" s="333"/>
    </row>
    <row r="1640" spans="2:48" s="330" customFormat="1" ht="28.15" customHeight="1" x14ac:dyDescent="0.25">
      <c r="B1640" s="331"/>
      <c r="C1640" s="332"/>
      <c r="D1640" s="332"/>
      <c r="E1640" s="333"/>
      <c r="F1640" s="333"/>
      <c r="R1640" s="316"/>
      <c r="S1640" s="404"/>
      <c r="T1640" s="404"/>
      <c r="U1640" s="404"/>
      <c r="V1640" s="404"/>
      <c r="W1640" s="316"/>
      <c r="X1640" s="316"/>
      <c r="Y1640" s="316"/>
      <c r="Z1640" s="316"/>
      <c r="AA1640" s="404"/>
      <c r="AB1640" s="404"/>
      <c r="AC1640" s="404"/>
      <c r="AD1640" s="404"/>
      <c r="AE1640" s="316"/>
      <c r="AF1640" s="316"/>
      <c r="AG1640" s="404"/>
      <c r="AH1640" s="316"/>
      <c r="AI1640" s="316"/>
      <c r="AJ1640" s="316"/>
      <c r="AK1640" s="316"/>
      <c r="AL1640" s="316"/>
      <c r="AM1640" s="416"/>
      <c r="AR1640" s="333"/>
      <c r="AS1640" s="333"/>
      <c r="AT1640" s="333"/>
      <c r="AU1640" s="333"/>
      <c r="AV1640" s="333"/>
    </row>
    <row r="1641" spans="2:48" s="330" customFormat="1" ht="28.15" customHeight="1" x14ac:dyDescent="0.25">
      <c r="B1641" s="331"/>
      <c r="C1641" s="332"/>
      <c r="D1641" s="332"/>
      <c r="E1641" s="333"/>
      <c r="F1641" s="333"/>
      <c r="R1641" s="316"/>
      <c r="S1641" s="404"/>
      <c r="T1641" s="404"/>
      <c r="U1641" s="404"/>
      <c r="V1641" s="404"/>
      <c r="W1641" s="316"/>
      <c r="X1641" s="316"/>
      <c r="Y1641" s="316"/>
      <c r="Z1641" s="316"/>
      <c r="AA1641" s="404"/>
      <c r="AB1641" s="404"/>
      <c r="AC1641" s="404"/>
      <c r="AD1641" s="404"/>
      <c r="AE1641" s="316"/>
      <c r="AF1641" s="316"/>
      <c r="AG1641" s="404"/>
      <c r="AH1641" s="316"/>
      <c r="AI1641" s="316"/>
      <c r="AJ1641" s="316"/>
      <c r="AK1641" s="316"/>
      <c r="AL1641" s="316"/>
      <c r="AM1641" s="416"/>
      <c r="AR1641" s="333"/>
      <c r="AS1641" s="333"/>
      <c r="AT1641" s="333"/>
      <c r="AU1641" s="333"/>
      <c r="AV1641" s="333"/>
    </row>
    <row r="1642" spans="2:48" s="330" customFormat="1" ht="28.15" customHeight="1" x14ac:dyDescent="0.25">
      <c r="B1642" s="331"/>
      <c r="C1642" s="332"/>
      <c r="D1642" s="332"/>
      <c r="E1642" s="333"/>
      <c r="F1642" s="333"/>
      <c r="R1642" s="316"/>
      <c r="S1642" s="404"/>
      <c r="T1642" s="404"/>
      <c r="U1642" s="404"/>
      <c r="V1642" s="404"/>
      <c r="W1642" s="316"/>
      <c r="X1642" s="316"/>
      <c r="Y1642" s="316"/>
      <c r="Z1642" s="316"/>
      <c r="AA1642" s="404"/>
      <c r="AB1642" s="404"/>
      <c r="AC1642" s="404"/>
      <c r="AD1642" s="404"/>
      <c r="AE1642" s="316"/>
      <c r="AF1642" s="316"/>
      <c r="AG1642" s="404"/>
      <c r="AH1642" s="316"/>
      <c r="AI1642" s="316"/>
      <c r="AJ1642" s="316"/>
      <c r="AK1642" s="316"/>
      <c r="AL1642" s="316"/>
      <c r="AM1642" s="416"/>
      <c r="AR1642" s="333"/>
      <c r="AS1642" s="333"/>
      <c r="AT1642" s="333"/>
      <c r="AU1642" s="333"/>
      <c r="AV1642" s="333"/>
    </row>
    <row r="1643" spans="2:48" s="330" customFormat="1" ht="28.15" customHeight="1" x14ac:dyDescent="0.25">
      <c r="B1643" s="331"/>
      <c r="C1643" s="332"/>
      <c r="D1643" s="332"/>
      <c r="E1643" s="333"/>
      <c r="F1643" s="333"/>
      <c r="R1643" s="316"/>
      <c r="S1643" s="404"/>
      <c r="T1643" s="404"/>
      <c r="U1643" s="404"/>
      <c r="V1643" s="404"/>
      <c r="W1643" s="316"/>
      <c r="X1643" s="316"/>
      <c r="Y1643" s="316"/>
      <c r="Z1643" s="316"/>
      <c r="AA1643" s="404"/>
      <c r="AB1643" s="404"/>
      <c r="AC1643" s="404"/>
      <c r="AD1643" s="404"/>
      <c r="AE1643" s="316"/>
      <c r="AF1643" s="316"/>
      <c r="AG1643" s="404"/>
      <c r="AH1643" s="316"/>
      <c r="AI1643" s="316"/>
      <c r="AJ1643" s="316"/>
      <c r="AK1643" s="316"/>
      <c r="AL1643" s="316"/>
      <c r="AM1643" s="416"/>
      <c r="AR1643" s="333"/>
      <c r="AS1643" s="333"/>
      <c r="AT1643" s="333"/>
      <c r="AU1643" s="333"/>
      <c r="AV1643" s="333"/>
    </row>
    <row r="1644" spans="2:48" s="330" customFormat="1" ht="28.15" customHeight="1" x14ac:dyDescent="0.25">
      <c r="B1644" s="331"/>
      <c r="C1644" s="332"/>
      <c r="D1644" s="332"/>
      <c r="E1644" s="333"/>
      <c r="F1644" s="333"/>
      <c r="R1644" s="316"/>
      <c r="S1644" s="404"/>
      <c r="T1644" s="404"/>
      <c r="U1644" s="404"/>
      <c r="V1644" s="404"/>
      <c r="W1644" s="316"/>
      <c r="X1644" s="316"/>
      <c r="Y1644" s="316"/>
      <c r="Z1644" s="316"/>
      <c r="AA1644" s="404"/>
      <c r="AB1644" s="404"/>
      <c r="AC1644" s="404"/>
      <c r="AD1644" s="404"/>
      <c r="AE1644" s="316"/>
      <c r="AF1644" s="316"/>
      <c r="AG1644" s="404"/>
      <c r="AH1644" s="316"/>
      <c r="AI1644" s="316"/>
      <c r="AJ1644" s="316"/>
      <c r="AK1644" s="316"/>
      <c r="AL1644" s="316"/>
      <c r="AM1644" s="416"/>
      <c r="AR1644" s="333"/>
      <c r="AS1644" s="333"/>
      <c r="AT1644" s="333"/>
      <c r="AU1644" s="333"/>
      <c r="AV1644" s="333"/>
    </row>
    <row r="1645" spans="2:48" s="330" customFormat="1" ht="28.15" customHeight="1" x14ac:dyDescent="0.25">
      <c r="B1645" s="331"/>
      <c r="C1645" s="332"/>
      <c r="D1645" s="332"/>
      <c r="E1645" s="333"/>
      <c r="F1645" s="333"/>
      <c r="R1645" s="316"/>
      <c r="S1645" s="404"/>
      <c r="T1645" s="404"/>
      <c r="U1645" s="404"/>
      <c r="V1645" s="404"/>
      <c r="W1645" s="316"/>
      <c r="X1645" s="316"/>
      <c r="Y1645" s="316"/>
      <c r="Z1645" s="316"/>
      <c r="AA1645" s="404"/>
      <c r="AB1645" s="404"/>
      <c r="AC1645" s="404"/>
      <c r="AD1645" s="404"/>
      <c r="AE1645" s="316"/>
      <c r="AF1645" s="316"/>
      <c r="AG1645" s="404"/>
      <c r="AH1645" s="316"/>
      <c r="AI1645" s="316"/>
      <c r="AJ1645" s="316"/>
      <c r="AK1645" s="316"/>
      <c r="AL1645" s="316"/>
      <c r="AM1645" s="416"/>
      <c r="AR1645" s="333"/>
      <c r="AS1645" s="333"/>
      <c r="AT1645" s="333"/>
      <c r="AU1645" s="333"/>
      <c r="AV1645" s="333"/>
    </row>
    <row r="1646" spans="2:48" s="330" customFormat="1" ht="28.15" customHeight="1" x14ac:dyDescent="0.25">
      <c r="B1646" s="331"/>
      <c r="C1646" s="332"/>
      <c r="D1646" s="332"/>
      <c r="E1646" s="333"/>
      <c r="F1646" s="333"/>
      <c r="R1646" s="316"/>
      <c r="S1646" s="404"/>
      <c r="T1646" s="404"/>
      <c r="U1646" s="404"/>
      <c r="V1646" s="404"/>
      <c r="W1646" s="316"/>
      <c r="X1646" s="316"/>
      <c r="Y1646" s="316"/>
      <c r="Z1646" s="316"/>
      <c r="AA1646" s="404"/>
      <c r="AB1646" s="404"/>
      <c r="AC1646" s="404"/>
      <c r="AD1646" s="404"/>
      <c r="AE1646" s="316"/>
      <c r="AF1646" s="316"/>
      <c r="AG1646" s="404"/>
      <c r="AH1646" s="316"/>
      <c r="AI1646" s="316"/>
      <c r="AJ1646" s="316"/>
      <c r="AK1646" s="316"/>
      <c r="AL1646" s="316"/>
      <c r="AM1646" s="416"/>
      <c r="AR1646" s="333"/>
      <c r="AS1646" s="333"/>
      <c r="AT1646" s="333"/>
      <c r="AU1646" s="333"/>
      <c r="AV1646" s="333"/>
    </row>
    <row r="1647" spans="2:48" s="330" customFormat="1" ht="28.15" customHeight="1" x14ac:dyDescent="0.25">
      <c r="B1647" s="331"/>
      <c r="C1647" s="332"/>
      <c r="D1647" s="332"/>
      <c r="E1647" s="333"/>
      <c r="F1647" s="333"/>
      <c r="R1647" s="316"/>
      <c r="S1647" s="404"/>
      <c r="T1647" s="404"/>
      <c r="U1647" s="404"/>
      <c r="V1647" s="404"/>
      <c r="W1647" s="316"/>
      <c r="X1647" s="316"/>
      <c r="Y1647" s="316"/>
      <c r="Z1647" s="316"/>
      <c r="AA1647" s="404"/>
      <c r="AB1647" s="404"/>
      <c r="AC1647" s="404"/>
      <c r="AD1647" s="404"/>
      <c r="AE1647" s="316"/>
      <c r="AF1647" s="316"/>
      <c r="AG1647" s="404"/>
      <c r="AH1647" s="316"/>
      <c r="AI1647" s="316"/>
      <c r="AJ1647" s="316"/>
      <c r="AK1647" s="316"/>
      <c r="AL1647" s="316"/>
      <c r="AM1647" s="416"/>
      <c r="AR1647" s="333"/>
      <c r="AS1647" s="333"/>
      <c r="AT1647" s="333"/>
      <c r="AU1647" s="333"/>
      <c r="AV1647" s="333"/>
    </row>
    <row r="1648" spans="2:48" s="330" customFormat="1" ht="28.15" customHeight="1" x14ac:dyDescent="0.25">
      <c r="B1648" s="331"/>
      <c r="C1648" s="332"/>
      <c r="D1648" s="332"/>
      <c r="E1648" s="333"/>
      <c r="F1648" s="333"/>
      <c r="R1648" s="316"/>
      <c r="S1648" s="404"/>
      <c r="T1648" s="404"/>
      <c r="U1648" s="404"/>
      <c r="V1648" s="404"/>
      <c r="W1648" s="316"/>
      <c r="X1648" s="316"/>
      <c r="Y1648" s="316"/>
      <c r="Z1648" s="316"/>
      <c r="AA1648" s="404"/>
      <c r="AB1648" s="404"/>
      <c r="AC1648" s="404"/>
      <c r="AD1648" s="404"/>
      <c r="AE1648" s="316"/>
      <c r="AF1648" s="316"/>
      <c r="AG1648" s="404"/>
      <c r="AH1648" s="316"/>
      <c r="AI1648" s="316"/>
      <c r="AJ1648" s="316"/>
      <c r="AK1648" s="316"/>
      <c r="AL1648" s="316"/>
      <c r="AM1648" s="416"/>
      <c r="AR1648" s="333"/>
      <c r="AS1648" s="333"/>
      <c r="AT1648" s="333"/>
      <c r="AU1648" s="333"/>
      <c r="AV1648" s="333"/>
    </row>
    <row r="1649" spans="2:48" s="330" customFormat="1" ht="28.15" customHeight="1" x14ac:dyDescent="0.25">
      <c r="B1649" s="331"/>
      <c r="C1649" s="332"/>
      <c r="D1649" s="332"/>
      <c r="E1649" s="333"/>
      <c r="F1649" s="333"/>
      <c r="R1649" s="316"/>
      <c r="S1649" s="404"/>
      <c r="T1649" s="404"/>
      <c r="U1649" s="404"/>
      <c r="V1649" s="404"/>
      <c r="W1649" s="316"/>
      <c r="X1649" s="316"/>
      <c r="Y1649" s="316"/>
      <c r="Z1649" s="316"/>
      <c r="AA1649" s="404"/>
      <c r="AB1649" s="404"/>
      <c r="AC1649" s="404"/>
      <c r="AD1649" s="404"/>
      <c r="AE1649" s="316"/>
      <c r="AF1649" s="316"/>
      <c r="AG1649" s="404"/>
      <c r="AH1649" s="316"/>
      <c r="AI1649" s="316"/>
      <c r="AJ1649" s="316"/>
      <c r="AK1649" s="316"/>
      <c r="AL1649" s="316"/>
      <c r="AM1649" s="416"/>
      <c r="AR1649" s="333"/>
      <c r="AS1649" s="333"/>
      <c r="AT1649" s="333"/>
      <c r="AU1649" s="333"/>
      <c r="AV1649" s="333"/>
    </row>
    <row r="1650" spans="2:48" s="330" customFormat="1" ht="28.15" customHeight="1" x14ac:dyDescent="0.25">
      <c r="B1650" s="331"/>
      <c r="C1650" s="332"/>
      <c r="D1650" s="332"/>
      <c r="E1650" s="333"/>
      <c r="F1650" s="333"/>
      <c r="R1650" s="316"/>
      <c r="S1650" s="404"/>
      <c r="T1650" s="404"/>
      <c r="U1650" s="404"/>
      <c r="V1650" s="404"/>
      <c r="W1650" s="316"/>
      <c r="X1650" s="316"/>
      <c r="Y1650" s="316"/>
      <c r="Z1650" s="316"/>
      <c r="AA1650" s="404"/>
      <c r="AB1650" s="404"/>
      <c r="AC1650" s="404"/>
      <c r="AD1650" s="404"/>
      <c r="AE1650" s="316"/>
      <c r="AF1650" s="316"/>
      <c r="AG1650" s="404"/>
      <c r="AH1650" s="316"/>
      <c r="AI1650" s="316"/>
      <c r="AJ1650" s="316"/>
      <c r="AK1650" s="316"/>
      <c r="AL1650" s="316"/>
      <c r="AM1650" s="416"/>
      <c r="AR1650" s="333"/>
      <c r="AS1650" s="333"/>
      <c r="AT1650" s="333"/>
      <c r="AU1650" s="333"/>
      <c r="AV1650" s="333"/>
    </row>
    <row r="1651" spans="2:48" s="330" customFormat="1" ht="28.15" customHeight="1" x14ac:dyDescent="0.25">
      <c r="B1651" s="331"/>
      <c r="C1651" s="332"/>
      <c r="D1651" s="332"/>
      <c r="E1651" s="333"/>
      <c r="F1651" s="333"/>
      <c r="R1651" s="316"/>
      <c r="S1651" s="404"/>
      <c r="T1651" s="404"/>
      <c r="U1651" s="404"/>
      <c r="V1651" s="404"/>
      <c r="W1651" s="316"/>
      <c r="X1651" s="316"/>
      <c r="Y1651" s="316"/>
      <c r="Z1651" s="316"/>
      <c r="AA1651" s="404"/>
      <c r="AB1651" s="404"/>
      <c r="AC1651" s="404"/>
      <c r="AD1651" s="404"/>
      <c r="AE1651" s="316"/>
      <c r="AF1651" s="316"/>
      <c r="AG1651" s="404"/>
      <c r="AH1651" s="316"/>
      <c r="AI1651" s="316"/>
      <c r="AJ1651" s="316"/>
      <c r="AK1651" s="316"/>
      <c r="AL1651" s="316"/>
      <c r="AM1651" s="416"/>
      <c r="AR1651" s="333"/>
      <c r="AS1651" s="333"/>
      <c r="AT1651" s="333"/>
      <c r="AU1651" s="333"/>
      <c r="AV1651" s="333"/>
    </row>
    <row r="1652" spans="2:48" s="330" customFormat="1" ht="28.15" customHeight="1" x14ac:dyDescent="0.25">
      <c r="B1652" s="331"/>
      <c r="C1652" s="332"/>
      <c r="D1652" s="332"/>
      <c r="E1652" s="333"/>
      <c r="F1652" s="333"/>
      <c r="R1652" s="316"/>
      <c r="S1652" s="404"/>
      <c r="T1652" s="404"/>
      <c r="U1652" s="404"/>
      <c r="V1652" s="404"/>
      <c r="W1652" s="316"/>
      <c r="X1652" s="316"/>
      <c r="Y1652" s="316"/>
      <c r="Z1652" s="316"/>
      <c r="AA1652" s="404"/>
      <c r="AB1652" s="404"/>
      <c r="AC1652" s="404"/>
      <c r="AD1652" s="404"/>
      <c r="AE1652" s="316"/>
      <c r="AF1652" s="316"/>
      <c r="AG1652" s="404"/>
      <c r="AH1652" s="316"/>
      <c r="AI1652" s="316"/>
      <c r="AJ1652" s="316"/>
      <c r="AK1652" s="316"/>
      <c r="AL1652" s="316"/>
      <c r="AM1652" s="416"/>
      <c r="AR1652" s="333"/>
      <c r="AS1652" s="333"/>
      <c r="AT1652" s="333"/>
      <c r="AU1652" s="333"/>
      <c r="AV1652" s="333"/>
    </row>
    <row r="1653" spans="2:48" s="330" customFormat="1" ht="28.15" customHeight="1" x14ac:dyDescent="0.25">
      <c r="B1653" s="331"/>
      <c r="C1653" s="332"/>
      <c r="D1653" s="332"/>
      <c r="E1653" s="333"/>
      <c r="F1653" s="333"/>
      <c r="R1653" s="316"/>
      <c r="S1653" s="404"/>
      <c r="T1653" s="404"/>
      <c r="U1653" s="404"/>
      <c r="V1653" s="404"/>
      <c r="W1653" s="316"/>
      <c r="X1653" s="316"/>
      <c r="Y1653" s="316"/>
      <c r="Z1653" s="316"/>
      <c r="AA1653" s="404"/>
      <c r="AB1653" s="404"/>
      <c r="AC1653" s="404"/>
      <c r="AD1653" s="404"/>
      <c r="AE1653" s="316"/>
      <c r="AF1653" s="316"/>
      <c r="AG1653" s="404"/>
      <c r="AH1653" s="316"/>
      <c r="AI1653" s="316"/>
      <c r="AJ1653" s="316"/>
      <c r="AK1653" s="316"/>
      <c r="AL1653" s="316"/>
      <c r="AM1653" s="416"/>
      <c r="AR1653" s="333"/>
      <c r="AS1653" s="333"/>
      <c r="AT1653" s="333"/>
      <c r="AU1653" s="333"/>
      <c r="AV1653" s="333"/>
    </row>
    <row r="1654" spans="2:48" s="330" customFormat="1" ht="28.15" customHeight="1" x14ac:dyDescent="0.25">
      <c r="B1654" s="331"/>
      <c r="C1654" s="332"/>
      <c r="D1654" s="332"/>
      <c r="E1654" s="333"/>
      <c r="F1654" s="333"/>
      <c r="R1654" s="316"/>
      <c r="S1654" s="404"/>
      <c r="T1654" s="404"/>
      <c r="U1654" s="404"/>
      <c r="V1654" s="404"/>
      <c r="W1654" s="316"/>
      <c r="X1654" s="316"/>
      <c r="Y1654" s="316"/>
      <c r="Z1654" s="316"/>
      <c r="AA1654" s="404"/>
      <c r="AB1654" s="404"/>
      <c r="AC1654" s="404"/>
      <c r="AD1654" s="404"/>
      <c r="AE1654" s="316"/>
      <c r="AF1654" s="316"/>
      <c r="AG1654" s="404"/>
      <c r="AH1654" s="316"/>
      <c r="AI1654" s="316"/>
      <c r="AJ1654" s="316"/>
      <c r="AK1654" s="316"/>
      <c r="AL1654" s="316"/>
      <c r="AM1654" s="416"/>
      <c r="AR1654" s="333"/>
      <c r="AS1654" s="333"/>
      <c r="AT1654" s="333"/>
      <c r="AU1654" s="333"/>
      <c r="AV1654" s="333"/>
    </row>
    <row r="1655" spans="2:48" s="330" customFormat="1" ht="28.15" customHeight="1" x14ac:dyDescent="0.25">
      <c r="B1655" s="331"/>
      <c r="C1655" s="332"/>
      <c r="D1655" s="332"/>
      <c r="E1655" s="333"/>
      <c r="F1655" s="333"/>
      <c r="R1655" s="316"/>
      <c r="S1655" s="404"/>
      <c r="T1655" s="404"/>
      <c r="U1655" s="404"/>
      <c r="V1655" s="404"/>
      <c r="W1655" s="316"/>
      <c r="X1655" s="316"/>
      <c r="Y1655" s="316"/>
      <c r="Z1655" s="316"/>
      <c r="AA1655" s="404"/>
      <c r="AB1655" s="404"/>
      <c r="AC1655" s="404"/>
      <c r="AD1655" s="404"/>
      <c r="AE1655" s="316"/>
      <c r="AF1655" s="316"/>
      <c r="AG1655" s="404"/>
      <c r="AH1655" s="316"/>
      <c r="AI1655" s="316"/>
      <c r="AJ1655" s="316"/>
      <c r="AK1655" s="316"/>
      <c r="AL1655" s="316"/>
      <c r="AM1655" s="416"/>
      <c r="AR1655" s="333"/>
      <c r="AS1655" s="333"/>
      <c r="AT1655" s="333"/>
      <c r="AU1655" s="333"/>
      <c r="AV1655" s="333"/>
    </row>
    <row r="1656" spans="2:48" s="330" customFormat="1" ht="28.15" customHeight="1" x14ac:dyDescent="0.25">
      <c r="B1656" s="331"/>
      <c r="C1656" s="332"/>
      <c r="D1656" s="332"/>
      <c r="E1656" s="333"/>
      <c r="F1656" s="333"/>
      <c r="R1656" s="316"/>
      <c r="S1656" s="404"/>
      <c r="T1656" s="404"/>
      <c r="U1656" s="404"/>
      <c r="V1656" s="404"/>
      <c r="W1656" s="316"/>
      <c r="X1656" s="316"/>
      <c r="Y1656" s="316"/>
      <c r="Z1656" s="316"/>
      <c r="AA1656" s="404"/>
      <c r="AB1656" s="404"/>
      <c r="AC1656" s="404"/>
      <c r="AD1656" s="404"/>
      <c r="AE1656" s="316"/>
      <c r="AF1656" s="316"/>
      <c r="AG1656" s="404"/>
      <c r="AH1656" s="316"/>
      <c r="AI1656" s="316"/>
      <c r="AJ1656" s="316"/>
      <c r="AK1656" s="316"/>
      <c r="AL1656" s="316"/>
      <c r="AM1656" s="416"/>
      <c r="AR1656" s="333"/>
      <c r="AS1656" s="333"/>
      <c r="AT1656" s="333"/>
      <c r="AU1656" s="333"/>
      <c r="AV1656" s="333"/>
    </row>
    <row r="1657" spans="2:48" s="330" customFormat="1" ht="28.15" customHeight="1" x14ac:dyDescent="0.25">
      <c r="B1657" s="331"/>
      <c r="C1657" s="332"/>
      <c r="D1657" s="332"/>
      <c r="E1657" s="333"/>
      <c r="F1657" s="333"/>
      <c r="R1657" s="316"/>
      <c r="S1657" s="404"/>
      <c r="T1657" s="404"/>
      <c r="U1657" s="404"/>
      <c r="V1657" s="404"/>
      <c r="W1657" s="316"/>
      <c r="X1657" s="316"/>
      <c r="Y1657" s="316"/>
      <c r="Z1657" s="316"/>
      <c r="AA1657" s="404"/>
      <c r="AB1657" s="404"/>
      <c r="AC1657" s="404"/>
      <c r="AD1657" s="404"/>
      <c r="AE1657" s="316"/>
      <c r="AF1657" s="316"/>
      <c r="AG1657" s="404"/>
      <c r="AH1657" s="316"/>
      <c r="AI1657" s="316"/>
      <c r="AJ1657" s="316"/>
      <c r="AK1657" s="316"/>
      <c r="AL1657" s="316"/>
      <c r="AM1657" s="416"/>
      <c r="AR1657" s="333"/>
      <c r="AS1657" s="333"/>
      <c r="AT1657" s="333"/>
      <c r="AU1657" s="333"/>
      <c r="AV1657" s="333"/>
    </row>
    <row r="1658" spans="2:48" s="330" customFormat="1" ht="28.15" customHeight="1" x14ac:dyDescent="0.25">
      <c r="B1658" s="331"/>
      <c r="C1658" s="332"/>
      <c r="D1658" s="332"/>
      <c r="E1658" s="333"/>
      <c r="F1658" s="333"/>
      <c r="R1658" s="316"/>
      <c r="S1658" s="404"/>
      <c r="T1658" s="404"/>
      <c r="U1658" s="404"/>
      <c r="V1658" s="404"/>
      <c r="W1658" s="316"/>
      <c r="X1658" s="316"/>
      <c r="Y1658" s="316"/>
      <c r="Z1658" s="316"/>
      <c r="AA1658" s="404"/>
      <c r="AB1658" s="404"/>
      <c r="AC1658" s="404"/>
      <c r="AD1658" s="404"/>
      <c r="AE1658" s="316"/>
      <c r="AF1658" s="316"/>
      <c r="AG1658" s="404"/>
      <c r="AH1658" s="316"/>
      <c r="AI1658" s="316"/>
      <c r="AJ1658" s="316"/>
      <c r="AK1658" s="316"/>
      <c r="AL1658" s="316"/>
      <c r="AM1658" s="416"/>
      <c r="AR1658" s="333"/>
      <c r="AS1658" s="333"/>
      <c r="AT1658" s="333"/>
      <c r="AU1658" s="333"/>
      <c r="AV1658" s="333"/>
    </row>
    <row r="1659" spans="2:48" s="330" customFormat="1" ht="28.15" customHeight="1" x14ac:dyDescent="0.25">
      <c r="B1659" s="331"/>
      <c r="C1659" s="332"/>
      <c r="D1659" s="332"/>
      <c r="E1659" s="333"/>
      <c r="F1659" s="333"/>
      <c r="R1659" s="316"/>
      <c r="S1659" s="404"/>
      <c r="T1659" s="404"/>
      <c r="U1659" s="404"/>
      <c r="V1659" s="404"/>
      <c r="W1659" s="316"/>
      <c r="X1659" s="316"/>
      <c r="Y1659" s="316"/>
      <c r="Z1659" s="316"/>
      <c r="AA1659" s="404"/>
      <c r="AB1659" s="404"/>
      <c r="AC1659" s="404"/>
      <c r="AD1659" s="404"/>
      <c r="AE1659" s="316"/>
      <c r="AF1659" s="316"/>
      <c r="AG1659" s="404"/>
      <c r="AH1659" s="316"/>
      <c r="AI1659" s="316"/>
      <c r="AJ1659" s="316"/>
      <c r="AK1659" s="316"/>
      <c r="AL1659" s="316"/>
      <c r="AM1659" s="416"/>
      <c r="AR1659" s="333"/>
      <c r="AS1659" s="333"/>
      <c r="AT1659" s="333"/>
      <c r="AU1659" s="333"/>
      <c r="AV1659" s="333"/>
    </row>
    <row r="1660" spans="2:48" s="330" customFormat="1" ht="28.15" customHeight="1" x14ac:dyDescent="0.25">
      <c r="B1660" s="331"/>
      <c r="C1660" s="332"/>
      <c r="D1660" s="332"/>
      <c r="E1660" s="333"/>
      <c r="F1660" s="333"/>
      <c r="R1660" s="316"/>
      <c r="S1660" s="404"/>
      <c r="T1660" s="404"/>
      <c r="U1660" s="404"/>
      <c r="V1660" s="404"/>
      <c r="W1660" s="316"/>
      <c r="X1660" s="316"/>
      <c r="Y1660" s="316"/>
      <c r="Z1660" s="316"/>
      <c r="AA1660" s="404"/>
      <c r="AB1660" s="404"/>
      <c r="AC1660" s="404"/>
      <c r="AD1660" s="404"/>
      <c r="AE1660" s="316"/>
      <c r="AF1660" s="316"/>
      <c r="AG1660" s="404"/>
      <c r="AH1660" s="316"/>
      <c r="AI1660" s="316"/>
      <c r="AJ1660" s="316"/>
      <c r="AK1660" s="316"/>
      <c r="AL1660" s="316"/>
      <c r="AM1660" s="416"/>
      <c r="AR1660" s="333"/>
      <c r="AS1660" s="333"/>
      <c r="AT1660" s="333"/>
      <c r="AU1660" s="333"/>
      <c r="AV1660" s="333"/>
    </row>
    <row r="1661" spans="2:48" s="330" customFormat="1" ht="28.15" customHeight="1" x14ac:dyDescent="0.25">
      <c r="B1661" s="331"/>
      <c r="C1661" s="332"/>
      <c r="D1661" s="332"/>
      <c r="E1661" s="333"/>
      <c r="F1661" s="333"/>
      <c r="R1661" s="316"/>
      <c r="S1661" s="404"/>
      <c r="T1661" s="404"/>
      <c r="U1661" s="404"/>
      <c r="V1661" s="404"/>
      <c r="W1661" s="316"/>
      <c r="X1661" s="316"/>
      <c r="Y1661" s="316"/>
      <c r="Z1661" s="316"/>
      <c r="AA1661" s="404"/>
      <c r="AB1661" s="404"/>
      <c r="AC1661" s="404"/>
      <c r="AD1661" s="404"/>
      <c r="AE1661" s="316"/>
      <c r="AF1661" s="316"/>
      <c r="AG1661" s="404"/>
      <c r="AH1661" s="316"/>
      <c r="AI1661" s="316"/>
      <c r="AJ1661" s="316"/>
      <c r="AK1661" s="316"/>
      <c r="AL1661" s="316"/>
      <c r="AM1661" s="416"/>
      <c r="AR1661" s="333"/>
      <c r="AS1661" s="333"/>
      <c r="AT1661" s="333"/>
      <c r="AU1661" s="333"/>
      <c r="AV1661" s="333"/>
    </row>
    <row r="1662" spans="2:48" s="330" customFormat="1" ht="28.15" customHeight="1" x14ac:dyDescent="0.25">
      <c r="B1662" s="331"/>
      <c r="C1662" s="332"/>
      <c r="D1662" s="332"/>
      <c r="E1662" s="333"/>
      <c r="F1662" s="333"/>
      <c r="R1662" s="316"/>
      <c r="S1662" s="404"/>
      <c r="T1662" s="404"/>
      <c r="U1662" s="404"/>
      <c r="V1662" s="404"/>
      <c r="W1662" s="316"/>
      <c r="X1662" s="316"/>
      <c r="Y1662" s="316"/>
      <c r="Z1662" s="316"/>
      <c r="AA1662" s="404"/>
      <c r="AB1662" s="404"/>
      <c r="AC1662" s="404"/>
      <c r="AD1662" s="404"/>
      <c r="AE1662" s="316"/>
      <c r="AF1662" s="316"/>
      <c r="AG1662" s="404"/>
      <c r="AH1662" s="316"/>
      <c r="AI1662" s="316"/>
      <c r="AJ1662" s="316"/>
      <c r="AK1662" s="316"/>
      <c r="AL1662" s="316"/>
      <c r="AM1662" s="416"/>
      <c r="AR1662" s="333"/>
      <c r="AS1662" s="333"/>
      <c r="AT1662" s="333"/>
      <c r="AU1662" s="333"/>
      <c r="AV1662" s="333"/>
    </row>
    <row r="1663" spans="2:48" s="330" customFormat="1" ht="28.15" customHeight="1" x14ac:dyDescent="0.25">
      <c r="B1663" s="331"/>
      <c r="C1663" s="332"/>
      <c r="D1663" s="332"/>
      <c r="E1663" s="333"/>
      <c r="F1663" s="333"/>
      <c r="R1663" s="316"/>
      <c r="S1663" s="404"/>
      <c r="T1663" s="404"/>
      <c r="U1663" s="404"/>
      <c r="V1663" s="404"/>
      <c r="W1663" s="316"/>
      <c r="X1663" s="316"/>
      <c r="Y1663" s="316"/>
      <c r="Z1663" s="316"/>
      <c r="AA1663" s="404"/>
      <c r="AB1663" s="404"/>
      <c r="AC1663" s="404"/>
      <c r="AD1663" s="404"/>
      <c r="AE1663" s="316"/>
      <c r="AF1663" s="316"/>
      <c r="AG1663" s="404"/>
      <c r="AH1663" s="316"/>
      <c r="AI1663" s="316"/>
      <c r="AJ1663" s="316"/>
      <c r="AK1663" s="316"/>
      <c r="AL1663" s="316"/>
      <c r="AM1663" s="416"/>
      <c r="AR1663" s="333"/>
      <c r="AS1663" s="333"/>
      <c r="AT1663" s="333"/>
      <c r="AU1663" s="333"/>
      <c r="AV1663" s="333"/>
    </row>
    <row r="1664" spans="2:48" s="330" customFormat="1" ht="28.15" customHeight="1" x14ac:dyDescent="0.25">
      <c r="B1664" s="331"/>
      <c r="C1664" s="332"/>
      <c r="D1664" s="332"/>
      <c r="E1664" s="333"/>
      <c r="F1664" s="333"/>
      <c r="R1664" s="316"/>
      <c r="S1664" s="404"/>
      <c r="T1664" s="404"/>
      <c r="U1664" s="404"/>
      <c r="V1664" s="404"/>
      <c r="W1664" s="316"/>
      <c r="X1664" s="316"/>
      <c r="Y1664" s="316"/>
      <c r="Z1664" s="316"/>
      <c r="AA1664" s="404"/>
      <c r="AB1664" s="404"/>
      <c r="AC1664" s="404"/>
      <c r="AD1664" s="404"/>
      <c r="AE1664" s="316"/>
      <c r="AF1664" s="316"/>
      <c r="AG1664" s="404"/>
      <c r="AH1664" s="316"/>
      <c r="AI1664" s="316"/>
      <c r="AJ1664" s="316"/>
      <c r="AK1664" s="316"/>
      <c r="AL1664" s="316"/>
      <c r="AM1664" s="416"/>
      <c r="AR1664" s="333"/>
      <c r="AS1664" s="333"/>
      <c r="AT1664" s="333"/>
      <c r="AU1664" s="333"/>
      <c r="AV1664" s="333"/>
    </row>
    <row r="1665" spans="2:48" s="330" customFormat="1" ht="28.15" customHeight="1" x14ac:dyDescent="0.25">
      <c r="B1665" s="331"/>
      <c r="C1665" s="332"/>
      <c r="D1665" s="332"/>
      <c r="E1665" s="333"/>
      <c r="F1665" s="333"/>
      <c r="R1665" s="316"/>
      <c r="S1665" s="404"/>
      <c r="T1665" s="404"/>
      <c r="U1665" s="404"/>
      <c r="V1665" s="404"/>
      <c r="W1665" s="316"/>
      <c r="X1665" s="316"/>
      <c r="Y1665" s="316"/>
      <c r="Z1665" s="316"/>
      <c r="AA1665" s="404"/>
      <c r="AB1665" s="404"/>
      <c r="AC1665" s="404"/>
      <c r="AD1665" s="404"/>
      <c r="AE1665" s="316"/>
      <c r="AF1665" s="316"/>
      <c r="AG1665" s="404"/>
      <c r="AH1665" s="316"/>
      <c r="AI1665" s="316"/>
      <c r="AJ1665" s="316"/>
      <c r="AK1665" s="316"/>
      <c r="AL1665" s="316"/>
      <c r="AM1665" s="416"/>
      <c r="AR1665" s="333"/>
      <c r="AS1665" s="333"/>
      <c r="AT1665" s="333"/>
      <c r="AU1665" s="333"/>
      <c r="AV1665" s="333"/>
    </row>
    <row r="1666" spans="2:48" s="330" customFormat="1" ht="28.15" customHeight="1" x14ac:dyDescent="0.25">
      <c r="B1666" s="331"/>
      <c r="C1666" s="332"/>
      <c r="D1666" s="332"/>
      <c r="E1666" s="333"/>
      <c r="F1666" s="333"/>
      <c r="R1666" s="316"/>
      <c r="S1666" s="404"/>
      <c r="T1666" s="404"/>
      <c r="U1666" s="404"/>
      <c r="V1666" s="404"/>
      <c r="W1666" s="316"/>
      <c r="X1666" s="316"/>
      <c r="Y1666" s="316"/>
      <c r="Z1666" s="316"/>
      <c r="AA1666" s="404"/>
      <c r="AB1666" s="404"/>
      <c r="AC1666" s="404"/>
      <c r="AD1666" s="404"/>
      <c r="AE1666" s="316"/>
      <c r="AF1666" s="316"/>
      <c r="AG1666" s="404"/>
      <c r="AH1666" s="316"/>
      <c r="AI1666" s="316"/>
      <c r="AJ1666" s="316"/>
      <c r="AK1666" s="316"/>
      <c r="AL1666" s="316"/>
      <c r="AM1666" s="416"/>
      <c r="AR1666" s="333"/>
      <c r="AS1666" s="333"/>
      <c r="AT1666" s="333"/>
      <c r="AU1666" s="333"/>
      <c r="AV1666" s="333"/>
    </row>
    <row r="1667" spans="2:48" s="330" customFormat="1" ht="28.15" customHeight="1" x14ac:dyDescent="0.25">
      <c r="B1667" s="331"/>
      <c r="C1667" s="332"/>
      <c r="D1667" s="332"/>
      <c r="E1667" s="333"/>
      <c r="F1667" s="333"/>
      <c r="R1667" s="316"/>
      <c r="S1667" s="404"/>
      <c r="T1667" s="404"/>
      <c r="U1667" s="404"/>
      <c r="V1667" s="404"/>
      <c r="W1667" s="316"/>
      <c r="X1667" s="316"/>
      <c r="Y1667" s="316"/>
      <c r="Z1667" s="316"/>
      <c r="AA1667" s="404"/>
      <c r="AB1667" s="404"/>
      <c r="AC1667" s="404"/>
      <c r="AD1667" s="404"/>
      <c r="AE1667" s="316"/>
      <c r="AF1667" s="316"/>
      <c r="AG1667" s="404"/>
      <c r="AH1667" s="316"/>
      <c r="AI1667" s="316"/>
      <c r="AJ1667" s="316"/>
      <c r="AK1667" s="316"/>
      <c r="AL1667" s="316"/>
      <c r="AM1667" s="416"/>
      <c r="AR1667" s="333"/>
      <c r="AS1667" s="333"/>
      <c r="AT1667" s="333"/>
      <c r="AU1667" s="333"/>
      <c r="AV1667" s="333"/>
    </row>
    <row r="1668" spans="2:48" s="330" customFormat="1" ht="28.15" customHeight="1" x14ac:dyDescent="0.25">
      <c r="B1668" s="331"/>
      <c r="C1668" s="332"/>
      <c r="D1668" s="332"/>
      <c r="E1668" s="333"/>
      <c r="F1668" s="333"/>
      <c r="R1668" s="316"/>
      <c r="S1668" s="404"/>
      <c r="T1668" s="404"/>
      <c r="U1668" s="404"/>
      <c r="V1668" s="404"/>
      <c r="W1668" s="316"/>
      <c r="X1668" s="316"/>
      <c r="Y1668" s="316"/>
      <c r="Z1668" s="316"/>
      <c r="AA1668" s="404"/>
      <c r="AB1668" s="404"/>
      <c r="AC1668" s="404"/>
      <c r="AD1668" s="404"/>
      <c r="AE1668" s="316"/>
      <c r="AF1668" s="316"/>
      <c r="AG1668" s="404"/>
      <c r="AH1668" s="316"/>
      <c r="AI1668" s="316"/>
      <c r="AJ1668" s="316"/>
      <c r="AK1668" s="316"/>
      <c r="AL1668" s="316"/>
      <c r="AM1668" s="416"/>
      <c r="AR1668" s="333"/>
      <c r="AS1668" s="333"/>
      <c r="AT1668" s="333"/>
      <c r="AU1668" s="333"/>
      <c r="AV1668" s="333"/>
    </row>
    <row r="1669" spans="2:48" s="330" customFormat="1" ht="28.15" customHeight="1" x14ac:dyDescent="0.25">
      <c r="B1669" s="331"/>
      <c r="C1669" s="332"/>
      <c r="D1669" s="332"/>
      <c r="E1669" s="333"/>
      <c r="F1669" s="333"/>
      <c r="R1669" s="316"/>
      <c r="S1669" s="404"/>
      <c r="T1669" s="404"/>
      <c r="U1669" s="404"/>
      <c r="V1669" s="404"/>
      <c r="W1669" s="316"/>
      <c r="X1669" s="316"/>
      <c r="Y1669" s="316"/>
      <c r="Z1669" s="316"/>
      <c r="AA1669" s="404"/>
      <c r="AB1669" s="404"/>
      <c r="AC1669" s="404"/>
      <c r="AD1669" s="404"/>
      <c r="AE1669" s="316"/>
      <c r="AF1669" s="316"/>
      <c r="AG1669" s="404"/>
      <c r="AH1669" s="316"/>
      <c r="AI1669" s="316"/>
      <c r="AJ1669" s="316"/>
      <c r="AK1669" s="316"/>
      <c r="AL1669" s="316"/>
      <c r="AM1669" s="416"/>
      <c r="AR1669" s="333"/>
      <c r="AS1669" s="333"/>
      <c r="AT1669" s="333"/>
      <c r="AU1669" s="333"/>
      <c r="AV1669" s="333"/>
    </row>
    <row r="1670" spans="2:48" s="330" customFormat="1" ht="28.15" customHeight="1" x14ac:dyDescent="0.25">
      <c r="B1670" s="331"/>
      <c r="C1670" s="332"/>
      <c r="D1670" s="332"/>
      <c r="E1670" s="333"/>
      <c r="F1670" s="333"/>
      <c r="R1670" s="316"/>
      <c r="S1670" s="404"/>
      <c r="T1670" s="404"/>
      <c r="U1670" s="404"/>
      <c r="V1670" s="404"/>
      <c r="W1670" s="316"/>
      <c r="X1670" s="316"/>
      <c r="Y1670" s="316"/>
      <c r="Z1670" s="316"/>
      <c r="AA1670" s="404"/>
      <c r="AB1670" s="404"/>
      <c r="AC1670" s="404"/>
      <c r="AD1670" s="404"/>
      <c r="AE1670" s="316"/>
      <c r="AF1670" s="316"/>
      <c r="AG1670" s="404"/>
      <c r="AH1670" s="316"/>
      <c r="AI1670" s="316"/>
      <c r="AJ1670" s="316"/>
      <c r="AK1670" s="316"/>
      <c r="AL1670" s="316"/>
      <c r="AM1670" s="416"/>
      <c r="AR1670" s="333"/>
      <c r="AS1670" s="333"/>
      <c r="AT1670" s="333"/>
      <c r="AU1670" s="333"/>
      <c r="AV1670" s="333"/>
    </row>
    <row r="1671" spans="2:48" s="330" customFormat="1" ht="28.15" customHeight="1" x14ac:dyDescent="0.25">
      <c r="B1671" s="331"/>
      <c r="C1671" s="332"/>
      <c r="D1671" s="332"/>
      <c r="E1671" s="333"/>
      <c r="F1671" s="333"/>
      <c r="R1671" s="316"/>
      <c r="S1671" s="404"/>
      <c r="T1671" s="404"/>
      <c r="U1671" s="404"/>
      <c r="V1671" s="404"/>
      <c r="W1671" s="316"/>
      <c r="X1671" s="316"/>
      <c r="Y1671" s="316"/>
      <c r="Z1671" s="316"/>
      <c r="AA1671" s="404"/>
      <c r="AB1671" s="404"/>
      <c r="AC1671" s="404"/>
      <c r="AD1671" s="404"/>
      <c r="AE1671" s="316"/>
      <c r="AF1671" s="316"/>
      <c r="AG1671" s="404"/>
      <c r="AH1671" s="316"/>
      <c r="AI1671" s="316"/>
      <c r="AJ1671" s="316"/>
      <c r="AK1671" s="316"/>
      <c r="AL1671" s="316"/>
      <c r="AM1671" s="416"/>
      <c r="AR1671" s="333"/>
      <c r="AS1671" s="333"/>
      <c r="AT1671" s="333"/>
      <c r="AU1671" s="333"/>
      <c r="AV1671" s="333"/>
    </row>
    <row r="1672" spans="2:48" s="330" customFormat="1" ht="28.15" customHeight="1" x14ac:dyDescent="0.25">
      <c r="B1672" s="331"/>
      <c r="C1672" s="332"/>
      <c r="D1672" s="332"/>
      <c r="E1672" s="333"/>
      <c r="F1672" s="333"/>
      <c r="R1672" s="316"/>
      <c r="S1672" s="404"/>
      <c r="T1672" s="404"/>
      <c r="U1672" s="404"/>
      <c r="V1672" s="404"/>
      <c r="W1672" s="316"/>
      <c r="X1672" s="316"/>
      <c r="Y1672" s="316"/>
      <c r="Z1672" s="316"/>
      <c r="AA1672" s="404"/>
      <c r="AB1672" s="404"/>
      <c r="AC1672" s="404"/>
      <c r="AD1672" s="404"/>
      <c r="AE1672" s="316"/>
      <c r="AF1672" s="316"/>
      <c r="AG1672" s="404"/>
      <c r="AH1672" s="316"/>
      <c r="AI1672" s="316"/>
      <c r="AJ1672" s="316"/>
      <c r="AK1672" s="316"/>
      <c r="AL1672" s="316"/>
      <c r="AM1672" s="416"/>
      <c r="AR1672" s="333"/>
      <c r="AS1672" s="333"/>
      <c r="AT1672" s="333"/>
      <c r="AU1672" s="333"/>
      <c r="AV1672" s="333"/>
    </row>
    <row r="1673" spans="2:48" s="330" customFormat="1" ht="28.15" customHeight="1" x14ac:dyDescent="0.25">
      <c r="B1673" s="331"/>
      <c r="C1673" s="332"/>
      <c r="D1673" s="332"/>
      <c r="E1673" s="333"/>
      <c r="F1673" s="333"/>
      <c r="R1673" s="316"/>
      <c r="S1673" s="404"/>
      <c r="T1673" s="404"/>
      <c r="U1673" s="404"/>
      <c r="V1673" s="404"/>
      <c r="W1673" s="316"/>
      <c r="X1673" s="316"/>
      <c r="Y1673" s="316"/>
      <c r="Z1673" s="316"/>
      <c r="AA1673" s="404"/>
      <c r="AB1673" s="404"/>
      <c r="AC1673" s="404"/>
      <c r="AD1673" s="404"/>
      <c r="AE1673" s="316"/>
      <c r="AF1673" s="316"/>
      <c r="AG1673" s="404"/>
      <c r="AH1673" s="316"/>
      <c r="AI1673" s="316"/>
      <c r="AJ1673" s="316"/>
      <c r="AK1673" s="316"/>
      <c r="AL1673" s="316"/>
      <c r="AM1673" s="416"/>
      <c r="AR1673" s="333"/>
      <c r="AS1673" s="333"/>
      <c r="AT1673" s="333"/>
      <c r="AU1673" s="333"/>
      <c r="AV1673" s="333"/>
    </row>
    <row r="1674" spans="2:48" s="330" customFormat="1" ht="28.15" customHeight="1" x14ac:dyDescent="0.25">
      <c r="B1674" s="331"/>
      <c r="C1674" s="332"/>
      <c r="D1674" s="332"/>
      <c r="E1674" s="333"/>
      <c r="F1674" s="333"/>
      <c r="R1674" s="316"/>
      <c r="S1674" s="404"/>
      <c r="T1674" s="404"/>
      <c r="U1674" s="404"/>
      <c r="V1674" s="404"/>
      <c r="W1674" s="316"/>
      <c r="X1674" s="316"/>
      <c r="Y1674" s="316"/>
      <c r="Z1674" s="316"/>
      <c r="AA1674" s="404"/>
      <c r="AB1674" s="404"/>
      <c r="AC1674" s="404"/>
      <c r="AD1674" s="404"/>
      <c r="AE1674" s="316"/>
      <c r="AF1674" s="316"/>
      <c r="AG1674" s="404"/>
      <c r="AH1674" s="316"/>
      <c r="AI1674" s="316"/>
      <c r="AJ1674" s="316"/>
      <c r="AK1674" s="316"/>
      <c r="AL1674" s="316"/>
      <c r="AM1674" s="416"/>
      <c r="AR1674" s="333"/>
      <c r="AS1674" s="333"/>
      <c r="AT1674" s="333"/>
      <c r="AU1674" s="333"/>
      <c r="AV1674" s="333"/>
    </row>
    <row r="1675" spans="2:48" s="330" customFormat="1" ht="28.15" customHeight="1" x14ac:dyDescent="0.25">
      <c r="B1675" s="331"/>
      <c r="C1675" s="332"/>
      <c r="D1675" s="332"/>
      <c r="E1675" s="333"/>
      <c r="F1675" s="333"/>
      <c r="R1675" s="316"/>
      <c r="S1675" s="404"/>
      <c r="T1675" s="404"/>
      <c r="U1675" s="404"/>
      <c r="V1675" s="404"/>
      <c r="W1675" s="316"/>
      <c r="X1675" s="316"/>
      <c r="Y1675" s="316"/>
      <c r="Z1675" s="316"/>
      <c r="AA1675" s="404"/>
      <c r="AB1675" s="404"/>
      <c r="AC1675" s="404"/>
      <c r="AD1675" s="404"/>
      <c r="AE1675" s="316"/>
      <c r="AF1675" s="316"/>
      <c r="AG1675" s="404"/>
      <c r="AH1675" s="316"/>
      <c r="AI1675" s="316"/>
      <c r="AJ1675" s="316"/>
      <c r="AK1675" s="316"/>
      <c r="AL1675" s="316"/>
      <c r="AM1675" s="416"/>
      <c r="AR1675" s="333"/>
      <c r="AS1675" s="333"/>
      <c r="AT1675" s="333"/>
      <c r="AU1675" s="333"/>
      <c r="AV1675" s="333"/>
    </row>
    <row r="1676" spans="2:48" s="330" customFormat="1" ht="28.15" customHeight="1" x14ac:dyDescent="0.25">
      <c r="B1676" s="331"/>
      <c r="C1676" s="332"/>
      <c r="D1676" s="332"/>
      <c r="E1676" s="333"/>
      <c r="F1676" s="333"/>
      <c r="R1676" s="316"/>
      <c r="S1676" s="404"/>
      <c r="T1676" s="404"/>
      <c r="U1676" s="404"/>
      <c r="V1676" s="404"/>
      <c r="W1676" s="316"/>
      <c r="X1676" s="316"/>
      <c r="Y1676" s="316"/>
      <c r="Z1676" s="316"/>
      <c r="AA1676" s="404"/>
      <c r="AB1676" s="404"/>
      <c r="AC1676" s="404"/>
      <c r="AD1676" s="404"/>
      <c r="AE1676" s="316"/>
      <c r="AF1676" s="316"/>
      <c r="AG1676" s="404"/>
      <c r="AH1676" s="316"/>
      <c r="AI1676" s="316"/>
      <c r="AJ1676" s="316"/>
      <c r="AK1676" s="316"/>
      <c r="AL1676" s="316"/>
      <c r="AM1676" s="416"/>
      <c r="AR1676" s="333"/>
      <c r="AS1676" s="333"/>
      <c r="AT1676" s="333"/>
      <c r="AU1676" s="333"/>
      <c r="AV1676" s="333"/>
    </row>
    <row r="1677" spans="2:48" s="330" customFormat="1" ht="28.15" customHeight="1" x14ac:dyDescent="0.25">
      <c r="B1677" s="331"/>
      <c r="C1677" s="332"/>
      <c r="D1677" s="332"/>
      <c r="E1677" s="333"/>
      <c r="F1677" s="333"/>
      <c r="R1677" s="316"/>
      <c r="S1677" s="404"/>
      <c r="T1677" s="404"/>
      <c r="U1677" s="404"/>
      <c r="V1677" s="404"/>
      <c r="W1677" s="316"/>
      <c r="X1677" s="316"/>
      <c r="Y1677" s="316"/>
      <c r="Z1677" s="316"/>
      <c r="AA1677" s="404"/>
      <c r="AB1677" s="404"/>
      <c r="AC1677" s="404"/>
      <c r="AD1677" s="404"/>
      <c r="AE1677" s="316"/>
      <c r="AF1677" s="316"/>
      <c r="AG1677" s="404"/>
      <c r="AH1677" s="316"/>
      <c r="AI1677" s="316"/>
      <c r="AJ1677" s="316"/>
      <c r="AK1677" s="316"/>
      <c r="AL1677" s="316"/>
      <c r="AM1677" s="416"/>
      <c r="AR1677" s="333"/>
      <c r="AS1677" s="333"/>
      <c r="AT1677" s="333"/>
      <c r="AU1677" s="333"/>
      <c r="AV1677" s="333"/>
    </row>
    <row r="1678" spans="2:48" s="330" customFormat="1" ht="28.15" customHeight="1" x14ac:dyDescent="0.25">
      <c r="B1678" s="331"/>
      <c r="C1678" s="332"/>
      <c r="D1678" s="332"/>
      <c r="E1678" s="333"/>
      <c r="F1678" s="333"/>
      <c r="R1678" s="316"/>
      <c r="S1678" s="404"/>
      <c r="T1678" s="404"/>
      <c r="U1678" s="404"/>
      <c r="V1678" s="404"/>
      <c r="W1678" s="316"/>
      <c r="X1678" s="316"/>
      <c r="Y1678" s="316"/>
      <c r="Z1678" s="316"/>
      <c r="AA1678" s="404"/>
      <c r="AB1678" s="404"/>
      <c r="AC1678" s="404"/>
      <c r="AD1678" s="404"/>
      <c r="AE1678" s="316"/>
      <c r="AF1678" s="316"/>
      <c r="AG1678" s="404"/>
      <c r="AH1678" s="316"/>
      <c r="AI1678" s="316"/>
      <c r="AJ1678" s="316"/>
      <c r="AK1678" s="316"/>
      <c r="AL1678" s="316"/>
      <c r="AM1678" s="416"/>
      <c r="AR1678" s="333"/>
      <c r="AS1678" s="333"/>
      <c r="AT1678" s="333"/>
      <c r="AU1678" s="333"/>
      <c r="AV1678" s="333"/>
    </row>
    <row r="1679" spans="2:48" s="330" customFormat="1" ht="28.15" customHeight="1" x14ac:dyDescent="0.25">
      <c r="B1679" s="331"/>
      <c r="C1679" s="332"/>
      <c r="D1679" s="332"/>
      <c r="E1679" s="333"/>
      <c r="F1679" s="333"/>
      <c r="R1679" s="316"/>
      <c r="S1679" s="404"/>
      <c r="T1679" s="404"/>
      <c r="U1679" s="404"/>
      <c r="V1679" s="404"/>
      <c r="W1679" s="316"/>
      <c r="X1679" s="316"/>
      <c r="Y1679" s="316"/>
      <c r="Z1679" s="316"/>
      <c r="AA1679" s="404"/>
      <c r="AB1679" s="404"/>
      <c r="AC1679" s="404"/>
      <c r="AD1679" s="404"/>
      <c r="AE1679" s="316"/>
      <c r="AF1679" s="316"/>
      <c r="AG1679" s="404"/>
      <c r="AH1679" s="316"/>
      <c r="AI1679" s="316"/>
      <c r="AJ1679" s="316"/>
      <c r="AK1679" s="316"/>
      <c r="AL1679" s="316"/>
      <c r="AM1679" s="416"/>
      <c r="AR1679" s="333"/>
      <c r="AS1679" s="333"/>
      <c r="AT1679" s="333"/>
      <c r="AU1679" s="333"/>
      <c r="AV1679" s="333"/>
    </row>
    <row r="1680" spans="2:48" s="330" customFormat="1" ht="28.15" customHeight="1" x14ac:dyDescent="0.25">
      <c r="B1680" s="331"/>
      <c r="C1680" s="332"/>
      <c r="D1680" s="332"/>
      <c r="E1680" s="333"/>
      <c r="F1680" s="333"/>
      <c r="R1680" s="316"/>
      <c r="S1680" s="404"/>
      <c r="T1680" s="404"/>
      <c r="U1680" s="404"/>
      <c r="V1680" s="404"/>
      <c r="W1680" s="316"/>
      <c r="X1680" s="316"/>
      <c r="Y1680" s="316"/>
      <c r="Z1680" s="316"/>
      <c r="AA1680" s="404"/>
      <c r="AB1680" s="404"/>
      <c r="AC1680" s="404"/>
      <c r="AD1680" s="404"/>
      <c r="AE1680" s="316"/>
      <c r="AF1680" s="316"/>
      <c r="AG1680" s="404"/>
      <c r="AH1680" s="316"/>
      <c r="AI1680" s="316"/>
      <c r="AJ1680" s="316"/>
      <c r="AK1680" s="316"/>
      <c r="AL1680" s="316"/>
      <c r="AM1680" s="416"/>
      <c r="AR1680" s="333"/>
      <c r="AS1680" s="333"/>
      <c r="AT1680" s="333"/>
      <c r="AU1680" s="333"/>
      <c r="AV1680" s="333"/>
    </row>
    <row r="1681" spans="2:48" s="330" customFormat="1" ht="28.15" customHeight="1" x14ac:dyDescent="0.25">
      <c r="B1681" s="331"/>
      <c r="C1681" s="332"/>
      <c r="D1681" s="332"/>
      <c r="E1681" s="333"/>
      <c r="F1681" s="333"/>
      <c r="R1681" s="316"/>
      <c r="S1681" s="404"/>
      <c r="T1681" s="404"/>
      <c r="U1681" s="404"/>
      <c r="V1681" s="404"/>
      <c r="W1681" s="316"/>
      <c r="X1681" s="316"/>
      <c r="Y1681" s="316"/>
      <c r="Z1681" s="316"/>
      <c r="AA1681" s="404"/>
      <c r="AB1681" s="404"/>
      <c r="AC1681" s="404"/>
      <c r="AD1681" s="404"/>
      <c r="AE1681" s="316"/>
      <c r="AF1681" s="316"/>
      <c r="AG1681" s="404"/>
      <c r="AH1681" s="316"/>
      <c r="AI1681" s="316"/>
      <c r="AJ1681" s="316"/>
      <c r="AK1681" s="316"/>
      <c r="AL1681" s="316"/>
      <c r="AM1681" s="416"/>
      <c r="AR1681" s="333"/>
      <c r="AS1681" s="333"/>
      <c r="AT1681" s="333"/>
      <c r="AU1681" s="333"/>
      <c r="AV1681" s="333"/>
    </row>
    <row r="1682" spans="2:48" s="330" customFormat="1" ht="28.15" customHeight="1" x14ac:dyDescent="0.25">
      <c r="B1682" s="331"/>
      <c r="C1682" s="332"/>
      <c r="D1682" s="332"/>
      <c r="E1682" s="333"/>
      <c r="F1682" s="333"/>
      <c r="R1682" s="316"/>
      <c r="S1682" s="404"/>
      <c r="T1682" s="404"/>
      <c r="U1682" s="404"/>
      <c r="V1682" s="404"/>
      <c r="W1682" s="316"/>
      <c r="X1682" s="316"/>
      <c r="Y1682" s="316"/>
      <c r="Z1682" s="316"/>
      <c r="AA1682" s="404"/>
      <c r="AB1682" s="404"/>
      <c r="AC1682" s="404"/>
      <c r="AD1682" s="404"/>
      <c r="AE1682" s="316"/>
      <c r="AF1682" s="316"/>
      <c r="AG1682" s="404"/>
      <c r="AH1682" s="316"/>
      <c r="AI1682" s="316"/>
      <c r="AJ1682" s="316"/>
      <c r="AK1682" s="316"/>
      <c r="AL1682" s="316"/>
      <c r="AM1682" s="416"/>
      <c r="AR1682" s="333"/>
      <c r="AS1682" s="333"/>
      <c r="AT1682" s="333"/>
      <c r="AU1682" s="333"/>
      <c r="AV1682" s="333"/>
    </row>
    <row r="1683" spans="2:48" s="330" customFormat="1" ht="28.15" customHeight="1" x14ac:dyDescent="0.25">
      <c r="B1683" s="331"/>
      <c r="C1683" s="332"/>
      <c r="D1683" s="332"/>
      <c r="E1683" s="333"/>
      <c r="F1683" s="333"/>
      <c r="R1683" s="316"/>
      <c r="S1683" s="404"/>
      <c r="T1683" s="404"/>
      <c r="U1683" s="404"/>
      <c r="V1683" s="404"/>
      <c r="W1683" s="316"/>
      <c r="X1683" s="316"/>
      <c r="Y1683" s="316"/>
      <c r="Z1683" s="316"/>
      <c r="AA1683" s="404"/>
      <c r="AB1683" s="404"/>
      <c r="AC1683" s="404"/>
      <c r="AD1683" s="404"/>
      <c r="AE1683" s="316"/>
      <c r="AF1683" s="316"/>
      <c r="AG1683" s="404"/>
      <c r="AH1683" s="316"/>
      <c r="AI1683" s="316"/>
      <c r="AJ1683" s="316"/>
      <c r="AK1683" s="316"/>
      <c r="AL1683" s="316"/>
      <c r="AM1683" s="416"/>
      <c r="AR1683" s="333"/>
      <c r="AS1683" s="333"/>
      <c r="AT1683" s="333"/>
      <c r="AU1683" s="333"/>
      <c r="AV1683" s="333"/>
    </row>
    <row r="1684" spans="2:48" s="330" customFormat="1" ht="28.15" customHeight="1" x14ac:dyDescent="0.25">
      <c r="B1684" s="331"/>
      <c r="C1684" s="332"/>
      <c r="D1684" s="332"/>
      <c r="E1684" s="333"/>
      <c r="F1684" s="333"/>
      <c r="R1684" s="316"/>
      <c r="S1684" s="404"/>
      <c r="T1684" s="404"/>
      <c r="U1684" s="404"/>
      <c r="V1684" s="404"/>
      <c r="W1684" s="316"/>
      <c r="X1684" s="316"/>
      <c r="Y1684" s="316"/>
      <c r="Z1684" s="316"/>
      <c r="AA1684" s="404"/>
      <c r="AB1684" s="404"/>
      <c r="AC1684" s="404"/>
      <c r="AD1684" s="404"/>
      <c r="AE1684" s="316"/>
      <c r="AF1684" s="316"/>
      <c r="AG1684" s="404"/>
      <c r="AH1684" s="316"/>
      <c r="AI1684" s="316"/>
      <c r="AJ1684" s="316"/>
      <c r="AK1684" s="316"/>
      <c r="AL1684" s="316"/>
      <c r="AM1684" s="416"/>
      <c r="AR1684" s="333"/>
      <c r="AS1684" s="333"/>
      <c r="AT1684" s="333"/>
      <c r="AU1684" s="333"/>
      <c r="AV1684" s="333"/>
    </row>
    <row r="1685" spans="2:48" s="330" customFormat="1" ht="28.15" customHeight="1" x14ac:dyDescent="0.25">
      <c r="B1685" s="331"/>
      <c r="C1685" s="332"/>
      <c r="D1685" s="332"/>
      <c r="E1685" s="333"/>
      <c r="F1685" s="333"/>
      <c r="R1685" s="316"/>
      <c r="S1685" s="404"/>
      <c r="T1685" s="404"/>
      <c r="U1685" s="404"/>
      <c r="V1685" s="404"/>
      <c r="W1685" s="316"/>
      <c r="X1685" s="316"/>
      <c r="Y1685" s="316"/>
      <c r="Z1685" s="316"/>
      <c r="AA1685" s="404"/>
      <c r="AB1685" s="404"/>
      <c r="AC1685" s="404"/>
      <c r="AD1685" s="404"/>
      <c r="AE1685" s="316"/>
      <c r="AF1685" s="316"/>
      <c r="AG1685" s="404"/>
      <c r="AH1685" s="316"/>
      <c r="AI1685" s="316"/>
      <c r="AJ1685" s="316"/>
      <c r="AK1685" s="316"/>
      <c r="AL1685" s="316"/>
      <c r="AM1685" s="416"/>
      <c r="AR1685" s="333"/>
      <c r="AS1685" s="333"/>
      <c r="AT1685" s="333"/>
      <c r="AU1685" s="333"/>
      <c r="AV1685" s="333"/>
    </row>
    <row r="1686" spans="2:48" s="330" customFormat="1" ht="28.15" customHeight="1" x14ac:dyDescent="0.25">
      <c r="B1686" s="331"/>
      <c r="C1686" s="332"/>
      <c r="D1686" s="332"/>
      <c r="E1686" s="333"/>
      <c r="F1686" s="333"/>
      <c r="R1686" s="316"/>
      <c r="S1686" s="404"/>
      <c r="T1686" s="404"/>
      <c r="U1686" s="404"/>
      <c r="V1686" s="404"/>
      <c r="W1686" s="316"/>
      <c r="X1686" s="316"/>
      <c r="Y1686" s="316"/>
      <c r="Z1686" s="316"/>
      <c r="AA1686" s="404"/>
      <c r="AB1686" s="404"/>
      <c r="AC1686" s="404"/>
      <c r="AD1686" s="404"/>
      <c r="AE1686" s="316"/>
      <c r="AF1686" s="316"/>
      <c r="AG1686" s="404"/>
      <c r="AH1686" s="316"/>
      <c r="AI1686" s="316"/>
      <c r="AJ1686" s="316"/>
      <c r="AK1686" s="316"/>
      <c r="AL1686" s="316"/>
      <c r="AM1686" s="416"/>
      <c r="AR1686" s="333"/>
      <c r="AS1686" s="333"/>
      <c r="AT1686" s="333"/>
      <c r="AU1686" s="333"/>
      <c r="AV1686" s="333"/>
    </row>
    <row r="1687" spans="2:48" s="330" customFormat="1" ht="28.15" customHeight="1" x14ac:dyDescent="0.25">
      <c r="B1687" s="331"/>
      <c r="C1687" s="332"/>
      <c r="D1687" s="332"/>
      <c r="E1687" s="333"/>
      <c r="F1687" s="333"/>
      <c r="R1687" s="316"/>
      <c r="S1687" s="404"/>
      <c r="T1687" s="404"/>
      <c r="U1687" s="404"/>
      <c r="V1687" s="404"/>
      <c r="W1687" s="316"/>
      <c r="X1687" s="316"/>
      <c r="Y1687" s="316"/>
      <c r="Z1687" s="316"/>
      <c r="AA1687" s="404"/>
      <c r="AB1687" s="404"/>
      <c r="AC1687" s="404"/>
      <c r="AD1687" s="404"/>
      <c r="AE1687" s="316"/>
      <c r="AF1687" s="316"/>
      <c r="AG1687" s="404"/>
      <c r="AH1687" s="316"/>
      <c r="AI1687" s="316"/>
      <c r="AJ1687" s="316"/>
      <c r="AK1687" s="316"/>
      <c r="AL1687" s="316"/>
      <c r="AM1687" s="416"/>
      <c r="AR1687" s="333"/>
      <c r="AS1687" s="333"/>
      <c r="AT1687" s="333"/>
      <c r="AU1687" s="333"/>
      <c r="AV1687" s="333"/>
    </row>
    <row r="1688" spans="2:48" s="330" customFormat="1" ht="28.15" customHeight="1" x14ac:dyDescent="0.25">
      <c r="B1688" s="331"/>
      <c r="C1688" s="332"/>
      <c r="D1688" s="332"/>
      <c r="E1688" s="333"/>
      <c r="F1688" s="333"/>
      <c r="R1688" s="316"/>
      <c r="S1688" s="404"/>
      <c r="T1688" s="404"/>
      <c r="U1688" s="404"/>
      <c r="V1688" s="404"/>
      <c r="W1688" s="316"/>
      <c r="X1688" s="316"/>
      <c r="Y1688" s="316"/>
      <c r="Z1688" s="316"/>
      <c r="AA1688" s="404"/>
      <c r="AB1688" s="404"/>
      <c r="AC1688" s="404"/>
      <c r="AD1688" s="404"/>
      <c r="AE1688" s="316"/>
      <c r="AF1688" s="316"/>
      <c r="AG1688" s="404"/>
      <c r="AH1688" s="316"/>
      <c r="AI1688" s="316"/>
      <c r="AJ1688" s="316"/>
      <c r="AK1688" s="316"/>
      <c r="AL1688" s="316"/>
      <c r="AM1688" s="416"/>
      <c r="AR1688" s="333"/>
      <c r="AS1688" s="333"/>
      <c r="AT1688" s="333"/>
      <c r="AU1688" s="333"/>
      <c r="AV1688" s="333"/>
    </row>
    <row r="1689" spans="2:48" s="330" customFormat="1" ht="28.15" customHeight="1" x14ac:dyDescent="0.25">
      <c r="B1689" s="331"/>
      <c r="C1689" s="332"/>
      <c r="D1689" s="332"/>
      <c r="E1689" s="333"/>
      <c r="F1689" s="333"/>
      <c r="R1689" s="316"/>
      <c r="S1689" s="404"/>
      <c r="T1689" s="404"/>
      <c r="U1689" s="404"/>
      <c r="V1689" s="404"/>
      <c r="W1689" s="316"/>
      <c r="X1689" s="316"/>
      <c r="Y1689" s="316"/>
      <c r="Z1689" s="316"/>
      <c r="AA1689" s="404"/>
      <c r="AB1689" s="404"/>
      <c r="AC1689" s="404"/>
      <c r="AD1689" s="404"/>
      <c r="AE1689" s="316"/>
      <c r="AF1689" s="316"/>
      <c r="AG1689" s="404"/>
      <c r="AH1689" s="316"/>
      <c r="AI1689" s="316"/>
      <c r="AJ1689" s="316"/>
      <c r="AK1689" s="316"/>
      <c r="AL1689" s="316"/>
      <c r="AM1689" s="416"/>
      <c r="AR1689" s="333"/>
      <c r="AS1689" s="333"/>
      <c r="AT1689" s="333"/>
      <c r="AU1689" s="333"/>
      <c r="AV1689" s="333"/>
    </row>
    <row r="1690" spans="2:48" s="330" customFormat="1" ht="28.15" customHeight="1" x14ac:dyDescent="0.25">
      <c r="B1690" s="331"/>
      <c r="C1690" s="332"/>
      <c r="D1690" s="332"/>
      <c r="E1690" s="333"/>
      <c r="F1690" s="333"/>
      <c r="R1690" s="316"/>
      <c r="S1690" s="404"/>
      <c r="T1690" s="404"/>
      <c r="U1690" s="404"/>
      <c r="V1690" s="404"/>
      <c r="W1690" s="316"/>
      <c r="X1690" s="316"/>
      <c r="Y1690" s="316"/>
      <c r="Z1690" s="316"/>
      <c r="AA1690" s="404"/>
      <c r="AB1690" s="404"/>
      <c r="AC1690" s="404"/>
      <c r="AD1690" s="404"/>
      <c r="AE1690" s="316"/>
      <c r="AF1690" s="316"/>
      <c r="AG1690" s="404"/>
      <c r="AH1690" s="316"/>
      <c r="AI1690" s="316"/>
      <c r="AJ1690" s="316"/>
      <c r="AK1690" s="316"/>
      <c r="AL1690" s="316"/>
      <c r="AM1690" s="416"/>
      <c r="AR1690" s="333"/>
      <c r="AS1690" s="333"/>
      <c r="AT1690" s="333"/>
      <c r="AU1690" s="333"/>
      <c r="AV1690" s="333"/>
    </row>
    <row r="1691" spans="2:48" s="330" customFormat="1" ht="28.15" customHeight="1" x14ac:dyDescent="0.25">
      <c r="B1691" s="331"/>
      <c r="C1691" s="332"/>
      <c r="D1691" s="332"/>
      <c r="E1691" s="333"/>
      <c r="F1691" s="333"/>
      <c r="R1691" s="316"/>
      <c r="S1691" s="404"/>
      <c r="T1691" s="404"/>
      <c r="U1691" s="404"/>
      <c r="V1691" s="404"/>
      <c r="W1691" s="316"/>
      <c r="X1691" s="316"/>
      <c r="Y1691" s="316"/>
      <c r="Z1691" s="316"/>
      <c r="AA1691" s="404"/>
      <c r="AB1691" s="404"/>
      <c r="AC1691" s="404"/>
      <c r="AD1691" s="404"/>
      <c r="AE1691" s="316"/>
      <c r="AF1691" s="316"/>
      <c r="AG1691" s="404"/>
      <c r="AH1691" s="316"/>
      <c r="AI1691" s="316"/>
      <c r="AJ1691" s="316"/>
      <c r="AK1691" s="316"/>
      <c r="AL1691" s="316"/>
      <c r="AM1691" s="416"/>
      <c r="AR1691" s="333"/>
      <c r="AS1691" s="333"/>
      <c r="AT1691" s="333"/>
      <c r="AU1691" s="333"/>
      <c r="AV1691" s="333"/>
    </row>
    <row r="1692" spans="2:48" s="330" customFormat="1" ht="28.15" customHeight="1" x14ac:dyDescent="0.25">
      <c r="B1692" s="331"/>
      <c r="C1692" s="332"/>
      <c r="D1692" s="332"/>
      <c r="E1692" s="333"/>
      <c r="F1692" s="333"/>
      <c r="R1692" s="316"/>
      <c r="S1692" s="404"/>
      <c r="T1692" s="404"/>
      <c r="U1692" s="404"/>
      <c r="V1692" s="404"/>
      <c r="W1692" s="316"/>
      <c r="X1692" s="316"/>
      <c r="Y1692" s="316"/>
      <c r="Z1692" s="316"/>
      <c r="AA1692" s="404"/>
      <c r="AB1692" s="404"/>
      <c r="AC1692" s="404"/>
      <c r="AD1692" s="404"/>
      <c r="AE1692" s="316"/>
      <c r="AF1692" s="316"/>
      <c r="AG1692" s="404"/>
      <c r="AH1692" s="316"/>
      <c r="AI1692" s="316"/>
      <c r="AJ1692" s="316"/>
      <c r="AK1692" s="316"/>
      <c r="AL1692" s="316"/>
      <c r="AM1692" s="416"/>
      <c r="AR1692" s="333"/>
      <c r="AS1692" s="333"/>
      <c r="AT1692" s="333"/>
      <c r="AU1692" s="333"/>
      <c r="AV1692" s="333"/>
    </row>
    <row r="1693" spans="2:48" s="330" customFormat="1" ht="28.15" customHeight="1" x14ac:dyDescent="0.25">
      <c r="B1693" s="331"/>
      <c r="C1693" s="332"/>
      <c r="D1693" s="332"/>
      <c r="E1693" s="333"/>
      <c r="F1693" s="333"/>
      <c r="R1693" s="316"/>
      <c r="S1693" s="404"/>
      <c r="T1693" s="404"/>
      <c r="U1693" s="404"/>
      <c r="V1693" s="404"/>
      <c r="W1693" s="316"/>
      <c r="X1693" s="316"/>
      <c r="Y1693" s="316"/>
      <c r="Z1693" s="316"/>
      <c r="AA1693" s="404"/>
      <c r="AB1693" s="404"/>
      <c r="AC1693" s="404"/>
      <c r="AD1693" s="404"/>
      <c r="AE1693" s="316"/>
      <c r="AF1693" s="316"/>
      <c r="AG1693" s="404"/>
      <c r="AH1693" s="316"/>
      <c r="AI1693" s="316"/>
      <c r="AJ1693" s="316"/>
      <c r="AK1693" s="316"/>
      <c r="AL1693" s="316"/>
      <c r="AM1693" s="416"/>
      <c r="AR1693" s="333"/>
      <c r="AS1693" s="333"/>
      <c r="AT1693" s="333"/>
      <c r="AU1693" s="333"/>
      <c r="AV1693" s="333"/>
    </row>
    <row r="1694" spans="2:48" s="330" customFormat="1" ht="28.15" customHeight="1" x14ac:dyDescent="0.25">
      <c r="B1694" s="331"/>
      <c r="C1694" s="332"/>
      <c r="D1694" s="332"/>
      <c r="E1694" s="333"/>
      <c r="F1694" s="333"/>
      <c r="R1694" s="316"/>
      <c r="S1694" s="404"/>
      <c r="T1694" s="404"/>
      <c r="U1694" s="404"/>
      <c r="V1694" s="404"/>
      <c r="W1694" s="316"/>
      <c r="X1694" s="316"/>
      <c r="Y1694" s="316"/>
      <c r="Z1694" s="316"/>
      <c r="AA1694" s="404"/>
      <c r="AB1694" s="404"/>
      <c r="AC1694" s="404"/>
      <c r="AD1694" s="404"/>
      <c r="AE1694" s="316"/>
      <c r="AF1694" s="316"/>
      <c r="AG1694" s="404"/>
      <c r="AH1694" s="316"/>
      <c r="AI1694" s="316"/>
      <c r="AJ1694" s="316"/>
      <c r="AK1694" s="316"/>
      <c r="AL1694" s="316"/>
      <c r="AM1694" s="416"/>
      <c r="AR1694" s="333"/>
      <c r="AS1694" s="333"/>
      <c r="AT1694" s="333"/>
      <c r="AU1694" s="333"/>
      <c r="AV1694" s="333"/>
    </row>
    <row r="1695" spans="2:48" s="330" customFormat="1" ht="28.15" customHeight="1" x14ac:dyDescent="0.25">
      <c r="B1695" s="331"/>
      <c r="C1695" s="332"/>
      <c r="D1695" s="332"/>
      <c r="E1695" s="333"/>
      <c r="F1695" s="333"/>
      <c r="R1695" s="316"/>
      <c r="S1695" s="404"/>
      <c r="T1695" s="404"/>
      <c r="U1695" s="404"/>
      <c r="V1695" s="404"/>
      <c r="W1695" s="316"/>
      <c r="X1695" s="316"/>
      <c r="Y1695" s="316"/>
      <c r="Z1695" s="316"/>
      <c r="AA1695" s="404"/>
      <c r="AB1695" s="404"/>
      <c r="AC1695" s="404"/>
      <c r="AD1695" s="404"/>
      <c r="AE1695" s="316"/>
      <c r="AF1695" s="316"/>
      <c r="AG1695" s="404"/>
      <c r="AH1695" s="316"/>
      <c r="AI1695" s="316"/>
      <c r="AJ1695" s="316"/>
      <c r="AK1695" s="316"/>
      <c r="AL1695" s="316"/>
      <c r="AM1695" s="416"/>
      <c r="AR1695" s="333"/>
      <c r="AS1695" s="333"/>
      <c r="AT1695" s="333"/>
      <c r="AU1695" s="333"/>
      <c r="AV1695" s="333"/>
    </row>
    <row r="1696" spans="2:48" s="330" customFormat="1" ht="28.15" customHeight="1" x14ac:dyDescent="0.25">
      <c r="B1696" s="331"/>
      <c r="C1696" s="332"/>
      <c r="D1696" s="332"/>
      <c r="E1696" s="333"/>
      <c r="F1696" s="333"/>
      <c r="R1696" s="316"/>
      <c r="S1696" s="404"/>
      <c r="T1696" s="404"/>
      <c r="U1696" s="404"/>
      <c r="V1696" s="404"/>
      <c r="W1696" s="316"/>
      <c r="X1696" s="316"/>
      <c r="Y1696" s="316"/>
      <c r="Z1696" s="316"/>
      <c r="AA1696" s="404"/>
      <c r="AB1696" s="404"/>
      <c r="AC1696" s="404"/>
      <c r="AD1696" s="404"/>
      <c r="AE1696" s="316"/>
      <c r="AF1696" s="316"/>
      <c r="AG1696" s="404"/>
      <c r="AH1696" s="316"/>
      <c r="AI1696" s="316"/>
      <c r="AJ1696" s="316"/>
      <c r="AK1696" s="316"/>
      <c r="AL1696" s="316"/>
      <c r="AM1696" s="416"/>
      <c r="AR1696" s="333"/>
      <c r="AS1696" s="333"/>
      <c r="AT1696" s="333"/>
      <c r="AU1696" s="333"/>
      <c r="AV1696" s="333"/>
    </row>
    <row r="1697" spans="2:48" s="330" customFormat="1" ht="28.15" customHeight="1" x14ac:dyDescent="0.25">
      <c r="B1697" s="331"/>
      <c r="C1697" s="332"/>
      <c r="D1697" s="332"/>
      <c r="E1697" s="333"/>
      <c r="F1697" s="333"/>
      <c r="R1697" s="316"/>
      <c r="S1697" s="404"/>
      <c r="T1697" s="404"/>
      <c r="U1697" s="404"/>
      <c r="V1697" s="404"/>
      <c r="W1697" s="316"/>
      <c r="X1697" s="316"/>
      <c r="Y1697" s="316"/>
      <c r="Z1697" s="316"/>
      <c r="AA1697" s="404"/>
      <c r="AB1697" s="404"/>
      <c r="AC1697" s="404"/>
      <c r="AD1697" s="404"/>
      <c r="AE1697" s="316"/>
      <c r="AF1697" s="316"/>
      <c r="AG1697" s="404"/>
      <c r="AH1697" s="316"/>
      <c r="AI1697" s="316"/>
      <c r="AJ1697" s="316"/>
      <c r="AK1697" s="316"/>
      <c r="AL1697" s="316"/>
      <c r="AM1697" s="416"/>
      <c r="AR1697" s="333"/>
      <c r="AS1697" s="333"/>
      <c r="AT1697" s="333"/>
      <c r="AU1697" s="333"/>
      <c r="AV1697" s="333"/>
    </row>
    <row r="1698" spans="2:48" s="330" customFormat="1" ht="28.15" customHeight="1" x14ac:dyDescent="0.25">
      <c r="B1698" s="331"/>
      <c r="C1698" s="332"/>
      <c r="D1698" s="332"/>
      <c r="E1698" s="333"/>
      <c r="F1698" s="333"/>
      <c r="R1698" s="316"/>
      <c r="S1698" s="404"/>
      <c r="T1698" s="404"/>
      <c r="U1698" s="404"/>
      <c r="V1698" s="404"/>
      <c r="W1698" s="316"/>
      <c r="X1698" s="316"/>
      <c r="Y1698" s="316"/>
      <c r="Z1698" s="316"/>
      <c r="AA1698" s="404"/>
      <c r="AB1698" s="404"/>
      <c r="AC1698" s="404"/>
      <c r="AD1698" s="404"/>
      <c r="AE1698" s="316"/>
      <c r="AF1698" s="316"/>
      <c r="AG1698" s="404"/>
      <c r="AH1698" s="316"/>
      <c r="AI1698" s="316"/>
      <c r="AJ1698" s="316"/>
      <c r="AK1698" s="316"/>
      <c r="AL1698" s="316"/>
      <c r="AM1698" s="416"/>
      <c r="AR1698" s="333"/>
      <c r="AS1698" s="333"/>
      <c r="AT1698" s="333"/>
      <c r="AU1698" s="333"/>
      <c r="AV1698" s="333"/>
    </row>
    <row r="1699" spans="2:48" s="330" customFormat="1" ht="28.15" customHeight="1" x14ac:dyDescent="0.25">
      <c r="B1699" s="331"/>
      <c r="C1699" s="332"/>
      <c r="D1699" s="332"/>
      <c r="E1699" s="333"/>
      <c r="F1699" s="333"/>
      <c r="R1699" s="316"/>
      <c r="S1699" s="404"/>
      <c r="T1699" s="404"/>
      <c r="U1699" s="404"/>
      <c r="V1699" s="404"/>
      <c r="W1699" s="316"/>
      <c r="X1699" s="316"/>
      <c r="Y1699" s="316"/>
      <c r="Z1699" s="316"/>
      <c r="AA1699" s="404"/>
      <c r="AB1699" s="404"/>
      <c r="AC1699" s="404"/>
      <c r="AD1699" s="404"/>
      <c r="AE1699" s="316"/>
      <c r="AF1699" s="316"/>
      <c r="AG1699" s="404"/>
      <c r="AH1699" s="316"/>
      <c r="AI1699" s="316"/>
      <c r="AJ1699" s="316"/>
      <c r="AK1699" s="316"/>
      <c r="AL1699" s="316"/>
      <c r="AM1699" s="416"/>
      <c r="AR1699" s="333"/>
      <c r="AS1699" s="333"/>
      <c r="AT1699" s="333"/>
      <c r="AU1699" s="333"/>
      <c r="AV1699" s="333"/>
    </row>
    <row r="1700" spans="2:48" s="330" customFormat="1" ht="28.15" customHeight="1" x14ac:dyDescent="0.25">
      <c r="B1700" s="331"/>
      <c r="C1700" s="332"/>
      <c r="D1700" s="332"/>
      <c r="E1700" s="333"/>
      <c r="F1700" s="333"/>
      <c r="R1700" s="316"/>
      <c r="S1700" s="404"/>
      <c r="T1700" s="404"/>
      <c r="U1700" s="404"/>
      <c r="V1700" s="404"/>
      <c r="W1700" s="316"/>
      <c r="X1700" s="316"/>
      <c r="Y1700" s="316"/>
      <c r="Z1700" s="316"/>
      <c r="AA1700" s="404"/>
      <c r="AB1700" s="404"/>
      <c r="AC1700" s="404"/>
      <c r="AD1700" s="404"/>
      <c r="AE1700" s="316"/>
      <c r="AF1700" s="316"/>
      <c r="AG1700" s="404"/>
      <c r="AH1700" s="316"/>
      <c r="AI1700" s="316"/>
      <c r="AJ1700" s="316"/>
      <c r="AK1700" s="316"/>
      <c r="AL1700" s="316"/>
      <c r="AM1700" s="416"/>
      <c r="AR1700" s="333"/>
      <c r="AS1700" s="333"/>
      <c r="AT1700" s="333"/>
      <c r="AU1700" s="333"/>
      <c r="AV1700" s="333"/>
    </row>
    <row r="1701" spans="2:48" s="330" customFormat="1" ht="28.15" customHeight="1" x14ac:dyDescent="0.25">
      <c r="B1701" s="331"/>
      <c r="C1701" s="332"/>
      <c r="D1701" s="332"/>
      <c r="E1701" s="333"/>
      <c r="F1701" s="333"/>
      <c r="R1701" s="316"/>
      <c r="S1701" s="404"/>
      <c r="T1701" s="404"/>
      <c r="U1701" s="404"/>
      <c r="V1701" s="404"/>
      <c r="W1701" s="316"/>
      <c r="X1701" s="316"/>
      <c r="Y1701" s="316"/>
      <c r="Z1701" s="316"/>
      <c r="AA1701" s="404"/>
      <c r="AB1701" s="404"/>
      <c r="AC1701" s="404"/>
      <c r="AD1701" s="404"/>
      <c r="AE1701" s="316"/>
      <c r="AF1701" s="316"/>
      <c r="AG1701" s="404"/>
      <c r="AH1701" s="316"/>
      <c r="AI1701" s="316"/>
      <c r="AJ1701" s="316"/>
      <c r="AK1701" s="316"/>
      <c r="AL1701" s="316"/>
      <c r="AM1701" s="416"/>
      <c r="AR1701" s="333"/>
      <c r="AS1701" s="333"/>
      <c r="AT1701" s="333"/>
      <c r="AU1701" s="333"/>
      <c r="AV1701" s="333"/>
    </row>
    <row r="1702" spans="2:48" s="330" customFormat="1" ht="28.15" customHeight="1" x14ac:dyDescent="0.25">
      <c r="B1702" s="331"/>
      <c r="C1702" s="332"/>
      <c r="D1702" s="332"/>
      <c r="E1702" s="333"/>
      <c r="F1702" s="333"/>
      <c r="R1702" s="316"/>
      <c r="S1702" s="404"/>
      <c r="T1702" s="404"/>
      <c r="U1702" s="404"/>
      <c r="V1702" s="404"/>
      <c r="W1702" s="316"/>
      <c r="X1702" s="316"/>
      <c r="Y1702" s="316"/>
      <c r="Z1702" s="316"/>
      <c r="AA1702" s="404"/>
      <c r="AB1702" s="404"/>
      <c r="AC1702" s="404"/>
      <c r="AD1702" s="404"/>
      <c r="AE1702" s="316"/>
      <c r="AF1702" s="316"/>
      <c r="AG1702" s="404"/>
      <c r="AH1702" s="316"/>
      <c r="AI1702" s="316"/>
      <c r="AJ1702" s="316"/>
      <c r="AK1702" s="316"/>
      <c r="AL1702" s="316"/>
      <c r="AM1702" s="416"/>
      <c r="AR1702" s="333"/>
      <c r="AS1702" s="333"/>
      <c r="AT1702" s="333"/>
      <c r="AU1702" s="333"/>
      <c r="AV1702" s="333"/>
    </row>
    <row r="1703" spans="2:48" s="330" customFormat="1" ht="28.15" customHeight="1" x14ac:dyDescent="0.25">
      <c r="B1703" s="331"/>
      <c r="C1703" s="332"/>
      <c r="D1703" s="332"/>
      <c r="E1703" s="333"/>
      <c r="F1703" s="333"/>
      <c r="R1703" s="316"/>
      <c r="S1703" s="404"/>
      <c r="T1703" s="404"/>
      <c r="U1703" s="404"/>
      <c r="V1703" s="404"/>
      <c r="W1703" s="316"/>
      <c r="X1703" s="316"/>
      <c r="Y1703" s="316"/>
      <c r="Z1703" s="316"/>
      <c r="AA1703" s="404"/>
      <c r="AB1703" s="404"/>
      <c r="AC1703" s="404"/>
      <c r="AD1703" s="404"/>
      <c r="AE1703" s="316"/>
      <c r="AF1703" s="316"/>
      <c r="AG1703" s="404"/>
      <c r="AH1703" s="316"/>
      <c r="AI1703" s="316"/>
      <c r="AJ1703" s="316"/>
      <c r="AK1703" s="316"/>
      <c r="AL1703" s="316"/>
      <c r="AM1703" s="416"/>
      <c r="AR1703" s="333"/>
      <c r="AS1703" s="333"/>
      <c r="AT1703" s="333"/>
      <c r="AU1703" s="333"/>
      <c r="AV1703" s="333"/>
    </row>
    <row r="1704" spans="2:48" s="330" customFormat="1" ht="28.15" customHeight="1" x14ac:dyDescent="0.25">
      <c r="B1704" s="331"/>
      <c r="C1704" s="332"/>
      <c r="D1704" s="332"/>
      <c r="E1704" s="333"/>
      <c r="F1704" s="333"/>
      <c r="R1704" s="316"/>
      <c r="S1704" s="404"/>
      <c r="T1704" s="404"/>
      <c r="U1704" s="404"/>
      <c r="V1704" s="404"/>
      <c r="W1704" s="316"/>
      <c r="X1704" s="316"/>
      <c r="Y1704" s="316"/>
      <c r="Z1704" s="316"/>
      <c r="AA1704" s="404"/>
      <c r="AB1704" s="404"/>
      <c r="AC1704" s="404"/>
      <c r="AD1704" s="404"/>
      <c r="AE1704" s="316"/>
      <c r="AF1704" s="316"/>
      <c r="AG1704" s="404"/>
      <c r="AH1704" s="316"/>
      <c r="AI1704" s="316"/>
      <c r="AJ1704" s="316"/>
      <c r="AK1704" s="316"/>
      <c r="AL1704" s="316"/>
      <c r="AM1704" s="416"/>
      <c r="AR1704" s="333"/>
      <c r="AS1704" s="333"/>
      <c r="AT1704" s="333"/>
      <c r="AU1704" s="333"/>
      <c r="AV1704" s="333"/>
    </row>
    <row r="1705" spans="2:48" s="330" customFormat="1" ht="28.15" customHeight="1" x14ac:dyDescent="0.25">
      <c r="B1705" s="331"/>
      <c r="C1705" s="332"/>
      <c r="D1705" s="332"/>
      <c r="E1705" s="333"/>
      <c r="F1705" s="333"/>
      <c r="R1705" s="316"/>
      <c r="S1705" s="404"/>
      <c r="T1705" s="404"/>
      <c r="U1705" s="404"/>
      <c r="V1705" s="404"/>
      <c r="W1705" s="316"/>
      <c r="X1705" s="316"/>
      <c r="Y1705" s="316"/>
      <c r="Z1705" s="316"/>
      <c r="AA1705" s="404"/>
      <c r="AB1705" s="404"/>
      <c r="AC1705" s="404"/>
      <c r="AD1705" s="404"/>
      <c r="AE1705" s="316"/>
      <c r="AF1705" s="316"/>
      <c r="AG1705" s="404"/>
      <c r="AH1705" s="316"/>
      <c r="AI1705" s="316"/>
      <c r="AJ1705" s="316"/>
      <c r="AK1705" s="316"/>
      <c r="AL1705" s="316"/>
      <c r="AM1705" s="416"/>
      <c r="AR1705" s="333"/>
      <c r="AS1705" s="333"/>
      <c r="AT1705" s="333"/>
      <c r="AU1705" s="333"/>
      <c r="AV1705" s="333"/>
    </row>
    <row r="1706" spans="2:48" s="330" customFormat="1" ht="28.15" customHeight="1" x14ac:dyDescent="0.25">
      <c r="B1706" s="331"/>
      <c r="C1706" s="332"/>
      <c r="D1706" s="332"/>
      <c r="E1706" s="333"/>
      <c r="F1706" s="333"/>
      <c r="R1706" s="316"/>
      <c r="S1706" s="404"/>
      <c r="T1706" s="404"/>
      <c r="U1706" s="404"/>
      <c r="V1706" s="404"/>
      <c r="W1706" s="316"/>
      <c r="X1706" s="316"/>
      <c r="Y1706" s="316"/>
      <c r="Z1706" s="316"/>
      <c r="AA1706" s="404"/>
      <c r="AB1706" s="404"/>
      <c r="AC1706" s="404"/>
      <c r="AD1706" s="404"/>
      <c r="AE1706" s="316"/>
      <c r="AF1706" s="316"/>
      <c r="AG1706" s="404"/>
      <c r="AH1706" s="316"/>
      <c r="AI1706" s="316"/>
      <c r="AJ1706" s="316"/>
      <c r="AK1706" s="316"/>
      <c r="AL1706" s="316"/>
      <c r="AM1706" s="416"/>
      <c r="AR1706" s="333"/>
      <c r="AS1706" s="333"/>
      <c r="AT1706" s="333"/>
      <c r="AU1706" s="333"/>
      <c r="AV1706" s="333"/>
    </row>
    <row r="1707" spans="2:48" s="330" customFormat="1" ht="28.15" customHeight="1" x14ac:dyDescent="0.25">
      <c r="B1707" s="331"/>
      <c r="C1707" s="332"/>
      <c r="D1707" s="332"/>
      <c r="E1707" s="333"/>
      <c r="F1707" s="333"/>
      <c r="R1707" s="316"/>
      <c r="S1707" s="404"/>
      <c r="T1707" s="404"/>
      <c r="U1707" s="404"/>
      <c r="V1707" s="404"/>
      <c r="W1707" s="316"/>
      <c r="X1707" s="316"/>
      <c r="Y1707" s="316"/>
      <c r="Z1707" s="316"/>
      <c r="AA1707" s="404"/>
      <c r="AB1707" s="404"/>
      <c r="AC1707" s="404"/>
      <c r="AD1707" s="404"/>
      <c r="AE1707" s="316"/>
      <c r="AF1707" s="316"/>
      <c r="AG1707" s="404"/>
      <c r="AH1707" s="316"/>
      <c r="AI1707" s="316"/>
      <c r="AJ1707" s="316"/>
      <c r="AK1707" s="316"/>
      <c r="AL1707" s="316"/>
      <c r="AM1707" s="416"/>
      <c r="AR1707" s="333"/>
      <c r="AS1707" s="333"/>
      <c r="AT1707" s="333"/>
      <c r="AU1707" s="333"/>
      <c r="AV1707" s="333"/>
    </row>
    <row r="1708" spans="2:48" s="330" customFormat="1" ht="28.15" customHeight="1" x14ac:dyDescent="0.25">
      <c r="B1708" s="331"/>
      <c r="C1708" s="332"/>
      <c r="D1708" s="332"/>
      <c r="E1708" s="333"/>
      <c r="F1708" s="333"/>
      <c r="R1708" s="316"/>
      <c r="S1708" s="404"/>
      <c r="T1708" s="404"/>
      <c r="U1708" s="404"/>
      <c r="V1708" s="404"/>
      <c r="W1708" s="316"/>
      <c r="X1708" s="316"/>
      <c r="Y1708" s="316"/>
      <c r="Z1708" s="316"/>
      <c r="AA1708" s="404"/>
      <c r="AB1708" s="404"/>
      <c r="AC1708" s="404"/>
      <c r="AD1708" s="404"/>
      <c r="AE1708" s="316"/>
      <c r="AF1708" s="316"/>
      <c r="AG1708" s="404"/>
      <c r="AH1708" s="316"/>
      <c r="AI1708" s="316"/>
      <c r="AJ1708" s="316"/>
      <c r="AK1708" s="316"/>
      <c r="AL1708" s="316"/>
      <c r="AM1708" s="416"/>
      <c r="AR1708" s="333"/>
      <c r="AS1708" s="333"/>
      <c r="AT1708" s="333"/>
      <c r="AU1708" s="333"/>
      <c r="AV1708" s="333"/>
    </row>
    <row r="1709" spans="2:48" s="330" customFormat="1" ht="28.15" customHeight="1" x14ac:dyDescent="0.25">
      <c r="B1709" s="331"/>
      <c r="C1709" s="332"/>
      <c r="D1709" s="332"/>
      <c r="E1709" s="333"/>
      <c r="F1709" s="333"/>
      <c r="R1709" s="316"/>
      <c r="S1709" s="404"/>
      <c r="T1709" s="404"/>
      <c r="U1709" s="404"/>
      <c r="V1709" s="404"/>
      <c r="W1709" s="316"/>
      <c r="X1709" s="316"/>
      <c r="Y1709" s="316"/>
      <c r="Z1709" s="316"/>
      <c r="AA1709" s="404"/>
      <c r="AB1709" s="404"/>
      <c r="AC1709" s="404"/>
      <c r="AD1709" s="404"/>
      <c r="AE1709" s="316"/>
      <c r="AF1709" s="316"/>
      <c r="AG1709" s="404"/>
      <c r="AH1709" s="316"/>
      <c r="AI1709" s="316"/>
      <c r="AJ1709" s="316"/>
      <c r="AK1709" s="316"/>
      <c r="AL1709" s="316"/>
      <c r="AM1709" s="416"/>
      <c r="AR1709" s="333"/>
      <c r="AS1709" s="333"/>
      <c r="AT1709" s="333"/>
      <c r="AU1709" s="333"/>
      <c r="AV1709" s="333"/>
    </row>
    <row r="1710" spans="2:48" s="330" customFormat="1" ht="28.15" customHeight="1" x14ac:dyDescent="0.25">
      <c r="B1710" s="331"/>
      <c r="C1710" s="332"/>
      <c r="D1710" s="332"/>
      <c r="E1710" s="333"/>
      <c r="F1710" s="333"/>
      <c r="R1710" s="316"/>
      <c r="S1710" s="404"/>
      <c r="T1710" s="404"/>
      <c r="U1710" s="404"/>
      <c r="V1710" s="404"/>
      <c r="W1710" s="316"/>
      <c r="X1710" s="316"/>
      <c r="Y1710" s="316"/>
      <c r="Z1710" s="316"/>
      <c r="AA1710" s="404"/>
      <c r="AB1710" s="404"/>
      <c r="AC1710" s="404"/>
      <c r="AD1710" s="404"/>
      <c r="AE1710" s="316"/>
      <c r="AF1710" s="316"/>
      <c r="AG1710" s="404"/>
      <c r="AH1710" s="316"/>
      <c r="AI1710" s="316"/>
      <c r="AJ1710" s="316"/>
      <c r="AK1710" s="316"/>
      <c r="AL1710" s="316"/>
      <c r="AM1710" s="416"/>
      <c r="AR1710" s="333"/>
      <c r="AS1710" s="333"/>
      <c r="AT1710" s="333"/>
      <c r="AU1710" s="333"/>
      <c r="AV1710" s="333"/>
    </row>
    <row r="1711" spans="2:48" s="330" customFormat="1" ht="28.15" customHeight="1" x14ac:dyDescent="0.25">
      <c r="B1711" s="331"/>
      <c r="C1711" s="332"/>
      <c r="D1711" s="332"/>
      <c r="E1711" s="333"/>
      <c r="F1711" s="333"/>
      <c r="R1711" s="316"/>
      <c r="S1711" s="404"/>
      <c r="T1711" s="404"/>
      <c r="U1711" s="404"/>
      <c r="V1711" s="404"/>
      <c r="W1711" s="316"/>
      <c r="X1711" s="316"/>
      <c r="Y1711" s="316"/>
      <c r="Z1711" s="316"/>
      <c r="AA1711" s="404"/>
      <c r="AB1711" s="404"/>
      <c r="AC1711" s="404"/>
      <c r="AD1711" s="404"/>
      <c r="AE1711" s="316"/>
      <c r="AF1711" s="316"/>
      <c r="AG1711" s="404"/>
      <c r="AH1711" s="316"/>
      <c r="AI1711" s="316"/>
      <c r="AJ1711" s="316"/>
      <c r="AK1711" s="316"/>
      <c r="AL1711" s="316"/>
      <c r="AM1711" s="416"/>
      <c r="AR1711" s="333"/>
      <c r="AS1711" s="333"/>
      <c r="AT1711" s="333"/>
      <c r="AU1711" s="333"/>
      <c r="AV1711" s="333"/>
    </row>
    <row r="1712" spans="2:48" s="330" customFormat="1" ht="28.15" customHeight="1" x14ac:dyDescent="0.25">
      <c r="B1712" s="331"/>
      <c r="C1712" s="332"/>
      <c r="D1712" s="332"/>
      <c r="E1712" s="333"/>
      <c r="F1712" s="333"/>
      <c r="R1712" s="316"/>
      <c r="S1712" s="404"/>
      <c r="T1712" s="404"/>
      <c r="U1712" s="404"/>
      <c r="V1712" s="404"/>
      <c r="W1712" s="316"/>
      <c r="X1712" s="316"/>
      <c r="Y1712" s="316"/>
      <c r="Z1712" s="316"/>
      <c r="AA1712" s="404"/>
      <c r="AB1712" s="404"/>
      <c r="AC1712" s="404"/>
      <c r="AD1712" s="404"/>
      <c r="AE1712" s="316"/>
      <c r="AF1712" s="316"/>
      <c r="AG1712" s="404"/>
      <c r="AH1712" s="316"/>
      <c r="AI1712" s="316"/>
      <c r="AJ1712" s="316"/>
      <c r="AK1712" s="316"/>
      <c r="AL1712" s="316"/>
      <c r="AM1712" s="416"/>
      <c r="AR1712" s="333"/>
      <c r="AS1712" s="333"/>
      <c r="AT1712" s="333"/>
      <c r="AU1712" s="333"/>
      <c r="AV1712" s="333"/>
    </row>
    <row r="1713" spans="2:48" s="330" customFormat="1" ht="28.15" customHeight="1" x14ac:dyDescent="0.25">
      <c r="B1713" s="331"/>
      <c r="C1713" s="332"/>
      <c r="D1713" s="332"/>
      <c r="E1713" s="333"/>
      <c r="F1713" s="333"/>
      <c r="R1713" s="316"/>
      <c r="S1713" s="404"/>
      <c r="T1713" s="404"/>
      <c r="U1713" s="404"/>
      <c r="V1713" s="404"/>
      <c r="W1713" s="316"/>
      <c r="X1713" s="316"/>
      <c r="Y1713" s="316"/>
      <c r="Z1713" s="316"/>
      <c r="AA1713" s="404"/>
      <c r="AB1713" s="404"/>
      <c r="AC1713" s="404"/>
      <c r="AD1713" s="404"/>
      <c r="AE1713" s="316"/>
      <c r="AF1713" s="316"/>
      <c r="AG1713" s="404"/>
      <c r="AH1713" s="316"/>
      <c r="AI1713" s="316"/>
      <c r="AJ1713" s="316"/>
      <c r="AK1713" s="316"/>
      <c r="AL1713" s="316"/>
      <c r="AM1713" s="416"/>
      <c r="AR1713" s="333"/>
      <c r="AS1713" s="333"/>
      <c r="AT1713" s="333"/>
      <c r="AU1713" s="333"/>
      <c r="AV1713" s="333"/>
    </row>
    <row r="1714" spans="2:48" s="330" customFormat="1" ht="28.15" customHeight="1" x14ac:dyDescent="0.25">
      <c r="B1714" s="331"/>
      <c r="C1714" s="332"/>
      <c r="D1714" s="332"/>
      <c r="E1714" s="333"/>
      <c r="F1714" s="333"/>
      <c r="R1714" s="316"/>
      <c r="S1714" s="404"/>
      <c r="T1714" s="404"/>
      <c r="U1714" s="404"/>
      <c r="V1714" s="404"/>
      <c r="W1714" s="316"/>
      <c r="X1714" s="316"/>
      <c r="Y1714" s="316"/>
      <c r="Z1714" s="316"/>
      <c r="AA1714" s="404"/>
      <c r="AB1714" s="404"/>
      <c r="AC1714" s="404"/>
      <c r="AD1714" s="404"/>
      <c r="AE1714" s="316"/>
      <c r="AF1714" s="316"/>
      <c r="AG1714" s="404"/>
      <c r="AH1714" s="316"/>
      <c r="AI1714" s="316"/>
      <c r="AJ1714" s="316"/>
      <c r="AK1714" s="316"/>
      <c r="AL1714" s="316"/>
      <c r="AM1714" s="416"/>
      <c r="AR1714" s="333"/>
      <c r="AS1714" s="333"/>
      <c r="AT1714" s="333"/>
      <c r="AU1714" s="333"/>
      <c r="AV1714" s="333"/>
    </row>
    <row r="1715" spans="2:48" s="330" customFormat="1" ht="28.15" customHeight="1" x14ac:dyDescent="0.25">
      <c r="B1715" s="331"/>
      <c r="C1715" s="332"/>
      <c r="D1715" s="332"/>
      <c r="E1715" s="333"/>
      <c r="F1715" s="333"/>
      <c r="R1715" s="316"/>
      <c r="S1715" s="404"/>
      <c r="T1715" s="404"/>
      <c r="U1715" s="404"/>
      <c r="V1715" s="404"/>
      <c r="W1715" s="316"/>
      <c r="X1715" s="316"/>
      <c r="Y1715" s="316"/>
      <c r="Z1715" s="316"/>
      <c r="AA1715" s="404"/>
      <c r="AB1715" s="404"/>
      <c r="AC1715" s="404"/>
      <c r="AD1715" s="404"/>
      <c r="AE1715" s="316"/>
      <c r="AF1715" s="316"/>
      <c r="AG1715" s="404"/>
      <c r="AH1715" s="316"/>
      <c r="AI1715" s="316"/>
      <c r="AJ1715" s="316"/>
      <c r="AK1715" s="316"/>
      <c r="AL1715" s="316"/>
      <c r="AM1715" s="416"/>
      <c r="AR1715" s="333"/>
      <c r="AS1715" s="333"/>
      <c r="AT1715" s="333"/>
      <c r="AU1715" s="333"/>
      <c r="AV1715" s="333"/>
    </row>
    <row r="1716" spans="2:48" s="330" customFormat="1" ht="28.15" customHeight="1" x14ac:dyDescent="0.25">
      <c r="B1716" s="331"/>
      <c r="C1716" s="332"/>
      <c r="D1716" s="332"/>
      <c r="E1716" s="333"/>
      <c r="F1716" s="333"/>
      <c r="R1716" s="316"/>
      <c r="S1716" s="404"/>
      <c r="T1716" s="404"/>
      <c r="U1716" s="404"/>
      <c r="V1716" s="404"/>
      <c r="W1716" s="316"/>
      <c r="X1716" s="316"/>
      <c r="Y1716" s="316"/>
      <c r="Z1716" s="316"/>
      <c r="AA1716" s="404"/>
      <c r="AB1716" s="404"/>
      <c r="AC1716" s="404"/>
      <c r="AD1716" s="404"/>
      <c r="AE1716" s="316"/>
      <c r="AF1716" s="316"/>
      <c r="AG1716" s="404"/>
      <c r="AH1716" s="316"/>
      <c r="AI1716" s="316"/>
      <c r="AJ1716" s="316"/>
      <c r="AK1716" s="316"/>
      <c r="AL1716" s="316"/>
      <c r="AM1716" s="416"/>
      <c r="AR1716" s="333"/>
      <c r="AS1716" s="333"/>
      <c r="AT1716" s="333"/>
      <c r="AU1716" s="333"/>
      <c r="AV1716" s="333"/>
    </row>
    <row r="1717" spans="2:48" s="330" customFormat="1" ht="28.15" customHeight="1" x14ac:dyDescent="0.25">
      <c r="B1717" s="331"/>
      <c r="C1717" s="332"/>
      <c r="D1717" s="332"/>
      <c r="E1717" s="333"/>
      <c r="F1717" s="333"/>
      <c r="R1717" s="316"/>
      <c r="S1717" s="404"/>
      <c r="T1717" s="404"/>
      <c r="U1717" s="404"/>
      <c r="V1717" s="404"/>
      <c r="W1717" s="316"/>
      <c r="X1717" s="316"/>
      <c r="Y1717" s="316"/>
      <c r="Z1717" s="316"/>
      <c r="AA1717" s="404"/>
      <c r="AB1717" s="404"/>
      <c r="AC1717" s="404"/>
      <c r="AD1717" s="404"/>
      <c r="AE1717" s="316"/>
      <c r="AF1717" s="316"/>
      <c r="AG1717" s="404"/>
      <c r="AH1717" s="316"/>
      <c r="AI1717" s="316"/>
      <c r="AJ1717" s="316"/>
      <c r="AK1717" s="316"/>
      <c r="AL1717" s="316"/>
      <c r="AM1717" s="416"/>
      <c r="AR1717" s="333"/>
      <c r="AS1717" s="333"/>
      <c r="AT1717" s="333"/>
      <c r="AU1717" s="333"/>
      <c r="AV1717" s="333"/>
    </row>
    <row r="1718" spans="2:48" s="330" customFormat="1" ht="28.15" customHeight="1" x14ac:dyDescent="0.25">
      <c r="B1718" s="331"/>
      <c r="C1718" s="332"/>
      <c r="D1718" s="332"/>
      <c r="E1718" s="333"/>
      <c r="F1718" s="333"/>
      <c r="R1718" s="316"/>
      <c r="S1718" s="404"/>
      <c r="T1718" s="404"/>
      <c r="U1718" s="404"/>
      <c r="V1718" s="404"/>
      <c r="W1718" s="316"/>
      <c r="X1718" s="316"/>
      <c r="Y1718" s="316"/>
      <c r="Z1718" s="316"/>
      <c r="AA1718" s="404"/>
      <c r="AB1718" s="404"/>
      <c r="AC1718" s="404"/>
      <c r="AD1718" s="404"/>
      <c r="AE1718" s="316"/>
      <c r="AF1718" s="316"/>
      <c r="AG1718" s="404"/>
      <c r="AH1718" s="316"/>
      <c r="AI1718" s="316"/>
      <c r="AJ1718" s="316"/>
      <c r="AK1718" s="316"/>
      <c r="AL1718" s="316"/>
      <c r="AM1718" s="416"/>
      <c r="AR1718" s="333"/>
      <c r="AS1718" s="333"/>
      <c r="AT1718" s="333"/>
      <c r="AU1718" s="333"/>
      <c r="AV1718" s="333"/>
    </row>
    <row r="1719" spans="2:48" s="330" customFormat="1" ht="28.15" customHeight="1" x14ac:dyDescent="0.25">
      <c r="B1719" s="331"/>
      <c r="C1719" s="332"/>
      <c r="D1719" s="332"/>
      <c r="E1719" s="333"/>
      <c r="F1719" s="333"/>
      <c r="R1719" s="316"/>
      <c r="S1719" s="404"/>
      <c r="T1719" s="404"/>
      <c r="U1719" s="404"/>
      <c r="V1719" s="404"/>
      <c r="W1719" s="316"/>
      <c r="X1719" s="316"/>
      <c r="Y1719" s="316"/>
      <c r="Z1719" s="316"/>
      <c r="AA1719" s="404"/>
      <c r="AB1719" s="404"/>
      <c r="AC1719" s="404"/>
      <c r="AD1719" s="404"/>
      <c r="AE1719" s="316"/>
      <c r="AF1719" s="316"/>
      <c r="AG1719" s="404"/>
      <c r="AH1719" s="316"/>
      <c r="AI1719" s="316"/>
      <c r="AJ1719" s="316"/>
      <c r="AK1719" s="316"/>
      <c r="AL1719" s="316"/>
      <c r="AM1719" s="416"/>
      <c r="AR1719" s="333"/>
      <c r="AS1719" s="333"/>
      <c r="AT1719" s="333"/>
      <c r="AU1719" s="333"/>
      <c r="AV1719" s="333"/>
    </row>
    <row r="1720" spans="2:48" s="330" customFormat="1" ht="28.15" customHeight="1" x14ac:dyDescent="0.25">
      <c r="B1720" s="331"/>
      <c r="C1720" s="332"/>
      <c r="D1720" s="332"/>
      <c r="E1720" s="333"/>
      <c r="F1720" s="333"/>
      <c r="R1720" s="316"/>
      <c r="S1720" s="404"/>
      <c r="T1720" s="404"/>
      <c r="U1720" s="404"/>
      <c r="V1720" s="404"/>
      <c r="W1720" s="316"/>
      <c r="X1720" s="316"/>
      <c r="Y1720" s="316"/>
      <c r="Z1720" s="316"/>
      <c r="AA1720" s="404"/>
      <c r="AB1720" s="404"/>
      <c r="AC1720" s="404"/>
      <c r="AD1720" s="404"/>
      <c r="AE1720" s="316"/>
      <c r="AF1720" s="316"/>
      <c r="AG1720" s="404"/>
      <c r="AH1720" s="316"/>
      <c r="AI1720" s="316"/>
      <c r="AJ1720" s="316"/>
      <c r="AK1720" s="316"/>
      <c r="AL1720" s="316"/>
      <c r="AM1720" s="416"/>
      <c r="AR1720" s="333"/>
      <c r="AS1720" s="333"/>
      <c r="AT1720" s="333"/>
      <c r="AU1720" s="333"/>
      <c r="AV1720" s="333"/>
    </row>
    <row r="1721" spans="2:48" s="330" customFormat="1" ht="28.15" customHeight="1" x14ac:dyDescent="0.25">
      <c r="B1721" s="331"/>
      <c r="C1721" s="332"/>
      <c r="D1721" s="332"/>
      <c r="E1721" s="333"/>
      <c r="F1721" s="333"/>
      <c r="R1721" s="316"/>
      <c r="S1721" s="404"/>
      <c r="T1721" s="404"/>
      <c r="U1721" s="404"/>
      <c r="V1721" s="404"/>
      <c r="W1721" s="316"/>
      <c r="X1721" s="316"/>
      <c r="Y1721" s="316"/>
      <c r="Z1721" s="316"/>
      <c r="AA1721" s="404"/>
      <c r="AB1721" s="404"/>
      <c r="AC1721" s="404"/>
      <c r="AD1721" s="404"/>
      <c r="AE1721" s="316"/>
      <c r="AF1721" s="316"/>
      <c r="AG1721" s="404"/>
      <c r="AH1721" s="316"/>
      <c r="AI1721" s="316"/>
      <c r="AJ1721" s="316"/>
      <c r="AK1721" s="316"/>
      <c r="AL1721" s="316"/>
      <c r="AM1721" s="416"/>
      <c r="AR1721" s="333"/>
      <c r="AS1721" s="333"/>
      <c r="AT1721" s="333"/>
      <c r="AU1721" s="333"/>
      <c r="AV1721" s="333"/>
    </row>
    <row r="1722" spans="2:48" s="330" customFormat="1" ht="28.15" customHeight="1" x14ac:dyDescent="0.25">
      <c r="B1722" s="331"/>
      <c r="C1722" s="332"/>
      <c r="D1722" s="332"/>
      <c r="E1722" s="333"/>
      <c r="F1722" s="333"/>
      <c r="R1722" s="316"/>
      <c r="S1722" s="404"/>
      <c r="T1722" s="404"/>
      <c r="U1722" s="404"/>
      <c r="V1722" s="404"/>
      <c r="W1722" s="316"/>
      <c r="X1722" s="316"/>
      <c r="Y1722" s="316"/>
      <c r="Z1722" s="316"/>
      <c r="AA1722" s="404"/>
      <c r="AB1722" s="404"/>
      <c r="AC1722" s="404"/>
      <c r="AD1722" s="404"/>
      <c r="AE1722" s="316"/>
      <c r="AF1722" s="316"/>
      <c r="AG1722" s="404"/>
      <c r="AH1722" s="316"/>
      <c r="AI1722" s="316"/>
      <c r="AJ1722" s="316"/>
      <c r="AK1722" s="316"/>
      <c r="AL1722" s="316"/>
      <c r="AM1722" s="416"/>
      <c r="AR1722" s="333"/>
      <c r="AS1722" s="333"/>
      <c r="AT1722" s="333"/>
      <c r="AU1722" s="333"/>
      <c r="AV1722" s="333"/>
    </row>
    <row r="1723" spans="2:48" s="330" customFormat="1" ht="28.15" customHeight="1" x14ac:dyDescent="0.25">
      <c r="B1723" s="331"/>
      <c r="C1723" s="332"/>
      <c r="D1723" s="332"/>
      <c r="E1723" s="333"/>
      <c r="F1723" s="333"/>
      <c r="R1723" s="316"/>
      <c r="S1723" s="404"/>
      <c r="T1723" s="404"/>
      <c r="U1723" s="404"/>
      <c r="V1723" s="404"/>
      <c r="W1723" s="316"/>
      <c r="X1723" s="316"/>
      <c r="Y1723" s="316"/>
      <c r="Z1723" s="316"/>
      <c r="AA1723" s="404"/>
      <c r="AB1723" s="404"/>
      <c r="AC1723" s="404"/>
      <c r="AD1723" s="404"/>
      <c r="AE1723" s="316"/>
      <c r="AF1723" s="316"/>
      <c r="AG1723" s="404"/>
      <c r="AH1723" s="316"/>
      <c r="AI1723" s="316"/>
      <c r="AJ1723" s="316"/>
      <c r="AK1723" s="316"/>
      <c r="AL1723" s="316"/>
      <c r="AM1723" s="416"/>
      <c r="AR1723" s="333"/>
      <c r="AS1723" s="333"/>
      <c r="AT1723" s="333"/>
      <c r="AU1723" s="333"/>
      <c r="AV1723" s="333"/>
    </row>
    <row r="1724" spans="2:48" s="330" customFormat="1" ht="28.15" customHeight="1" x14ac:dyDescent="0.25">
      <c r="B1724" s="331"/>
      <c r="C1724" s="332"/>
      <c r="D1724" s="332"/>
      <c r="E1724" s="333"/>
      <c r="F1724" s="333"/>
      <c r="R1724" s="316"/>
      <c r="S1724" s="404"/>
      <c r="T1724" s="404"/>
      <c r="U1724" s="404"/>
      <c r="V1724" s="404"/>
      <c r="W1724" s="316"/>
      <c r="X1724" s="316"/>
      <c r="Y1724" s="316"/>
      <c r="Z1724" s="316"/>
      <c r="AA1724" s="404"/>
      <c r="AB1724" s="404"/>
      <c r="AC1724" s="404"/>
      <c r="AD1724" s="404"/>
      <c r="AE1724" s="316"/>
      <c r="AF1724" s="316"/>
      <c r="AG1724" s="404"/>
      <c r="AH1724" s="316"/>
      <c r="AI1724" s="316"/>
      <c r="AJ1724" s="316"/>
      <c r="AK1724" s="316"/>
      <c r="AL1724" s="316"/>
      <c r="AM1724" s="416"/>
      <c r="AR1724" s="333"/>
      <c r="AS1724" s="333"/>
      <c r="AT1724" s="333"/>
      <c r="AU1724" s="333"/>
      <c r="AV1724" s="333"/>
    </row>
    <row r="1725" spans="2:48" s="330" customFormat="1" ht="28.15" customHeight="1" x14ac:dyDescent="0.25">
      <c r="B1725" s="331"/>
      <c r="C1725" s="332"/>
      <c r="D1725" s="332"/>
      <c r="E1725" s="333"/>
      <c r="F1725" s="333"/>
      <c r="R1725" s="316"/>
      <c r="S1725" s="404"/>
      <c r="T1725" s="404"/>
      <c r="U1725" s="404"/>
      <c r="V1725" s="404"/>
      <c r="W1725" s="316"/>
      <c r="X1725" s="316"/>
      <c r="Y1725" s="316"/>
      <c r="Z1725" s="316"/>
      <c r="AA1725" s="404"/>
      <c r="AB1725" s="404"/>
      <c r="AC1725" s="404"/>
      <c r="AD1725" s="404"/>
      <c r="AE1725" s="316"/>
      <c r="AF1725" s="316"/>
      <c r="AG1725" s="404"/>
      <c r="AH1725" s="316"/>
      <c r="AI1725" s="316"/>
      <c r="AJ1725" s="316"/>
      <c r="AK1725" s="316"/>
      <c r="AL1725" s="316"/>
      <c r="AM1725" s="416"/>
      <c r="AR1725" s="333"/>
      <c r="AS1725" s="333"/>
      <c r="AT1725" s="333"/>
      <c r="AU1725" s="333"/>
      <c r="AV1725" s="333"/>
    </row>
    <row r="1726" spans="2:48" s="330" customFormat="1" ht="28.15" customHeight="1" x14ac:dyDescent="0.25">
      <c r="B1726" s="331"/>
      <c r="C1726" s="332"/>
      <c r="D1726" s="332"/>
      <c r="E1726" s="333"/>
      <c r="F1726" s="333"/>
      <c r="R1726" s="316"/>
      <c r="S1726" s="404"/>
      <c r="T1726" s="404"/>
      <c r="U1726" s="404"/>
      <c r="V1726" s="404"/>
      <c r="W1726" s="316"/>
      <c r="X1726" s="316"/>
      <c r="Y1726" s="316"/>
      <c r="Z1726" s="316"/>
      <c r="AA1726" s="404"/>
      <c r="AB1726" s="404"/>
      <c r="AC1726" s="404"/>
      <c r="AD1726" s="404"/>
      <c r="AE1726" s="316"/>
      <c r="AF1726" s="316"/>
      <c r="AG1726" s="404"/>
      <c r="AH1726" s="316"/>
      <c r="AI1726" s="316"/>
      <c r="AJ1726" s="316"/>
      <c r="AK1726" s="316"/>
      <c r="AL1726" s="316"/>
      <c r="AM1726" s="416"/>
      <c r="AR1726" s="333"/>
      <c r="AS1726" s="333"/>
      <c r="AT1726" s="333"/>
      <c r="AU1726" s="333"/>
      <c r="AV1726" s="333"/>
    </row>
    <row r="1727" spans="2:48" s="330" customFormat="1" ht="28.15" customHeight="1" x14ac:dyDescent="0.25">
      <c r="B1727" s="331"/>
      <c r="C1727" s="332"/>
      <c r="D1727" s="332"/>
      <c r="E1727" s="333"/>
      <c r="F1727" s="333"/>
      <c r="R1727" s="316"/>
      <c r="S1727" s="404"/>
      <c r="T1727" s="404"/>
      <c r="U1727" s="404"/>
      <c r="V1727" s="404"/>
      <c r="W1727" s="316"/>
      <c r="X1727" s="316"/>
      <c r="Y1727" s="316"/>
      <c r="Z1727" s="316"/>
      <c r="AA1727" s="404"/>
      <c r="AB1727" s="404"/>
      <c r="AC1727" s="404"/>
      <c r="AD1727" s="404"/>
      <c r="AE1727" s="316"/>
      <c r="AF1727" s="316"/>
      <c r="AG1727" s="404"/>
      <c r="AH1727" s="316"/>
      <c r="AI1727" s="316"/>
      <c r="AJ1727" s="316"/>
      <c r="AK1727" s="316"/>
      <c r="AL1727" s="316"/>
      <c r="AM1727" s="416"/>
      <c r="AR1727" s="333"/>
      <c r="AS1727" s="333"/>
      <c r="AT1727" s="333"/>
      <c r="AU1727" s="333"/>
      <c r="AV1727" s="333"/>
    </row>
    <row r="1728" spans="2:48" s="330" customFormat="1" ht="28.15" customHeight="1" x14ac:dyDescent="0.25">
      <c r="B1728" s="331"/>
      <c r="C1728" s="332"/>
      <c r="D1728" s="332"/>
      <c r="E1728" s="333"/>
      <c r="F1728" s="333"/>
      <c r="R1728" s="316"/>
      <c r="S1728" s="404"/>
      <c r="T1728" s="404"/>
      <c r="U1728" s="404"/>
      <c r="V1728" s="404"/>
      <c r="W1728" s="316"/>
      <c r="X1728" s="316"/>
      <c r="Y1728" s="316"/>
      <c r="Z1728" s="316"/>
      <c r="AA1728" s="404"/>
      <c r="AB1728" s="404"/>
      <c r="AC1728" s="404"/>
      <c r="AD1728" s="404"/>
      <c r="AE1728" s="316"/>
      <c r="AF1728" s="316"/>
      <c r="AG1728" s="404"/>
      <c r="AH1728" s="316"/>
      <c r="AI1728" s="316"/>
      <c r="AJ1728" s="316"/>
      <c r="AK1728" s="316"/>
      <c r="AL1728" s="316"/>
      <c r="AM1728" s="416"/>
      <c r="AR1728" s="333"/>
      <c r="AS1728" s="333"/>
      <c r="AT1728" s="333"/>
      <c r="AU1728" s="333"/>
      <c r="AV1728" s="333"/>
    </row>
    <row r="1729" spans="2:48" s="330" customFormat="1" ht="28.15" customHeight="1" x14ac:dyDescent="0.25">
      <c r="B1729" s="331"/>
      <c r="C1729" s="332"/>
      <c r="D1729" s="332"/>
      <c r="E1729" s="333"/>
      <c r="F1729" s="333"/>
      <c r="R1729" s="316"/>
      <c r="S1729" s="404"/>
      <c r="T1729" s="404"/>
      <c r="U1729" s="404"/>
      <c r="V1729" s="404"/>
      <c r="W1729" s="316"/>
      <c r="X1729" s="316"/>
      <c r="Y1729" s="316"/>
      <c r="Z1729" s="316"/>
      <c r="AA1729" s="404"/>
      <c r="AB1729" s="404"/>
      <c r="AC1729" s="404"/>
      <c r="AD1729" s="404"/>
      <c r="AE1729" s="316"/>
      <c r="AF1729" s="316"/>
      <c r="AG1729" s="404"/>
      <c r="AH1729" s="316"/>
      <c r="AI1729" s="316"/>
      <c r="AJ1729" s="316"/>
      <c r="AK1729" s="316"/>
      <c r="AL1729" s="316"/>
      <c r="AM1729" s="416"/>
      <c r="AR1729" s="333"/>
      <c r="AS1729" s="333"/>
      <c r="AT1729" s="333"/>
      <c r="AU1729" s="333"/>
      <c r="AV1729" s="333"/>
    </row>
    <row r="1730" spans="2:48" s="330" customFormat="1" ht="28.15" customHeight="1" x14ac:dyDescent="0.25">
      <c r="B1730" s="331"/>
      <c r="C1730" s="332"/>
      <c r="D1730" s="332"/>
      <c r="E1730" s="333"/>
      <c r="F1730" s="333"/>
      <c r="R1730" s="316"/>
      <c r="S1730" s="404"/>
      <c r="T1730" s="404"/>
      <c r="U1730" s="404"/>
      <c r="V1730" s="404"/>
      <c r="W1730" s="316"/>
      <c r="X1730" s="316"/>
      <c r="Y1730" s="316"/>
      <c r="Z1730" s="316"/>
      <c r="AA1730" s="404"/>
      <c r="AB1730" s="404"/>
      <c r="AC1730" s="404"/>
      <c r="AD1730" s="404"/>
      <c r="AE1730" s="316"/>
      <c r="AF1730" s="316"/>
      <c r="AG1730" s="404"/>
      <c r="AH1730" s="316"/>
      <c r="AI1730" s="316"/>
      <c r="AJ1730" s="316"/>
      <c r="AK1730" s="316"/>
      <c r="AL1730" s="316"/>
      <c r="AM1730" s="416"/>
      <c r="AR1730" s="333"/>
      <c r="AS1730" s="333"/>
      <c r="AT1730" s="333"/>
      <c r="AU1730" s="333"/>
      <c r="AV1730" s="333"/>
    </row>
    <row r="1731" spans="2:48" s="330" customFormat="1" ht="28.15" customHeight="1" x14ac:dyDescent="0.25">
      <c r="B1731" s="331"/>
      <c r="C1731" s="332"/>
      <c r="D1731" s="332"/>
      <c r="E1731" s="333"/>
      <c r="F1731" s="333"/>
      <c r="R1731" s="316"/>
      <c r="S1731" s="404"/>
      <c r="T1731" s="404"/>
      <c r="U1731" s="404"/>
      <c r="V1731" s="404"/>
      <c r="W1731" s="316"/>
      <c r="X1731" s="316"/>
      <c r="Y1731" s="316"/>
      <c r="Z1731" s="316"/>
      <c r="AA1731" s="404"/>
      <c r="AB1731" s="404"/>
      <c r="AC1731" s="404"/>
      <c r="AD1731" s="404"/>
      <c r="AE1731" s="316"/>
      <c r="AF1731" s="316"/>
      <c r="AG1731" s="404"/>
      <c r="AH1731" s="316"/>
      <c r="AI1731" s="316"/>
      <c r="AJ1731" s="316"/>
      <c r="AK1731" s="316"/>
      <c r="AL1731" s="316"/>
      <c r="AM1731" s="416"/>
      <c r="AR1731" s="333"/>
      <c r="AS1731" s="333"/>
      <c r="AT1731" s="333"/>
      <c r="AU1731" s="333"/>
      <c r="AV1731" s="333"/>
    </row>
    <row r="1732" spans="2:48" s="330" customFormat="1" ht="28.15" customHeight="1" x14ac:dyDescent="0.25">
      <c r="B1732" s="331"/>
      <c r="C1732" s="332"/>
      <c r="D1732" s="332"/>
      <c r="E1732" s="333"/>
      <c r="F1732" s="333"/>
      <c r="R1732" s="316"/>
      <c r="S1732" s="404"/>
      <c r="T1732" s="404"/>
      <c r="U1732" s="404"/>
      <c r="V1732" s="404"/>
      <c r="W1732" s="316"/>
      <c r="X1732" s="316"/>
      <c r="Y1732" s="316"/>
      <c r="Z1732" s="316"/>
      <c r="AA1732" s="404"/>
      <c r="AB1732" s="404"/>
      <c r="AC1732" s="404"/>
      <c r="AD1732" s="404"/>
      <c r="AE1732" s="316"/>
      <c r="AF1732" s="316"/>
      <c r="AG1732" s="404"/>
      <c r="AH1732" s="316"/>
      <c r="AI1732" s="316"/>
      <c r="AJ1732" s="316"/>
      <c r="AK1732" s="316"/>
      <c r="AL1732" s="316"/>
      <c r="AM1732" s="416"/>
      <c r="AR1732" s="333"/>
      <c r="AS1732" s="333"/>
      <c r="AT1732" s="333"/>
      <c r="AU1732" s="333"/>
      <c r="AV1732" s="333"/>
    </row>
    <row r="1733" spans="2:48" s="330" customFormat="1" ht="28.15" customHeight="1" x14ac:dyDescent="0.25">
      <c r="B1733" s="331"/>
      <c r="C1733" s="332"/>
      <c r="D1733" s="332"/>
      <c r="E1733" s="333"/>
      <c r="F1733" s="333"/>
      <c r="R1733" s="316"/>
      <c r="S1733" s="404"/>
      <c r="T1733" s="404"/>
      <c r="U1733" s="404"/>
      <c r="V1733" s="404"/>
      <c r="W1733" s="316"/>
      <c r="X1733" s="316"/>
      <c r="Y1733" s="316"/>
      <c r="Z1733" s="316"/>
      <c r="AA1733" s="404"/>
      <c r="AB1733" s="404"/>
      <c r="AC1733" s="404"/>
      <c r="AD1733" s="404"/>
      <c r="AE1733" s="316"/>
      <c r="AF1733" s="316"/>
      <c r="AG1733" s="404"/>
      <c r="AH1733" s="316"/>
      <c r="AI1733" s="316"/>
      <c r="AJ1733" s="316"/>
      <c r="AK1733" s="316"/>
      <c r="AL1733" s="316"/>
      <c r="AM1733" s="416"/>
      <c r="AR1733" s="333"/>
      <c r="AS1733" s="333"/>
      <c r="AT1733" s="333"/>
      <c r="AU1733" s="333"/>
      <c r="AV1733" s="333"/>
    </row>
    <row r="1734" spans="2:48" s="330" customFormat="1" ht="28.15" customHeight="1" x14ac:dyDescent="0.25">
      <c r="B1734" s="331"/>
      <c r="C1734" s="332"/>
      <c r="D1734" s="332"/>
      <c r="E1734" s="333"/>
      <c r="F1734" s="333"/>
      <c r="R1734" s="316"/>
      <c r="S1734" s="404"/>
      <c r="T1734" s="404"/>
      <c r="U1734" s="404"/>
      <c r="V1734" s="404"/>
      <c r="W1734" s="316"/>
      <c r="X1734" s="316"/>
      <c r="Y1734" s="316"/>
      <c r="Z1734" s="316"/>
      <c r="AA1734" s="404"/>
      <c r="AB1734" s="404"/>
      <c r="AC1734" s="404"/>
      <c r="AD1734" s="404"/>
      <c r="AE1734" s="316"/>
      <c r="AF1734" s="316"/>
      <c r="AG1734" s="404"/>
      <c r="AH1734" s="316"/>
      <c r="AI1734" s="316"/>
      <c r="AJ1734" s="316"/>
      <c r="AK1734" s="316"/>
      <c r="AL1734" s="316"/>
      <c r="AM1734" s="416"/>
      <c r="AR1734" s="333"/>
      <c r="AS1734" s="333"/>
      <c r="AT1734" s="333"/>
      <c r="AU1734" s="333"/>
      <c r="AV1734" s="333"/>
    </row>
    <row r="1735" spans="2:48" s="330" customFormat="1" ht="28.15" customHeight="1" x14ac:dyDescent="0.25">
      <c r="B1735" s="331"/>
      <c r="C1735" s="332"/>
      <c r="D1735" s="332"/>
      <c r="E1735" s="333"/>
      <c r="F1735" s="333"/>
      <c r="R1735" s="316"/>
      <c r="S1735" s="404"/>
      <c r="T1735" s="404"/>
      <c r="U1735" s="404"/>
      <c r="V1735" s="404"/>
      <c r="W1735" s="316"/>
      <c r="X1735" s="316"/>
      <c r="Y1735" s="316"/>
      <c r="Z1735" s="316"/>
      <c r="AA1735" s="404"/>
      <c r="AB1735" s="404"/>
      <c r="AC1735" s="404"/>
      <c r="AD1735" s="404"/>
      <c r="AE1735" s="316"/>
      <c r="AF1735" s="316"/>
      <c r="AG1735" s="404"/>
      <c r="AH1735" s="316"/>
      <c r="AI1735" s="316"/>
      <c r="AJ1735" s="316"/>
      <c r="AK1735" s="316"/>
      <c r="AL1735" s="316"/>
      <c r="AM1735" s="416"/>
      <c r="AR1735" s="333"/>
      <c r="AS1735" s="333"/>
      <c r="AT1735" s="333"/>
      <c r="AU1735" s="333"/>
      <c r="AV1735" s="333"/>
    </row>
    <row r="1736" spans="2:48" s="330" customFormat="1" ht="28.15" customHeight="1" x14ac:dyDescent="0.25">
      <c r="B1736" s="331"/>
      <c r="C1736" s="332"/>
      <c r="D1736" s="332"/>
      <c r="E1736" s="333"/>
      <c r="F1736" s="333"/>
      <c r="R1736" s="316"/>
      <c r="S1736" s="404"/>
      <c r="T1736" s="404"/>
      <c r="U1736" s="404"/>
      <c r="V1736" s="404"/>
      <c r="W1736" s="316"/>
      <c r="X1736" s="316"/>
      <c r="Y1736" s="316"/>
      <c r="Z1736" s="316"/>
      <c r="AA1736" s="404"/>
      <c r="AB1736" s="404"/>
      <c r="AC1736" s="404"/>
      <c r="AD1736" s="404"/>
      <c r="AE1736" s="316"/>
      <c r="AF1736" s="316"/>
      <c r="AG1736" s="404"/>
      <c r="AH1736" s="316"/>
      <c r="AI1736" s="316"/>
      <c r="AJ1736" s="316"/>
      <c r="AK1736" s="316"/>
      <c r="AL1736" s="316"/>
      <c r="AM1736" s="416"/>
      <c r="AR1736" s="333"/>
      <c r="AS1736" s="333"/>
      <c r="AT1736" s="333"/>
      <c r="AU1736" s="333"/>
      <c r="AV1736" s="333"/>
    </row>
    <row r="1737" spans="2:48" s="330" customFormat="1" ht="28.15" customHeight="1" x14ac:dyDescent="0.25">
      <c r="B1737" s="331"/>
      <c r="C1737" s="332"/>
      <c r="D1737" s="332"/>
      <c r="E1737" s="333"/>
      <c r="F1737" s="333"/>
      <c r="R1737" s="316"/>
      <c r="S1737" s="404"/>
      <c r="T1737" s="404"/>
      <c r="U1737" s="404"/>
      <c r="V1737" s="404"/>
      <c r="W1737" s="316"/>
      <c r="X1737" s="316"/>
      <c r="Y1737" s="316"/>
      <c r="Z1737" s="316"/>
      <c r="AA1737" s="404"/>
      <c r="AB1737" s="404"/>
      <c r="AC1737" s="404"/>
      <c r="AD1737" s="404"/>
      <c r="AE1737" s="316"/>
      <c r="AF1737" s="316"/>
      <c r="AG1737" s="404"/>
      <c r="AH1737" s="316"/>
      <c r="AI1737" s="316"/>
      <c r="AJ1737" s="316"/>
      <c r="AK1737" s="316"/>
      <c r="AL1737" s="316"/>
      <c r="AM1737" s="416"/>
      <c r="AR1737" s="333"/>
      <c r="AS1737" s="333"/>
      <c r="AT1737" s="333"/>
      <c r="AU1737" s="333"/>
      <c r="AV1737" s="333"/>
    </row>
    <row r="1738" spans="2:48" s="330" customFormat="1" ht="28.15" customHeight="1" x14ac:dyDescent="0.25">
      <c r="B1738" s="331"/>
      <c r="C1738" s="332"/>
      <c r="D1738" s="332"/>
      <c r="E1738" s="333"/>
      <c r="F1738" s="333"/>
      <c r="R1738" s="316"/>
      <c r="S1738" s="404"/>
      <c r="T1738" s="404"/>
      <c r="U1738" s="404"/>
      <c r="V1738" s="404"/>
      <c r="W1738" s="316"/>
      <c r="X1738" s="316"/>
      <c r="Y1738" s="316"/>
      <c r="Z1738" s="316"/>
      <c r="AA1738" s="404"/>
      <c r="AB1738" s="404"/>
      <c r="AC1738" s="404"/>
      <c r="AD1738" s="404"/>
      <c r="AE1738" s="316"/>
      <c r="AF1738" s="316"/>
      <c r="AG1738" s="404"/>
      <c r="AH1738" s="316"/>
      <c r="AI1738" s="316"/>
      <c r="AJ1738" s="316"/>
      <c r="AK1738" s="316"/>
      <c r="AL1738" s="316"/>
      <c r="AM1738" s="416"/>
      <c r="AR1738" s="333"/>
      <c r="AS1738" s="333"/>
      <c r="AT1738" s="333"/>
      <c r="AU1738" s="333"/>
      <c r="AV1738" s="333"/>
    </row>
    <row r="1739" spans="2:48" s="330" customFormat="1" ht="28.15" customHeight="1" x14ac:dyDescent="0.25">
      <c r="B1739" s="331"/>
      <c r="C1739" s="332"/>
      <c r="D1739" s="332"/>
      <c r="E1739" s="333"/>
      <c r="F1739" s="333"/>
      <c r="R1739" s="316"/>
      <c r="S1739" s="404"/>
      <c r="T1739" s="404"/>
      <c r="U1739" s="404"/>
      <c r="V1739" s="404"/>
      <c r="W1739" s="316"/>
      <c r="X1739" s="316"/>
      <c r="Y1739" s="316"/>
      <c r="Z1739" s="316"/>
      <c r="AA1739" s="404"/>
      <c r="AB1739" s="404"/>
      <c r="AC1739" s="404"/>
      <c r="AD1739" s="404"/>
      <c r="AE1739" s="316"/>
      <c r="AF1739" s="316"/>
      <c r="AG1739" s="404"/>
      <c r="AH1739" s="316"/>
      <c r="AI1739" s="316"/>
      <c r="AJ1739" s="316"/>
      <c r="AK1739" s="316"/>
      <c r="AL1739" s="316"/>
      <c r="AM1739" s="416"/>
      <c r="AR1739" s="333"/>
      <c r="AS1739" s="333"/>
      <c r="AT1739" s="333"/>
      <c r="AU1739" s="333"/>
      <c r="AV1739" s="333"/>
    </row>
    <row r="1740" spans="2:48" s="330" customFormat="1" ht="28.15" customHeight="1" x14ac:dyDescent="0.25">
      <c r="B1740" s="331"/>
      <c r="C1740" s="332"/>
      <c r="D1740" s="332"/>
      <c r="E1740" s="333"/>
      <c r="F1740" s="333"/>
      <c r="R1740" s="316"/>
      <c r="S1740" s="404"/>
      <c r="T1740" s="404"/>
      <c r="U1740" s="404"/>
      <c r="V1740" s="404"/>
      <c r="W1740" s="316"/>
      <c r="X1740" s="316"/>
      <c r="Y1740" s="316"/>
      <c r="Z1740" s="316"/>
      <c r="AA1740" s="404"/>
      <c r="AB1740" s="404"/>
      <c r="AC1740" s="404"/>
      <c r="AD1740" s="404"/>
      <c r="AE1740" s="316"/>
      <c r="AF1740" s="316"/>
      <c r="AG1740" s="404"/>
      <c r="AH1740" s="316"/>
      <c r="AI1740" s="316"/>
      <c r="AJ1740" s="316"/>
      <c r="AK1740" s="316"/>
      <c r="AL1740" s="316"/>
      <c r="AM1740" s="416"/>
      <c r="AR1740" s="333"/>
      <c r="AS1740" s="333"/>
      <c r="AT1740" s="333"/>
      <c r="AU1740" s="333"/>
      <c r="AV1740" s="333"/>
    </row>
    <row r="1741" spans="2:48" s="330" customFormat="1" ht="28.15" customHeight="1" x14ac:dyDescent="0.25">
      <c r="B1741" s="331"/>
      <c r="C1741" s="332"/>
      <c r="D1741" s="332"/>
      <c r="E1741" s="333"/>
      <c r="F1741" s="333"/>
      <c r="R1741" s="316"/>
      <c r="S1741" s="404"/>
      <c r="T1741" s="404"/>
      <c r="U1741" s="404"/>
      <c r="V1741" s="404"/>
      <c r="W1741" s="316"/>
      <c r="X1741" s="316"/>
      <c r="Y1741" s="316"/>
      <c r="Z1741" s="316"/>
      <c r="AA1741" s="404"/>
      <c r="AB1741" s="404"/>
      <c r="AC1741" s="404"/>
      <c r="AD1741" s="404"/>
      <c r="AE1741" s="316"/>
      <c r="AF1741" s="316"/>
      <c r="AG1741" s="404"/>
      <c r="AH1741" s="316"/>
      <c r="AI1741" s="316"/>
      <c r="AJ1741" s="316"/>
      <c r="AK1741" s="316"/>
      <c r="AL1741" s="316"/>
      <c r="AM1741" s="416"/>
      <c r="AR1741" s="333"/>
      <c r="AS1741" s="333"/>
      <c r="AT1741" s="333"/>
      <c r="AU1741" s="333"/>
      <c r="AV1741" s="333"/>
    </row>
    <row r="1742" spans="2:48" s="330" customFormat="1" ht="28.15" customHeight="1" x14ac:dyDescent="0.25">
      <c r="B1742" s="331"/>
      <c r="C1742" s="332"/>
      <c r="D1742" s="332"/>
      <c r="E1742" s="333"/>
      <c r="F1742" s="333"/>
      <c r="R1742" s="316"/>
      <c r="S1742" s="404"/>
      <c r="T1742" s="404"/>
      <c r="U1742" s="404"/>
      <c r="V1742" s="404"/>
      <c r="W1742" s="316"/>
      <c r="X1742" s="316"/>
      <c r="Y1742" s="316"/>
      <c r="Z1742" s="316"/>
      <c r="AA1742" s="404"/>
      <c r="AB1742" s="404"/>
      <c r="AC1742" s="404"/>
      <c r="AD1742" s="404"/>
      <c r="AE1742" s="316"/>
      <c r="AF1742" s="316"/>
      <c r="AG1742" s="404"/>
      <c r="AH1742" s="316"/>
      <c r="AI1742" s="316"/>
      <c r="AJ1742" s="316"/>
      <c r="AK1742" s="316"/>
      <c r="AL1742" s="316"/>
      <c r="AM1742" s="416"/>
      <c r="AR1742" s="333"/>
      <c r="AS1742" s="333"/>
      <c r="AT1742" s="333"/>
      <c r="AU1742" s="333"/>
      <c r="AV1742" s="333"/>
    </row>
    <row r="1743" spans="2:48" s="330" customFormat="1" ht="28.15" customHeight="1" x14ac:dyDescent="0.25">
      <c r="B1743" s="331"/>
      <c r="C1743" s="332"/>
      <c r="D1743" s="332"/>
      <c r="E1743" s="333"/>
      <c r="F1743" s="333"/>
      <c r="R1743" s="316"/>
      <c r="S1743" s="404"/>
      <c r="T1743" s="404"/>
      <c r="U1743" s="404"/>
      <c r="V1743" s="404"/>
      <c r="W1743" s="316"/>
      <c r="X1743" s="316"/>
      <c r="Y1743" s="316"/>
      <c r="Z1743" s="316"/>
      <c r="AA1743" s="404"/>
      <c r="AB1743" s="404"/>
      <c r="AC1743" s="404"/>
      <c r="AD1743" s="404"/>
      <c r="AE1743" s="316"/>
      <c r="AF1743" s="316"/>
      <c r="AG1743" s="404"/>
      <c r="AH1743" s="316"/>
      <c r="AI1743" s="316"/>
      <c r="AJ1743" s="316"/>
      <c r="AK1743" s="316"/>
      <c r="AL1743" s="316"/>
      <c r="AM1743" s="416"/>
      <c r="AR1743" s="333"/>
      <c r="AS1743" s="333"/>
      <c r="AT1743" s="333"/>
      <c r="AU1743" s="333"/>
      <c r="AV1743" s="333"/>
    </row>
    <row r="1744" spans="2:48" s="330" customFormat="1" ht="28.15" customHeight="1" x14ac:dyDescent="0.25">
      <c r="B1744" s="331"/>
      <c r="C1744" s="332"/>
      <c r="D1744" s="332"/>
      <c r="E1744" s="333"/>
      <c r="F1744" s="333"/>
      <c r="R1744" s="316"/>
      <c r="S1744" s="404"/>
      <c r="T1744" s="404"/>
      <c r="U1744" s="404"/>
      <c r="V1744" s="404"/>
      <c r="W1744" s="316"/>
      <c r="X1744" s="316"/>
      <c r="Y1744" s="316"/>
      <c r="Z1744" s="316"/>
      <c r="AA1744" s="404"/>
      <c r="AB1744" s="404"/>
      <c r="AC1744" s="404"/>
      <c r="AD1744" s="404"/>
      <c r="AE1744" s="316"/>
      <c r="AF1744" s="316"/>
      <c r="AG1744" s="404"/>
      <c r="AH1744" s="316"/>
      <c r="AI1744" s="316"/>
      <c r="AJ1744" s="316"/>
      <c r="AK1744" s="316"/>
      <c r="AL1744" s="316"/>
      <c r="AM1744" s="416"/>
      <c r="AR1744" s="333"/>
      <c r="AS1744" s="333"/>
      <c r="AT1744" s="333"/>
      <c r="AU1744" s="333"/>
      <c r="AV1744" s="333"/>
    </row>
    <row r="1745" spans="2:48" s="330" customFormat="1" ht="28.15" customHeight="1" x14ac:dyDescent="0.25">
      <c r="B1745" s="331"/>
      <c r="C1745" s="332"/>
      <c r="D1745" s="332"/>
      <c r="E1745" s="333"/>
      <c r="F1745" s="333"/>
      <c r="R1745" s="316"/>
      <c r="S1745" s="404"/>
      <c r="T1745" s="404"/>
      <c r="U1745" s="404"/>
      <c r="V1745" s="404"/>
      <c r="W1745" s="316"/>
      <c r="X1745" s="316"/>
      <c r="Y1745" s="316"/>
      <c r="Z1745" s="316"/>
      <c r="AA1745" s="404"/>
      <c r="AB1745" s="404"/>
      <c r="AC1745" s="404"/>
      <c r="AD1745" s="404"/>
      <c r="AE1745" s="316"/>
      <c r="AF1745" s="316"/>
      <c r="AG1745" s="404"/>
      <c r="AH1745" s="316"/>
      <c r="AI1745" s="316"/>
      <c r="AJ1745" s="316"/>
      <c r="AK1745" s="316"/>
      <c r="AL1745" s="316"/>
      <c r="AM1745" s="416"/>
      <c r="AR1745" s="333"/>
      <c r="AS1745" s="333"/>
      <c r="AT1745" s="333"/>
      <c r="AU1745" s="333"/>
      <c r="AV1745" s="333"/>
    </row>
    <row r="1746" spans="2:48" s="330" customFormat="1" ht="28.15" customHeight="1" x14ac:dyDescent="0.25">
      <c r="B1746" s="331"/>
      <c r="C1746" s="332"/>
      <c r="D1746" s="332"/>
      <c r="E1746" s="333"/>
      <c r="F1746" s="333"/>
      <c r="R1746" s="316"/>
      <c r="S1746" s="404"/>
      <c r="T1746" s="404"/>
      <c r="U1746" s="404"/>
      <c r="V1746" s="404"/>
      <c r="W1746" s="316"/>
      <c r="X1746" s="316"/>
      <c r="Y1746" s="316"/>
      <c r="Z1746" s="316"/>
      <c r="AA1746" s="404"/>
      <c r="AB1746" s="404"/>
      <c r="AC1746" s="404"/>
      <c r="AD1746" s="404"/>
      <c r="AE1746" s="316"/>
      <c r="AF1746" s="316"/>
      <c r="AG1746" s="404"/>
      <c r="AH1746" s="316"/>
      <c r="AI1746" s="316"/>
      <c r="AJ1746" s="316"/>
      <c r="AK1746" s="316"/>
      <c r="AL1746" s="316"/>
      <c r="AM1746" s="416"/>
      <c r="AR1746" s="333"/>
      <c r="AS1746" s="333"/>
      <c r="AT1746" s="333"/>
      <c r="AU1746" s="333"/>
      <c r="AV1746" s="333"/>
    </row>
    <row r="1747" spans="2:48" s="330" customFormat="1" ht="28.15" customHeight="1" x14ac:dyDescent="0.25">
      <c r="B1747" s="331"/>
      <c r="C1747" s="332"/>
      <c r="D1747" s="332"/>
      <c r="E1747" s="333"/>
      <c r="F1747" s="333"/>
      <c r="R1747" s="316"/>
      <c r="S1747" s="404"/>
      <c r="T1747" s="404"/>
      <c r="U1747" s="404"/>
      <c r="V1747" s="404"/>
      <c r="W1747" s="316"/>
      <c r="X1747" s="316"/>
      <c r="Y1747" s="316"/>
      <c r="Z1747" s="316"/>
      <c r="AA1747" s="404"/>
      <c r="AB1747" s="404"/>
      <c r="AC1747" s="404"/>
      <c r="AD1747" s="404"/>
      <c r="AE1747" s="316"/>
      <c r="AF1747" s="316"/>
      <c r="AG1747" s="404"/>
      <c r="AH1747" s="316"/>
      <c r="AI1747" s="316"/>
      <c r="AJ1747" s="316"/>
      <c r="AK1747" s="316"/>
      <c r="AL1747" s="316"/>
      <c r="AM1747" s="416"/>
      <c r="AR1747" s="333"/>
      <c r="AS1747" s="333"/>
      <c r="AT1747" s="333"/>
      <c r="AU1747" s="333"/>
      <c r="AV1747" s="333"/>
    </row>
    <row r="1748" spans="2:48" s="330" customFormat="1" ht="28.15" customHeight="1" x14ac:dyDescent="0.25">
      <c r="B1748" s="331"/>
      <c r="C1748" s="332"/>
      <c r="D1748" s="332"/>
      <c r="E1748" s="333"/>
      <c r="F1748" s="333"/>
      <c r="R1748" s="316"/>
      <c r="S1748" s="404"/>
      <c r="T1748" s="404"/>
      <c r="U1748" s="404"/>
      <c r="V1748" s="404"/>
      <c r="W1748" s="316"/>
      <c r="X1748" s="316"/>
      <c r="Y1748" s="316"/>
      <c r="Z1748" s="316"/>
      <c r="AA1748" s="404"/>
      <c r="AB1748" s="404"/>
      <c r="AC1748" s="404"/>
      <c r="AD1748" s="404"/>
      <c r="AE1748" s="316"/>
      <c r="AF1748" s="316"/>
      <c r="AG1748" s="404"/>
      <c r="AH1748" s="316"/>
      <c r="AI1748" s="316"/>
      <c r="AJ1748" s="316"/>
      <c r="AK1748" s="316"/>
      <c r="AL1748" s="316"/>
      <c r="AM1748" s="416"/>
      <c r="AR1748" s="333"/>
      <c r="AS1748" s="333"/>
      <c r="AT1748" s="333"/>
      <c r="AU1748" s="333"/>
      <c r="AV1748" s="333"/>
    </row>
    <row r="1749" spans="2:48" s="330" customFormat="1" ht="28.15" customHeight="1" x14ac:dyDescent="0.25">
      <c r="B1749" s="331"/>
      <c r="C1749" s="332"/>
      <c r="D1749" s="332"/>
      <c r="E1749" s="333"/>
      <c r="F1749" s="333"/>
      <c r="R1749" s="316"/>
      <c r="S1749" s="404"/>
      <c r="T1749" s="404"/>
      <c r="U1749" s="404"/>
      <c r="V1749" s="404"/>
      <c r="W1749" s="316"/>
      <c r="X1749" s="316"/>
      <c r="Y1749" s="316"/>
      <c r="Z1749" s="316"/>
      <c r="AA1749" s="404"/>
      <c r="AB1749" s="404"/>
      <c r="AC1749" s="404"/>
      <c r="AD1749" s="404"/>
      <c r="AE1749" s="316"/>
      <c r="AF1749" s="316"/>
      <c r="AG1749" s="404"/>
      <c r="AH1749" s="316"/>
      <c r="AI1749" s="316"/>
      <c r="AJ1749" s="316"/>
      <c r="AK1749" s="316"/>
      <c r="AL1749" s="316"/>
      <c r="AM1749" s="416"/>
      <c r="AR1749" s="333"/>
      <c r="AS1749" s="333"/>
      <c r="AT1749" s="333"/>
      <c r="AU1749" s="333"/>
      <c r="AV1749" s="333"/>
    </row>
    <row r="1750" spans="2:48" s="330" customFormat="1" ht="28.15" customHeight="1" x14ac:dyDescent="0.25">
      <c r="B1750" s="331"/>
      <c r="C1750" s="332"/>
      <c r="D1750" s="332"/>
      <c r="E1750" s="333"/>
      <c r="F1750" s="333"/>
      <c r="R1750" s="316"/>
      <c r="S1750" s="404"/>
      <c r="T1750" s="404"/>
      <c r="U1750" s="404"/>
      <c r="V1750" s="404"/>
      <c r="W1750" s="316"/>
      <c r="X1750" s="316"/>
      <c r="Y1750" s="316"/>
      <c r="Z1750" s="316"/>
      <c r="AA1750" s="404"/>
      <c r="AB1750" s="404"/>
      <c r="AC1750" s="404"/>
      <c r="AD1750" s="404"/>
      <c r="AE1750" s="316"/>
      <c r="AF1750" s="316"/>
      <c r="AG1750" s="404"/>
      <c r="AH1750" s="316"/>
      <c r="AI1750" s="316"/>
      <c r="AJ1750" s="316"/>
      <c r="AK1750" s="316"/>
      <c r="AL1750" s="316"/>
      <c r="AM1750" s="416"/>
      <c r="AR1750" s="333"/>
      <c r="AS1750" s="333"/>
      <c r="AT1750" s="333"/>
      <c r="AU1750" s="333"/>
      <c r="AV1750" s="333"/>
    </row>
    <row r="1751" spans="2:48" s="330" customFormat="1" ht="28.15" customHeight="1" x14ac:dyDescent="0.25">
      <c r="B1751" s="331"/>
      <c r="C1751" s="332"/>
      <c r="D1751" s="332"/>
      <c r="E1751" s="333"/>
      <c r="F1751" s="333"/>
      <c r="R1751" s="316"/>
      <c r="S1751" s="404"/>
      <c r="T1751" s="404"/>
      <c r="U1751" s="404"/>
      <c r="V1751" s="404"/>
      <c r="W1751" s="316"/>
      <c r="X1751" s="316"/>
      <c r="Y1751" s="316"/>
      <c r="Z1751" s="316"/>
      <c r="AA1751" s="404"/>
      <c r="AB1751" s="404"/>
      <c r="AC1751" s="404"/>
      <c r="AD1751" s="404"/>
      <c r="AE1751" s="316"/>
      <c r="AF1751" s="316"/>
      <c r="AG1751" s="404"/>
      <c r="AH1751" s="316"/>
      <c r="AI1751" s="316"/>
      <c r="AJ1751" s="316"/>
      <c r="AK1751" s="316"/>
      <c r="AL1751" s="316"/>
      <c r="AM1751" s="416"/>
      <c r="AR1751" s="333"/>
      <c r="AS1751" s="333"/>
      <c r="AT1751" s="333"/>
      <c r="AU1751" s="333"/>
      <c r="AV1751" s="333"/>
    </row>
    <row r="1752" spans="2:48" s="330" customFormat="1" ht="28.15" customHeight="1" x14ac:dyDescent="0.25">
      <c r="B1752" s="331"/>
      <c r="C1752" s="332"/>
      <c r="D1752" s="332"/>
      <c r="E1752" s="333"/>
      <c r="F1752" s="333"/>
      <c r="R1752" s="316"/>
      <c r="S1752" s="404"/>
      <c r="T1752" s="404"/>
      <c r="U1752" s="404"/>
      <c r="V1752" s="404"/>
      <c r="W1752" s="316"/>
      <c r="X1752" s="316"/>
      <c r="Y1752" s="316"/>
      <c r="Z1752" s="316"/>
      <c r="AA1752" s="404"/>
      <c r="AB1752" s="404"/>
      <c r="AC1752" s="404"/>
      <c r="AD1752" s="404"/>
      <c r="AE1752" s="316"/>
      <c r="AF1752" s="316"/>
      <c r="AG1752" s="404"/>
      <c r="AH1752" s="316"/>
      <c r="AI1752" s="316"/>
      <c r="AJ1752" s="316"/>
      <c r="AK1752" s="316"/>
      <c r="AL1752" s="316"/>
      <c r="AM1752" s="416"/>
      <c r="AR1752" s="333"/>
      <c r="AS1752" s="333"/>
      <c r="AT1752" s="333"/>
      <c r="AU1752" s="333"/>
      <c r="AV1752" s="333"/>
    </row>
    <row r="1753" spans="2:48" s="330" customFormat="1" ht="28.15" customHeight="1" x14ac:dyDescent="0.25">
      <c r="B1753" s="331"/>
      <c r="C1753" s="332"/>
      <c r="D1753" s="332"/>
      <c r="E1753" s="333"/>
      <c r="F1753" s="333"/>
      <c r="R1753" s="316"/>
      <c r="S1753" s="404"/>
      <c r="T1753" s="404"/>
      <c r="U1753" s="404"/>
      <c r="V1753" s="404"/>
      <c r="W1753" s="316"/>
      <c r="X1753" s="316"/>
      <c r="Y1753" s="316"/>
      <c r="Z1753" s="316"/>
      <c r="AA1753" s="404"/>
      <c r="AB1753" s="404"/>
      <c r="AC1753" s="404"/>
      <c r="AD1753" s="404"/>
      <c r="AE1753" s="316"/>
      <c r="AF1753" s="316"/>
      <c r="AG1753" s="404"/>
      <c r="AH1753" s="316"/>
      <c r="AI1753" s="316"/>
      <c r="AJ1753" s="316"/>
      <c r="AK1753" s="316"/>
      <c r="AL1753" s="316"/>
      <c r="AM1753" s="416"/>
      <c r="AR1753" s="333"/>
      <c r="AS1753" s="333"/>
      <c r="AT1753" s="333"/>
      <c r="AU1753" s="333"/>
      <c r="AV1753" s="333"/>
    </row>
    <row r="1754" spans="2:48" s="330" customFormat="1" ht="28.15" customHeight="1" x14ac:dyDescent="0.25">
      <c r="B1754" s="331"/>
      <c r="C1754" s="332"/>
      <c r="D1754" s="332"/>
      <c r="E1754" s="333"/>
      <c r="F1754" s="333"/>
      <c r="R1754" s="316"/>
      <c r="S1754" s="404"/>
      <c r="T1754" s="404"/>
      <c r="U1754" s="404"/>
      <c r="V1754" s="404"/>
      <c r="W1754" s="316"/>
      <c r="X1754" s="316"/>
      <c r="Y1754" s="316"/>
      <c r="Z1754" s="316"/>
      <c r="AA1754" s="404"/>
      <c r="AB1754" s="404"/>
      <c r="AC1754" s="404"/>
      <c r="AD1754" s="404"/>
      <c r="AE1754" s="316"/>
      <c r="AF1754" s="316"/>
      <c r="AG1754" s="404"/>
      <c r="AH1754" s="316"/>
      <c r="AI1754" s="316"/>
      <c r="AJ1754" s="316"/>
      <c r="AK1754" s="316"/>
      <c r="AL1754" s="316"/>
      <c r="AM1754" s="416"/>
      <c r="AR1754" s="333"/>
      <c r="AS1754" s="333"/>
      <c r="AT1754" s="333"/>
      <c r="AU1754" s="333"/>
      <c r="AV1754" s="333"/>
    </row>
    <row r="1755" spans="2:48" s="330" customFormat="1" ht="28.15" customHeight="1" x14ac:dyDescent="0.25">
      <c r="B1755" s="331"/>
      <c r="C1755" s="332"/>
      <c r="D1755" s="332"/>
      <c r="E1755" s="333"/>
      <c r="F1755" s="333"/>
      <c r="R1755" s="316"/>
      <c r="S1755" s="404"/>
      <c r="T1755" s="404"/>
      <c r="U1755" s="404"/>
      <c r="V1755" s="404"/>
      <c r="W1755" s="316"/>
      <c r="X1755" s="316"/>
      <c r="Y1755" s="316"/>
      <c r="Z1755" s="316"/>
      <c r="AA1755" s="404"/>
      <c r="AB1755" s="404"/>
      <c r="AC1755" s="404"/>
      <c r="AD1755" s="404"/>
      <c r="AE1755" s="316"/>
      <c r="AF1755" s="316"/>
      <c r="AG1755" s="404"/>
      <c r="AH1755" s="316"/>
      <c r="AI1755" s="316"/>
      <c r="AJ1755" s="316"/>
      <c r="AK1755" s="316"/>
      <c r="AL1755" s="316"/>
      <c r="AM1755" s="416"/>
      <c r="AR1755" s="333"/>
      <c r="AS1755" s="333"/>
      <c r="AT1755" s="333"/>
      <c r="AU1755" s="333"/>
      <c r="AV1755" s="333"/>
    </row>
    <row r="1756" spans="2:48" s="330" customFormat="1" ht="28.15" customHeight="1" x14ac:dyDescent="0.25">
      <c r="B1756" s="331"/>
      <c r="C1756" s="332"/>
      <c r="D1756" s="332"/>
      <c r="E1756" s="333"/>
      <c r="F1756" s="333"/>
      <c r="R1756" s="316"/>
      <c r="S1756" s="404"/>
      <c r="T1756" s="404"/>
      <c r="U1756" s="404"/>
      <c r="V1756" s="404"/>
      <c r="W1756" s="316"/>
      <c r="X1756" s="316"/>
      <c r="Y1756" s="316"/>
      <c r="Z1756" s="316"/>
      <c r="AA1756" s="404"/>
      <c r="AB1756" s="404"/>
      <c r="AC1756" s="404"/>
      <c r="AD1756" s="404"/>
      <c r="AE1756" s="316"/>
      <c r="AF1756" s="316"/>
      <c r="AG1756" s="404"/>
      <c r="AH1756" s="316"/>
      <c r="AI1756" s="316"/>
      <c r="AJ1756" s="316"/>
      <c r="AK1756" s="316"/>
      <c r="AL1756" s="316"/>
      <c r="AM1756" s="416"/>
      <c r="AR1756" s="333"/>
      <c r="AS1756" s="333"/>
      <c r="AT1756" s="333"/>
      <c r="AU1756" s="333"/>
      <c r="AV1756" s="333"/>
    </row>
    <row r="1757" spans="2:48" s="330" customFormat="1" ht="28.15" customHeight="1" x14ac:dyDescent="0.25">
      <c r="B1757" s="331"/>
      <c r="C1757" s="332"/>
      <c r="D1757" s="332"/>
      <c r="E1757" s="333"/>
      <c r="F1757" s="333"/>
      <c r="R1757" s="316"/>
      <c r="S1757" s="404"/>
      <c r="T1757" s="404"/>
      <c r="U1757" s="404"/>
      <c r="V1757" s="404"/>
      <c r="W1757" s="316"/>
      <c r="X1757" s="316"/>
      <c r="Y1757" s="316"/>
      <c r="Z1757" s="316"/>
      <c r="AA1757" s="404"/>
      <c r="AB1757" s="404"/>
      <c r="AC1757" s="404"/>
      <c r="AD1757" s="404"/>
      <c r="AE1757" s="316"/>
      <c r="AF1757" s="316"/>
      <c r="AG1757" s="404"/>
      <c r="AH1757" s="316"/>
      <c r="AI1757" s="316"/>
      <c r="AJ1757" s="316"/>
      <c r="AK1757" s="316"/>
      <c r="AL1757" s="316"/>
      <c r="AM1757" s="416"/>
      <c r="AR1757" s="333"/>
      <c r="AS1757" s="333"/>
      <c r="AT1757" s="333"/>
      <c r="AU1757" s="333"/>
      <c r="AV1757" s="333"/>
    </row>
    <row r="1758" spans="2:48" s="330" customFormat="1" ht="28.15" customHeight="1" x14ac:dyDescent="0.25">
      <c r="B1758" s="331"/>
      <c r="C1758" s="332"/>
      <c r="D1758" s="332"/>
      <c r="E1758" s="333"/>
      <c r="F1758" s="333"/>
      <c r="R1758" s="316"/>
      <c r="S1758" s="404"/>
      <c r="T1758" s="404"/>
      <c r="U1758" s="404"/>
      <c r="V1758" s="404"/>
      <c r="W1758" s="316"/>
      <c r="X1758" s="316"/>
      <c r="Y1758" s="316"/>
      <c r="Z1758" s="316"/>
      <c r="AA1758" s="404"/>
      <c r="AB1758" s="404"/>
      <c r="AC1758" s="404"/>
      <c r="AD1758" s="404"/>
      <c r="AE1758" s="316"/>
      <c r="AF1758" s="316"/>
      <c r="AG1758" s="404"/>
      <c r="AH1758" s="316"/>
      <c r="AI1758" s="316"/>
      <c r="AJ1758" s="316"/>
      <c r="AK1758" s="316"/>
      <c r="AL1758" s="316"/>
      <c r="AM1758" s="416"/>
      <c r="AR1758" s="333"/>
      <c r="AS1758" s="333"/>
      <c r="AT1758" s="333"/>
      <c r="AU1758" s="333"/>
      <c r="AV1758" s="333"/>
    </row>
    <row r="1759" spans="2:48" s="330" customFormat="1" ht="28.15" customHeight="1" x14ac:dyDescent="0.25">
      <c r="B1759" s="331"/>
      <c r="C1759" s="332"/>
      <c r="D1759" s="332"/>
      <c r="E1759" s="333"/>
      <c r="F1759" s="333"/>
      <c r="R1759" s="316"/>
      <c r="S1759" s="404"/>
      <c r="T1759" s="404"/>
      <c r="U1759" s="404"/>
      <c r="V1759" s="404"/>
      <c r="W1759" s="316"/>
      <c r="X1759" s="316"/>
      <c r="Y1759" s="316"/>
      <c r="Z1759" s="316"/>
      <c r="AA1759" s="404"/>
      <c r="AB1759" s="404"/>
      <c r="AC1759" s="404"/>
      <c r="AD1759" s="404"/>
      <c r="AE1759" s="316"/>
      <c r="AF1759" s="316"/>
      <c r="AG1759" s="404"/>
      <c r="AH1759" s="316"/>
      <c r="AI1759" s="316"/>
      <c r="AJ1759" s="316"/>
      <c r="AK1759" s="316"/>
      <c r="AL1759" s="316"/>
      <c r="AM1759" s="416"/>
      <c r="AR1759" s="333"/>
      <c r="AS1759" s="333"/>
      <c r="AT1759" s="333"/>
      <c r="AU1759" s="333"/>
      <c r="AV1759" s="333"/>
    </row>
    <row r="1760" spans="2:48" s="330" customFormat="1" ht="28.15" customHeight="1" x14ac:dyDescent="0.25">
      <c r="B1760" s="331"/>
      <c r="C1760" s="332"/>
      <c r="D1760" s="332"/>
      <c r="E1760" s="333"/>
      <c r="F1760" s="333"/>
      <c r="R1760" s="316"/>
      <c r="S1760" s="404"/>
      <c r="T1760" s="404"/>
      <c r="U1760" s="404"/>
      <c r="V1760" s="404"/>
      <c r="W1760" s="316"/>
      <c r="X1760" s="316"/>
      <c r="Y1760" s="316"/>
      <c r="Z1760" s="316"/>
      <c r="AA1760" s="404"/>
      <c r="AB1760" s="404"/>
      <c r="AC1760" s="404"/>
      <c r="AD1760" s="404"/>
      <c r="AE1760" s="316"/>
      <c r="AF1760" s="316"/>
      <c r="AG1760" s="404"/>
      <c r="AH1760" s="316"/>
      <c r="AI1760" s="316"/>
      <c r="AJ1760" s="316"/>
      <c r="AK1760" s="316"/>
      <c r="AL1760" s="316"/>
      <c r="AM1760" s="416"/>
      <c r="AR1760" s="333"/>
      <c r="AS1760" s="333"/>
      <c r="AT1760" s="333"/>
      <c r="AU1760" s="333"/>
      <c r="AV1760" s="333"/>
    </row>
    <row r="1761" spans="2:48" s="330" customFormat="1" ht="28.15" customHeight="1" x14ac:dyDescent="0.25">
      <c r="B1761" s="331"/>
      <c r="C1761" s="332"/>
      <c r="D1761" s="332"/>
      <c r="E1761" s="333"/>
      <c r="F1761" s="333"/>
      <c r="R1761" s="316"/>
      <c r="S1761" s="404"/>
      <c r="T1761" s="404"/>
      <c r="U1761" s="404"/>
      <c r="V1761" s="404"/>
      <c r="W1761" s="316"/>
      <c r="X1761" s="316"/>
      <c r="Y1761" s="316"/>
      <c r="Z1761" s="316"/>
      <c r="AA1761" s="404"/>
      <c r="AB1761" s="404"/>
      <c r="AC1761" s="404"/>
      <c r="AD1761" s="404"/>
      <c r="AE1761" s="316"/>
      <c r="AF1761" s="316"/>
      <c r="AG1761" s="404"/>
      <c r="AH1761" s="316"/>
      <c r="AI1761" s="316"/>
      <c r="AJ1761" s="316"/>
      <c r="AK1761" s="316"/>
      <c r="AL1761" s="316"/>
      <c r="AM1761" s="416"/>
      <c r="AR1761" s="333"/>
      <c r="AS1761" s="333"/>
      <c r="AT1761" s="333"/>
      <c r="AU1761" s="333"/>
      <c r="AV1761" s="333"/>
    </row>
    <row r="1762" spans="2:48" s="330" customFormat="1" ht="28.15" customHeight="1" x14ac:dyDescent="0.25">
      <c r="B1762" s="331"/>
      <c r="C1762" s="332"/>
      <c r="D1762" s="332"/>
      <c r="E1762" s="333"/>
      <c r="F1762" s="333"/>
      <c r="R1762" s="316"/>
      <c r="S1762" s="404"/>
      <c r="T1762" s="404"/>
      <c r="U1762" s="404"/>
      <c r="V1762" s="404"/>
      <c r="W1762" s="316"/>
      <c r="X1762" s="316"/>
      <c r="Y1762" s="316"/>
      <c r="Z1762" s="316"/>
      <c r="AA1762" s="404"/>
      <c r="AB1762" s="404"/>
      <c r="AC1762" s="404"/>
      <c r="AD1762" s="404"/>
      <c r="AE1762" s="316"/>
      <c r="AF1762" s="316"/>
      <c r="AG1762" s="404"/>
      <c r="AH1762" s="316"/>
      <c r="AI1762" s="316"/>
      <c r="AJ1762" s="316"/>
      <c r="AK1762" s="316"/>
      <c r="AL1762" s="316"/>
      <c r="AM1762" s="416"/>
      <c r="AR1762" s="333"/>
      <c r="AS1762" s="333"/>
      <c r="AT1762" s="333"/>
      <c r="AU1762" s="333"/>
      <c r="AV1762" s="333"/>
    </row>
    <row r="1763" spans="2:48" s="330" customFormat="1" ht="28.15" customHeight="1" x14ac:dyDescent="0.25">
      <c r="B1763" s="331"/>
      <c r="C1763" s="332"/>
      <c r="D1763" s="332"/>
      <c r="E1763" s="333"/>
      <c r="F1763" s="333"/>
      <c r="R1763" s="316"/>
      <c r="S1763" s="404"/>
      <c r="T1763" s="404"/>
      <c r="U1763" s="404"/>
      <c r="V1763" s="404"/>
      <c r="W1763" s="316"/>
      <c r="X1763" s="316"/>
      <c r="Y1763" s="316"/>
      <c r="Z1763" s="316"/>
      <c r="AA1763" s="404"/>
      <c r="AB1763" s="404"/>
      <c r="AC1763" s="404"/>
      <c r="AD1763" s="404"/>
      <c r="AE1763" s="316"/>
      <c r="AF1763" s="316"/>
      <c r="AG1763" s="404"/>
      <c r="AH1763" s="316"/>
      <c r="AI1763" s="316"/>
      <c r="AJ1763" s="316"/>
      <c r="AK1763" s="316"/>
      <c r="AL1763" s="316"/>
      <c r="AM1763" s="416"/>
      <c r="AR1763" s="333"/>
      <c r="AS1763" s="333"/>
      <c r="AT1763" s="333"/>
      <c r="AU1763" s="333"/>
      <c r="AV1763" s="333"/>
    </row>
    <row r="1764" spans="2:48" s="330" customFormat="1" ht="28.15" customHeight="1" x14ac:dyDescent="0.25">
      <c r="B1764" s="331"/>
      <c r="C1764" s="332"/>
      <c r="D1764" s="332"/>
      <c r="E1764" s="333"/>
      <c r="F1764" s="333"/>
      <c r="R1764" s="316"/>
      <c r="S1764" s="404"/>
      <c r="T1764" s="404"/>
      <c r="U1764" s="404"/>
      <c r="V1764" s="404"/>
      <c r="W1764" s="316"/>
      <c r="X1764" s="316"/>
      <c r="Y1764" s="316"/>
      <c r="Z1764" s="316"/>
      <c r="AA1764" s="404"/>
      <c r="AB1764" s="404"/>
      <c r="AC1764" s="404"/>
      <c r="AD1764" s="404"/>
      <c r="AE1764" s="316"/>
      <c r="AF1764" s="316"/>
      <c r="AG1764" s="404"/>
      <c r="AH1764" s="316"/>
      <c r="AI1764" s="316"/>
      <c r="AJ1764" s="316"/>
      <c r="AK1764" s="316"/>
      <c r="AL1764" s="316"/>
      <c r="AM1764" s="416"/>
      <c r="AR1764" s="333"/>
      <c r="AS1764" s="333"/>
      <c r="AT1764" s="333"/>
      <c r="AU1764" s="333"/>
      <c r="AV1764" s="333"/>
    </row>
    <row r="1765" spans="2:48" s="330" customFormat="1" ht="28.15" customHeight="1" x14ac:dyDescent="0.25">
      <c r="B1765" s="331"/>
      <c r="C1765" s="332"/>
      <c r="D1765" s="332"/>
      <c r="E1765" s="333"/>
      <c r="F1765" s="333"/>
      <c r="R1765" s="316"/>
      <c r="S1765" s="404"/>
      <c r="T1765" s="404"/>
      <c r="U1765" s="404"/>
      <c r="V1765" s="404"/>
      <c r="W1765" s="316"/>
      <c r="X1765" s="316"/>
      <c r="Y1765" s="316"/>
      <c r="Z1765" s="316"/>
      <c r="AA1765" s="404"/>
      <c r="AB1765" s="404"/>
      <c r="AC1765" s="404"/>
      <c r="AD1765" s="404"/>
      <c r="AE1765" s="316"/>
      <c r="AF1765" s="316"/>
      <c r="AG1765" s="404"/>
      <c r="AH1765" s="316"/>
      <c r="AI1765" s="316"/>
      <c r="AJ1765" s="316"/>
      <c r="AK1765" s="316"/>
      <c r="AL1765" s="316"/>
      <c r="AM1765" s="416"/>
      <c r="AR1765" s="333"/>
      <c r="AS1765" s="333"/>
      <c r="AT1765" s="333"/>
      <c r="AU1765" s="333"/>
      <c r="AV1765" s="333"/>
    </row>
    <row r="1766" spans="2:48" s="330" customFormat="1" ht="28.15" customHeight="1" x14ac:dyDescent="0.25">
      <c r="B1766" s="331"/>
      <c r="C1766" s="332"/>
      <c r="D1766" s="332"/>
      <c r="E1766" s="333"/>
      <c r="F1766" s="333"/>
      <c r="R1766" s="316"/>
      <c r="S1766" s="404"/>
      <c r="T1766" s="404"/>
      <c r="U1766" s="404"/>
      <c r="V1766" s="404"/>
      <c r="W1766" s="316"/>
      <c r="X1766" s="316"/>
      <c r="Y1766" s="316"/>
      <c r="Z1766" s="316"/>
      <c r="AA1766" s="404"/>
      <c r="AB1766" s="404"/>
      <c r="AC1766" s="404"/>
      <c r="AD1766" s="404"/>
      <c r="AE1766" s="316"/>
      <c r="AF1766" s="316"/>
      <c r="AG1766" s="404"/>
      <c r="AH1766" s="316"/>
      <c r="AI1766" s="316"/>
      <c r="AJ1766" s="316"/>
      <c r="AK1766" s="316"/>
      <c r="AL1766" s="316"/>
      <c r="AM1766" s="416"/>
      <c r="AR1766" s="333"/>
      <c r="AS1766" s="333"/>
      <c r="AT1766" s="333"/>
      <c r="AU1766" s="333"/>
      <c r="AV1766" s="333"/>
    </row>
    <row r="1767" spans="2:48" s="330" customFormat="1" ht="28.15" customHeight="1" x14ac:dyDescent="0.25">
      <c r="B1767" s="331"/>
      <c r="C1767" s="332"/>
      <c r="D1767" s="332"/>
      <c r="E1767" s="333"/>
      <c r="F1767" s="333"/>
      <c r="R1767" s="316"/>
      <c r="S1767" s="404"/>
      <c r="T1767" s="404"/>
      <c r="U1767" s="404"/>
      <c r="V1767" s="404"/>
      <c r="W1767" s="316"/>
      <c r="X1767" s="316"/>
      <c r="Y1767" s="316"/>
      <c r="Z1767" s="316"/>
      <c r="AA1767" s="404"/>
      <c r="AB1767" s="404"/>
      <c r="AC1767" s="404"/>
      <c r="AD1767" s="404"/>
      <c r="AE1767" s="316"/>
      <c r="AF1767" s="316"/>
      <c r="AG1767" s="404"/>
      <c r="AH1767" s="316"/>
      <c r="AI1767" s="316"/>
      <c r="AJ1767" s="316"/>
      <c r="AK1767" s="316"/>
      <c r="AL1767" s="316"/>
      <c r="AM1767" s="416"/>
      <c r="AR1767" s="333"/>
      <c r="AS1767" s="333"/>
      <c r="AT1767" s="333"/>
      <c r="AU1767" s="333"/>
      <c r="AV1767" s="333"/>
    </row>
    <row r="1768" spans="2:48" s="330" customFormat="1" ht="28.15" customHeight="1" x14ac:dyDescent="0.25">
      <c r="B1768" s="331"/>
      <c r="C1768" s="332"/>
      <c r="D1768" s="332"/>
      <c r="E1768" s="333"/>
      <c r="F1768" s="333"/>
      <c r="R1768" s="316"/>
      <c r="S1768" s="404"/>
      <c r="T1768" s="404"/>
      <c r="U1768" s="404"/>
      <c r="V1768" s="404"/>
      <c r="W1768" s="316"/>
      <c r="X1768" s="316"/>
      <c r="Y1768" s="316"/>
      <c r="Z1768" s="316"/>
      <c r="AA1768" s="404"/>
      <c r="AB1768" s="404"/>
      <c r="AC1768" s="404"/>
      <c r="AD1768" s="404"/>
      <c r="AE1768" s="316"/>
      <c r="AF1768" s="316"/>
      <c r="AG1768" s="404"/>
      <c r="AH1768" s="316"/>
      <c r="AI1768" s="316"/>
      <c r="AJ1768" s="316"/>
      <c r="AK1768" s="316"/>
      <c r="AL1768" s="316"/>
      <c r="AM1768" s="416"/>
      <c r="AR1768" s="333"/>
      <c r="AS1768" s="333"/>
      <c r="AT1768" s="333"/>
      <c r="AU1768" s="333"/>
      <c r="AV1768" s="333"/>
    </row>
    <row r="1769" spans="2:48" s="330" customFormat="1" ht="28.15" customHeight="1" x14ac:dyDescent="0.25">
      <c r="B1769" s="331"/>
      <c r="C1769" s="332"/>
      <c r="D1769" s="332"/>
      <c r="E1769" s="333"/>
      <c r="F1769" s="333"/>
      <c r="R1769" s="316"/>
      <c r="S1769" s="404"/>
      <c r="T1769" s="404"/>
      <c r="U1769" s="404"/>
      <c r="V1769" s="404"/>
      <c r="W1769" s="316"/>
      <c r="X1769" s="316"/>
      <c r="Y1769" s="316"/>
      <c r="Z1769" s="316"/>
      <c r="AA1769" s="404"/>
      <c r="AB1769" s="404"/>
      <c r="AC1769" s="404"/>
      <c r="AD1769" s="404"/>
      <c r="AE1769" s="316"/>
      <c r="AF1769" s="316"/>
      <c r="AG1769" s="404"/>
      <c r="AH1769" s="316"/>
      <c r="AI1769" s="316"/>
      <c r="AJ1769" s="316"/>
      <c r="AK1769" s="316"/>
      <c r="AL1769" s="316"/>
      <c r="AM1769" s="416"/>
      <c r="AR1769" s="333"/>
      <c r="AS1769" s="333"/>
      <c r="AT1769" s="333"/>
      <c r="AU1769" s="333"/>
      <c r="AV1769" s="333"/>
    </row>
    <row r="1770" spans="2:48" s="330" customFormat="1" ht="28.15" customHeight="1" x14ac:dyDescent="0.25">
      <c r="B1770" s="331"/>
      <c r="C1770" s="332"/>
      <c r="D1770" s="332"/>
      <c r="E1770" s="333"/>
      <c r="F1770" s="333"/>
      <c r="R1770" s="316"/>
      <c r="S1770" s="404"/>
      <c r="T1770" s="404"/>
      <c r="U1770" s="404"/>
      <c r="V1770" s="404"/>
      <c r="W1770" s="316"/>
      <c r="X1770" s="316"/>
      <c r="Y1770" s="316"/>
      <c r="Z1770" s="316"/>
      <c r="AA1770" s="404"/>
      <c r="AB1770" s="404"/>
      <c r="AC1770" s="404"/>
      <c r="AD1770" s="404"/>
      <c r="AE1770" s="316"/>
      <c r="AF1770" s="316"/>
      <c r="AG1770" s="404"/>
      <c r="AH1770" s="316"/>
      <c r="AI1770" s="316"/>
      <c r="AJ1770" s="316"/>
      <c r="AK1770" s="316"/>
      <c r="AL1770" s="316"/>
      <c r="AM1770" s="416"/>
      <c r="AR1770" s="333"/>
      <c r="AS1770" s="333"/>
      <c r="AT1770" s="333"/>
      <c r="AU1770" s="333"/>
      <c r="AV1770" s="333"/>
    </row>
    <row r="1771" spans="2:48" s="330" customFormat="1" ht="28.15" customHeight="1" x14ac:dyDescent="0.25">
      <c r="B1771" s="331"/>
      <c r="C1771" s="332"/>
      <c r="D1771" s="332"/>
      <c r="E1771" s="333"/>
      <c r="F1771" s="333"/>
      <c r="R1771" s="316"/>
      <c r="S1771" s="404"/>
      <c r="T1771" s="404"/>
      <c r="U1771" s="404"/>
      <c r="V1771" s="404"/>
      <c r="W1771" s="316"/>
      <c r="X1771" s="316"/>
      <c r="Y1771" s="316"/>
      <c r="Z1771" s="316"/>
      <c r="AA1771" s="404"/>
      <c r="AB1771" s="404"/>
      <c r="AC1771" s="404"/>
      <c r="AD1771" s="404"/>
      <c r="AE1771" s="316"/>
      <c r="AF1771" s="316"/>
      <c r="AG1771" s="404"/>
      <c r="AH1771" s="316"/>
      <c r="AI1771" s="316"/>
      <c r="AJ1771" s="316"/>
      <c r="AK1771" s="316"/>
      <c r="AL1771" s="316"/>
      <c r="AM1771" s="416"/>
      <c r="AR1771" s="333"/>
      <c r="AS1771" s="333"/>
      <c r="AT1771" s="333"/>
      <c r="AU1771" s="333"/>
      <c r="AV1771" s="333"/>
    </row>
    <row r="1772" spans="2:48" s="330" customFormat="1" ht="28.15" customHeight="1" x14ac:dyDescent="0.25">
      <c r="B1772" s="331"/>
      <c r="C1772" s="332"/>
      <c r="D1772" s="332"/>
      <c r="E1772" s="333"/>
      <c r="F1772" s="333"/>
      <c r="R1772" s="316"/>
      <c r="S1772" s="404"/>
      <c r="T1772" s="404"/>
      <c r="U1772" s="404"/>
      <c r="V1772" s="404"/>
      <c r="W1772" s="316"/>
      <c r="X1772" s="316"/>
      <c r="Y1772" s="316"/>
      <c r="Z1772" s="316"/>
      <c r="AA1772" s="404"/>
      <c r="AB1772" s="404"/>
      <c r="AC1772" s="404"/>
      <c r="AD1772" s="404"/>
      <c r="AE1772" s="316"/>
      <c r="AF1772" s="316"/>
      <c r="AG1772" s="404"/>
      <c r="AH1772" s="316"/>
      <c r="AI1772" s="316"/>
      <c r="AJ1772" s="316"/>
      <c r="AK1772" s="316"/>
      <c r="AL1772" s="316"/>
      <c r="AM1772" s="416"/>
      <c r="AR1772" s="333"/>
      <c r="AS1772" s="333"/>
      <c r="AT1772" s="333"/>
      <c r="AU1772" s="333"/>
      <c r="AV1772" s="333"/>
    </row>
    <row r="1773" spans="2:48" s="330" customFormat="1" ht="28.15" customHeight="1" x14ac:dyDescent="0.25">
      <c r="B1773" s="331"/>
      <c r="C1773" s="332"/>
      <c r="D1773" s="332"/>
      <c r="E1773" s="333"/>
      <c r="F1773" s="333"/>
      <c r="R1773" s="316"/>
      <c r="S1773" s="404"/>
      <c r="T1773" s="404"/>
      <c r="U1773" s="404"/>
      <c r="V1773" s="404"/>
      <c r="W1773" s="316"/>
      <c r="X1773" s="316"/>
      <c r="Y1773" s="316"/>
      <c r="Z1773" s="316"/>
      <c r="AA1773" s="404"/>
      <c r="AB1773" s="404"/>
      <c r="AC1773" s="404"/>
      <c r="AD1773" s="404"/>
      <c r="AE1773" s="316"/>
      <c r="AF1773" s="316"/>
      <c r="AG1773" s="404"/>
      <c r="AH1773" s="316"/>
      <c r="AI1773" s="316"/>
      <c r="AJ1773" s="316"/>
      <c r="AK1773" s="316"/>
      <c r="AL1773" s="316"/>
      <c r="AM1773" s="416"/>
      <c r="AR1773" s="333"/>
      <c r="AS1773" s="333"/>
      <c r="AT1773" s="333"/>
      <c r="AU1773" s="333"/>
      <c r="AV1773" s="333"/>
    </row>
    <row r="1774" spans="2:48" s="330" customFormat="1" ht="28.15" customHeight="1" x14ac:dyDescent="0.25">
      <c r="B1774" s="331"/>
      <c r="C1774" s="332"/>
      <c r="D1774" s="332"/>
      <c r="E1774" s="333"/>
      <c r="F1774" s="333"/>
      <c r="R1774" s="316"/>
      <c r="S1774" s="404"/>
      <c r="T1774" s="404"/>
      <c r="U1774" s="404"/>
      <c r="V1774" s="404"/>
      <c r="W1774" s="316"/>
      <c r="X1774" s="316"/>
      <c r="Y1774" s="316"/>
      <c r="Z1774" s="316"/>
      <c r="AA1774" s="404"/>
      <c r="AB1774" s="404"/>
      <c r="AC1774" s="404"/>
      <c r="AD1774" s="404"/>
      <c r="AE1774" s="316"/>
      <c r="AF1774" s="316"/>
      <c r="AG1774" s="404"/>
      <c r="AH1774" s="316"/>
      <c r="AI1774" s="316"/>
      <c r="AJ1774" s="316"/>
      <c r="AK1774" s="316"/>
      <c r="AL1774" s="316"/>
      <c r="AM1774" s="416"/>
      <c r="AR1774" s="333"/>
      <c r="AS1774" s="333"/>
      <c r="AT1774" s="333"/>
      <c r="AU1774" s="333"/>
      <c r="AV1774" s="333"/>
    </row>
    <row r="1775" spans="2:48" s="330" customFormat="1" ht="28.15" customHeight="1" x14ac:dyDescent="0.25">
      <c r="B1775" s="331"/>
      <c r="C1775" s="332"/>
      <c r="D1775" s="332"/>
      <c r="E1775" s="333"/>
      <c r="F1775" s="333"/>
      <c r="R1775" s="316"/>
      <c r="S1775" s="404"/>
      <c r="T1775" s="404"/>
      <c r="U1775" s="404"/>
      <c r="V1775" s="404"/>
      <c r="W1775" s="316"/>
      <c r="X1775" s="316"/>
      <c r="Y1775" s="316"/>
      <c r="Z1775" s="316"/>
      <c r="AA1775" s="404"/>
      <c r="AB1775" s="404"/>
      <c r="AC1775" s="404"/>
      <c r="AD1775" s="404"/>
      <c r="AE1775" s="316"/>
      <c r="AF1775" s="316"/>
      <c r="AG1775" s="404"/>
      <c r="AH1775" s="316"/>
      <c r="AI1775" s="316"/>
      <c r="AJ1775" s="316"/>
      <c r="AK1775" s="316"/>
      <c r="AL1775" s="316"/>
      <c r="AM1775" s="416"/>
      <c r="AR1775" s="333"/>
      <c r="AS1775" s="333"/>
      <c r="AT1775" s="333"/>
      <c r="AU1775" s="333"/>
      <c r="AV1775" s="333"/>
    </row>
    <row r="1776" spans="2:48" s="330" customFormat="1" ht="28.15" customHeight="1" x14ac:dyDescent="0.25">
      <c r="B1776" s="331"/>
      <c r="C1776" s="332"/>
      <c r="D1776" s="332"/>
      <c r="E1776" s="333"/>
      <c r="F1776" s="333"/>
      <c r="R1776" s="316"/>
      <c r="S1776" s="404"/>
      <c r="T1776" s="404"/>
      <c r="U1776" s="404"/>
      <c r="V1776" s="404"/>
      <c r="W1776" s="316"/>
      <c r="X1776" s="316"/>
      <c r="Y1776" s="316"/>
      <c r="Z1776" s="316"/>
      <c r="AA1776" s="404"/>
      <c r="AB1776" s="404"/>
      <c r="AC1776" s="404"/>
      <c r="AD1776" s="404"/>
      <c r="AE1776" s="316"/>
      <c r="AF1776" s="316"/>
      <c r="AG1776" s="404"/>
      <c r="AH1776" s="316"/>
      <c r="AI1776" s="316"/>
      <c r="AJ1776" s="316"/>
      <c r="AK1776" s="316"/>
      <c r="AL1776" s="316"/>
      <c r="AM1776" s="416"/>
      <c r="AR1776" s="333"/>
      <c r="AS1776" s="333"/>
      <c r="AT1776" s="333"/>
      <c r="AU1776" s="333"/>
      <c r="AV1776" s="333"/>
    </row>
    <row r="1777" spans="2:48" s="330" customFormat="1" ht="28.15" customHeight="1" x14ac:dyDescent="0.25">
      <c r="B1777" s="331"/>
      <c r="C1777" s="332"/>
      <c r="D1777" s="332"/>
      <c r="E1777" s="333"/>
      <c r="F1777" s="333"/>
      <c r="R1777" s="316"/>
      <c r="S1777" s="404"/>
      <c r="T1777" s="404"/>
      <c r="U1777" s="404"/>
      <c r="V1777" s="404"/>
      <c r="W1777" s="316"/>
      <c r="X1777" s="316"/>
      <c r="Y1777" s="316"/>
      <c r="Z1777" s="316"/>
      <c r="AA1777" s="404"/>
      <c r="AB1777" s="404"/>
      <c r="AC1777" s="404"/>
      <c r="AD1777" s="404"/>
      <c r="AE1777" s="316"/>
      <c r="AF1777" s="316"/>
      <c r="AG1777" s="404"/>
      <c r="AH1777" s="316"/>
      <c r="AI1777" s="316"/>
      <c r="AJ1777" s="316"/>
      <c r="AK1777" s="316"/>
      <c r="AL1777" s="316"/>
      <c r="AM1777" s="416"/>
      <c r="AR1777" s="333"/>
      <c r="AS1777" s="333"/>
      <c r="AT1777" s="333"/>
      <c r="AU1777" s="333"/>
      <c r="AV1777" s="333"/>
    </row>
    <row r="1778" spans="2:48" s="330" customFormat="1" ht="28.15" customHeight="1" x14ac:dyDescent="0.25">
      <c r="B1778" s="331"/>
      <c r="C1778" s="332"/>
      <c r="D1778" s="332"/>
      <c r="E1778" s="333"/>
      <c r="F1778" s="333"/>
      <c r="R1778" s="316"/>
      <c r="S1778" s="404"/>
      <c r="T1778" s="404"/>
      <c r="U1778" s="404"/>
      <c r="V1778" s="404"/>
      <c r="W1778" s="316"/>
      <c r="X1778" s="316"/>
      <c r="Y1778" s="316"/>
      <c r="Z1778" s="316"/>
      <c r="AA1778" s="404"/>
      <c r="AB1778" s="404"/>
      <c r="AC1778" s="404"/>
      <c r="AD1778" s="404"/>
      <c r="AE1778" s="316"/>
      <c r="AF1778" s="316"/>
      <c r="AG1778" s="404"/>
      <c r="AH1778" s="316"/>
      <c r="AI1778" s="316"/>
      <c r="AJ1778" s="316"/>
      <c r="AK1778" s="316"/>
      <c r="AL1778" s="316"/>
      <c r="AM1778" s="416"/>
      <c r="AR1778" s="333"/>
      <c r="AS1778" s="333"/>
      <c r="AT1778" s="333"/>
      <c r="AU1778" s="333"/>
      <c r="AV1778" s="333"/>
    </row>
    <row r="1779" spans="2:48" s="330" customFormat="1" ht="28.15" customHeight="1" x14ac:dyDescent="0.25">
      <c r="B1779" s="331"/>
      <c r="C1779" s="332"/>
      <c r="D1779" s="332"/>
      <c r="E1779" s="333"/>
      <c r="F1779" s="333"/>
      <c r="R1779" s="316"/>
      <c r="S1779" s="404"/>
      <c r="T1779" s="404"/>
      <c r="U1779" s="404"/>
      <c r="V1779" s="404"/>
      <c r="W1779" s="316"/>
      <c r="X1779" s="316"/>
      <c r="Y1779" s="316"/>
      <c r="Z1779" s="316"/>
      <c r="AA1779" s="404"/>
      <c r="AB1779" s="404"/>
      <c r="AC1779" s="404"/>
      <c r="AD1779" s="404"/>
      <c r="AE1779" s="316"/>
      <c r="AF1779" s="316"/>
      <c r="AG1779" s="404"/>
      <c r="AH1779" s="316"/>
      <c r="AI1779" s="316"/>
      <c r="AJ1779" s="316"/>
      <c r="AK1779" s="316"/>
      <c r="AL1779" s="316"/>
      <c r="AM1779" s="416"/>
      <c r="AR1779" s="333"/>
      <c r="AS1779" s="333"/>
      <c r="AT1779" s="333"/>
      <c r="AU1779" s="333"/>
      <c r="AV1779" s="333"/>
    </row>
    <row r="1780" spans="2:48" s="330" customFormat="1" ht="28.15" customHeight="1" x14ac:dyDescent="0.25">
      <c r="B1780" s="331"/>
      <c r="C1780" s="332"/>
      <c r="D1780" s="332"/>
      <c r="E1780" s="333"/>
      <c r="F1780" s="333"/>
      <c r="R1780" s="316"/>
      <c r="S1780" s="404"/>
      <c r="T1780" s="404"/>
      <c r="U1780" s="404"/>
      <c r="V1780" s="404"/>
      <c r="W1780" s="316"/>
      <c r="X1780" s="316"/>
      <c r="Y1780" s="316"/>
      <c r="Z1780" s="316"/>
      <c r="AA1780" s="404"/>
      <c r="AB1780" s="404"/>
      <c r="AC1780" s="404"/>
      <c r="AD1780" s="404"/>
      <c r="AE1780" s="316"/>
      <c r="AF1780" s="316"/>
      <c r="AG1780" s="404"/>
      <c r="AH1780" s="316"/>
      <c r="AI1780" s="316"/>
      <c r="AJ1780" s="316"/>
      <c r="AK1780" s="316"/>
      <c r="AL1780" s="316"/>
      <c r="AM1780" s="416"/>
      <c r="AR1780" s="333"/>
      <c r="AS1780" s="333"/>
      <c r="AT1780" s="333"/>
      <c r="AU1780" s="333"/>
      <c r="AV1780" s="333"/>
    </row>
    <row r="1781" spans="2:48" s="330" customFormat="1" ht="28.15" customHeight="1" x14ac:dyDescent="0.25">
      <c r="B1781" s="331"/>
      <c r="C1781" s="332"/>
      <c r="D1781" s="332"/>
      <c r="E1781" s="333"/>
      <c r="F1781" s="333"/>
      <c r="R1781" s="316"/>
      <c r="S1781" s="404"/>
      <c r="T1781" s="404"/>
      <c r="U1781" s="404"/>
      <c r="V1781" s="404"/>
      <c r="W1781" s="316"/>
      <c r="X1781" s="316"/>
      <c r="Y1781" s="316"/>
      <c r="Z1781" s="316"/>
      <c r="AA1781" s="404"/>
      <c r="AB1781" s="404"/>
      <c r="AC1781" s="404"/>
      <c r="AD1781" s="404"/>
      <c r="AE1781" s="316"/>
      <c r="AF1781" s="316"/>
      <c r="AG1781" s="404"/>
      <c r="AH1781" s="316"/>
      <c r="AI1781" s="316"/>
      <c r="AJ1781" s="316"/>
      <c r="AK1781" s="316"/>
      <c r="AL1781" s="316"/>
      <c r="AM1781" s="416"/>
      <c r="AR1781" s="333"/>
      <c r="AS1781" s="333"/>
      <c r="AT1781" s="333"/>
      <c r="AU1781" s="333"/>
      <c r="AV1781" s="333"/>
    </row>
    <row r="1782" spans="2:48" s="330" customFormat="1" ht="28.15" customHeight="1" x14ac:dyDescent="0.25">
      <c r="B1782" s="331"/>
      <c r="C1782" s="332"/>
      <c r="D1782" s="332"/>
      <c r="E1782" s="333"/>
      <c r="F1782" s="333"/>
      <c r="R1782" s="316"/>
      <c r="S1782" s="404"/>
      <c r="T1782" s="404"/>
      <c r="U1782" s="404"/>
      <c r="V1782" s="404"/>
      <c r="W1782" s="316"/>
      <c r="X1782" s="316"/>
      <c r="Y1782" s="316"/>
      <c r="Z1782" s="316"/>
      <c r="AA1782" s="404"/>
      <c r="AB1782" s="404"/>
      <c r="AC1782" s="404"/>
      <c r="AD1782" s="404"/>
      <c r="AE1782" s="316"/>
      <c r="AF1782" s="316"/>
      <c r="AG1782" s="404"/>
      <c r="AH1782" s="316"/>
      <c r="AI1782" s="316"/>
      <c r="AJ1782" s="316"/>
      <c r="AK1782" s="316"/>
      <c r="AL1782" s="316"/>
      <c r="AM1782" s="416"/>
      <c r="AR1782" s="333"/>
      <c r="AS1782" s="333"/>
      <c r="AT1782" s="333"/>
      <c r="AU1782" s="333"/>
      <c r="AV1782" s="333"/>
    </row>
    <row r="1783" spans="2:48" s="330" customFormat="1" ht="28.15" customHeight="1" x14ac:dyDescent="0.25">
      <c r="B1783" s="331"/>
      <c r="C1783" s="332"/>
      <c r="D1783" s="332"/>
      <c r="E1783" s="333"/>
      <c r="F1783" s="333"/>
      <c r="R1783" s="316"/>
      <c r="S1783" s="404"/>
      <c r="T1783" s="404"/>
      <c r="U1783" s="404"/>
      <c r="V1783" s="404"/>
      <c r="W1783" s="316"/>
      <c r="X1783" s="316"/>
      <c r="Y1783" s="316"/>
      <c r="Z1783" s="316"/>
      <c r="AA1783" s="404"/>
      <c r="AB1783" s="404"/>
      <c r="AC1783" s="404"/>
      <c r="AD1783" s="404"/>
      <c r="AE1783" s="316"/>
      <c r="AF1783" s="316"/>
      <c r="AG1783" s="404"/>
      <c r="AH1783" s="316"/>
      <c r="AI1783" s="316"/>
      <c r="AJ1783" s="316"/>
      <c r="AK1783" s="316"/>
      <c r="AL1783" s="316"/>
      <c r="AM1783" s="416"/>
      <c r="AR1783" s="333"/>
      <c r="AS1783" s="333"/>
      <c r="AT1783" s="333"/>
      <c r="AU1783" s="333"/>
      <c r="AV1783" s="333"/>
    </row>
    <row r="1784" spans="2:48" s="330" customFormat="1" ht="28.15" customHeight="1" x14ac:dyDescent="0.25">
      <c r="B1784" s="331"/>
      <c r="C1784" s="332"/>
      <c r="D1784" s="332"/>
      <c r="E1784" s="333"/>
      <c r="F1784" s="333"/>
      <c r="R1784" s="316"/>
      <c r="S1784" s="404"/>
      <c r="T1784" s="404"/>
      <c r="U1784" s="404"/>
      <c r="V1784" s="404"/>
      <c r="W1784" s="316"/>
      <c r="X1784" s="316"/>
      <c r="Y1784" s="316"/>
      <c r="Z1784" s="316"/>
      <c r="AA1784" s="404"/>
      <c r="AB1784" s="404"/>
      <c r="AC1784" s="404"/>
      <c r="AD1784" s="404"/>
      <c r="AE1784" s="316"/>
      <c r="AF1784" s="316"/>
      <c r="AG1784" s="404"/>
      <c r="AH1784" s="316"/>
      <c r="AI1784" s="316"/>
      <c r="AJ1784" s="316"/>
      <c r="AK1784" s="316"/>
      <c r="AL1784" s="316"/>
      <c r="AM1784" s="416"/>
      <c r="AR1784" s="333"/>
      <c r="AS1784" s="333"/>
      <c r="AT1784" s="333"/>
      <c r="AU1784" s="333"/>
      <c r="AV1784" s="333"/>
    </row>
    <row r="1785" spans="2:48" s="330" customFormat="1" ht="28.15" customHeight="1" x14ac:dyDescent="0.25">
      <c r="B1785" s="331"/>
      <c r="C1785" s="332"/>
      <c r="D1785" s="332"/>
      <c r="E1785" s="333"/>
      <c r="F1785" s="333"/>
      <c r="R1785" s="316"/>
      <c r="S1785" s="404"/>
      <c r="T1785" s="404"/>
      <c r="U1785" s="404"/>
      <c r="V1785" s="404"/>
      <c r="W1785" s="316"/>
      <c r="X1785" s="316"/>
      <c r="Y1785" s="316"/>
      <c r="Z1785" s="316"/>
      <c r="AA1785" s="404"/>
      <c r="AB1785" s="404"/>
      <c r="AC1785" s="404"/>
      <c r="AD1785" s="404"/>
      <c r="AE1785" s="316"/>
      <c r="AF1785" s="316"/>
      <c r="AG1785" s="404"/>
      <c r="AH1785" s="316"/>
      <c r="AI1785" s="316"/>
      <c r="AJ1785" s="316"/>
      <c r="AK1785" s="316"/>
      <c r="AL1785" s="316"/>
      <c r="AM1785" s="416"/>
      <c r="AR1785" s="333"/>
      <c r="AS1785" s="333"/>
      <c r="AT1785" s="333"/>
      <c r="AU1785" s="333"/>
      <c r="AV1785" s="333"/>
    </row>
    <row r="1786" spans="2:48" s="330" customFormat="1" ht="28.15" customHeight="1" x14ac:dyDescent="0.25">
      <c r="B1786" s="331"/>
      <c r="C1786" s="332"/>
      <c r="D1786" s="332"/>
      <c r="E1786" s="333"/>
      <c r="F1786" s="333"/>
      <c r="R1786" s="316"/>
      <c r="S1786" s="404"/>
      <c r="T1786" s="404"/>
      <c r="U1786" s="404"/>
      <c r="V1786" s="404"/>
      <c r="W1786" s="316"/>
      <c r="X1786" s="316"/>
      <c r="Y1786" s="316"/>
      <c r="Z1786" s="316"/>
      <c r="AA1786" s="404"/>
      <c r="AB1786" s="404"/>
      <c r="AC1786" s="404"/>
      <c r="AD1786" s="404"/>
      <c r="AE1786" s="316"/>
      <c r="AF1786" s="316"/>
      <c r="AG1786" s="404"/>
      <c r="AH1786" s="316"/>
      <c r="AI1786" s="316"/>
      <c r="AJ1786" s="316"/>
      <c r="AK1786" s="316"/>
      <c r="AL1786" s="316"/>
      <c r="AM1786" s="416"/>
      <c r="AR1786" s="333"/>
      <c r="AS1786" s="333"/>
      <c r="AT1786" s="333"/>
      <c r="AU1786" s="333"/>
      <c r="AV1786" s="333"/>
    </row>
    <row r="1787" spans="2:48" s="330" customFormat="1" ht="28.15" customHeight="1" x14ac:dyDescent="0.25">
      <c r="B1787" s="331"/>
      <c r="C1787" s="332"/>
      <c r="D1787" s="332"/>
      <c r="E1787" s="333"/>
      <c r="F1787" s="333"/>
      <c r="R1787" s="316"/>
      <c r="S1787" s="404"/>
      <c r="T1787" s="404"/>
      <c r="U1787" s="404"/>
      <c r="V1787" s="404"/>
      <c r="W1787" s="316"/>
      <c r="X1787" s="316"/>
      <c r="Y1787" s="316"/>
      <c r="Z1787" s="316"/>
      <c r="AA1787" s="404"/>
      <c r="AB1787" s="404"/>
      <c r="AC1787" s="404"/>
      <c r="AD1787" s="404"/>
      <c r="AE1787" s="316"/>
      <c r="AF1787" s="316"/>
      <c r="AG1787" s="404"/>
      <c r="AH1787" s="316"/>
      <c r="AI1787" s="316"/>
      <c r="AJ1787" s="316"/>
      <c r="AK1787" s="316"/>
      <c r="AL1787" s="316"/>
      <c r="AM1787" s="416"/>
      <c r="AR1787" s="333"/>
      <c r="AS1787" s="333"/>
      <c r="AT1787" s="333"/>
      <c r="AU1787" s="333"/>
      <c r="AV1787" s="333"/>
    </row>
    <row r="1788" spans="2:48" s="330" customFormat="1" ht="28.15" customHeight="1" x14ac:dyDescent="0.25">
      <c r="B1788" s="331"/>
      <c r="C1788" s="332"/>
      <c r="D1788" s="332"/>
      <c r="E1788" s="333"/>
      <c r="F1788" s="333"/>
      <c r="R1788" s="316"/>
      <c r="S1788" s="404"/>
      <c r="T1788" s="404"/>
      <c r="U1788" s="404"/>
      <c r="V1788" s="404"/>
      <c r="W1788" s="316"/>
      <c r="X1788" s="316"/>
      <c r="Y1788" s="316"/>
      <c r="Z1788" s="316"/>
      <c r="AA1788" s="404"/>
      <c r="AB1788" s="404"/>
      <c r="AC1788" s="404"/>
      <c r="AD1788" s="404"/>
      <c r="AE1788" s="316"/>
      <c r="AF1788" s="316"/>
      <c r="AG1788" s="404"/>
      <c r="AH1788" s="316"/>
      <c r="AI1788" s="316"/>
      <c r="AJ1788" s="316"/>
      <c r="AK1788" s="316"/>
      <c r="AL1788" s="316"/>
      <c r="AM1788" s="416"/>
      <c r="AR1788" s="333"/>
      <c r="AS1788" s="333"/>
      <c r="AT1788" s="333"/>
      <c r="AU1788" s="333"/>
      <c r="AV1788" s="333"/>
    </row>
    <row r="1789" spans="2:48" s="330" customFormat="1" ht="28.15" customHeight="1" x14ac:dyDescent="0.25">
      <c r="B1789" s="331"/>
      <c r="C1789" s="332"/>
      <c r="D1789" s="332"/>
      <c r="E1789" s="333"/>
      <c r="F1789" s="333"/>
      <c r="R1789" s="316"/>
      <c r="S1789" s="404"/>
      <c r="T1789" s="404"/>
      <c r="U1789" s="404"/>
      <c r="V1789" s="404"/>
      <c r="W1789" s="316"/>
      <c r="X1789" s="316"/>
      <c r="Y1789" s="316"/>
      <c r="Z1789" s="316"/>
      <c r="AA1789" s="404"/>
      <c r="AB1789" s="404"/>
      <c r="AC1789" s="404"/>
      <c r="AD1789" s="404"/>
      <c r="AE1789" s="316"/>
      <c r="AF1789" s="316"/>
      <c r="AG1789" s="404"/>
      <c r="AH1789" s="316"/>
      <c r="AI1789" s="316"/>
      <c r="AJ1789" s="316"/>
      <c r="AK1789" s="316"/>
      <c r="AL1789" s="316"/>
      <c r="AM1789" s="416"/>
      <c r="AR1789" s="333"/>
      <c r="AS1789" s="333"/>
      <c r="AT1789" s="333"/>
      <c r="AU1789" s="333"/>
      <c r="AV1789" s="333"/>
    </row>
    <row r="1790" spans="2:48" s="330" customFormat="1" ht="28.15" customHeight="1" x14ac:dyDescent="0.25">
      <c r="B1790" s="331"/>
      <c r="C1790" s="332"/>
      <c r="D1790" s="332"/>
      <c r="E1790" s="333"/>
      <c r="F1790" s="333"/>
      <c r="R1790" s="316"/>
      <c r="S1790" s="404"/>
      <c r="T1790" s="404"/>
      <c r="U1790" s="404"/>
      <c r="V1790" s="404"/>
      <c r="W1790" s="316"/>
      <c r="X1790" s="316"/>
      <c r="Y1790" s="316"/>
      <c r="Z1790" s="316"/>
      <c r="AA1790" s="404"/>
      <c r="AB1790" s="404"/>
      <c r="AC1790" s="404"/>
      <c r="AD1790" s="404"/>
      <c r="AE1790" s="316"/>
      <c r="AF1790" s="316"/>
      <c r="AG1790" s="404"/>
      <c r="AH1790" s="316"/>
      <c r="AI1790" s="316"/>
      <c r="AJ1790" s="316"/>
      <c r="AK1790" s="316"/>
      <c r="AL1790" s="316"/>
      <c r="AM1790" s="416"/>
      <c r="AR1790" s="333"/>
      <c r="AS1790" s="333"/>
      <c r="AT1790" s="333"/>
      <c r="AU1790" s="333"/>
      <c r="AV1790" s="333"/>
    </row>
    <row r="1791" spans="2:48" s="330" customFormat="1" ht="28.15" customHeight="1" x14ac:dyDescent="0.25">
      <c r="B1791" s="331"/>
      <c r="C1791" s="332"/>
      <c r="D1791" s="332"/>
      <c r="E1791" s="333"/>
      <c r="F1791" s="333"/>
      <c r="R1791" s="316"/>
      <c r="S1791" s="404"/>
      <c r="T1791" s="404"/>
      <c r="U1791" s="404"/>
      <c r="V1791" s="404"/>
      <c r="W1791" s="316"/>
      <c r="X1791" s="316"/>
      <c r="Y1791" s="316"/>
      <c r="Z1791" s="316"/>
      <c r="AA1791" s="404"/>
      <c r="AB1791" s="404"/>
      <c r="AC1791" s="404"/>
      <c r="AD1791" s="404"/>
      <c r="AE1791" s="316"/>
      <c r="AF1791" s="316"/>
      <c r="AG1791" s="404"/>
      <c r="AH1791" s="316"/>
      <c r="AI1791" s="316"/>
      <c r="AJ1791" s="316"/>
      <c r="AK1791" s="316"/>
      <c r="AL1791" s="316"/>
      <c r="AM1791" s="416"/>
      <c r="AR1791" s="333"/>
      <c r="AS1791" s="333"/>
      <c r="AT1791" s="333"/>
      <c r="AU1791" s="333"/>
      <c r="AV1791" s="333"/>
    </row>
    <row r="1792" spans="2:48" s="330" customFormat="1" ht="28.15" customHeight="1" x14ac:dyDescent="0.25">
      <c r="B1792" s="331"/>
      <c r="C1792" s="332"/>
      <c r="D1792" s="332"/>
      <c r="E1792" s="333"/>
      <c r="F1792" s="333"/>
      <c r="R1792" s="316"/>
      <c r="S1792" s="404"/>
      <c r="T1792" s="404"/>
      <c r="U1792" s="404"/>
      <c r="V1792" s="404"/>
      <c r="W1792" s="316"/>
      <c r="X1792" s="316"/>
      <c r="Y1792" s="316"/>
      <c r="Z1792" s="316"/>
      <c r="AA1792" s="404"/>
      <c r="AB1792" s="404"/>
      <c r="AC1792" s="404"/>
      <c r="AD1792" s="404"/>
      <c r="AE1792" s="316"/>
      <c r="AF1792" s="316"/>
      <c r="AG1792" s="404"/>
      <c r="AH1792" s="316"/>
      <c r="AI1792" s="316"/>
      <c r="AJ1792" s="316"/>
      <c r="AK1792" s="316"/>
      <c r="AL1792" s="316"/>
      <c r="AM1792" s="416"/>
      <c r="AR1792" s="333"/>
      <c r="AS1792" s="333"/>
      <c r="AT1792" s="333"/>
      <c r="AU1792" s="333"/>
      <c r="AV1792" s="333"/>
    </row>
    <row r="1793" spans="2:48" s="330" customFormat="1" ht="28.15" customHeight="1" x14ac:dyDescent="0.25">
      <c r="B1793" s="331"/>
      <c r="C1793" s="332"/>
      <c r="D1793" s="332"/>
      <c r="E1793" s="333"/>
      <c r="F1793" s="333"/>
      <c r="R1793" s="316"/>
      <c r="S1793" s="404"/>
      <c r="T1793" s="404"/>
      <c r="U1793" s="404"/>
      <c r="V1793" s="404"/>
      <c r="W1793" s="316"/>
      <c r="X1793" s="316"/>
      <c r="Y1793" s="316"/>
      <c r="Z1793" s="316"/>
      <c r="AA1793" s="404"/>
      <c r="AB1793" s="404"/>
      <c r="AC1793" s="404"/>
      <c r="AD1793" s="404"/>
      <c r="AE1793" s="316"/>
      <c r="AF1793" s="316"/>
      <c r="AG1793" s="404"/>
      <c r="AH1793" s="316"/>
      <c r="AI1793" s="316"/>
      <c r="AJ1793" s="316"/>
      <c r="AK1793" s="316"/>
      <c r="AL1793" s="316"/>
      <c r="AM1793" s="416"/>
      <c r="AR1793" s="333"/>
      <c r="AS1793" s="333"/>
      <c r="AT1793" s="333"/>
      <c r="AU1793" s="333"/>
      <c r="AV1793" s="333"/>
    </row>
    <row r="1794" spans="2:48" s="330" customFormat="1" ht="28.15" customHeight="1" x14ac:dyDescent="0.25">
      <c r="B1794" s="331"/>
      <c r="C1794" s="332"/>
      <c r="D1794" s="332"/>
      <c r="E1794" s="333"/>
      <c r="F1794" s="333"/>
      <c r="R1794" s="316"/>
      <c r="S1794" s="404"/>
      <c r="T1794" s="404"/>
      <c r="U1794" s="404"/>
      <c r="V1794" s="404"/>
      <c r="W1794" s="316"/>
      <c r="X1794" s="316"/>
      <c r="Y1794" s="316"/>
      <c r="Z1794" s="316"/>
      <c r="AA1794" s="404"/>
      <c r="AB1794" s="404"/>
      <c r="AC1794" s="404"/>
      <c r="AD1794" s="404"/>
      <c r="AE1794" s="316"/>
      <c r="AF1794" s="316"/>
      <c r="AG1794" s="404"/>
      <c r="AH1794" s="316"/>
      <c r="AI1794" s="316"/>
      <c r="AJ1794" s="316"/>
      <c r="AK1794" s="316"/>
      <c r="AL1794" s="316"/>
      <c r="AM1794" s="416"/>
      <c r="AR1794" s="333"/>
      <c r="AS1794" s="333"/>
      <c r="AT1794" s="333"/>
      <c r="AU1794" s="333"/>
      <c r="AV1794" s="333"/>
    </row>
    <row r="1795" spans="2:48" s="330" customFormat="1" ht="28.15" customHeight="1" x14ac:dyDescent="0.25">
      <c r="B1795" s="331"/>
      <c r="C1795" s="332"/>
      <c r="D1795" s="332"/>
      <c r="E1795" s="333"/>
      <c r="F1795" s="333"/>
      <c r="R1795" s="316"/>
      <c r="S1795" s="404"/>
      <c r="T1795" s="404"/>
      <c r="U1795" s="404"/>
      <c r="V1795" s="404"/>
      <c r="W1795" s="316"/>
      <c r="X1795" s="316"/>
      <c r="Y1795" s="316"/>
      <c r="Z1795" s="316"/>
      <c r="AA1795" s="404"/>
      <c r="AB1795" s="404"/>
      <c r="AC1795" s="404"/>
      <c r="AD1795" s="404"/>
      <c r="AE1795" s="316"/>
      <c r="AF1795" s="316"/>
      <c r="AG1795" s="404"/>
      <c r="AH1795" s="316"/>
      <c r="AI1795" s="316"/>
      <c r="AJ1795" s="316"/>
      <c r="AK1795" s="316"/>
      <c r="AL1795" s="316"/>
      <c r="AM1795" s="416"/>
      <c r="AR1795" s="333"/>
      <c r="AS1795" s="333"/>
      <c r="AT1795" s="333"/>
      <c r="AU1795" s="333"/>
      <c r="AV1795" s="333"/>
    </row>
    <row r="1796" spans="2:48" s="330" customFormat="1" ht="28.15" customHeight="1" x14ac:dyDescent="0.25">
      <c r="B1796" s="331"/>
      <c r="C1796" s="332"/>
      <c r="D1796" s="332"/>
      <c r="E1796" s="333"/>
      <c r="F1796" s="333"/>
      <c r="R1796" s="316"/>
      <c r="S1796" s="404"/>
      <c r="T1796" s="404"/>
      <c r="U1796" s="404"/>
      <c r="V1796" s="404"/>
      <c r="W1796" s="316"/>
      <c r="X1796" s="316"/>
      <c r="Y1796" s="316"/>
      <c r="Z1796" s="316"/>
      <c r="AA1796" s="404"/>
      <c r="AB1796" s="404"/>
      <c r="AC1796" s="404"/>
      <c r="AD1796" s="404"/>
      <c r="AE1796" s="316"/>
      <c r="AF1796" s="316"/>
      <c r="AG1796" s="404"/>
      <c r="AH1796" s="316"/>
      <c r="AI1796" s="316"/>
      <c r="AJ1796" s="316"/>
      <c r="AK1796" s="316"/>
      <c r="AL1796" s="316"/>
      <c r="AM1796" s="416"/>
      <c r="AR1796" s="333"/>
      <c r="AS1796" s="333"/>
      <c r="AT1796" s="333"/>
      <c r="AU1796" s="333"/>
      <c r="AV1796" s="333"/>
    </row>
    <row r="1797" spans="2:48" s="330" customFormat="1" ht="28.15" customHeight="1" x14ac:dyDescent="0.25">
      <c r="B1797" s="331"/>
      <c r="C1797" s="332"/>
      <c r="D1797" s="332"/>
      <c r="E1797" s="333"/>
      <c r="F1797" s="333"/>
      <c r="R1797" s="316"/>
      <c r="S1797" s="404"/>
      <c r="T1797" s="404"/>
      <c r="U1797" s="404"/>
      <c r="V1797" s="404"/>
      <c r="W1797" s="316"/>
      <c r="X1797" s="316"/>
      <c r="Y1797" s="316"/>
      <c r="Z1797" s="316"/>
      <c r="AA1797" s="404"/>
      <c r="AB1797" s="404"/>
      <c r="AC1797" s="404"/>
      <c r="AD1797" s="404"/>
      <c r="AE1797" s="316"/>
      <c r="AF1797" s="316"/>
      <c r="AG1797" s="404"/>
      <c r="AH1797" s="316"/>
      <c r="AI1797" s="316"/>
      <c r="AJ1797" s="316"/>
      <c r="AK1797" s="316"/>
      <c r="AL1797" s="316"/>
      <c r="AM1797" s="416"/>
      <c r="AR1797" s="333"/>
      <c r="AS1797" s="333"/>
      <c r="AT1797" s="333"/>
      <c r="AU1797" s="333"/>
      <c r="AV1797" s="333"/>
    </row>
    <row r="1798" spans="2:48" s="330" customFormat="1" ht="28.15" customHeight="1" x14ac:dyDescent="0.25">
      <c r="B1798" s="331"/>
      <c r="C1798" s="332"/>
      <c r="D1798" s="332"/>
      <c r="E1798" s="333"/>
      <c r="F1798" s="333"/>
      <c r="R1798" s="316"/>
      <c r="S1798" s="404"/>
      <c r="T1798" s="404"/>
      <c r="U1798" s="404"/>
      <c r="V1798" s="404"/>
      <c r="W1798" s="316"/>
      <c r="X1798" s="316"/>
      <c r="Y1798" s="316"/>
      <c r="Z1798" s="316"/>
      <c r="AA1798" s="404"/>
      <c r="AB1798" s="404"/>
      <c r="AC1798" s="404"/>
      <c r="AD1798" s="404"/>
      <c r="AE1798" s="316"/>
      <c r="AF1798" s="316"/>
      <c r="AG1798" s="404"/>
      <c r="AH1798" s="316"/>
      <c r="AI1798" s="316"/>
      <c r="AJ1798" s="316"/>
      <c r="AK1798" s="316"/>
      <c r="AL1798" s="316"/>
      <c r="AM1798" s="416"/>
      <c r="AR1798" s="333"/>
      <c r="AS1798" s="333"/>
      <c r="AT1798" s="333"/>
      <c r="AU1798" s="333"/>
      <c r="AV1798" s="333"/>
    </row>
    <row r="1799" spans="2:48" s="330" customFormat="1" ht="28.15" customHeight="1" x14ac:dyDescent="0.25">
      <c r="B1799" s="331"/>
      <c r="C1799" s="332"/>
      <c r="D1799" s="332"/>
      <c r="E1799" s="333"/>
      <c r="F1799" s="333"/>
      <c r="R1799" s="316"/>
      <c r="S1799" s="404"/>
      <c r="T1799" s="404"/>
      <c r="U1799" s="404"/>
      <c r="V1799" s="404"/>
      <c r="W1799" s="316"/>
      <c r="X1799" s="316"/>
      <c r="Y1799" s="316"/>
      <c r="Z1799" s="316"/>
      <c r="AA1799" s="404"/>
      <c r="AB1799" s="404"/>
      <c r="AC1799" s="404"/>
      <c r="AD1799" s="404"/>
      <c r="AE1799" s="316"/>
      <c r="AF1799" s="316"/>
      <c r="AG1799" s="404"/>
      <c r="AH1799" s="316"/>
      <c r="AI1799" s="316"/>
      <c r="AJ1799" s="316"/>
      <c r="AK1799" s="316"/>
      <c r="AL1799" s="316"/>
      <c r="AM1799" s="416"/>
      <c r="AR1799" s="333"/>
      <c r="AS1799" s="333"/>
      <c r="AT1799" s="333"/>
      <c r="AU1799" s="333"/>
      <c r="AV1799" s="333"/>
    </row>
    <row r="1800" spans="2:48" s="330" customFormat="1" ht="28.15" customHeight="1" x14ac:dyDescent="0.25">
      <c r="B1800" s="331"/>
      <c r="C1800" s="332"/>
      <c r="D1800" s="332"/>
      <c r="E1800" s="333"/>
      <c r="F1800" s="333"/>
      <c r="R1800" s="316"/>
      <c r="S1800" s="404"/>
      <c r="T1800" s="404"/>
      <c r="U1800" s="404"/>
      <c r="V1800" s="404"/>
      <c r="W1800" s="316"/>
      <c r="X1800" s="316"/>
      <c r="Y1800" s="316"/>
      <c r="Z1800" s="316"/>
      <c r="AA1800" s="404"/>
      <c r="AB1800" s="404"/>
      <c r="AC1800" s="404"/>
      <c r="AD1800" s="404"/>
      <c r="AE1800" s="316"/>
      <c r="AF1800" s="316"/>
      <c r="AG1800" s="404"/>
      <c r="AH1800" s="316"/>
      <c r="AI1800" s="316"/>
      <c r="AJ1800" s="316"/>
      <c r="AK1800" s="316"/>
      <c r="AL1800" s="316"/>
      <c r="AM1800" s="416"/>
      <c r="AR1800" s="333"/>
      <c r="AS1800" s="333"/>
      <c r="AT1800" s="333"/>
      <c r="AU1800" s="333"/>
      <c r="AV1800" s="333"/>
    </row>
    <row r="1801" spans="2:48" s="330" customFormat="1" ht="28.15" customHeight="1" x14ac:dyDescent="0.25">
      <c r="B1801" s="331"/>
      <c r="C1801" s="332"/>
      <c r="D1801" s="332"/>
      <c r="E1801" s="333"/>
      <c r="F1801" s="333"/>
      <c r="R1801" s="316"/>
      <c r="S1801" s="404"/>
      <c r="T1801" s="404"/>
      <c r="U1801" s="404"/>
      <c r="V1801" s="404"/>
      <c r="W1801" s="316"/>
      <c r="X1801" s="316"/>
      <c r="Y1801" s="316"/>
      <c r="Z1801" s="316"/>
      <c r="AA1801" s="404"/>
      <c r="AB1801" s="404"/>
      <c r="AC1801" s="404"/>
      <c r="AD1801" s="404"/>
      <c r="AE1801" s="316"/>
      <c r="AF1801" s="316"/>
      <c r="AG1801" s="404"/>
      <c r="AH1801" s="316"/>
      <c r="AI1801" s="316"/>
      <c r="AJ1801" s="316"/>
      <c r="AK1801" s="316"/>
      <c r="AL1801" s="316"/>
      <c r="AM1801" s="416"/>
      <c r="AR1801" s="333"/>
      <c r="AS1801" s="333"/>
      <c r="AT1801" s="333"/>
      <c r="AU1801" s="333"/>
      <c r="AV1801" s="333"/>
    </row>
    <row r="1802" spans="2:48" s="330" customFormat="1" ht="28.15" customHeight="1" x14ac:dyDescent="0.25">
      <c r="B1802" s="331"/>
      <c r="C1802" s="332"/>
      <c r="D1802" s="332"/>
      <c r="E1802" s="333"/>
      <c r="F1802" s="333"/>
      <c r="R1802" s="316"/>
      <c r="S1802" s="404"/>
      <c r="T1802" s="404"/>
      <c r="U1802" s="404"/>
      <c r="V1802" s="404"/>
      <c r="W1802" s="316"/>
      <c r="X1802" s="316"/>
      <c r="Y1802" s="316"/>
      <c r="Z1802" s="316"/>
      <c r="AA1802" s="404"/>
      <c r="AB1802" s="404"/>
      <c r="AC1802" s="404"/>
      <c r="AD1802" s="404"/>
      <c r="AE1802" s="316"/>
      <c r="AF1802" s="316"/>
      <c r="AG1802" s="404"/>
      <c r="AH1802" s="316"/>
      <c r="AI1802" s="316"/>
      <c r="AJ1802" s="316"/>
      <c r="AK1802" s="316"/>
      <c r="AL1802" s="316"/>
      <c r="AM1802" s="416"/>
      <c r="AR1802" s="333"/>
      <c r="AS1802" s="333"/>
      <c r="AT1802" s="333"/>
      <c r="AU1802" s="333"/>
      <c r="AV1802" s="333"/>
    </row>
    <row r="1803" spans="2:48" s="330" customFormat="1" ht="28.15" customHeight="1" x14ac:dyDescent="0.25">
      <c r="B1803" s="331"/>
      <c r="C1803" s="332"/>
      <c r="D1803" s="332"/>
      <c r="E1803" s="333"/>
      <c r="F1803" s="333"/>
      <c r="R1803" s="316"/>
      <c r="S1803" s="404"/>
      <c r="T1803" s="404"/>
      <c r="U1803" s="404"/>
      <c r="V1803" s="404"/>
      <c r="W1803" s="316"/>
      <c r="X1803" s="316"/>
      <c r="Y1803" s="316"/>
      <c r="Z1803" s="316"/>
      <c r="AA1803" s="404"/>
      <c r="AB1803" s="404"/>
      <c r="AC1803" s="404"/>
      <c r="AD1803" s="404"/>
      <c r="AE1803" s="316"/>
      <c r="AF1803" s="316"/>
      <c r="AG1803" s="404"/>
      <c r="AH1803" s="316"/>
      <c r="AI1803" s="316"/>
      <c r="AJ1803" s="316"/>
      <c r="AK1803" s="316"/>
      <c r="AL1803" s="316"/>
      <c r="AM1803" s="416"/>
      <c r="AR1803" s="333"/>
      <c r="AS1803" s="333"/>
      <c r="AT1803" s="333"/>
      <c r="AU1803" s="333"/>
      <c r="AV1803" s="333"/>
    </row>
    <row r="1804" spans="2:48" s="330" customFormat="1" ht="28.15" customHeight="1" x14ac:dyDescent="0.25">
      <c r="B1804" s="331"/>
      <c r="C1804" s="332"/>
      <c r="D1804" s="332"/>
      <c r="E1804" s="333"/>
      <c r="F1804" s="333"/>
      <c r="R1804" s="316"/>
      <c r="S1804" s="404"/>
      <c r="T1804" s="404"/>
      <c r="U1804" s="404"/>
      <c r="V1804" s="404"/>
      <c r="W1804" s="316"/>
      <c r="X1804" s="316"/>
      <c r="Y1804" s="316"/>
      <c r="Z1804" s="316"/>
      <c r="AA1804" s="404"/>
      <c r="AB1804" s="404"/>
      <c r="AC1804" s="404"/>
      <c r="AD1804" s="404"/>
      <c r="AE1804" s="316"/>
      <c r="AF1804" s="316"/>
      <c r="AG1804" s="404"/>
      <c r="AH1804" s="316"/>
      <c r="AI1804" s="316"/>
      <c r="AJ1804" s="316"/>
      <c r="AK1804" s="316"/>
      <c r="AL1804" s="316"/>
      <c r="AM1804" s="416"/>
      <c r="AR1804" s="333"/>
      <c r="AS1804" s="333"/>
      <c r="AT1804" s="333"/>
      <c r="AU1804" s="333"/>
      <c r="AV1804" s="333"/>
    </row>
    <row r="1805" spans="2:48" s="330" customFormat="1" ht="28.15" customHeight="1" x14ac:dyDescent="0.25">
      <c r="B1805" s="331"/>
      <c r="C1805" s="332"/>
      <c r="D1805" s="332"/>
      <c r="E1805" s="333"/>
      <c r="F1805" s="333"/>
      <c r="R1805" s="316"/>
      <c r="S1805" s="404"/>
      <c r="T1805" s="404"/>
      <c r="U1805" s="404"/>
      <c r="V1805" s="404"/>
      <c r="W1805" s="316"/>
      <c r="X1805" s="316"/>
      <c r="Y1805" s="316"/>
      <c r="Z1805" s="316"/>
      <c r="AA1805" s="404"/>
      <c r="AB1805" s="404"/>
      <c r="AC1805" s="404"/>
      <c r="AD1805" s="404"/>
      <c r="AE1805" s="316"/>
      <c r="AF1805" s="316"/>
      <c r="AG1805" s="404"/>
      <c r="AH1805" s="316"/>
      <c r="AI1805" s="316"/>
      <c r="AJ1805" s="316"/>
      <c r="AK1805" s="316"/>
      <c r="AL1805" s="316"/>
      <c r="AM1805" s="416"/>
      <c r="AR1805" s="333"/>
      <c r="AS1805" s="333"/>
      <c r="AT1805" s="333"/>
      <c r="AU1805" s="333"/>
      <c r="AV1805" s="333"/>
    </row>
    <row r="1806" spans="2:48" s="330" customFormat="1" ht="28.15" customHeight="1" x14ac:dyDescent="0.25">
      <c r="B1806" s="331"/>
      <c r="C1806" s="332"/>
      <c r="D1806" s="332"/>
      <c r="E1806" s="333"/>
      <c r="F1806" s="333"/>
      <c r="R1806" s="316"/>
      <c r="S1806" s="404"/>
      <c r="T1806" s="404"/>
      <c r="U1806" s="404"/>
      <c r="V1806" s="404"/>
      <c r="W1806" s="316"/>
      <c r="X1806" s="316"/>
      <c r="Y1806" s="316"/>
      <c r="Z1806" s="316"/>
      <c r="AA1806" s="404"/>
      <c r="AB1806" s="404"/>
      <c r="AC1806" s="404"/>
      <c r="AD1806" s="404"/>
      <c r="AE1806" s="316"/>
      <c r="AF1806" s="316"/>
      <c r="AG1806" s="404"/>
      <c r="AH1806" s="316"/>
      <c r="AI1806" s="316"/>
      <c r="AJ1806" s="316"/>
      <c r="AK1806" s="316"/>
      <c r="AL1806" s="316"/>
      <c r="AM1806" s="416"/>
      <c r="AR1806" s="333"/>
      <c r="AS1806" s="333"/>
      <c r="AT1806" s="333"/>
      <c r="AU1806" s="333"/>
      <c r="AV1806" s="333"/>
    </row>
    <row r="1807" spans="2:48" s="330" customFormat="1" ht="28.15" customHeight="1" x14ac:dyDescent="0.25">
      <c r="B1807" s="331"/>
      <c r="C1807" s="332"/>
      <c r="D1807" s="332"/>
      <c r="E1807" s="333"/>
      <c r="F1807" s="333"/>
      <c r="R1807" s="316"/>
      <c r="S1807" s="404"/>
      <c r="T1807" s="404"/>
      <c r="U1807" s="404"/>
      <c r="V1807" s="404"/>
      <c r="W1807" s="316"/>
      <c r="X1807" s="316"/>
      <c r="Y1807" s="316"/>
      <c r="Z1807" s="316"/>
      <c r="AA1807" s="404"/>
      <c r="AB1807" s="404"/>
      <c r="AC1807" s="404"/>
      <c r="AD1807" s="404"/>
      <c r="AE1807" s="316"/>
      <c r="AF1807" s="316"/>
      <c r="AG1807" s="404"/>
      <c r="AH1807" s="316"/>
      <c r="AI1807" s="316"/>
      <c r="AJ1807" s="316"/>
      <c r="AK1807" s="316"/>
      <c r="AL1807" s="316"/>
      <c r="AM1807" s="416"/>
      <c r="AR1807" s="333"/>
      <c r="AS1807" s="333"/>
      <c r="AT1807" s="333"/>
      <c r="AU1807" s="333"/>
      <c r="AV1807" s="333"/>
    </row>
    <row r="1808" spans="2:48" s="330" customFormat="1" ht="28.15" customHeight="1" x14ac:dyDescent="0.25">
      <c r="B1808" s="331"/>
      <c r="C1808" s="332"/>
      <c r="D1808" s="332"/>
      <c r="E1808" s="333"/>
      <c r="F1808" s="333"/>
      <c r="R1808" s="316"/>
      <c r="S1808" s="404"/>
      <c r="T1808" s="404"/>
      <c r="U1808" s="404"/>
      <c r="V1808" s="404"/>
      <c r="W1808" s="316"/>
      <c r="X1808" s="316"/>
      <c r="Y1808" s="316"/>
      <c r="Z1808" s="316"/>
      <c r="AA1808" s="404"/>
      <c r="AB1808" s="404"/>
      <c r="AC1808" s="404"/>
      <c r="AD1808" s="404"/>
      <c r="AE1808" s="316"/>
      <c r="AF1808" s="316"/>
      <c r="AG1808" s="404"/>
      <c r="AH1808" s="316"/>
      <c r="AI1808" s="316"/>
      <c r="AJ1808" s="316"/>
      <c r="AK1808" s="316"/>
      <c r="AL1808" s="316"/>
      <c r="AM1808" s="416"/>
      <c r="AR1808" s="333"/>
      <c r="AS1808" s="333"/>
      <c r="AT1808" s="333"/>
      <c r="AU1808" s="333"/>
      <c r="AV1808" s="333"/>
    </row>
    <row r="1809" spans="2:48" s="330" customFormat="1" ht="28.15" customHeight="1" x14ac:dyDescent="0.25">
      <c r="B1809" s="331"/>
      <c r="C1809" s="332"/>
      <c r="D1809" s="332"/>
      <c r="E1809" s="333"/>
      <c r="F1809" s="333"/>
      <c r="R1809" s="316"/>
      <c r="S1809" s="404"/>
      <c r="T1809" s="404"/>
      <c r="U1809" s="404"/>
      <c r="V1809" s="404"/>
      <c r="W1809" s="316"/>
      <c r="X1809" s="316"/>
      <c r="Y1809" s="316"/>
      <c r="Z1809" s="316"/>
      <c r="AA1809" s="404"/>
      <c r="AB1809" s="404"/>
      <c r="AC1809" s="404"/>
      <c r="AD1809" s="404"/>
      <c r="AE1809" s="316"/>
      <c r="AF1809" s="316"/>
      <c r="AG1809" s="404"/>
      <c r="AH1809" s="316"/>
      <c r="AI1809" s="316"/>
      <c r="AJ1809" s="316"/>
      <c r="AK1809" s="316"/>
      <c r="AL1809" s="316"/>
      <c r="AM1809" s="416"/>
      <c r="AR1809" s="333"/>
      <c r="AS1809" s="333"/>
      <c r="AT1809" s="333"/>
      <c r="AU1809" s="333"/>
      <c r="AV1809" s="333"/>
    </row>
    <row r="1810" spans="2:48" s="330" customFormat="1" ht="28.15" customHeight="1" x14ac:dyDescent="0.25">
      <c r="B1810" s="331"/>
      <c r="C1810" s="332"/>
      <c r="D1810" s="332"/>
      <c r="E1810" s="333"/>
      <c r="F1810" s="333"/>
      <c r="R1810" s="316"/>
      <c r="S1810" s="404"/>
      <c r="T1810" s="404"/>
      <c r="U1810" s="404"/>
      <c r="V1810" s="404"/>
      <c r="W1810" s="316"/>
      <c r="X1810" s="316"/>
      <c r="Y1810" s="316"/>
      <c r="Z1810" s="316"/>
      <c r="AA1810" s="404"/>
      <c r="AB1810" s="404"/>
      <c r="AC1810" s="404"/>
      <c r="AD1810" s="404"/>
      <c r="AE1810" s="316"/>
      <c r="AF1810" s="316"/>
      <c r="AG1810" s="404"/>
      <c r="AH1810" s="316"/>
      <c r="AI1810" s="316"/>
      <c r="AJ1810" s="316"/>
      <c r="AK1810" s="316"/>
      <c r="AL1810" s="316"/>
      <c r="AM1810" s="416"/>
      <c r="AR1810" s="333"/>
      <c r="AS1810" s="333"/>
      <c r="AT1810" s="333"/>
      <c r="AU1810" s="333"/>
      <c r="AV1810" s="333"/>
    </row>
    <row r="1811" spans="2:48" s="330" customFormat="1" ht="28.15" customHeight="1" x14ac:dyDescent="0.25">
      <c r="B1811" s="331"/>
      <c r="C1811" s="332"/>
      <c r="D1811" s="332"/>
      <c r="E1811" s="333"/>
      <c r="F1811" s="333"/>
      <c r="R1811" s="316"/>
      <c r="S1811" s="404"/>
      <c r="T1811" s="404"/>
      <c r="U1811" s="404"/>
      <c r="V1811" s="404"/>
      <c r="W1811" s="316"/>
      <c r="X1811" s="316"/>
      <c r="Y1811" s="316"/>
      <c r="Z1811" s="316"/>
      <c r="AA1811" s="404"/>
      <c r="AB1811" s="404"/>
      <c r="AC1811" s="404"/>
      <c r="AD1811" s="404"/>
      <c r="AE1811" s="316"/>
      <c r="AF1811" s="316"/>
      <c r="AG1811" s="404"/>
      <c r="AH1811" s="316"/>
      <c r="AI1811" s="316"/>
      <c r="AJ1811" s="316"/>
      <c r="AK1811" s="316"/>
      <c r="AL1811" s="316"/>
      <c r="AM1811" s="416"/>
      <c r="AR1811" s="333"/>
      <c r="AS1811" s="333"/>
      <c r="AT1811" s="333"/>
      <c r="AU1811" s="333"/>
      <c r="AV1811" s="333"/>
    </row>
    <row r="1812" spans="2:48" s="330" customFormat="1" ht="28.15" customHeight="1" x14ac:dyDescent="0.25">
      <c r="B1812" s="331"/>
      <c r="C1812" s="332"/>
      <c r="D1812" s="332"/>
      <c r="E1812" s="333"/>
      <c r="F1812" s="333"/>
      <c r="R1812" s="316"/>
      <c r="S1812" s="404"/>
      <c r="T1812" s="404"/>
      <c r="U1812" s="404"/>
      <c r="V1812" s="404"/>
      <c r="W1812" s="316"/>
      <c r="X1812" s="316"/>
      <c r="Y1812" s="316"/>
      <c r="Z1812" s="316"/>
      <c r="AA1812" s="404"/>
      <c r="AB1812" s="404"/>
      <c r="AC1812" s="404"/>
      <c r="AD1812" s="404"/>
      <c r="AE1812" s="316"/>
      <c r="AF1812" s="316"/>
      <c r="AG1812" s="404"/>
      <c r="AH1812" s="316"/>
      <c r="AI1812" s="316"/>
      <c r="AJ1812" s="316"/>
      <c r="AK1812" s="316"/>
      <c r="AL1812" s="316"/>
      <c r="AM1812" s="416"/>
      <c r="AR1812" s="333"/>
      <c r="AS1812" s="333"/>
      <c r="AT1812" s="333"/>
      <c r="AU1812" s="333"/>
      <c r="AV1812" s="333"/>
    </row>
    <row r="1813" spans="2:48" s="330" customFormat="1" ht="28.15" customHeight="1" x14ac:dyDescent="0.25">
      <c r="B1813" s="331"/>
      <c r="C1813" s="332"/>
      <c r="D1813" s="332"/>
      <c r="E1813" s="333"/>
      <c r="F1813" s="333"/>
      <c r="R1813" s="316"/>
      <c r="S1813" s="404"/>
      <c r="T1813" s="404"/>
      <c r="U1813" s="404"/>
      <c r="V1813" s="404"/>
      <c r="W1813" s="316"/>
      <c r="X1813" s="316"/>
      <c r="Y1813" s="316"/>
      <c r="Z1813" s="316"/>
      <c r="AA1813" s="404"/>
      <c r="AB1813" s="404"/>
      <c r="AC1813" s="404"/>
      <c r="AD1813" s="404"/>
      <c r="AE1813" s="316"/>
      <c r="AF1813" s="316"/>
      <c r="AG1813" s="404"/>
      <c r="AH1813" s="316"/>
      <c r="AI1813" s="316"/>
      <c r="AJ1813" s="316"/>
      <c r="AK1813" s="316"/>
      <c r="AL1813" s="316"/>
      <c r="AM1813" s="416"/>
      <c r="AR1813" s="333"/>
      <c r="AS1813" s="333"/>
      <c r="AT1813" s="333"/>
      <c r="AU1813" s="333"/>
      <c r="AV1813" s="333"/>
    </row>
    <row r="1814" spans="2:48" s="330" customFormat="1" ht="28.15" customHeight="1" x14ac:dyDescent="0.25">
      <c r="B1814" s="331"/>
      <c r="C1814" s="332"/>
      <c r="D1814" s="332"/>
      <c r="E1814" s="333"/>
      <c r="F1814" s="333"/>
      <c r="R1814" s="316"/>
      <c r="S1814" s="404"/>
      <c r="T1814" s="404"/>
      <c r="U1814" s="404"/>
      <c r="V1814" s="404"/>
      <c r="W1814" s="316"/>
      <c r="X1814" s="316"/>
      <c r="Y1814" s="316"/>
      <c r="Z1814" s="316"/>
      <c r="AA1814" s="404"/>
      <c r="AB1814" s="404"/>
      <c r="AC1814" s="404"/>
      <c r="AD1814" s="404"/>
      <c r="AE1814" s="316"/>
      <c r="AF1814" s="316"/>
      <c r="AG1814" s="404"/>
      <c r="AH1814" s="316"/>
      <c r="AI1814" s="316"/>
      <c r="AJ1814" s="316"/>
      <c r="AK1814" s="316"/>
      <c r="AL1814" s="316"/>
      <c r="AM1814" s="416"/>
      <c r="AR1814" s="333"/>
      <c r="AS1814" s="333"/>
      <c r="AT1814" s="333"/>
      <c r="AU1814" s="333"/>
      <c r="AV1814" s="333"/>
    </row>
    <row r="1815" spans="2:48" s="330" customFormat="1" ht="28.15" customHeight="1" x14ac:dyDescent="0.25">
      <c r="B1815" s="331"/>
      <c r="C1815" s="332"/>
      <c r="D1815" s="332"/>
      <c r="E1815" s="333"/>
      <c r="F1815" s="333"/>
      <c r="R1815" s="316"/>
      <c r="S1815" s="404"/>
      <c r="T1815" s="404"/>
      <c r="U1815" s="404"/>
      <c r="V1815" s="404"/>
      <c r="W1815" s="316"/>
      <c r="X1815" s="316"/>
      <c r="Y1815" s="316"/>
      <c r="Z1815" s="316"/>
      <c r="AA1815" s="404"/>
      <c r="AB1815" s="404"/>
      <c r="AC1815" s="404"/>
      <c r="AD1815" s="404"/>
      <c r="AE1815" s="316"/>
      <c r="AF1815" s="316"/>
      <c r="AG1815" s="404"/>
      <c r="AH1815" s="316"/>
      <c r="AI1815" s="316"/>
      <c r="AJ1815" s="316"/>
      <c r="AK1815" s="316"/>
      <c r="AL1815" s="316"/>
      <c r="AM1815" s="416"/>
      <c r="AR1815" s="333"/>
      <c r="AS1815" s="333"/>
      <c r="AT1815" s="333"/>
      <c r="AU1815" s="333"/>
      <c r="AV1815" s="333"/>
    </row>
    <row r="1816" spans="2:48" s="330" customFormat="1" ht="28.15" customHeight="1" x14ac:dyDescent="0.25">
      <c r="B1816" s="331"/>
      <c r="C1816" s="332"/>
      <c r="D1816" s="332"/>
      <c r="E1816" s="333"/>
      <c r="F1816" s="333"/>
      <c r="R1816" s="316"/>
      <c r="S1816" s="404"/>
      <c r="T1816" s="404"/>
      <c r="U1816" s="404"/>
      <c r="V1816" s="404"/>
      <c r="W1816" s="316"/>
      <c r="X1816" s="316"/>
      <c r="Y1816" s="316"/>
      <c r="Z1816" s="316"/>
      <c r="AA1816" s="404"/>
      <c r="AB1816" s="404"/>
      <c r="AC1816" s="404"/>
      <c r="AD1816" s="404"/>
      <c r="AE1816" s="316"/>
      <c r="AF1816" s="316"/>
      <c r="AG1816" s="404"/>
      <c r="AH1816" s="316"/>
      <c r="AI1816" s="316"/>
      <c r="AJ1816" s="316"/>
      <c r="AK1816" s="316"/>
      <c r="AL1816" s="316"/>
      <c r="AM1816" s="416"/>
      <c r="AR1816" s="333"/>
      <c r="AS1816" s="333"/>
      <c r="AT1816" s="333"/>
      <c r="AU1816" s="333"/>
      <c r="AV1816" s="333"/>
    </row>
    <row r="1817" spans="2:48" s="330" customFormat="1" ht="28.15" customHeight="1" x14ac:dyDescent="0.25">
      <c r="B1817" s="331"/>
      <c r="C1817" s="332"/>
      <c r="D1817" s="332"/>
      <c r="E1817" s="333"/>
      <c r="F1817" s="333"/>
      <c r="R1817" s="316"/>
      <c r="S1817" s="404"/>
      <c r="T1817" s="404"/>
      <c r="U1817" s="404"/>
      <c r="V1817" s="404"/>
      <c r="W1817" s="316"/>
      <c r="X1817" s="316"/>
      <c r="Y1817" s="316"/>
      <c r="Z1817" s="316"/>
      <c r="AA1817" s="404"/>
      <c r="AB1817" s="404"/>
      <c r="AC1817" s="404"/>
      <c r="AD1817" s="404"/>
      <c r="AE1817" s="316"/>
      <c r="AF1817" s="316"/>
      <c r="AG1817" s="404"/>
      <c r="AH1817" s="316"/>
      <c r="AI1817" s="316"/>
      <c r="AJ1817" s="316"/>
      <c r="AK1817" s="316"/>
      <c r="AL1817" s="316"/>
      <c r="AM1817" s="416"/>
      <c r="AR1817" s="333"/>
      <c r="AS1817" s="333"/>
      <c r="AT1817" s="333"/>
      <c r="AU1817" s="333"/>
      <c r="AV1817" s="333"/>
    </row>
    <row r="1818" spans="2:48" s="330" customFormat="1" ht="28.15" customHeight="1" x14ac:dyDescent="0.25">
      <c r="B1818" s="331"/>
      <c r="C1818" s="332"/>
      <c r="D1818" s="332"/>
      <c r="E1818" s="333"/>
      <c r="F1818" s="333"/>
      <c r="R1818" s="316"/>
      <c r="S1818" s="404"/>
      <c r="T1818" s="404"/>
      <c r="U1818" s="404"/>
      <c r="V1818" s="404"/>
      <c r="W1818" s="316"/>
      <c r="X1818" s="316"/>
      <c r="Y1818" s="316"/>
      <c r="Z1818" s="316"/>
      <c r="AA1818" s="404"/>
      <c r="AB1818" s="404"/>
      <c r="AC1818" s="404"/>
      <c r="AD1818" s="404"/>
      <c r="AE1818" s="316"/>
      <c r="AF1818" s="316"/>
      <c r="AG1818" s="404"/>
      <c r="AH1818" s="316"/>
      <c r="AI1818" s="316"/>
      <c r="AJ1818" s="316"/>
      <c r="AK1818" s="316"/>
      <c r="AL1818" s="316"/>
      <c r="AM1818" s="416"/>
      <c r="AR1818" s="333"/>
      <c r="AS1818" s="333"/>
      <c r="AT1818" s="333"/>
      <c r="AU1818" s="333"/>
      <c r="AV1818" s="333"/>
    </row>
    <row r="1819" spans="2:48" s="330" customFormat="1" ht="28.15" customHeight="1" x14ac:dyDescent="0.25">
      <c r="B1819" s="331"/>
      <c r="C1819" s="332"/>
      <c r="D1819" s="332"/>
      <c r="E1819" s="333"/>
      <c r="F1819" s="333"/>
      <c r="R1819" s="316"/>
      <c r="S1819" s="404"/>
      <c r="T1819" s="404"/>
      <c r="U1819" s="404"/>
      <c r="V1819" s="404"/>
      <c r="W1819" s="316"/>
      <c r="X1819" s="316"/>
      <c r="Y1819" s="316"/>
      <c r="Z1819" s="316"/>
      <c r="AA1819" s="404"/>
      <c r="AB1819" s="404"/>
      <c r="AC1819" s="404"/>
      <c r="AD1819" s="404"/>
      <c r="AE1819" s="316"/>
      <c r="AF1819" s="316"/>
      <c r="AG1819" s="404"/>
      <c r="AH1819" s="316"/>
      <c r="AI1819" s="316"/>
      <c r="AJ1819" s="316"/>
      <c r="AK1819" s="316"/>
      <c r="AL1819" s="316"/>
      <c r="AM1819" s="416"/>
      <c r="AR1819" s="333"/>
      <c r="AS1819" s="333"/>
      <c r="AT1819" s="333"/>
      <c r="AU1819" s="333"/>
      <c r="AV1819" s="333"/>
    </row>
    <row r="1820" spans="2:48" s="330" customFormat="1" ht="28.15" customHeight="1" x14ac:dyDescent="0.25">
      <c r="B1820" s="331"/>
      <c r="C1820" s="332"/>
      <c r="D1820" s="332"/>
      <c r="E1820" s="333"/>
      <c r="F1820" s="333"/>
      <c r="R1820" s="316"/>
      <c r="S1820" s="404"/>
      <c r="T1820" s="404"/>
      <c r="U1820" s="404"/>
      <c r="V1820" s="404"/>
      <c r="W1820" s="316"/>
      <c r="X1820" s="316"/>
      <c r="Y1820" s="316"/>
      <c r="Z1820" s="316"/>
      <c r="AA1820" s="404"/>
      <c r="AB1820" s="404"/>
      <c r="AC1820" s="404"/>
      <c r="AD1820" s="404"/>
      <c r="AE1820" s="316"/>
      <c r="AF1820" s="316"/>
      <c r="AG1820" s="404"/>
      <c r="AH1820" s="316"/>
      <c r="AI1820" s="316"/>
      <c r="AJ1820" s="316"/>
      <c r="AK1820" s="316"/>
      <c r="AL1820" s="316"/>
      <c r="AM1820" s="416"/>
      <c r="AR1820" s="333"/>
      <c r="AS1820" s="333"/>
      <c r="AT1820" s="333"/>
      <c r="AU1820" s="333"/>
      <c r="AV1820" s="333"/>
    </row>
    <row r="1821" spans="2:48" s="330" customFormat="1" ht="28.15" customHeight="1" x14ac:dyDescent="0.25">
      <c r="B1821" s="331"/>
      <c r="C1821" s="332"/>
      <c r="D1821" s="332"/>
      <c r="E1821" s="333"/>
      <c r="F1821" s="333"/>
      <c r="R1821" s="316"/>
      <c r="S1821" s="404"/>
      <c r="T1821" s="404"/>
      <c r="U1821" s="404"/>
      <c r="V1821" s="404"/>
      <c r="W1821" s="316"/>
      <c r="X1821" s="316"/>
      <c r="Y1821" s="316"/>
      <c r="Z1821" s="316"/>
      <c r="AA1821" s="404"/>
      <c r="AB1821" s="404"/>
      <c r="AC1821" s="404"/>
      <c r="AD1821" s="404"/>
      <c r="AE1821" s="316"/>
      <c r="AF1821" s="316"/>
      <c r="AG1821" s="404"/>
      <c r="AH1821" s="316"/>
      <c r="AI1821" s="316"/>
      <c r="AJ1821" s="316"/>
      <c r="AK1821" s="316"/>
      <c r="AL1821" s="316"/>
      <c r="AM1821" s="416"/>
      <c r="AR1821" s="333"/>
      <c r="AS1821" s="333"/>
      <c r="AT1821" s="333"/>
      <c r="AU1821" s="333"/>
      <c r="AV1821" s="333"/>
    </row>
    <row r="1822" spans="2:48" s="330" customFormat="1" ht="28.15" customHeight="1" x14ac:dyDescent="0.25">
      <c r="B1822" s="331"/>
      <c r="C1822" s="332"/>
      <c r="D1822" s="332"/>
      <c r="E1822" s="333"/>
      <c r="F1822" s="333"/>
      <c r="R1822" s="316"/>
      <c r="S1822" s="404"/>
      <c r="T1822" s="404"/>
      <c r="U1822" s="404"/>
      <c r="V1822" s="404"/>
      <c r="W1822" s="316"/>
      <c r="X1822" s="316"/>
      <c r="Y1822" s="316"/>
      <c r="Z1822" s="316"/>
      <c r="AA1822" s="404"/>
      <c r="AB1822" s="404"/>
      <c r="AC1822" s="404"/>
      <c r="AD1822" s="404"/>
      <c r="AE1822" s="316"/>
      <c r="AF1822" s="316"/>
      <c r="AG1822" s="404"/>
      <c r="AH1822" s="316"/>
      <c r="AI1822" s="316"/>
      <c r="AJ1822" s="316"/>
      <c r="AK1822" s="316"/>
      <c r="AL1822" s="316"/>
      <c r="AM1822" s="416"/>
      <c r="AR1822" s="333"/>
      <c r="AS1822" s="333"/>
      <c r="AT1822" s="333"/>
      <c r="AU1822" s="333"/>
      <c r="AV1822" s="333"/>
    </row>
    <row r="1823" spans="2:48" s="330" customFormat="1" ht="28.15" customHeight="1" x14ac:dyDescent="0.25">
      <c r="B1823" s="331"/>
      <c r="C1823" s="332"/>
      <c r="D1823" s="332"/>
      <c r="E1823" s="333"/>
      <c r="F1823" s="333"/>
      <c r="R1823" s="316"/>
      <c r="S1823" s="404"/>
      <c r="T1823" s="404"/>
      <c r="U1823" s="404"/>
      <c r="V1823" s="404"/>
      <c r="W1823" s="316"/>
      <c r="X1823" s="316"/>
      <c r="Y1823" s="316"/>
      <c r="Z1823" s="316"/>
      <c r="AA1823" s="404"/>
      <c r="AB1823" s="404"/>
      <c r="AC1823" s="404"/>
      <c r="AD1823" s="404"/>
      <c r="AE1823" s="316"/>
      <c r="AF1823" s="316"/>
      <c r="AG1823" s="404"/>
      <c r="AH1823" s="316"/>
      <c r="AI1823" s="316"/>
      <c r="AJ1823" s="316"/>
      <c r="AK1823" s="316"/>
      <c r="AL1823" s="316"/>
      <c r="AM1823" s="416"/>
      <c r="AR1823" s="333"/>
      <c r="AS1823" s="333"/>
      <c r="AT1823" s="333"/>
      <c r="AU1823" s="333"/>
      <c r="AV1823" s="333"/>
    </row>
    <row r="1824" spans="2:48" s="330" customFormat="1" ht="28.15" customHeight="1" x14ac:dyDescent="0.25">
      <c r="B1824" s="331"/>
      <c r="C1824" s="332"/>
      <c r="D1824" s="332"/>
      <c r="E1824" s="333"/>
      <c r="F1824" s="333"/>
      <c r="R1824" s="316"/>
      <c r="S1824" s="404"/>
      <c r="T1824" s="404"/>
      <c r="U1824" s="404"/>
      <c r="V1824" s="404"/>
      <c r="W1824" s="316"/>
      <c r="X1824" s="316"/>
      <c r="Y1824" s="316"/>
      <c r="Z1824" s="316"/>
      <c r="AA1824" s="404"/>
      <c r="AB1824" s="404"/>
      <c r="AC1824" s="404"/>
      <c r="AD1824" s="404"/>
      <c r="AE1824" s="316"/>
      <c r="AF1824" s="316"/>
      <c r="AG1824" s="404"/>
      <c r="AH1824" s="316"/>
      <c r="AI1824" s="316"/>
      <c r="AJ1824" s="316"/>
      <c r="AK1824" s="316"/>
      <c r="AL1824" s="316"/>
      <c r="AM1824" s="416"/>
      <c r="AR1824" s="333"/>
      <c r="AS1824" s="333"/>
      <c r="AT1824" s="333"/>
      <c r="AU1824" s="333"/>
      <c r="AV1824" s="333"/>
    </row>
    <row r="1825" spans="2:48" s="330" customFormat="1" ht="28.15" customHeight="1" x14ac:dyDescent="0.25">
      <c r="B1825" s="331"/>
      <c r="C1825" s="332"/>
      <c r="D1825" s="332"/>
      <c r="E1825" s="333"/>
      <c r="F1825" s="333"/>
      <c r="R1825" s="316"/>
      <c r="S1825" s="404"/>
      <c r="T1825" s="404"/>
      <c r="U1825" s="404"/>
      <c r="V1825" s="404"/>
      <c r="W1825" s="316"/>
      <c r="X1825" s="316"/>
      <c r="Y1825" s="316"/>
      <c r="Z1825" s="316"/>
      <c r="AA1825" s="404"/>
      <c r="AB1825" s="404"/>
      <c r="AC1825" s="404"/>
      <c r="AD1825" s="404"/>
      <c r="AE1825" s="316"/>
      <c r="AF1825" s="316"/>
      <c r="AG1825" s="404"/>
      <c r="AH1825" s="316"/>
      <c r="AI1825" s="316"/>
      <c r="AJ1825" s="316"/>
      <c r="AK1825" s="316"/>
      <c r="AL1825" s="316"/>
      <c r="AM1825" s="416"/>
      <c r="AR1825" s="333"/>
      <c r="AS1825" s="333"/>
      <c r="AT1825" s="333"/>
      <c r="AU1825" s="333"/>
      <c r="AV1825" s="333"/>
    </row>
    <row r="1826" spans="2:48" s="330" customFormat="1" ht="28.15" customHeight="1" x14ac:dyDescent="0.25">
      <c r="B1826" s="331"/>
      <c r="C1826" s="332"/>
      <c r="D1826" s="332"/>
      <c r="E1826" s="333"/>
      <c r="F1826" s="333"/>
      <c r="R1826" s="316"/>
      <c r="S1826" s="404"/>
      <c r="T1826" s="404"/>
      <c r="U1826" s="404"/>
      <c r="V1826" s="404"/>
      <c r="W1826" s="316"/>
      <c r="X1826" s="316"/>
      <c r="Y1826" s="316"/>
      <c r="Z1826" s="316"/>
      <c r="AA1826" s="404"/>
      <c r="AB1826" s="404"/>
      <c r="AC1826" s="404"/>
      <c r="AD1826" s="404"/>
      <c r="AE1826" s="316"/>
      <c r="AF1826" s="316"/>
      <c r="AG1826" s="404"/>
      <c r="AH1826" s="316"/>
      <c r="AI1826" s="316"/>
      <c r="AJ1826" s="316"/>
      <c r="AK1826" s="316"/>
      <c r="AL1826" s="316"/>
      <c r="AM1826" s="416"/>
      <c r="AR1826" s="333"/>
      <c r="AS1826" s="333"/>
      <c r="AT1826" s="333"/>
      <c r="AU1826" s="333"/>
      <c r="AV1826" s="333"/>
    </row>
    <row r="1827" spans="2:48" s="330" customFormat="1" ht="28.15" customHeight="1" x14ac:dyDescent="0.25">
      <c r="B1827" s="331"/>
      <c r="C1827" s="332"/>
      <c r="D1827" s="332"/>
      <c r="E1827" s="333"/>
      <c r="F1827" s="333"/>
      <c r="R1827" s="316"/>
      <c r="S1827" s="404"/>
      <c r="T1827" s="404"/>
      <c r="U1827" s="404"/>
      <c r="V1827" s="404"/>
      <c r="W1827" s="316"/>
      <c r="X1827" s="316"/>
      <c r="Y1827" s="316"/>
      <c r="Z1827" s="316"/>
      <c r="AA1827" s="404"/>
      <c r="AB1827" s="404"/>
      <c r="AC1827" s="404"/>
      <c r="AD1827" s="404"/>
      <c r="AE1827" s="316"/>
      <c r="AF1827" s="316"/>
      <c r="AG1827" s="404"/>
      <c r="AH1827" s="316"/>
      <c r="AI1827" s="316"/>
      <c r="AJ1827" s="316"/>
      <c r="AK1827" s="316"/>
      <c r="AL1827" s="316"/>
      <c r="AM1827" s="416"/>
      <c r="AR1827" s="333"/>
      <c r="AS1827" s="333"/>
      <c r="AT1827" s="333"/>
      <c r="AU1827" s="333"/>
      <c r="AV1827" s="333"/>
    </row>
    <row r="1828" spans="2:48" s="330" customFormat="1" ht="28.15" customHeight="1" x14ac:dyDescent="0.25">
      <c r="B1828" s="331"/>
      <c r="C1828" s="332"/>
      <c r="D1828" s="332"/>
      <c r="E1828" s="333"/>
      <c r="F1828" s="333"/>
      <c r="R1828" s="316"/>
      <c r="S1828" s="404"/>
      <c r="T1828" s="404"/>
      <c r="U1828" s="404"/>
      <c r="V1828" s="404"/>
      <c r="W1828" s="316"/>
      <c r="X1828" s="316"/>
      <c r="Y1828" s="316"/>
      <c r="Z1828" s="316"/>
      <c r="AA1828" s="404"/>
      <c r="AB1828" s="404"/>
      <c r="AC1828" s="404"/>
      <c r="AD1828" s="404"/>
      <c r="AE1828" s="316"/>
      <c r="AF1828" s="316"/>
      <c r="AG1828" s="404"/>
      <c r="AH1828" s="316"/>
      <c r="AI1828" s="316"/>
      <c r="AJ1828" s="316"/>
      <c r="AK1828" s="316"/>
      <c r="AL1828" s="316"/>
      <c r="AM1828" s="416"/>
      <c r="AR1828" s="333"/>
      <c r="AS1828" s="333"/>
      <c r="AT1828" s="333"/>
      <c r="AU1828" s="333"/>
      <c r="AV1828" s="333"/>
    </row>
    <row r="1829" spans="2:48" s="330" customFormat="1" ht="28.15" customHeight="1" x14ac:dyDescent="0.25">
      <c r="B1829" s="331"/>
      <c r="C1829" s="332"/>
      <c r="D1829" s="332"/>
      <c r="E1829" s="333"/>
      <c r="F1829" s="333"/>
      <c r="R1829" s="316"/>
      <c r="S1829" s="404"/>
      <c r="T1829" s="404"/>
      <c r="U1829" s="404"/>
      <c r="V1829" s="404"/>
      <c r="W1829" s="316"/>
      <c r="X1829" s="316"/>
      <c r="Y1829" s="316"/>
      <c r="Z1829" s="316"/>
      <c r="AA1829" s="404"/>
      <c r="AB1829" s="404"/>
      <c r="AC1829" s="404"/>
      <c r="AD1829" s="404"/>
      <c r="AE1829" s="316"/>
      <c r="AF1829" s="316"/>
      <c r="AG1829" s="404"/>
      <c r="AH1829" s="316"/>
      <c r="AI1829" s="316"/>
      <c r="AJ1829" s="316"/>
      <c r="AK1829" s="316"/>
      <c r="AL1829" s="316"/>
      <c r="AM1829" s="416"/>
      <c r="AR1829" s="333"/>
      <c r="AS1829" s="333"/>
      <c r="AT1829" s="333"/>
      <c r="AU1829" s="333"/>
      <c r="AV1829" s="333"/>
    </row>
    <row r="1830" spans="2:48" s="330" customFormat="1" ht="28.15" customHeight="1" x14ac:dyDescent="0.25">
      <c r="B1830" s="331"/>
      <c r="C1830" s="332"/>
      <c r="D1830" s="332"/>
      <c r="E1830" s="333"/>
      <c r="F1830" s="333"/>
      <c r="R1830" s="316"/>
      <c r="S1830" s="404"/>
      <c r="T1830" s="404"/>
      <c r="U1830" s="404"/>
      <c r="V1830" s="404"/>
      <c r="W1830" s="316"/>
      <c r="X1830" s="316"/>
      <c r="Y1830" s="316"/>
      <c r="Z1830" s="316"/>
      <c r="AA1830" s="404"/>
      <c r="AB1830" s="404"/>
      <c r="AC1830" s="404"/>
      <c r="AD1830" s="404"/>
      <c r="AE1830" s="316"/>
      <c r="AF1830" s="316"/>
      <c r="AG1830" s="404"/>
      <c r="AH1830" s="316"/>
      <c r="AI1830" s="316"/>
      <c r="AJ1830" s="316"/>
      <c r="AK1830" s="316"/>
      <c r="AL1830" s="316"/>
      <c r="AM1830" s="416"/>
      <c r="AR1830" s="333"/>
      <c r="AS1830" s="333"/>
      <c r="AT1830" s="333"/>
      <c r="AU1830" s="333"/>
      <c r="AV1830" s="333"/>
    </row>
    <row r="1831" spans="2:48" s="330" customFormat="1" ht="28.15" customHeight="1" x14ac:dyDescent="0.25">
      <c r="B1831" s="331"/>
      <c r="C1831" s="332"/>
      <c r="D1831" s="332"/>
      <c r="E1831" s="333"/>
      <c r="F1831" s="333"/>
      <c r="R1831" s="316"/>
      <c r="S1831" s="404"/>
      <c r="T1831" s="404"/>
      <c r="U1831" s="404"/>
      <c r="V1831" s="404"/>
      <c r="W1831" s="316"/>
      <c r="X1831" s="316"/>
      <c r="Y1831" s="316"/>
      <c r="Z1831" s="316"/>
      <c r="AA1831" s="404"/>
      <c r="AB1831" s="404"/>
      <c r="AC1831" s="404"/>
      <c r="AD1831" s="404"/>
      <c r="AE1831" s="316"/>
      <c r="AF1831" s="316"/>
      <c r="AG1831" s="404"/>
      <c r="AH1831" s="316"/>
      <c r="AI1831" s="316"/>
      <c r="AJ1831" s="316"/>
      <c r="AK1831" s="316"/>
      <c r="AL1831" s="316"/>
      <c r="AM1831" s="416"/>
      <c r="AR1831" s="333"/>
      <c r="AS1831" s="333"/>
      <c r="AT1831" s="333"/>
      <c r="AU1831" s="333"/>
      <c r="AV1831" s="333"/>
    </row>
    <row r="1832" spans="2:48" s="330" customFormat="1" ht="28.15" customHeight="1" x14ac:dyDescent="0.25">
      <c r="B1832" s="331"/>
      <c r="C1832" s="332"/>
      <c r="D1832" s="332"/>
      <c r="E1832" s="333"/>
      <c r="F1832" s="333"/>
      <c r="R1832" s="316"/>
      <c r="S1832" s="404"/>
      <c r="T1832" s="404"/>
      <c r="U1832" s="404"/>
      <c r="V1832" s="404"/>
      <c r="W1832" s="316"/>
      <c r="X1832" s="316"/>
      <c r="Y1832" s="316"/>
      <c r="Z1832" s="316"/>
      <c r="AA1832" s="404"/>
      <c r="AB1832" s="404"/>
      <c r="AC1832" s="404"/>
      <c r="AD1832" s="404"/>
      <c r="AE1832" s="316"/>
      <c r="AF1832" s="316"/>
      <c r="AG1832" s="404"/>
      <c r="AH1832" s="316"/>
      <c r="AI1832" s="316"/>
      <c r="AJ1832" s="316"/>
      <c r="AK1832" s="316"/>
      <c r="AL1832" s="316"/>
      <c r="AM1832" s="416"/>
      <c r="AR1832" s="333"/>
      <c r="AS1832" s="333"/>
      <c r="AT1832" s="333"/>
      <c r="AU1832" s="333"/>
      <c r="AV1832" s="333"/>
    </row>
    <row r="1833" spans="2:48" s="330" customFormat="1" ht="28.15" customHeight="1" x14ac:dyDescent="0.25">
      <c r="B1833" s="331"/>
      <c r="C1833" s="332"/>
      <c r="D1833" s="332"/>
      <c r="E1833" s="333"/>
      <c r="F1833" s="333"/>
      <c r="R1833" s="316"/>
      <c r="S1833" s="404"/>
      <c r="T1833" s="404"/>
      <c r="U1833" s="404"/>
      <c r="V1833" s="404"/>
      <c r="W1833" s="316"/>
      <c r="X1833" s="316"/>
      <c r="Y1833" s="316"/>
      <c r="Z1833" s="316"/>
      <c r="AA1833" s="404"/>
      <c r="AB1833" s="404"/>
      <c r="AC1833" s="404"/>
      <c r="AD1833" s="404"/>
      <c r="AE1833" s="316"/>
      <c r="AF1833" s="316"/>
      <c r="AG1833" s="404"/>
      <c r="AH1833" s="316"/>
      <c r="AI1833" s="316"/>
      <c r="AJ1833" s="316"/>
      <c r="AK1833" s="316"/>
      <c r="AL1833" s="316"/>
      <c r="AM1833" s="416"/>
      <c r="AR1833" s="333"/>
      <c r="AS1833" s="333"/>
      <c r="AT1833" s="333"/>
      <c r="AU1833" s="333"/>
      <c r="AV1833" s="333"/>
    </row>
    <row r="1834" spans="2:48" s="330" customFormat="1" ht="28.15" customHeight="1" x14ac:dyDescent="0.25">
      <c r="B1834" s="331"/>
      <c r="C1834" s="332"/>
      <c r="D1834" s="332"/>
      <c r="E1834" s="333"/>
      <c r="F1834" s="333"/>
      <c r="R1834" s="316"/>
      <c r="S1834" s="404"/>
      <c r="T1834" s="404"/>
      <c r="U1834" s="404"/>
      <c r="V1834" s="404"/>
      <c r="W1834" s="316"/>
      <c r="X1834" s="316"/>
      <c r="Y1834" s="316"/>
      <c r="Z1834" s="316"/>
      <c r="AA1834" s="404"/>
      <c r="AB1834" s="404"/>
      <c r="AC1834" s="404"/>
      <c r="AD1834" s="404"/>
      <c r="AE1834" s="316"/>
      <c r="AF1834" s="316"/>
      <c r="AG1834" s="404"/>
      <c r="AH1834" s="316"/>
      <c r="AI1834" s="316"/>
      <c r="AJ1834" s="316"/>
      <c r="AK1834" s="316"/>
      <c r="AL1834" s="316"/>
      <c r="AM1834" s="416"/>
      <c r="AR1834" s="333"/>
      <c r="AS1834" s="333"/>
      <c r="AT1834" s="333"/>
      <c r="AU1834" s="333"/>
      <c r="AV1834" s="333"/>
    </row>
    <row r="1835" spans="2:48" s="330" customFormat="1" ht="28.15" customHeight="1" x14ac:dyDescent="0.25">
      <c r="B1835" s="331"/>
      <c r="C1835" s="332"/>
      <c r="D1835" s="332"/>
      <c r="E1835" s="333"/>
      <c r="F1835" s="333"/>
      <c r="R1835" s="316"/>
      <c r="S1835" s="404"/>
      <c r="T1835" s="404"/>
      <c r="U1835" s="404"/>
      <c r="V1835" s="404"/>
      <c r="W1835" s="316"/>
      <c r="X1835" s="316"/>
      <c r="Y1835" s="316"/>
      <c r="Z1835" s="316"/>
      <c r="AA1835" s="404"/>
      <c r="AB1835" s="404"/>
      <c r="AC1835" s="404"/>
      <c r="AD1835" s="404"/>
      <c r="AE1835" s="316"/>
      <c r="AF1835" s="316"/>
      <c r="AG1835" s="404"/>
      <c r="AH1835" s="316"/>
      <c r="AI1835" s="316"/>
      <c r="AJ1835" s="316"/>
      <c r="AK1835" s="316"/>
      <c r="AL1835" s="316"/>
      <c r="AM1835" s="416"/>
      <c r="AR1835" s="333"/>
      <c r="AS1835" s="333"/>
      <c r="AT1835" s="333"/>
      <c r="AU1835" s="333"/>
      <c r="AV1835" s="333"/>
    </row>
    <row r="1836" spans="2:48" s="330" customFormat="1" ht="28.15" customHeight="1" x14ac:dyDescent="0.25">
      <c r="B1836" s="331"/>
      <c r="C1836" s="332"/>
      <c r="D1836" s="332"/>
      <c r="E1836" s="333"/>
      <c r="F1836" s="333"/>
      <c r="R1836" s="316"/>
      <c r="S1836" s="404"/>
      <c r="T1836" s="404"/>
      <c r="U1836" s="404"/>
      <c r="V1836" s="404"/>
      <c r="W1836" s="316"/>
      <c r="X1836" s="316"/>
      <c r="Y1836" s="316"/>
      <c r="Z1836" s="316"/>
      <c r="AA1836" s="404"/>
      <c r="AB1836" s="404"/>
      <c r="AC1836" s="404"/>
      <c r="AD1836" s="404"/>
      <c r="AE1836" s="316"/>
      <c r="AF1836" s="316"/>
      <c r="AG1836" s="404"/>
      <c r="AH1836" s="316"/>
      <c r="AI1836" s="316"/>
      <c r="AJ1836" s="316"/>
      <c r="AK1836" s="316"/>
      <c r="AL1836" s="316"/>
      <c r="AM1836" s="416"/>
      <c r="AR1836" s="333"/>
      <c r="AS1836" s="333"/>
      <c r="AT1836" s="333"/>
      <c r="AU1836" s="333"/>
      <c r="AV1836" s="333"/>
    </row>
    <row r="1837" spans="2:48" s="330" customFormat="1" ht="28.15" customHeight="1" x14ac:dyDescent="0.25">
      <c r="B1837" s="331"/>
      <c r="C1837" s="332"/>
      <c r="D1837" s="332"/>
      <c r="E1837" s="333"/>
      <c r="F1837" s="333"/>
      <c r="R1837" s="316"/>
      <c r="S1837" s="404"/>
      <c r="T1837" s="404"/>
      <c r="U1837" s="404"/>
      <c r="V1837" s="404"/>
      <c r="W1837" s="316"/>
      <c r="X1837" s="316"/>
      <c r="Y1837" s="316"/>
      <c r="Z1837" s="316"/>
      <c r="AA1837" s="404"/>
      <c r="AB1837" s="404"/>
      <c r="AC1837" s="404"/>
      <c r="AD1837" s="404"/>
      <c r="AE1837" s="316"/>
      <c r="AF1837" s="316"/>
      <c r="AG1837" s="404"/>
      <c r="AH1837" s="316"/>
      <c r="AI1837" s="316"/>
      <c r="AJ1837" s="316"/>
      <c r="AK1837" s="316"/>
      <c r="AL1837" s="316"/>
      <c r="AM1837" s="416"/>
      <c r="AR1837" s="333"/>
      <c r="AS1837" s="333"/>
      <c r="AT1837" s="333"/>
      <c r="AU1837" s="333"/>
      <c r="AV1837" s="333"/>
    </row>
    <row r="1838" spans="2:48" s="330" customFormat="1" ht="28.15" customHeight="1" x14ac:dyDescent="0.25">
      <c r="B1838" s="331"/>
      <c r="C1838" s="332"/>
      <c r="D1838" s="332"/>
      <c r="E1838" s="333"/>
      <c r="F1838" s="333"/>
      <c r="R1838" s="316"/>
      <c r="S1838" s="404"/>
      <c r="T1838" s="404"/>
      <c r="U1838" s="404"/>
      <c r="V1838" s="404"/>
      <c r="W1838" s="316"/>
      <c r="X1838" s="316"/>
      <c r="Y1838" s="316"/>
      <c r="Z1838" s="316"/>
      <c r="AA1838" s="404"/>
      <c r="AB1838" s="404"/>
      <c r="AC1838" s="404"/>
      <c r="AD1838" s="404"/>
      <c r="AE1838" s="316"/>
      <c r="AF1838" s="316"/>
      <c r="AG1838" s="404"/>
      <c r="AH1838" s="316"/>
      <c r="AI1838" s="316"/>
      <c r="AJ1838" s="316"/>
      <c r="AK1838" s="316"/>
      <c r="AL1838" s="316"/>
      <c r="AM1838" s="416"/>
      <c r="AR1838" s="333"/>
      <c r="AS1838" s="333"/>
      <c r="AT1838" s="333"/>
      <c r="AU1838" s="333"/>
      <c r="AV1838" s="333"/>
    </row>
    <row r="1839" spans="2:48" s="330" customFormat="1" ht="28.15" customHeight="1" x14ac:dyDescent="0.25">
      <c r="B1839" s="331"/>
      <c r="C1839" s="332"/>
      <c r="D1839" s="332"/>
      <c r="E1839" s="333"/>
      <c r="F1839" s="333"/>
      <c r="R1839" s="316"/>
      <c r="S1839" s="404"/>
      <c r="T1839" s="404"/>
      <c r="U1839" s="404"/>
      <c r="V1839" s="404"/>
      <c r="W1839" s="316"/>
      <c r="X1839" s="316"/>
      <c r="Y1839" s="316"/>
      <c r="Z1839" s="316"/>
      <c r="AA1839" s="404"/>
      <c r="AB1839" s="404"/>
      <c r="AC1839" s="404"/>
      <c r="AD1839" s="404"/>
      <c r="AE1839" s="316"/>
      <c r="AF1839" s="316"/>
      <c r="AG1839" s="404"/>
      <c r="AH1839" s="316"/>
      <c r="AI1839" s="316"/>
      <c r="AJ1839" s="316"/>
      <c r="AK1839" s="316"/>
      <c r="AL1839" s="316"/>
      <c r="AM1839" s="416"/>
      <c r="AR1839" s="333"/>
      <c r="AS1839" s="333"/>
      <c r="AT1839" s="333"/>
      <c r="AU1839" s="333"/>
      <c r="AV1839" s="333"/>
    </row>
    <row r="1840" spans="2:48" s="330" customFormat="1" ht="28.15" customHeight="1" x14ac:dyDescent="0.25">
      <c r="B1840" s="331"/>
      <c r="C1840" s="332"/>
      <c r="D1840" s="332"/>
      <c r="E1840" s="333"/>
      <c r="F1840" s="333"/>
      <c r="R1840" s="316"/>
      <c r="S1840" s="404"/>
      <c r="T1840" s="404"/>
      <c r="U1840" s="404"/>
      <c r="V1840" s="404"/>
      <c r="W1840" s="316"/>
      <c r="X1840" s="316"/>
      <c r="Y1840" s="316"/>
      <c r="Z1840" s="316"/>
      <c r="AA1840" s="404"/>
      <c r="AB1840" s="404"/>
      <c r="AC1840" s="404"/>
      <c r="AD1840" s="404"/>
      <c r="AE1840" s="316"/>
      <c r="AF1840" s="316"/>
      <c r="AG1840" s="404"/>
      <c r="AH1840" s="316"/>
      <c r="AI1840" s="316"/>
      <c r="AJ1840" s="316"/>
      <c r="AK1840" s="316"/>
      <c r="AL1840" s="316"/>
      <c r="AM1840" s="416"/>
      <c r="AR1840" s="333"/>
      <c r="AS1840" s="333"/>
      <c r="AT1840" s="333"/>
      <c r="AU1840" s="333"/>
      <c r="AV1840" s="333"/>
    </row>
    <row r="1841" spans="2:48" s="330" customFormat="1" ht="28.15" customHeight="1" x14ac:dyDescent="0.25">
      <c r="B1841" s="331"/>
      <c r="C1841" s="332"/>
      <c r="D1841" s="332"/>
      <c r="E1841" s="333"/>
      <c r="F1841" s="333"/>
      <c r="R1841" s="316"/>
      <c r="S1841" s="404"/>
      <c r="T1841" s="404"/>
      <c r="U1841" s="404"/>
      <c r="V1841" s="404"/>
      <c r="W1841" s="316"/>
      <c r="X1841" s="316"/>
      <c r="Y1841" s="316"/>
      <c r="Z1841" s="316"/>
      <c r="AA1841" s="404"/>
      <c r="AB1841" s="404"/>
      <c r="AC1841" s="404"/>
      <c r="AD1841" s="404"/>
      <c r="AE1841" s="316"/>
      <c r="AF1841" s="316"/>
      <c r="AG1841" s="404"/>
      <c r="AH1841" s="316"/>
      <c r="AI1841" s="316"/>
      <c r="AJ1841" s="316"/>
      <c r="AK1841" s="316"/>
      <c r="AL1841" s="316"/>
      <c r="AM1841" s="416"/>
      <c r="AR1841" s="333"/>
      <c r="AS1841" s="333"/>
      <c r="AT1841" s="333"/>
      <c r="AU1841" s="333"/>
      <c r="AV1841" s="333"/>
    </row>
    <row r="1842" spans="2:48" s="330" customFormat="1" ht="28.15" customHeight="1" x14ac:dyDescent="0.25">
      <c r="B1842" s="331"/>
      <c r="C1842" s="332"/>
      <c r="D1842" s="332"/>
      <c r="E1842" s="333"/>
      <c r="F1842" s="333"/>
      <c r="R1842" s="316"/>
      <c r="S1842" s="404"/>
      <c r="T1842" s="404"/>
      <c r="U1842" s="404"/>
      <c r="V1842" s="404"/>
      <c r="W1842" s="316"/>
      <c r="X1842" s="316"/>
      <c r="Y1842" s="316"/>
      <c r="Z1842" s="316"/>
      <c r="AA1842" s="404"/>
      <c r="AB1842" s="404"/>
      <c r="AC1842" s="404"/>
      <c r="AD1842" s="404"/>
      <c r="AE1842" s="316"/>
      <c r="AF1842" s="316"/>
      <c r="AG1842" s="404"/>
      <c r="AH1842" s="316"/>
      <c r="AI1842" s="316"/>
      <c r="AJ1842" s="316"/>
      <c r="AK1842" s="316"/>
      <c r="AL1842" s="316"/>
      <c r="AM1842" s="416"/>
      <c r="AR1842" s="333"/>
      <c r="AS1842" s="333"/>
      <c r="AT1842" s="333"/>
      <c r="AU1842" s="333"/>
      <c r="AV1842" s="333"/>
    </row>
    <row r="1843" spans="2:48" s="330" customFormat="1" ht="28.15" customHeight="1" x14ac:dyDescent="0.25">
      <c r="B1843" s="331"/>
      <c r="C1843" s="332"/>
      <c r="D1843" s="332"/>
      <c r="E1843" s="333"/>
      <c r="F1843" s="333"/>
      <c r="R1843" s="316"/>
      <c r="S1843" s="404"/>
      <c r="T1843" s="404"/>
      <c r="U1843" s="404"/>
      <c r="V1843" s="404"/>
      <c r="W1843" s="316"/>
      <c r="X1843" s="316"/>
      <c r="Y1843" s="316"/>
      <c r="Z1843" s="316"/>
      <c r="AA1843" s="404"/>
      <c r="AB1843" s="404"/>
      <c r="AC1843" s="404"/>
      <c r="AD1843" s="404"/>
      <c r="AE1843" s="316"/>
      <c r="AF1843" s="316"/>
      <c r="AG1843" s="404"/>
      <c r="AH1843" s="316"/>
      <c r="AI1843" s="316"/>
      <c r="AJ1843" s="316"/>
      <c r="AK1843" s="316"/>
      <c r="AL1843" s="316"/>
      <c r="AM1843" s="416"/>
      <c r="AR1843" s="333"/>
      <c r="AS1843" s="333"/>
      <c r="AT1843" s="333"/>
      <c r="AU1843" s="333"/>
      <c r="AV1843" s="333"/>
    </row>
    <row r="1844" spans="2:48" s="330" customFormat="1" ht="28.15" customHeight="1" x14ac:dyDescent="0.25">
      <c r="B1844" s="331"/>
      <c r="C1844" s="332"/>
      <c r="D1844" s="332"/>
      <c r="E1844" s="333"/>
      <c r="F1844" s="333"/>
      <c r="R1844" s="316"/>
      <c r="S1844" s="404"/>
      <c r="T1844" s="404"/>
      <c r="U1844" s="404"/>
      <c r="V1844" s="404"/>
      <c r="W1844" s="316"/>
      <c r="X1844" s="316"/>
      <c r="Y1844" s="316"/>
      <c r="Z1844" s="316"/>
      <c r="AA1844" s="404"/>
      <c r="AB1844" s="404"/>
      <c r="AC1844" s="404"/>
      <c r="AD1844" s="404"/>
      <c r="AE1844" s="316"/>
      <c r="AF1844" s="316"/>
      <c r="AG1844" s="404"/>
      <c r="AH1844" s="316"/>
      <c r="AI1844" s="316"/>
      <c r="AJ1844" s="316"/>
      <c r="AK1844" s="316"/>
      <c r="AL1844" s="316"/>
      <c r="AM1844" s="416"/>
      <c r="AR1844" s="333"/>
      <c r="AS1844" s="333"/>
      <c r="AT1844" s="333"/>
      <c r="AU1844" s="333"/>
      <c r="AV1844" s="333"/>
    </row>
    <row r="1845" spans="2:48" s="330" customFormat="1" ht="28.15" customHeight="1" x14ac:dyDescent="0.25">
      <c r="B1845" s="331"/>
      <c r="C1845" s="332"/>
      <c r="D1845" s="332"/>
      <c r="E1845" s="333"/>
      <c r="F1845" s="333"/>
      <c r="R1845" s="316"/>
      <c r="S1845" s="404"/>
      <c r="T1845" s="404"/>
      <c r="U1845" s="404"/>
      <c r="V1845" s="404"/>
      <c r="W1845" s="316"/>
      <c r="X1845" s="316"/>
      <c r="Y1845" s="316"/>
      <c r="Z1845" s="316"/>
      <c r="AA1845" s="404"/>
      <c r="AB1845" s="404"/>
      <c r="AC1845" s="404"/>
      <c r="AD1845" s="404"/>
      <c r="AE1845" s="316"/>
      <c r="AF1845" s="316"/>
      <c r="AG1845" s="404"/>
      <c r="AH1845" s="316"/>
      <c r="AI1845" s="316"/>
      <c r="AJ1845" s="316"/>
      <c r="AK1845" s="316"/>
      <c r="AL1845" s="316"/>
      <c r="AM1845" s="416"/>
      <c r="AR1845" s="333"/>
      <c r="AS1845" s="333"/>
      <c r="AT1845" s="333"/>
      <c r="AU1845" s="333"/>
      <c r="AV1845" s="333"/>
    </row>
    <row r="1846" spans="2:48" s="330" customFormat="1" ht="28.15" customHeight="1" x14ac:dyDescent="0.25">
      <c r="B1846" s="331"/>
      <c r="C1846" s="332"/>
      <c r="D1846" s="332"/>
      <c r="E1846" s="333"/>
      <c r="F1846" s="333"/>
      <c r="R1846" s="316"/>
      <c r="S1846" s="404"/>
      <c r="T1846" s="404"/>
      <c r="U1846" s="404"/>
      <c r="V1846" s="404"/>
      <c r="W1846" s="316"/>
      <c r="X1846" s="316"/>
      <c r="Y1846" s="316"/>
      <c r="Z1846" s="316"/>
      <c r="AA1846" s="404"/>
      <c r="AB1846" s="404"/>
      <c r="AC1846" s="404"/>
      <c r="AD1846" s="404"/>
      <c r="AE1846" s="316"/>
      <c r="AF1846" s="316"/>
      <c r="AG1846" s="404"/>
      <c r="AH1846" s="316"/>
      <c r="AI1846" s="316"/>
      <c r="AJ1846" s="316"/>
      <c r="AK1846" s="316"/>
      <c r="AL1846" s="316"/>
      <c r="AM1846" s="416"/>
      <c r="AR1846" s="333"/>
      <c r="AS1846" s="333"/>
      <c r="AT1846" s="333"/>
      <c r="AU1846" s="333"/>
      <c r="AV1846" s="333"/>
    </row>
    <row r="1847" spans="2:48" s="330" customFormat="1" ht="28.15" customHeight="1" x14ac:dyDescent="0.25">
      <c r="B1847" s="331"/>
      <c r="C1847" s="332"/>
      <c r="D1847" s="332"/>
      <c r="E1847" s="333"/>
      <c r="F1847" s="333"/>
      <c r="R1847" s="316"/>
      <c r="S1847" s="404"/>
      <c r="T1847" s="404"/>
      <c r="U1847" s="404"/>
      <c r="V1847" s="404"/>
      <c r="W1847" s="316"/>
      <c r="X1847" s="316"/>
      <c r="Y1847" s="316"/>
      <c r="Z1847" s="316"/>
      <c r="AA1847" s="404"/>
      <c r="AB1847" s="404"/>
      <c r="AC1847" s="404"/>
      <c r="AD1847" s="404"/>
      <c r="AE1847" s="316"/>
      <c r="AF1847" s="316"/>
      <c r="AG1847" s="404"/>
      <c r="AH1847" s="316"/>
      <c r="AI1847" s="316"/>
      <c r="AJ1847" s="316"/>
      <c r="AK1847" s="316"/>
      <c r="AL1847" s="316"/>
      <c r="AM1847" s="416"/>
      <c r="AR1847" s="333"/>
      <c r="AS1847" s="333"/>
      <c r="AT1847" s="333"/>
      <c r="AU1847" s="333"/>
      <c r="AV1847" s="333"/>
    </row>
    <row r="1848" spans="2:48" s="330" customFormat="1" ht="28.15" customHeight="1" x14ac:dyDescent="0.25">
      <c r="B1848" s="331"/>
      <c r="C1848" s="332"/>
      <c r="D1848" s="332"/>
      <c r="E1848" s="333"/>
      <c r="F1848" s="333"/>
      <c r="R1848" s="316"/>
      <c r="S1848" s="404"/>
      <c r="T1848" s="404"/>
      <c r="U1848" s="404"/>
      <c r="V1848" s="404"/>
      <c r="W1848" s="316"/>
      <c r="X1848" s="316"/>
      <c r="Y1848" s="316"/>
      <c r="Z1848" s="316"/>
      <c r="AA1848" s="404"/>
      <c r="AB1848" s="404"/>
      <c r="AC1848" s="404"/>
      <c r="AD1848" s="404"/>
      <c r="AE1848" s="316"/>
      <c r="AF1848" s="316"/>
      <c r="AG1848" s="404"/>
      <c r="AH1848" s="316"/>
      <c r="AI1848" s="316"/>
      <c r="AJ1848" s="316"/>
      <c r="AK1848" s="316"/>
      <c r="AL1848" s="316"/>
      <c r="AM1848" s="416"/>
      <c r="AR1848" s="333"/>
      <c r="AS1848" s="333"/>
      <c r="AT1848" s="333"/>
      <c r="AU1848" s="333"/>
      <c r="AV1848" s="333"/>
    </row>
    <row r="1849" spans="2:48" s="330" customFormat="1" ht="28.15" customHeight="1" x14ac:dyDescent="0.25">
      <c r="B1849" s="331"/>
      <c r="C1849" s="332"/>
      <c r="D1849" s="332"/>
      <c r="E1849" s="333"/>
      <c r="F1849" s="333"/>
      <c r="R1849" s="316"/>
      <c r="S1849" s="404"/>
      <c r="T1849" s="404"/>
      <c r="U1849" s="404"/>
      <c r="V1849" s="404"/>
      <c r="W1849" s="316"/>
      <c r="X1849" s="316"/>
      <c r="Y1849" s="316"/>
      <c r="Z1849" s="316"/>
      <c r="AA1849" s="404"/>
      <c r="AB1849" s="404"/>
      <c r="AC1849" s="404"/>
      <c r="AD1849" s="404"/>
      <c r="AE1849" s="316"/>
      <c r="AF1849" s="316"/>
      <c r="AG1849" s="404"/>
      <c r="AH1849" s="316"/>
      <c r="AI1849" s="316"/>
      <c r="AJ1849" s="316"/>
      <c r="AK1849" s="316"/>
      <c r="AL1849" s="316"/>
      <c r="AM1849" s="416"/>
      <c r="AR1849" s="333"/>
      <c r="AS1849" s="333"/>
      <c r="AT1849" s="333"/>
      <c r="AU1849" s="333"/>
      <c r="AV1849" s="333"/>
    </row>
    <row r="1850" spans="2:48" s="330" customFormat="1" ht="28.15" customHeight="1" x14ac:dyDescent="0.25">
      <c r="B1850" s="331"/>
      <c r="C1850" s="332"/>
      <c r="D1850" s="332"/>
      <c r="E1850" s="333"/>
      <c r="F1850" s="333"/>
      <c r="R1850" s="316"/>
      <c r="S1850" s="404"/>
      <c r="T1850" s="404"/>
      <c r="U1850" s="404"/>
      <c r="V1850" s="404"/>
      <c r="W1850" s="316"/>
      <c r="X1850" s="316"/>
      <c r="Y1850" s="316"/>
      <c r="Z1850" s="316"/>
      <c r="AA1850" s="404"/>
      <c r="AB1850" s="404"/>
      <c r="AC1850" s="404"/>
      <c r="AD1850" s="404"/>
      <c r="AE1850" s="316"/>
      <c r="AF1850" s="316"/>
      <c r="AG1850" s="404"/>
      <c r="AH1850" s="316"/>
      <c r="AI1850" s="316"/>
      <c r="AJ1850" s="316"/>
      <c r="AK1850" s="316"/>
      <c r="AL1850" s="316"/>
      <c r="AM1850" s="416"/>
      <c r="AR1850" s="333"/>
      <c r="AS1850" s="333"/>
      <c r="AT1850" s="333"/>
      <c r="AU1850" s="333"/>
      <c r="AV1850" s="333"/>
    </row>
    <row r="1851" spans="2:48" s="330" customFormat="1" ht="28.15" customHeight="1" x14ac:dyDescent="0.25">
      <c r="B1851" s="331"/>
      <c r="C1851" s="332"/>
      <c r="D1851" s="332"/>
      <c r="E1851" s="333"/>
      <c r="F1851" s="333"/>
      <c r="R1851" s="316"/>
      <c r="S1851" s="404"/>
      <c r="T1851" s="404"/>
      <c r="U1851" s="404"/>
      <c r="V1851" s="404"/>
      <c r="W1851" s="316"/>
      <c r="X1851" s="316"/>
      <c r="Y1851" s="316"/>
      <c r="Z1851" s="316"/>
      <c r="AA1851" s="404"/>
      <c r="AB1851" s="404"/>
      <c r="AC1851" s="404"/>
      <c r="AD1851" s="404"/>
      <c r="AE1851" s="316"/>
      <c r="AF1851" s="316"/>
      <c r="AG1851" s="404"/>
      <c r="AH1851" s="316"/>
      <c r="AI1851" s="316"/>
      <c r="AJ1851" s="316"/>
      <c r="AK1851" s="316"/>
      <c r="AL1851" s="316"/>
      <c r="AM1851" s="416"/>
      <c r="AR1851" s="333"/>
      <c r="AS1851" s="333"/>
      <c r="AT1851" s="333"/>
      <c r="AU1851" s="333"/>
      <c r="AV1851" s="333"/>
    </row>
    <row r="1852" spans="2:48" s="330" customFormat="1" ht="28.15" customHeight="1" x14ac:dyDescent="0.25">
      <c r="B1852" s="331"/>
      <c r="C1852" s="332"/>
      <c r="D1852" s="332"/>
      <c r="E1852" s="333"/>
      <c r="F1852" s="333"/>
      <c r="R1852" s="316"/>
      <c r="S1852" s="404"/>
      <c r="T1852" s="404"/>
      <c r="U1852" s="404"/>
      <c r="V1852" s="404"/>
      <c r="W1852" s="316"/>
      <c r="X1852" s="316"/>
      <c r="Y1852" s="316"/>
      <c r="Z1852" s="316"/>
      <c r="AA1852" s="404"/>
      <c r="AB1852" s="404"/>
      <c r="AC1852" s="404"/>
      <c r="AD1852" s="404"/>
      <c r="AE1852" s="316"/>
      <c r="AF1852" s="316"/>
      <c r="AG1852" s="404"/>
      <c r="AH1852" s="316"/>
      <c r="AI1852" s="316"/>
      <c r="AJ1852" s="316"/>
      <c r="AK1852" s="316"/>
      <c r="AL1852" s="316"/>
      <c r="AM1852" s="416"/>
      <c r="AR1852" s="333"/>
      <c r="AS1852" s="333"/>
      <c r="AT1852" s="333"/>
      <c r="AU1852" s="333"/>
      <c r="AV1852" s="333"/>
    </row>
    <row r="1853" spans="2:48" s="330" customFormat="1" ht="28.15" customHeight="1" x14ac:dyDescent="0.25">
      <c r="B1853" s="331"/>
      <c r="C1853" s="332"/>
      <c r="D1853" s="332"/>
      <c r="E1853" s="333"/>
      <c r="F1853" s="333"/>
      <c r="R1853" s="316"/>
      <c r="S1853" s="404"/>
      <c r="T1853" s="404"/>
      <c r="U1853" s="404"/>
      <c r="V1853" s="404"/>
      <c r="W1853" s="316"/>
      <c r="X1853" s="316"/>
      <c r="Y1853" s="316"/>
      <c r="Z1853" s="316"/>
      <c r="AA1853" s="404"/>
      <c r="AB1853" s="404"/>
      <c r="AC1853" s="404"/>
      <c r="AD1853" s="404"/>
      <c r="AE1853" s="316"/>
      <c r="AF1853" s="316"/>
      <c r="AG1853" s="404"/>
      <c r="AH1853" s="316"/>
      <c r="AI1853" s="316"/>
      <c r="AJ1853" s="316"/>
      <c r="AK1853" s="316"/>
      <c r="AL1853" s="316"/>
      <c r="AM1853" s="416"/>
      <c r="AR1853" s="333"/>
      <c r="AS1853" s="333"/>
      <c r="AT1853" s="333"/>
      <c r="AU1853" s="333"/>
      <c r="AV1853" s="333"/>
    </row>
    <row r="1854" spans="2:48" s="330" customFormat="1" ht="28.15" customHeight="1" x14ac:dyDescent="0.25">
      <c r="B1854" s="331"/>
      <c r="C1854" s="332"/>
      <c r="D1854" s="332"/>
      <c r="E1854" s="333"/>
      <c r="F1854" s="333"/>
      <c r="R1854" s="316"/>
      <c r="S1854" s="404"/>
      <c r="T1854" s="404"/>
      <c r="U1854" s="404"/>
      <c r="V1854" s="404"/>
      <c r="W1854" s="316"/>
      <c r="X1854" s="316"/>
      <c r="Y1854" s="316"/>
      <c r="Z1854" s="316"/>
      <c r="AA1854" s="404"/>
      <c r="AB1854" s="404"/>
      <c r="AC1854" s="404"/>
      <c r="AD1854" s="404"/>
      <c r="AE1854" s="316"/>
      <c r="AF1854" s="316"/>
      <c r="AG1854" s="404"/>
      <c r="AH1854" s="316"/>
      <c r="AI1854" s="316"/>
      <c r="AJ1854" s="316"/>
      <c r="AK1854" s="316"/>
      <c r="AL1854" s="316"/>
      <c r="AM1854" s="416"/>
      <c r="AR1854" s="333"/>
      <c r="AS1854" s="333"/>
      <c r="AT1854" s="333"/>
      <c r="AU1854" s="333"/>
      <c r="AV1854" s="333"/>
    </row>
    <row r="1855" spans="2:48" s="330" customFormat="1" ht="28.15" customHeight="1" x14ac:dyDescent="0.25">
      <c r="B1855" s="331"/>
      <c r="C1855" s="332"/>
      <c r="D1855" s="332"/>
      <c r="E1855" s="333"/>
      <c r="F1855" s="333"/>
      <c r="R1855" s="316"/>
      <c r="S1855" s="404"/>
      <c r="T1855" s="404"/>
      <c r="U1855" s="404"/>
      <c r="V1855" s="404"/>
      <c r="W1855" s="316"/>
      <c r="X1855" s="316"/>
      <c r="Y1855" s="316"/>
      <c r="Z1855" s="316"/>
      <c r="AA1855" s="404"/>
      <c r="AB1855" s="404"/>
      <c r="AC1855" s="404"/>
      <c r="AD1855" s="404"/>
      <c r="AE1855" s="316"/>
      <c r="AF1855" s="316"/>
      <c r="AG1855" s="404"/>
      <c r="AH1855" s="316"/>
      <c r="AI1855" s="316"/>
      <c r="AJ1855" s="316"/>
      <c r="AK1855" s="316"/>
      <c r="AL1855" s="316"/>
      <c r="AM1855" s="416"/>
      <c r="AR1855" s="333"/>
      <c r="AS1855" s="333"/>
      <c r="AT1855" s="333"/>
      <c r="AU1855" s="333"/>
      <c r="AV1855" s="333"/>
    </row>
    <row r="1856" spans="2:48" s="330" customFormat="1" ht="28.15" customHeight="1" x14ac:dyDescent="0.25">
      <c r="B1856" s="331"/>
      <c r="C1856" s="332"/>
      <c r="D1856" s="332"/>
      <c r="E1856" s="333"/>
      <c r="F1856" s="333"/>
      <c r="R1856" s="316"/>
      <c r="S1856" s="404"/>
      <c r="T1856" s="404"/>
      <c r="U1856" s="404"/>
      <c r="V1856" s="404"/>
      <c r="W1856" s="316"/>
      <c r="X1856" s="316"/>
      <c r="Y1856" s="316"/>
      <c r="Z1856" s="316"/>
      <c r="AA1856" s="404"/>
      <c r="AB1856" s="404"/>
      <c r="AC1856" s="404"/>
      <c r="AD1856" s="404"/>
      <c r="AE1856" s="316"/>
      <c r="AF1856" s="316"/>
      <c r="AG1856" s="404"/>
      <c r="AH1856" s="316"/>
      <c r="AI1856" s="316"/>
      <c r="AJ1856" s="316"/>
      <c r="AK1856" s="316"/>
      <c r="AL1856" s="316"/>
      <c r="AM1856" s="416"/>
      <c r="AR1856" s="333"/>
      <c r="AS1856" s="333"/>
      <c r="AT1856" s="333"/>
      <c r="AU1856" s="333"/>
      <c r="AV1856" s="333"/>
    </row>
    <row r="1857" spans="2:48" s="330" customFormat="1" ht="28.15" customHeight="1" x14ac:dyDescent="0.25">
      <c r="B1857" s="331"/>
      <c r="C1857" s="332"/>
      <c r="D1857" s="332"/>
      <c r="E1857" s="333"/>
      <c r="F1857" s="333"/>
      <c r="R1857" s="316"/>
      <c r="S1857" s="404"/>
      <c r="T1857" s="404"/>
      <c r="U1857" s="404"/>
      <c r="V1857" s="404"/>
      <c r="W1857" s="316"/>
      <c r="X1857" s="316"/>
      <c r="Y1857" s="316"/>
      <c r="Z1857" s="316"/>
      <c r="AA1857" s="404"/>
      <c r="AB1857" s="404"/>
      <c r="AC1857" s="404"/>
      <c r="AD1857" s="404"/>
      <c r="AE1857" s="316"/>
      <c r="AF1857" s="316"/>
      <c r="AG1857" s="404"/>
      <c r="AH1857" s="316"/>
      <c r="AI1857" s="316"/>
      <c r="AJ1857" s="316"/>
      <c r="AK1857" s="316"/>
      <c r="AL1857" s="316"/>
      <c r="AM1857" s="416"/>
      <c r="AR1857" s="333"/>
      <c r="AS1857" s="333"/>
      <c r="AT1857" s="333"/>
      <c r="AU1857" s="333"/>
      <c r="AV1857" s="333"/>
    </row>
    <row r="1858" spans="2:48" s="330" customFormat="1" ht="28.15" customHeight="1" x14ac:dyDescent="0.25">
      <c r="B1858" s="331"/>
      <c r="C1858" s="332"/>
      <c r="D1858" s="332"/>
      <c r="E1858" s="333"/>
      <c r="F1858" s="333"/>
      <c r="R1858" s="316"/>
      <c r="S1858" s="404"/>
      <c r="T1858" s="404"/>
      <c r="U1858" s="404"/>
      <c r="V1858" s="404"/>
      <c r="W1858" s="316"/>
      <c r="X1858" s="316"/>
      <c r="Y1858" s="316"/>
      <c r="Z1858" s="316"/>
      <c r="AA1858" s="404"/>
      <c r="AB1858" s="404"/>
      <c r="AC1858" s="404"/>
      <c r="AD1858" s="404"/>
      <c r="AE1858" s="316"/>
      <c r="AF1858" s="316"/>
      <c r="AG1858" s="404"/>
      <c r="AH1858" s="316"/>
      <c r="AI1858" s="316"/>
      <c r="AJ1858" s="316"/>
      <c r="AK1858" s="316"/>
      <c r="AL1858" s="316"/>
      <c r="AM1858" s="416"/>
      <c r="AR1858" s="333"/>
      <c r="AS1858" s="333"/>
      <c r="AT1858" s="333"/>
      <c r="AU1858" s="333"/>
      <c r="AV1858" s="333"/>
    </row>
    <row r="1859" spans="2:48" s="330" customFormat="1" ht="28.15" customHeight="1" x14ac:dyDescent="0.25">
      <c r="B1859" s="331"/>
      <c r="C1859" s="332"/>
      <c r="D1859" s="332"/>
      <c r="E1859" s="333"/>
      <c r="F1859" s="333"/>
      <c r="R1859" s="316"/>
      <c r="S1859" s="404"/>
      <c r="T1859" s="404"/>
      <c r="U1859" s="404"/>
      <c r="V1859" s="404"/>
      <c r="W1859" s="316"/>
      <c r="X1859" s="316"/>
      <c r="Y1859" s="316"/>
      <c r="Z1859" s="316"/>
      <c r="AA1859" s="404"/>
      <c r="AB1859" s="404"/>
      <c r="AC1859" s="404"/>
      <c r="AD1859" s="404"/>
      <c r="AE1859" s="316"/>
      <c r="AF1859" s="316"/>
      <c r="AG1859" s="404"/>
      <c r="AH1859" s="316"/>
      <c r="AI1859" s="316"/>
      <c r="AJ1859" s="316"/>
      <c r="AK1859" s="316"/>
      <c r="AL1859" s="316"/>
      <c r="AM1859" s="416"/>
      <c r="AR1859" s="333"/>
      <c r="AS1859" s="333"/>
      <c r="AT1859" s="333"/>
      <c r="AU1859" s="333"/>
      <c r="AV1859" s="333"/>
    </row>
    <row r="1860" spans="2:48" s="330" customFormat="1" ht="28.15" customHeight="1" x14ac:dyDescent="0.25">
      <c r="B1860" s="331"/>
      <c r="C1860" s="332"/>
      <c r="D1860" s="332"/>
      <c r="E1860" s="333"/>
      <c r="F1860" s="333"/>
      <c r="R1860" s="316"/>
      <c r="S1860" s="404"/>
      <c r="T1860" s="404"/>
      <c r="U1860" s="404"/>
      <c r="V1860" s="404"/>
      <c r="W1860" s="316"/>
      <c r="X1860" s="316"/>
      <c r="Y1860" s="316"/>
      <c r="Z1860" s="316"/>
      <c r="AA1860" s="404"/>
      <c r="AB1860" s="404"/>
      <c r="AC1860" s="404"/>
      <c r="AD1860" s="404"/>
      <c r="AE1860" s="316"/>
      <c r="AF1860" s="316"/>
      <c r="AG1860" s="404"/>
      <c r="AH1860" s="316"/>
      <c r="AI1860" s="316"/>
      <c r="AJ1860" s="316"/>
      <c r="AK1860" s="316"/>
      <c r="AL1860" s="316"/>
      <c r="AM1860" s="416"/>
      <c r="AR1860" s="333"/>
      <c r="AS1860" s="333"/>
      <c r="AT1860" s="333"/>
      <c r="AU1860" s="333"/>
      <c r="AV1860" s="333"/>
    </row>
    <row r="1861" spans="2:48" s="330" customFormat="1" ht="28.15" customHeight="1" x14ac:dyDescent="0.25">
      <c r="B1861" s="331"/>
      <c r="C1861" s="332"/>
      <c r="D1861" s="332"/>
      <c r="E1861" s="333"/>
      <c r="F1861" s="333"/>
      <c r="R1861" s="316"/>
      <c r="S1861" s="404"/>
      <c r="T1861" s="404"/>
      <c r="U1861" s="404"/>
      <c r="V1861" s="404"/>
      <c r="W1861" s="316"/>
      <c r="X1861" s="316"/>
      <c r="Y1861" s="316"/>
      <c r="Z1861" s="316"/>
      <c r="AA1861" s="404"/>
      <c r="AB1861" s="404"/>
      <c r="AC1861" s="404"/>
      <c r="AD1861" s="404"/>
      <c r="AE1861" s="316"/>
      <c r="AF1861" s="316"/>
      <c r="AG1861" s="404"/>
      <c r="AH1861" s="316"/>
      <c r="AI1861" s="316"/>
      <c r="AJ1861" s="316"/>
      <c r="AK1861" s="316"/>
      <c r="AL1861" s="316"/>
      <c r="AM1861" s="416"/>
      <c r="AR1861" s="333"/>
      <c r="AS1861" s="333"/>
      <c r="AT1861" s="333"/>
      <c r="AU1861" s="333"/>
      <c r="AV1861" s="333"/>
    </row>
    <row r="1862" spans="2:48" s="330" customFormat="1" ht="28.15" customHeight="1" x14ac:dyDescent="0.25">
      <c r="B1862" s="331"/>
      <c r="C1862" s="332"/>
      <c r="D1862" s="332"/>
      <c r="E1862" s="333"/>
      <c r="F1862" s="333"/>
      <c r="R1862" s="316"/>
      <c r="S1862" s="404"/>
      <c r="T1862" s="404"/>
      <c r="U1862" s="404"/>
      <c r="V1862" s="404"/>
      <c r="W1862" s="316"/>
      <c r="X1862" s="316"/>
      <c r="Y1862" s="316"/>
      <c r="Z1862" s="316"/>
      <c r="AA1862" s="404"/>
      <c r="AB1862" s="404"/>
      <c r="AC1862" s="404"/>
      <c r="AD1862" s="404"/>
      <c r="AE1862" s="316"/>
      <c r="AF1862" s="316"/>
      <c r="AG1862" s="404"/>
      <c r="AH1862" s="316"/>
      <c r="AI1862" s="316"/>
      <c r="AJ1862" s="316"/>
      <c r="AK1862" s="316"/>
      <c r="AL1862" s="316"/>
      <c r="AM1862" s="416"/>
      <c r="AR1862" s="333"/>
      <c r="AS1862" s="333"/>
      <c r="AT1862" s="333"/>
      <c r="AU1862" s="333"/>
      <c r="AV1862" s="333"/>
    </row>
    <row r="1863" spans="2:48" s="330" customFormat="1" ht="28.15" customHeight="1" x14ac:dyDescent="0.25">
      <c r="B1863" s="331"/>
      <c r="C1863" s="332"/>
      <c r="D1863" s="332"/>
      <c r="E1863" s="333"/>
      <c r="F1863" s="333"/>
      <c r="R1863" s="316"/>
      <c r="S1863" s="404"/>
      <c r="T1863" s="404"/>
      <c r="U1863" s="404"/>
      <c r="V1863" s="404"/>
      <c r="W1863" s="316"/>
      <c r="X1863" s="316"/>
      <c r="Y1863" s="316"/>
      <c r="Z1863" s="316"/>
      <c r="AA1863" s="404"/>
      <c r="AB1863" s="404"/>
      <c r="AC1863" s="404"/>
      <c r="AD1863" s="404"/>
      <c r="AE1863" s="316"/>
      <c r="AF1863" s="316"/>
      <c r="AG1863" s="404"/>
      <c r="AH1863" s="316"/>
      <c r="AI1863" s="316"/>
      <c r="AJ1863" s="316"/>
      <c r="AK1863" s="316"/>
      <c r="AL1863" s="316"/>
      <c r="AM1863" s="416"/>
      <c r="AR1863" s="333"/>
      <c r="AS1863" s="333"/>
      <c r="AT1863" s="333"/>
      <c r="AU1863" s="333"/>
      <c r="AV1863" s="333"/>
    </row>
    <row r="1864" spans="2:48" s="330" customFormat="1" ht="28.15" customHeight="1" x14ac:dyDescent="0.25">
      <c r="B1864" s="331"/>
      <c r="C1864" s="332"/>
      <c r="D1864" s="332"/>
      <c r="E1864" s="333"/>
      <c r="F1864" s="333"/>
      <c r="R1864" s="316"/>
      <c r="S1864" s="404"/>
      <c r="T1864" s="404"/>
      <c r="U1864" s="404"/>
      <c r="V1864" s="404"/>
      <c r="W1864" s="316"/>
      <c r="X1864" s="316"/>
      <c r="Y1864" s="316"/>
      <c r="Z1864" s="316"/>
      <c r="AA1864" s="404"/>
      <c r="AB1864" s="404"/>
      <c r="AC1864" s="404"/>
      <c r="AD1864" s="404"/>
      <c r="AE1864" s="316"/>
      <c r="AF1864" s="316"/>
      <c r="AG1864" s="404"/>
      <c r="AH1864" s="316"/>
      <c r="AI1864" s="316"/>
      <c r="AJ1864" s="316"/>
      <c r="AK1864" s="316"/>
      <c r="AL1864" s="316"/>
      <c r="AM1864" s="416"/>
      <c r="AR1864" s="333"/>
      <c r="AS1864" s="333"/>
      <c r="AT1864" s="333"/>
      <c r="AU1864" s="333"/>
      <c r="AV1864" s="333"/>
    </row>
    <row r="1865" spans="2:48" s="330" customFormat="1" ht="28.15" customHeight="1" x14ac:dyDescent="0.25">
      <c r="B1865" s="331"/>
      <c r="C1865" s="332"/>
      <c r="D1865" s="332"/>
      <c r="E1865" s="333"/>
      <c r="F1865" s="333"/>
      <c r="R1865" s="316"/>
      <c r="S1865" s="404"/>
      <c r="T1865" s="404"/>
      <c r="U1865" s="404"/>
      <c r="V1865" s="404"/>
      <c r="W1865" s="316"/>
      <c r="X1865" s="316"/>
      <c r="Y1865" s="316"/>
      <c r="Z1865" s="316"/>
      <c r="AA1865" s="404"/>
      <c r="AB1865" s="404"/>
      <c r="AC1865" s="404"/>
      <c r="AD1865" s="404"/>
      <c r="AE1865" s="316"/>
      <c r="AF1865" s="316"/>
      <c r="AG1865" s="404"/>
      <c r="AH1865" s="316"/>
      <c r="AI1865" s="316"/>
      <c r="AJ1865" s="316"/>
      <c r="AK1865" s="316"/>
      <c r="AL1865" s="316"/>
      <c r="AM1865" s="416"/>
      <c r="AR1865" s="333"/>
      <c r="AS1865" s="333"/>
      <c r="AT1865" s="333"/>
      <c r="AU1865" s="333"/>
      <c r="AV1865" s="333"/>
    </row>
    <row r="1866" spans="2:48" s="330" customFormat="1" ht="28.15" customHeight="1" x14ac:dyDescent="0.25">
      <c r="B1866" s="331"/>
      <c r="C1866" s="332"/>
      <c r="D1866" s="332"/>
      <c r="E1866" s="333"/>
      <c r="F1866" s="333"/>
      <c r="R1866" s="316"/>
      <c r="S1866" s="404"/>
      <c r="T1866" s="404"/>
      <c r="U1866" s="404"/>
      <c r="V1866" s="404"/>
      <c r="W1866" s="316"/>
      <c r="X1866" s="316"/>
      <c r="Y1866" s="316"/>
      <c r="Z1866" s="316"/>
      <c r="AA1866" s="404"/>
      <c r="AB1866" s="404"/>
      <c r="AC1866" s="404"/>
      <c r="AD1866" s="404"/>
      <c r="AE1866" s="316"/>
      <c r="AF1866" s="316"/>
      <c r="AG1866" s="404"/>
      <c r="AH1866" s="316"/>
      <c r="AI1866" s="316"/>
      <c r="AJ1866" s="316"/>
      <c r="AK1866" s="316"/>
      <c r="AL1866" s="316"/>
      <c r="AM1866" s="416"/>
      <c r="AR1866" s="333"/>
      <c r="AS1866" s="333"/>
      <c r="AT1866" s="333"/>
      <c r="AU1866" s="333"/>
      <c r="AV1866" s="333"/>
    </row>
    <row r="1867" spans="2:48" s="330" customFormat="1" ht="28.15" customHeight="1" x14ac:dyDescent="0.25">
      <c r="B1867" s="331"/>
      <c r="C1867" s="332"/>
      <c r="D1867" s="332"/>
      <c r="E1867" s="333"/>
      <c r="F1867" s="333"/>
      <c r="R1867" s="316"/>
      <c r="S1867" s="404"/>
      <c r="T1867" s="404"/>
      <c r="U1867" s="404"/>
      <c r="V1867" s="404"/>
      <c r="W1867" s="316"/>
      <c r="X1867" s="316"/>
      <c r="Y1867" s="316"/>
      <c r="Z1867" s="316"/>
      <c r="AA1867" s="404"/>
      <c r="AB1867" s="404"/>
      <c r="AC1867" s="404"/>
      <c r="AD1867" s="404"/>
      <c r="AE1867" s="316"/>
      <c r="AF1867" s="316"/>
      <c r="AG1867" s="404"/>
      <c r="AH1867" s="316"/>
      <c r="AI1867" s="316"/>
      <c r="AJ1867" s="316"/>
      <c r="AK1867" s="316"/>
      <c r="AL1867" s="316"/>
      <c r="AM1867" s="416"/>
      <c r="AR1867" s="333"/>
      <c r="AS1867" s="333"/>
      <c r="AT1867" s="333"/>
      <c r="AU1867" s="333"/>
      <c r="AV1867" s="333"/>
    </row>
    <row r="1868" spans="2:48" s="330" customFormat="1" ht="28.15" customHeight="1" x14ac:dyDescent="0.25">
      <c r="B1868" s="331"/>
      <c r="C1868" s="332"/>
      <c r="D1868" s="332"/>
      <c r="E1868" s="333"/>
      <c r="F1868" s="333"/>
      <c r="R1868" s="316"/>
      <c r="S1868" s="404"/>
      <c r="T1868" s="404"/>
      <c r="U1868" s="404"/>
      <c r="V1868" s="404"/>
      <c r="W1868" s="316"/>
      <c r="X1868" s="316"/>
      <c r="Y1868" s="316"/>
      <c r="Z1868" s="316"/>
      <c r="AA1868" s="404"/>
      <c r="AB1868" s="404"/>
      <c r="AC1868" s="404"/>
      <c r="AD1868" s="404"/>
      <c r="AE1868" s="316"/>
      <c r="AF1868" s="316"/>
      <c r="AG1868" s="404"/>
      <c r="AH1868" s="316"/>
      <c r="AI1868" s="316"/>
      <c r="AJ1868" s="316"/>
      <c r="AK1868" s="316"/>
      <c r="AL1868" s="316"/>
      <c r="AM1868" s="416"/>
      <c r="AR1868" s="333"/>
      <c r="AS1868" s="333"/>
      <c r="AT1868" s="333"/>
      <c r="AU1868" s="333"/>
      <c r="AV1868" s="333"/>
    </row>
    <row r="1869" spans="2:48" s="330" customFormat="1" ht="28.15" customHeight="1" x14ac:dyDescent="0.25">
      <c r="B1869" s="331"/>
      <c r="C1869" s="332"/>
      <c r="D1869" s="332"/>
      <c r="E1869" s="333"/>
      <c r="F1869" s="333"/>
      <c r="R1869" s="316"/>
      <c r="S1869" s="404"/>
      <c r="T1869" s="404"/>
      <c r="U1869" s="404"/>
      <c r="V1869" s="404"/>
      <c r="W1869" s="316"/>
      <c r="X1869" s="316"/>
      <c r="Y1869" s="316"/>
      <c r="Z1869" s="316"/>
      <c r="AA1869" s="404"/>
      <c r="AB1869" s="404"/>
      <c r="AC1869" s="404"/>
      <c r="AD1869" s="404"/>
      <c r="AE1869" s="316"/>
      <c r="AF1869" s="316"/>
      <c r="AG1869" s="404"/>
      <c r="AH1869" s="316"/>
      <c r="AI1869" s="316"/>
      <c r="AJ1869" s="316"/>
      <c r="AK1869" s="316"/>
      <c r="AL1869" s="316"/>
      <c r="AM1869" s="416"/>
      <c r="AR1869" s="333"/>
      <c r="AS1869" s="333"/>
      <c r="AT1869" s="333"/>
      <c r="AU1869" s="333"/>
      <c r="AV1869" s="333"/>
    </row>
    <row r="1870" spans="2:48" s="330" customFormat="1" ht="28.15" customHeight="1" x14ac:dyDescent="0.25">
      <c r="B1870" s="331"/>
      <c r="C1870" s="332"/>
      <c r="D1870" s="332"/>
      <c r="E1870" s="333"/>
      <c r="F1870" s="333"/>
      <c r="R1870" s="316"/>
      <c r="S1870" s="404"/>
      <c r="T1870" s="404"/>
      <c r="U1870" s="404"/>
      <c r="V1870" s="404"/>
      <c r="W1870" s="316"/>
      <c r="X1870" s="316"/>
      <c r="Y1870" s="316"/>
      <c r="Z1870" s="316"/>
      <c r="AA1870" s="404"/>
      <c r="AB1870" s="404"/>
      <c r="AC1870" s="404"/>
      <c r="AD1870" s="404"/>
      <c r="AE1870" s="316"/>
      <c r="AF1870" s="316"/>
      <c r="AG1870" s="404"/>
      <c r="AH1870" s="316"/>
      <c r="AI1870" s="316"/>
      <c r="AJ1870" s="316"/>
      <c r="AK1870" s="316"/>
      <c r="AL1870" s="316"/>
      <c r="AM1870" s="416"/>
      <c r="AR1870" s="333"/>
      <c r="AS1870" s="333"/>
      <c r="AT1870" s="333"/>
      <c r="AU1870" s="333"/>
      <c r="AV1870" s="333"/>
    </row>
    <row r="1871" spans="2:48" s="330" customFormat="1" ht="28.15" customHeight="1" x14ac:dyDescent="0.25">
      <c r="B1871" s="331"/>
      <c r="C1871" s="332"/>
      <c r="D1871" s="332"/>
      <c r="E1871" s="333"/>
      <c r="F1871" s="333"/>
      <c r="R1871" s="316"/>
      <c r="S1871" s="404"/>
      <c r="T1871" s="404"/>
      <c r="U1871" s="404"/>
      <c r="V1871" s="404"/>
      <c r="W1871" s="316"/>
      <c r="X1871" s="316"/>
      <c r="Y1871" s="316"/>
      <c r="Z1871" s="316"/>
      <c r="AA1871" s="404"/>
      <c r="AB1871" s="404"/>
      <c r="AC1871" s="404"/>
      <c r="AD1871" s="404"/>
      <c r="AE1871" s="316"/>
      <c r="AF1871" s="316"/>
      <c r="AG1871" s="404"/>
      <c r="AH1871" s="316"/>
      <c r="AI1871" s="316"/>
      <c r="AJ1871" s="316"/>
      <c r="AK1871" s="316"/>
      <c r="AL1871" s="316"/>
      <c r="AM1871" s="416"/>
      <c r="AR1871" s="333"/>
      <c r="AS1871" s="333"/>
      <c r="AT1871" s="333"/>
      <c r="AU1871" s="333"/>
      <c r="AV1871" s="333"/>
    </row>
    <row r="1872" spans="2:48" s="330" customFormat="1" ht="28.15" customHeight="1" x14ac:dyDescent="0.25">
      <c r="B1872" s="331"/>
      <c r="C1872" s="332"/>
      <c r="D1872" s="332"/>
      <c r="E1872" s="333"/>
      <c r="F1872" s="333"/>
      <c r="R1872" s="316"/>
      <c r="S1872" s="404"/>
      <c r="T1872" s="404"/>
      <c r="U1872" s="404"/>
      <c r="V1872" s="404"/>
      <c r="W1872" s="316"/>
      <c r="X1872" s="316"/>
      <c r="Y1872" s="316"/>
      <c r="Z1872" s="316"/>
      <c r="AA1872" s="404"/>
      <c r="AB1872" s="404"/>
      <c r="AC1872" s="404"/>
      <c r="AD1872" s="404"/>
      <c r="AE1872" s="316"/>
      <c r="AF1872" s="316"/>
      <c r="AG1872" s="404"/>
      <c r="AH1872" s="316"/>
      <c r="AI1872" s="316"/>
      <c r="AJ1872" s="316"/>
      <c r="AK1872" s="316"/>
      <c r="AL1872" s="316"/>
      <c r="AM1872" s="416"/>
      <c r="AR1872" s="333"/>
      <c r="AS1872" s="333"/>
      <c r="AT1872" s="333"/>
      <c r="AU1872" s="333"/>
      <c r="AV1872" s="333"/>
    </row>
    <row r="1873" spans="2:48" s="330" customFormat="1" ht="28.15" customHeight="1" x14ac:dyDescent="0.25">
      <c r="B1873" s="331"/>
      <c r="C1873" s="332"/>
      <c r="D1873" s="332"/>
      <c r="E1873" s="333"/>
      <c r="F1873" s="333"/>
      <c r="R1873" s="316"/>
      <c r="S1873" s="404"/>
      <c r="T1873" s="404"/>
      <c r="U1873" s="404"/>
      <c r="V1873" s="404"/>
      <c r="W1873" s="316"/>
      <c r="X1873" s="316"/>
      <c r="Y1873" s="316"/>
      <c r="Z1873" s="316"/>
      <c r="AA1873" s="404"/>
      <c r="AB1873" s="404"/>
      <c r="AC1873" s="404"/>
      <c r="AD1873" s="404"/>
      <c r="AE1873" s="316"/>
      <c r="AF1873" s="316"/>
      <c r="AG1873" s="404"/>
      <c r="AH1873" s="316"/>
      <c r="AI1873" s="316"/>
      <c r="AJ1873" s="316"/>
      <c r="AK1873" s="316"/>
      <c r="AL1873" s="316"/>
      <c r="AM1873" s="416"/>
      <c r="AR1873" s="333"/>
      <c r="AS1873" s="333"/>
      <c r="AT1873" s="333"/>
      <c r="AU1873" s="333"/>
      <c r="AV1873" s="333"/>
    </row>
    <row r="1874" spans="2:48" s="330" customFormat="1" ht="28.15" customHeight="1" x14ac:dyDescent="0.25">
      <c r="B1874" s="331"/>
      <c r="C1874" s="332"/>
      <c r="D1874" s="332"/>
      <c r="E1874" s="333"/>
      <c r="F1874" s="333"/>
      <c r="R1874" s="316"/>
      <c r="S1874" s="404"/>
      <c r="T1874" s="404"/>
      <c r="U1874" s="404"/>
      <c r="V1874" s="404"/>
      <c r="W1874" s="316"/>
      <c r="X1874" s="316"/>
      <c r="Y1874" s="316"/>
      <c r="Z1874" s="316"/>
      <c r="AA1874" s="404"/>
      <c r="AB1874" s="404"/>
      <c r="AC1874" s="404"/>
      <c r="AD1874" s="404"/>
      <c r="AE1874" s="316"/>
      <c r="AF1874" s="316"/>
      <c r="AG1874" s="404"/>
      <c r="AH1874" s="316"/>
      <c r="AI1874" s="316"/>
      <c r="AJ1874" s="316"/>
      <c r="AK1874" s="316"/>
      <c r="AL1874" s="316"/>
      <c r="AM1874" s="416"/>
      <c r="AR1874" s="333"/>
      <c r="AS1874" s="333"/>
      <c r="AT1874" s="333"/>
      <c r="AU1874" s="333"/>
      <c r="AV1874" s="333"/>
    </row>
    <row r="1875" spans="2:48" s="330" customFormat="1" ht="28.15" customHeight="1" x14ac:dyDescent="0.25">
      <c r="B1875" s="331"/>
      <c r="C1875" s="332"/>
      <c r="D1875" s="332"/>
      <c r="E1875" s="333"/>
      <c r="F1875" s="333"/>
      <c r="R1875" s="316"/>
      <c r="S1875" s="404"/>
      <c r="T1875" s="404"/>
      <c r="U1875" s="404"/>
      <c r="V1875" s="404"/>
      <c r="W1875" s="316"/>
      <c r="X1875" s="316"/>
      <c r="Y1875" s="316"/>
      <c r="Z1875" s="316"/>
      <c r="AA1875" s="404"/>
      <c r="AB1875" s="404"/>
      <c r="AC1875" s="404"/>
      <c r="AD1875" s="404"/>
      <c r="AE1875" s="316"/>
      <c r="AF1875" s="316"/>
      <c r="AG1875" s="404"/>
      <c r="AH1875" s="316"/>
      <c r="AI1875" s="316"/>
      <c r="AJ1875" s="316"/>
      <c r="AK1875" s="316"/>
      <c r="AL1875" s="316"/>
      <c r="AM1875" s="416"/>
      <c r="AR1875" s="333"/>
      <c r="AS1875" s="333"/>
      <c r="AT1875" s="333"/>
      <c r="AU1875" s="333"/>
      <c r="AV1875" s="333"/>
    </row>
    <row r="1876" spans="2:48" s="330" customFormat="1" ht="28.15" customHeight="1" x14ac:dyDescent="0.25">
      <c r="B1876" s="331"/>
      <c r="C1876" s="332"/>
      <c r="D1876" s="332"/>
      <c r="E1876" s="333"/>
      <c r="F1876" s="333"/>
      <c r="R1876" s="316"/>
      <c r="S1876" s="404"/>
      <c r="T1876" s="404"/>
      <c r="U1876" s="404"/>
      <c r="V1876" s="404"/>
      <c r="W1876" s="316"/>
      <c r="X1876" s="316"/>
      <c r="Y1876" s="316"/>
      <c r="Z1876" s="316"/>
      <c r="AA1876" s="404"/>
      <c r="AB1876" s="404"/>
      <c r="AC1876" s="404"/>
      <c r="AD1876" s="404"/>
      <c r="AE1876" s="316"/>
      <c r="AF1876" s="316"/>
      <c r="AG1876" s="404"/>
      <c r="AH1876" s="316"/>
      <c r="AI1876" s="316"/>
      <c r="AJ1876" s="316"/>
      <c r="AK1876" s="316"/>
      <c r="AL1876" s="316"/>
      <c r="AM1876" s="416"/>
      <c r="AR1876" s="333"/>
      <c r="AS1876" s="333"/>
      <c r="AT1876" s="333"/>
      <c r="AU1876" s="333"/>
      <c r="AV1876" s="333"/>
    </row>
    <row r="1877" spans="2:48" s="330" customFormat="1" ht="28.15" customHeight="1" x14ac:dyDescent="0.25">
      <c r="B1877" s="331"/>
      <c r="C1877" s="332"/>
      <c r="D1877" s="332"/>
      <c r="E1877" s="333"/>
      <c r="F1877" s="333"/>
      <c r="R1877" s="316"/>
      <c r="S1877" s="404"/>
      <c r="T1877" s="404"/>
      <c r="U1877" s="404"/>
      <c r="V1877" s="404"/>
      <c r="W1877" s="316"/>
      <c r="X1877" s="316"/>
      <c r="Y1877" s="316"/>
      <c r="Z1877" s="316"/>
      <c r="AA1877" s="404"/>
      <c r="AB1877" s="404"/>
      <c r="AC1877" s="404"/>
      <c r="AD1877" s="404"/>
      <c r="AE1877" s="316"/>
      <c r="AF1877" s="316"/>
      <c r="AG1877" s="404"/>
      <c r="AH1877" s="316"/>
      <c r="AI1877" s="316"/>
      <c r="AJ1877" s="316"/>
      <c r="AK1877" s="316"/>
      <c r="AL1877" s="316"/>
      <c r="AM1877" s="416"/>
      <c r="AR1877" s="333"/>
      <c r="AS1877" s="333"/>
      <c r="AT1877" s="333"/>
      <c r="AU1877" s="333"/>
      <c r="AV1877" s="333"/>
    </row>
    <row r="1878" spans="2:48" s="330" customFormat="1" ht="28.15" customHeight="1" x14ac:dyDescent="0.25">
      <c r="B1878" s="331"/>
      <c r="C1878" s="332"/>
      <c r="D1878" s="332"/>
      <c r="E1878" s="333"/>
      <c r="F1878" s="333"/>
      <c r="R1878" s="316"/>
      <c r="S1878" s="404"/>
      <c r="T1878" s="404"/>
      <c r="U1878" s="404"/>
      <c r="V1878" s="404"/>
      <c r="W1878" s="316"/>
      <c r="X1878" s="316"/>
      <c r="Y1878" s="316"/>
      <c r="Z1878" s="316"/>
      <c r="AA1878" s="404"/>
      <c r="AB1878" s="404"/>
      <c r="AC1878" s="404"/>
      <c r="AD1878" s="404"/>
      <c r="AE1878" s="316"/>
      <c r="AF1878" s="316"/>
      <c r="AG1878" s="404"/>
      <c r="AH1878" s="316"/>
      <c r="AI1878" s="316"/>
      <c r="AJ1878" s="316"/>
      <c r="AK1878" s="316"/>
      <c r="AL1878" s="316"/>
      <c r="AM1878" s="416"/>
      <c r="AR1878" s="333"/>
      <c r="AS1878" s="333"/>
      <c r="AT1878" s="333"/>
      <c r="AU1878" s="333"/>
      <c r="AV1878" s="333"/>
    </row>
    <row r="1879" spans="2:48" s="330" customFormat="1" ht="28.15" customHeight="1" x14ac:dyDescent="0.25">
      <c r="B1879" s="331"/>
      <c r="C1879" s="332"/>
      <c r="D1879" s="332"/>
      <c r="E1879" s="333"/>
      <c r="F1879" s="333"/>
      <c r="R1879" s="316"/>
      <c r="S1879" s="404"/>
      <c r="T1879" s="404"/>
      <c r="U1879" s="404"/>
      <c r="V1879" s="404"/>
      <c r="W1879" s="316"/>
      <c r="X1879" s="316"/>
      <c r="Y1879" s="316"/>
      <c r="Z1879" s="316"/>
      <c r="AA1879" s="404"/>
      <c r="AB1879" s="404"/>
      <c r="AC1879" s="404"/>
      <c r="AD1879" s="404"/>
      <c r="AE1879" s="316"/>
      <c r="AF1879" s="316"/>
      <c r="AG1879" s="404"/>
      <c r="AH1879" s="316"/>
      <c r="AI1879" s="316"/>
      <c r="AJ1879" s="316"/>
      <c r="AK1879" s="316"/>
      <c r="AL1879" s="316"/>
      <c r="AM1879" s="416"/>
      <c r="AR1879" s="333"/>
      <c r="AS1879" s="333"/>
      <c r="AT1879" s="333"/>
      <c r="AU1879" s="333"/>
      <c r="AV1879" s="333"/>
    </row>
    <row r="1880" spans="2:48" s="330" customFormat="1" ht="28.15" customHeight="1" x14ac:dyDescent="0.25">
      <c r="B1880" s="331"/>
      <c r="C1880" s="332"/>
      <c r="D1880" s="332"/>
      <c r="E1880" s="333"/>
      <c r="F1880" s="333"/>
      <c r="R1880" s="316"/>
      <c r="S1880" s="404"/>
      <c r="T1880" s="404"/>
      <c r="U1880" s="404"/>
      <c r="V1880" s="404"/>
      <c r="W1880" s="316"/>
      <c r="X1880" s="316"/>
      <c r="Y1880" s="316"/>
      <c r="Z1880" s="316"/>
      <c r="AA1880" s="404"/>
      <c r="AB1880" s="404"/>
      <c r="AC1880" s="404"/>
      <c r="AD1880" s="404"/>
      <c r="AE1880" s="316"/>
      <c r="AF1880" s="316"/>
      <c r="AG1880" s="404"/>
      <c r="AH1880" s="316"/>
      <c r="AI1880" s="316"/>
      <c r="AJ1880" s="316"/>
      <c r="AK1880" s="316"/>
      <c r="AL1880" s="316"/>
      <c r="AM1880" s="416"/>
      <c r="AR1880" s="333"/>
      <c r="AS1880" s="333"/>
      <c r="AT1880" s="333"/>
      <c r="AU1880" s="333"/>
      <c r="AV1880" s="333"/>
    </row>
    <row r="1881" spans="2:48" s="330" customFormat="1" ht="28.15" customHeight="1" x14ac:dyDescent="0.25">
      <c r="B1881" s="331"/>
      <c r="C1881" s="332"/>
      <c r="D1881" s="332"/>
      <c r="E1881" s="333"/>
      <c r="F1881" s="333"/>
      <c r="R1881" s="316"/>
      <c r="S1881" s="404"/>
      <c r="T1881" s="404"/>
      <c r="U1881" s="404"/>
      <c r="V1881" s="404"/>
      <c r="W1881" s="316"/>
      <c r="X1881" s="316"/>
      <c r="Y1881" s="316"/>
      <c r="Z1881" s="316"/>
      <c r="AA1881" s="404"/>
      <c r="AB1881" s="404"/>
      <c r="AC1881" s="404"/>
      <c r="AD1881" s="404"/>
      <c r="AE1881" s="316"/>
      <c r="AF1881" s="316"/>
      <c r="AG1881" s="404"/>
      <c r="AH1881" s="316"/>
      <c r="AI1881" s="316"/>
      <c r="AJ1881" s="316"/>
      <c r="AK1881" s="316"/>
      <c r="AL1881" s="316"/>
      <c r="AM1881" s="416"/>
      <c r="AR1881" s="333"/>
      <c r="AS1881" s="333"/>
      <c r="AT1881" s="333"/>
      <c r="AU1881" s="333"/>
      <c r="AV1881" s="333"/>
    </row>
    <row r="1882" spans="2:48" s="330" customFormat="1" ht="28.15" customHeight="1" x14ac:dyDescent="0.25">
      <c r="B1882" s="331"/>
      <c r="C1882" s="332"/>
      <c r="D1882" s="332"/>
      <c r="E1882" s="333"/>
      <c r="F1882" s="333"/>
      <c r="R1882" s="316"/>
      <c r="S1882" s="404"/>
      <c r="T1882" s="404"/>
      <c r="U1882" s="404"/>
      <c r="V1882" s="404"/>
      <c r="W1882" s="316"/>
      <c r="X1882" s="316"/>
      <c r="Y1882" s="316"/>
      <c r="Z1882" s="316"/>
      <c r="AA1882" s="404"/>
      <c r="AB1882" s="404"/>
      <c r="AC1882" s="404"/>
      <c r="AD1882" s="404"/>
      <c r="AE1882" s="316"/>
      <c r="AF1882" s="316"/>
      <c r="AG1882" s="404"/>
      <c r="AH1882" s="316"/>
      <c r="AI1882" s="316"/>
      <c r="AJ1882" s="316"/>
      <c r="AK1882" s="316"/>
      <c r="AL1882" s="316"/>
      <c r="AM1882" s="416"/>
      <c r="AR1882" s="333"/>
      <c r="AS1882" s="333"/>
      <c r="AT1882" s="333"/>
      <c r="AU1882" s="333"/>
      <c r="AV1882" s="333"/>
    </row>
    <row r="1883" spans="2:48" s="330" customFormat="1" ht="28.15" customHeight="1" x14ac:dyDescent="0.25">
      <c r="B1883" s="331"/>
      <c r="C1883" s="332"/>
      <c r="D1883" s="332"/>
      <c r="E1883" s="333"/>
      <c r="F1883" s="333"/>
      <c r="R1883" s="316"/>
      <c r="S1883" s="404"/>
      <c r="T1883" s="404"/>
      <c r="U1883" s="404"/>
      <c r="V1883" s="404"/>
      <c r="W1883" s="316"/>
      <c r="X1883" s="316"/>
      <c r="Y1883" s="316"/>
      <c r="Z1883" s="316"/>
      <c r="AA1883" s="404"/>
      <c r="AB1883" s="404"/>
      <c r="AC1883" s="404"/>
      <c r="AD1883" s="404"/>
      <c r="AE1883" s="316"/>
      <c r="AF1883" s="316"/>
      <c r="AG1883" s="404"/>
      <c r="AH1883" s="316"/>
      <c r="AI1883" s="316"/>
      <c r="AJ1883" s="316"/>
      <c r="AK1883" s="316"/>
      <c r="AL1883" s="316"/>
      <c r="AM1883" s="416"/>
      <c r="AR1883" s="333"/>
      <c r="AS1883" s="333"/>
      <c r="AT1883" s="333"/>
      <c r="AU1883" s="333"/>
      <c r="AV1883" s="333"/>
    </row>
    <row r="1884" spans="2:48" s="330" customFormat="1" ht="28.15" customHeight="1" x14ac:dyDescent="0.25">
      <c r="B1884" s="331"/>
      <c r="C1884" s="332"/>
      <c r="D1884" s="332"/>
      <c r="E1884" s="333"/>
      <c r="F1884" s="333"/>
      <c r="R1884" s="316"/>
      <c r="S1884" s="404"/>
      <c r="T1884" s="404"/>
      <c r="U1884" s="404"/>
      <c r="V1884" s="404"/>
      <c r="W1884" s="316"/>
      <c r="X1884" s="316"/>
      <c r="Y1884" s="316"/>
      <c r="Z1884" s="316"/>
      <c r="AA1884" s="404"/>
      <c r="AB1884" s="404"/>
      <c r="AC1884" s="404"/>
      <c r="AD1884" s="404"/>
      <c r="AE1884" s="316"/>
      <c r="AF1884" s="316"/>
      <c r="AG1884" s="404"/>
      <c r="AH1884" s="316"/>
      <c r="AI1884" s="316"/>
      <c r="AJ1884" s="316"/>
      <c r="AK1884" s="316"/>
      <c r="AL1884" s="316"/>
      <c r="AM1884" s="416"/>
      <c r="AR1884" s="333"/>
      <c r="AS1884" s="333"/>
      <c r="AT1884" s="333"/>
      <c r="AU1884" s="333"/>
      <c r="AV1884" s="333"/>
    </row>
    <row r="1885" spans="2:48" s="330" customFormat="1" ht="28.15" customHeight="1" x14ac:dyDescent="0.25">
      <c r="B1885" s="331"/>
      <c r="C1885" s="332"/>
      <c r="D1885" s="332"/>
      <c r="E1885" s="333"/>
      <c r="F1885" s="333"/>
      <c r="R1885" s="316"/>
      <c r="S1885" s="404"/>
      <c r="T1885" s="404"/>
      <c r="U1885" s="404"/>
      <c r="V1885" s="404"/>
      <c r="W1885" s="316"/>
      <c r="X1885" s="316"/>
      <c r="Y1885" s="316"/>
      <c r="Z1885" s="316"/>
      <c r="AA1885" s="404"/>
      <c r="AB1885" s="404"/>
      <c r="AC1885" s="404"/>
      <c r="AD1885" s="404"/>
      <c r="AE1885" s="316"/>
      <c r="AF1885" s="316"/>
      <c r="AG1885" s="404"/>
      <c r="AH1885" s="316"/>
      <c r="AI1885" s="316"/>
      <c r="AJ1885" s="316"/>
      <c r="AK1885" s="316"/>
      <c r="AL1885" s="316"/>
      <c r="AM1885" s="416"/>
      <c r="AR1885" s="333"/>
      <c r="AS1885" s="333"/>
      <c r="AT1885" s="333"/>
      <c r="AU1885" s="333"/>
      <c r="AV1885" s="333"/>
    </row>
    <row r="1886" spans="2:48" s="330" customFormat="1" ht="28.15" customHeight="1" x14ac:dyDescent="0.25">
      <c r="B1886" s="331"/>
      <c r="C1886" s="332"/>
      <c r="D1886" s="332"/>
      <c r="E1886" s="333"/>
      <c r="F1886" s="333"/>
      <c r="R1886" s="316"/>
      <c r="S1886" s="404"/>
      <c r="T1886" s="404"/>
      <c r="U1886" s="404"/>
      <c r="V1886" s="404"/>
      <c r="W1886" s="316"/>
      <c r="X1886" s="316"/>
      <c r="Y1886" s="316"/>
      <c r="Z1886" s="316"/>
      <c r="AA1886" s="404"/>
      <c r="AB1886" s="404"/>
      <c r="AC1886" s="404"/>
      <c r="AD1886" s="404"/>
      <c r="AE1886" s="316"/>
      <c r="AF1886" s="316"/>
      <c r="AG1886" s="404"/>
      <c r="AH1886" s="316"/>
      <c r="AI1886" s="316"/>
      <c r="AJ1886" s="316"/>
      <c r="AK1886" s="316"/>
      <c r="AL1886" s="316"/>
      <c r="AM1886" s="416"/>
      <c r="AR1886" s="333"/>
      <c r="AS1886" s="333"/>
      <c r="AT1886" s="333"/>
      <c r="AU1886" s="333"/>
      <c r="AV1886" s="333"/>
    </row>
    <row r="1887" spans="2:48" s="330" customFormat="1" ht="28.15" customHeight="1" x14ac:dyDescent="0.25">
      <c r="B1887" s="331"/>
      <c r="C1887" s="332"/>
      <c r="D1887" s="332"/>
      <c r="E1887" s="333"/>
      <c r="F1887" s="333"/>
      <c r="R1887" s="316"/>
      <c r="S1887" s="404"/>
      <c r="T1887" s="404"/>
      <c r="U1887" s="404"/>
      <c r="V1887" s="404"/>
      <c r="W1887" s="316"/>
      <c r="X1887" s="316"/>
      <c r="Y1887" s="316"/>
      <c r="Z1887" s="316"/>
      <c r="AA1887" s="404"/>
      <c r="AB1887" s="404"/>
      <c r="AC1887" s="404"/>
      <c r="AD1887" s="404"/>
      <c r="AE1887" s="316"/>
      <c r="AF1887" s="316"/>
      <c r="AG1887" s="404"/>
      <c r="AH1887" s="316"/>
      <c r="AI1887" s="316"/>
      <c r="AJ1887" s="316"/>
      <c r="AK1887" s="316"/>
      <c r="AL1887" s="316"/>
      <c r="AM1887" s="416"/>
      <c r="AR1887" s="333"/>
      <c r="AS1887" s="333"/>
      <c r="AT1887" s="333"/>
      <c r="AU1887" s="333"/>
      <c r="AV1887" s="333"/>
    </row>
    <row r="1888" spans="2:48" s="330" customFormat="1" ht="28.15" customHeight="1" x14ac:dyDescent="0.25">
      <c r="B1888" s="331"/>
      <c r="C1888" s="332"/>
      <c r="D1888" s="332"/>
      <c r="E1888" s="333"/>
      <c r="F1888" s="333"/>
      <c r="R1888" s="316"/>
      <c r="S1888" s="404"/>
      <c r="T1888" s="404"/>
      <c r="U1888" s="404"/>
      <c r="V1888" s="404"/>
      <c r="W1888" s="316"/>
      <c r="X1888" s="316"/>
      <c r="Y1888" s="316"/>
      <c r="Z1888" s="316"/>
      <c r="AA1888" s="404"/>
      <c r="AB1888" s="404"/>
      <c r="AC1888" s="404"/>
      <c r="AD1888" s="404"/>
      <c r="AE1888" s="316"/>
      <c r="AF1888" s="316"/>
      <c r="AG1888" s="404"/>
      <c r="AH1888" s="316"/>
      <c r="AI1888" s="316"/>
      <c r="AJ1888" s="316"/>
      <c r="AK1888" s="316"/>
      <c r="AL1888" s="316"/>
      <c r="AM1888" s="416"/>
      <c r="AR1888" s="333"/>
      <c r="AS1888" s="333"/>
      <c r="AT1888" s="333"/>
      <c r="AU1888" s="333"/>
      <c r="AV1888" s="333"/>
    </row>
    <row r="1889" spans="2:48" s="330" customFormat="1" ht="28.15" customHeight="1" x14ac:dyDescent="0.25">
      <c r="B1889" s="331"/>
      <c r="C1889" s="332"/>
      <c r="D1889" s="332"/>
      <c r="E1889" s="333"/>
      <c r="F1889" s="333"/>
      <c r="R1889" s="316"/>
      <c r="S1889" s="404"/>
      <c r="T1889" s="404"/>
      <c r="U1889" s="404"/>
      <c r="V1889" s="404"/>
      <c r="W1889" s="316"/>
      <c r="X1889" s="316"/>
      <c r="Y1889" s="316"/>
      <c r="Z1889" s="316"/>
      <c r="AA1889" s="404"/>
      <c r="AB1889" s="404"/>
      <c r="AC1889" s="404"/>
      <c r="AD1889" s="404"/>
      <c r="AE1889" s="316"/>
      <c r="AF1889" s="316"/>
      <c r="AG1889" s="404"/>
      <c r="AH1889" s="316"/>
      <c r="AI1889" s="316"/>
      <c r="AJ1889" s="316"/>
      <c r="AK1889" s="316"/>
      <c r="AL1889" s="316"/>
      <c r="AM1889" s="416"/>
      <c r="AR1889" s="333"/>
      <c r="AS1889" s="333"/>
      <c r="AT1889" s="333"/>
      <c r="AU1889" s="333"/>
      <c r="AV1889" s="333"/>
    </row>
    <row r="1890" spans="2:48" s="330" customFormat="1" ht="28.15" customHeight="1" x14ac:dyDescent="0.25">
      <c r="B1890" s="331"/>
      <c r="C1890" s="332"/>
      <c r="D1890" s="332"/>
      <c r="E1890" s="333"/>
      <c r="F1890" s="333"/>
      <c r="R1890" s="316"/>
      <c r="S1890" s="404"/>
      <c r="T1890" s="404"/>
      <c r="U1890" s="404"/>
      <c r="V1890" s="404"/>
      <c r="W1890" s="316"/>
      <c r="X1890" s="316"/>
      <c r="Y1890" s="316"/>
      <c r="Z1890" s="316"/>
      <c r="AA1890" s="404"/>
      <c r="AB1890" s="404"/>
      <c r="AC1890" s="404"/>
      <c r="AD1890" s="404"/>
      <c r="AE1890" s="316"/>
      <c r="AF1890" s="316"/>
      <c r="AG1890" s="404"/>
      <c r="AH1890" s="316"/>
      <c r="AI1890" s="316"/>
      <c r="AJ1890" s="316"/>
      <c r="AK1890" s="316"/>
      <c r="AL1890" s="316"/>
      <c r="AM1890" s="416"/>
      <c r="AR1890" s="333"/>
      <c r="AS1890" s="333"/>
      <c r="AT1890" s="333"/>
      <c r="AU1890" s="333"/>
      <c r="AV1890" s="333"/>
    </row>
    <row r="1891" spans="2:48" s="330" customFormat="1" ht="28.15" customHeight="1" x14ac:dyDescent="0.25">
      <c r="B1891" s="331"/>
      <c r="C1891" s="332"/>
      <c r="D1891" s="332"/>
      <c r="E1891" s="333"/>
      <c r="F1891" s="333"/>
      <c r="R1891" s="316"/>
      <c r="S1891" s="404"/>
      <c r="T1891" s="404"/>
      <c r="U1891" s="404"/>
      <c r="V1891" s="404"/>
      <c r="W1891" s="316"/>
      <c r="X1891" s="316"/>
      <c r="Y1891" s="316"/>
      <c r="Z1891" s="316"/>
      <c r="AA1891" s="404"/>
      <c r="AB1891" s="404"/>
      <c r="AC1891" s="404"/>
      <c r="AD1891" s="404"/>
      <c r="AE1891" s="316"/>
      <c r="AF1891" s="316"/>
      <c r="AG1891" s="404"/>
      <c r="AH1891" s="316"/>
      <c r="AI1891" s="316"/>
      <c r="AJ1891" s="316"/>
      <c r="AK1891" s="316"/>
      <c r="AL1891" s="316"/>
      <c r="AM1891" s="416"/>
      <c r="AR1891" s="333"/>
      <c r="AS1891" s="333"/>
      <c r="AT1891" s="333"/>
      <c r="AU1891" s="333"/>
      <c r="AV1891" s="333"/>
    </row>
    <row r="1892" spans="2:48" s="330" customFormat="1" ht="28.15" customHeight="1" x14ac:dyDescent="0.25">
      <c r="B1892" s="331"/>
      <c r="C1892" s="332"/>
      <c r="D1892" s="332"/>
      <c r="E1892" s="333"/>
      <c r="F1892" s="333"/>
      <c r="R1892" s="316"/>
      <c r="S1892" s="404"/>
      <c r="T1892" s="404"/>
      <c r="U1892" s="404"/>
      <c r="V1892" s="404"/>
      <c r="W1892" s="316"/>
      <c r="X1892" s="316"/>
      <c r="Y1892" s="316"/>
      <c r="Z1892" s="316"/>
      <c r="AA1892" s="404"/>
      <c r="AB1892" s="404"/>
      <c r="AC1892" s="404"/>
      <c r="AD1892" s="404"/>
      <c r="AE1892" s="316"/>
      <c r="AF1892" s="316"/>
      <c r="AG1892" s="404"/>
      <c r="AH1892" s="316"/>
      <c r="AI1892" s="316"/>
      <c r="AJ1892" s="316"/>
      <c r="AK1892" s="316"/>
      <c r="AL1892" s="316"/>
      <c r="AM1892" s="416"/>
      <c r="AR1892" s="333"/>
      <c r="AS1892" s="333"/>
      <c r="AT1892" s="333"/>
      <c r="AU1892" s="333"/>
      <c r="AV1892" s="333"/>
    </row>
    <row r="1893" spans="2:48" s="330" customFormat="1" ht="28.15" customHeight="1" x14ac:dyDescent="0.25">
      <c r="B1893" s="331"/>
      <c r="C1893" s="332"/>
      <c r="D1893" s="332"/>
      <c r="E1893" s="333"/>
      <c r="F1893" s="333"/>
      <c r="R1893" s="316"/>
      <c r="S1893" s="404"/>
      <c r="T1893" s="404"/>
      <c r="U1893" s="404"/>
      <c r="V1893" s="404"/>
      <c r="W1893" s="316"/>
      <c r="X1893" s="316"/>
      <c r="Y1893" s="316"/>
      <c r="Z1893" s="316"/>
      <c r="AA1893" s="404"/>
      <c r="AB1893" s="404"/>
      <c r="AC1893" s="404"/>
      <c r="AD1893" s="404"/>
      <c r="AE1893" s="316"/>
      <c r="AF1893" s="316"/>
      <c r="AG1893" s="404"/>
      <c r="AH1893" s="316"/>
      <c r="AI1893" s="316"/>
      <c r="AJ1893" s="316"/>
      <c r="AK1893" s="316"/>
      <c r="AL1893" s="316"/>
      <c r="AM1893" s="416"/>
      <c r="AR1893" s="333"/>
      <c r="AS1893" s="333"/>
      <c r="AT1893" s="333"/>
      <c r="AU1893" s="333"/>
      <c r="AV1893" s="333"/>
    </row>
    <row r="1894" spans="2:48" s="330" customFormat="1" ht="28.15" customHeight="1" x14ac:dyDescent="0.25">
      <c r="B1894" s="331"/>
      <c r="C1894" s="332"/>
      <c r="D1894" s="332"/>
      <c r="E1894" s="333"/>
      <c r="F1894" s="333"/>
      <c r="R1894" s="316"/>
      <c r="S1894" s="404"/>
      <c r="T1894" s="404"/>
      <c r="U1894" s="404"/>
      <c r="V1894" s="404"/>
      <c r="W1894" s="316"/>
      <c r="X1894" s="316"/>
      <c r="Y1894" s="316"/>
      <c r="Z1894" s="316"/>
      <c r="AA1894" s="404"/>
      <c r="AB1894" s="404"/>
      <c r="AC1894" s="404"/>
      <c r="AD1894" s="404"/>
      <c r="AE1894" s="316"/>
      <c r="AF1894" s="316"/>
      <c r="AG1894" s="404"/>
      <c r="AH1894" s="316"/>
      <c r="AI1894" s="316"/>
      <c r="AJ1894" s="316"/>
      <c r="AK1894" s="316"/>
      <c r="AL1894" s="316"/>
      <c r="AM1894" s="416"/>
      <c r="AR1894" s="333"/>
      <c r="AS1894" s="333"/>
      <c r="AT1894" s="333"/>
      <c r="AU1894" s="333"/>
      <c r="AV1894" s="333"/>
    </row>
    <row r="1895" spans="2:48" s="330" customFormat="1" ht="28.15" customHeight="1" x14ac:dyDescent="0.25">
      <c r="B1895" s="331"/>
      <c r="C1895" s="332"/>
      <c r="D1895" s="332"/>
      <c r="E1895" s="333"/>
      <c r="F1895" s="333"/>
      <c r="R1895" s="316"/>
      <c r="S1895" s="404"/>
      <c r="T1895" s="404"/>
      <c r="U1895" s="404"/>
      <c r="V1895" s="404"/>
      <c r="W1895" s="316"/>
      <c r="X1895" s="316"/>
      <c r="Y1895" s="316"/>
      <c r="Z1895" s="316"/>
      <c r="AA1895" s="404"/>
      <c r="AB1895" s="404"/>
      <c r="AC1895" s="404"/>
      <c r="AD1895" s="404"/>
      <c r="AE1895" s="316"/>
      <c r="AF1895" s="316"/>
      <c r="AG1895" s="404"/>
      <c r="AH1895" s="316"/>
      <c r="AI1895" s="316"/>
      <c r="AJ1895" s="316"/>
      <c r="AK1895" s="316"/>
      <c r="AL1895" s="316"/>
      <c r="AM1895" s="416"/>
      <c r="AR1895" s="333"/>
      <c r="AS1895" s="333"/>
      <c r="AT1895" s="333"/>
      <c r="AU1895" s="333"/>
      <c r="AV1895" s="333"/>
    </row>
    <row r="1896" spans="2:48" s="330" customFormat="1" ht="28.15" customHeight="1" x14ac:dyDescent="0.25">
      <c r="B1896" s="331"/>
      <c r="C1896" s="332"/>
      <c r="D1896" s="332"/>
      <c r="E1896" s="333"/>
      <c r="F1896" s="333"/>
      <c r="R1896" s="316"/>
      <c r="S1896" s="404"/>
      <c r="T1896" s="404"/>
      <c r="U1896" s="404"/>
      <c r="V1896" s="404"/>
      <c r="W1896" s="316"/>
      <c r="X1896" s="316"/>
      <c r="Y1896" s="316"/>
      <c r="Z1896" s="316"/>
      <c r="AA1896" s="404"/>
      <c r="AB1896" s="404"/>
      <c r="AC1896" s="404"/>
      <c r="AD1896" s="404"/>
      <c r="AE1896" s="316"/>
      <c r="AF1896" s="316"/>
      <c r="AG1896" s="404"/>
      <c r="AH1896" s="316"/>
      <c r="AI1896" s="316"/>
      <c r="AJ1896" s="316"/>
      <c r="AK1896" s="316"/>
      <c r="AL1896" s="316"/>
      <c r="AM1896" s="416"/>
      <c r="AR1896" s="333"/>
      <c r="AS1896" s="333"/>
      <c r="AT1896" s="333"/>
      <c r="AU1896" s="333"/>
      <c r="AV1896" s="333"/>
    </row>
    <row r="1897" spans="2:48" s="330" customFormat="1" ht="28.15" customHeight="1" x14ac:dyDescent="0.25">
      <c r="B1897" s="331"/>
      <c r="C1897" s="332"/>
      <c r="D1897" s="332"/>
      <c r="E1897" s="333"/>
      <c r="F1897" s="333"/>
      <c r="R1897" s="316"/>
      <c r="S1897" s="404"/>
      <c r="T1897" s="404"/>
      <c r="U1897" s="404"/>
      <c r="V1897" s="404"/>
      <c r="W1897" s="316"/>
      <c r="X1897" s="316"/>
      <c r="Y1897" s="316"/>
      <c r="Z1897" s="316"/>
      <c r="AA1897" s="404"/>
      <c r="AB1897" s="404"/>
      <c r="AC1897" s="404"/>
      <c r="AD1897" s="404"/>
      <c r="AE1897" s="316"/>
      <c r="AF1897" s="316"/>
      <c r="AG1897" s="404"/>
      <c r="AH1897" s="316"/>
      <c r="AI1897" s="316"/>
      <c r="AJ1897" s="316"/>
      <c r="AK1897" s="316"/>
      <c r="AL1897" s="316"/>
      <c r="AM1897" s="416"/>
      <c r="AR1897" s="333"/>
      <c r="AS1897" s="333"/>
      <c r="AT1897" s="333"/>
      <c r="AU1897" s="333"/>
      <c r="AV1897" s="333"/>
    </row>
    <row r="1898" spans="2:48" s="330" customFormat="1" ht="28.15" customHeight="1" x14ac:dyDescent="0.25">
      <c r="B1898" s="331"/>
      <c r="C1898" s="332"/>
      <c r="D1898" s="332"/>
      <c r="E1898" s="333"/>
      <c r="F1898" s="333"/>
      <c r="R1898" s="316"/>
      <c r="S1898" s="404"/>
      <c r="T1898" s="404"/>
      <c r="U1898" s="404"/>
      <c r="V1898" s="404"/>
      <c r="W1898" s="316"/>
      <c r="X1898" s="316"/>
      <c r="Y1898" s="316"/>
      <c r="Z1898" s="316"/>
      <c r="AA1898" s="404"/>
      <c r="AB1898" s="404"/>
      <c r="AC1898" s="404"/>
      <c r="AD1898" s="404"/>
      <c r="AE1898" s="316"/>
      <c r="AF1898" s="316"/>
      <c r="AG1898" s="404"/>
      <c r="AH1898" s="316"/>
      <c r="AI1898" s="316"/>
      <c r="AJ1898" s="316"/>
      <c r="AK1898" s="316"/>
      <c r="AL1898" s="316"/>
      <c r="AM1898" s="416"/>
      <c r="AR1898" s="333"/>
      <c r="AS1898" s="333"/>
      <c r="AT1898" s="333"/>
      <c r="AU1898" s="333"/>
      <c r="AV1898" s="333"/>
    </row>
    <row r="1899" spans="2:48" s="330" customFormat="1" ht="28.15" customHeight="1" x14ac:dyDescent="0.25">
      <c r="B1899" s="331"/>
      <c r="C1899" s="332"/>
      <c r="D1899" s="332"/>
      <c r="E1899" s="333"/>
      <c r="F1899" s="333"/>
      <c r="R1899" s="316"/>
      <c r="S1899" s="404"/>
      <c r="T1899" s="404"/>
      <c r="U1899" s="404"/>
      <c r="V1899" s="404"/>
      <c r="W1899" s="316"/>
      <c r="X1899" s="316"/>
      <c r="Y1899" s="316"/>
      <c r="Z1899" s="316"/>
      <c r="AA1899" s="404"/>
      <c r="AB1899" s="404"/>
      <c r="AC1899" s="404"/>
      <c r="AD1899" s="404"/>
      <c r="AE1899" s="316"/>
      <c r="AF1899" s="316"/>
      <c r="AG1899" s="404"/>
      <c r="AH1899" s="316"/>
      <c r="AI1899" s="316"/>
      <c r="AJ1899" s="316"/>
      <c r="AK1899" s="316"/>
      <c r="AL1899" s="316"/>
      <c r="AM1899" s="416"/>
      <c r="AR1899" s="333"/>
      <c r="AS1899" s="333"/>
      <c r="AT1899" s="333"/>
      <c r="AU1899" s="333"/>
      <c r="AV1899" s="333"/>
    </row>
    <row r="1900" spans="2:48" s="330" customFormat="1" ht="28.15" customHeight="1" x14ac:dyDescent="0.25">
      <c r="B1900" s="331"/>
      <c r="C1900" s="332"/>
      <c r="D1900" s="332"/>
      <c r="E1900" s="333"/>
      <c r="F1900" s="333"/>
      <c r="R1900" s="316"/>
      <c r="S1900" s="404"/>
      <c r="T1900" s="404"/>
      <c r="U1900" s="404"/>
      <c r="V1900" s="404"/>
      <c r="W1900" s="316"/>
      <c r="X1900" s="316"/>
      <c r="Y1900" s="316"/>
      <c r="Z1900" s="316"/>
      <c r="AA1900" s="404"/>
      <c r="AB1900" s="404"/>
      <c r="AC1900" s="404"/>
      <c r="AD1900" s="404"/>
      <c r="AE1900" s="316"/>
      <c r="AF1900" s="316"/>
      <c r="AG1900" s="404"/>
      <c r="AH1900" s="316"/>
      <c r="AI1900" s="316"/>
      <c r="AJ1900" s="316"/>
      <c r="AK1900" s="316"/>
      <c r="AL1900" s="316"/>
      <c r="AM1900" s="416"/>
      <c r="AR1900" s="333"/>
      <c r="AS1900" s="333"/>
      <c r="AT1900" s="333"/>
      <c r="AU1900" s="333"/>
      <c r="AV1900" s="333"/>
    </row>
    <row r="1901" spans="2:48" s="330" customFormat="1" ht="28.15" customHeight="1" x14ac:dyDescent="0.25">
      <c r="B1901" s="331"/>
      <c r="C1901" s="332"/>
      <c r="D1901" s="332"/>
      <c r="E1901" s="333"/>
      <c r="F1901" s="333"/>
      <c r="R1901" s="316"/>
      <c r="S1901" s="404"/>
      <c r="T1901" s="404"/>
      <c r="U1901" s="404"/>
      <c r="V1901" s="404"/>
      <c r="W1901" s="316"/>
      <c r="X1901" s="316"/>
      <c r="Y1901" s="316"/>
      <c r="Z1901" s="316"/>
      <c r="AA1901" s="404"/>
      <c r="AB1901" s="404"/>
      <c r="AC1901" s="404"/>
      <c r="AD1901" s="404"/>
      <c r="AE1901" s="316"/>
      <c r="AF1901" s="316"/>
      <c r="AG1901" s="404"/>
      <c r="AH1901" s="316"/>
      <c r="AI1901" s="316"/>
      <c r="AJ1901" s="316"/>
      <c r="AK1901" s="316"/>
      <c r="AL1901" s="316"/>
      <c r="AM1901" s="416"/>
      <c r="AR1901" s="333"/>
      <c r="AS1901" s="333"/>
      <c r="AT1901" s="333"/>
      <c r="AU1901" s="333"/>
      <c r="AV1901" s="333"/>
    </row>
    <row r="1902" spans="2:48" s="330" customFormat="1" ht="28.15" customHeight="1" x14ac:dyDescent="0.25">
      <c r="B1902" s="331"/>
      <c r="C1902" s="332"/>
      <c r="D1902" s="332"/>
      <c r="E1902" s="333"/>
      <c r="F1902" s="333"/>
      <c r="R1902" s="316"/>
      <c r="S1902" s="404"/>
      <c r="T1902" s="404"/>
      <c r="U1902" s="404"/>
      <c r="V1902" s="404"/>
      <c r="W1902" s="316"/>
      <c r="X1902" s="316"/>
      <c r="Y1902" s="316"/>
      <c r="Z1902" s="316"/>
      <c r="AA1902" s="404"/>
      <c r="AB1902" s="404"/>
      <c r="AC1902" s="404"/>
      <c r="AD1902" s="404"/>
      <c r="AE1902" s="316"/>
      <c r="AF1902" s="316"/>
      <c r="AG1902" s="404"/>
      <c r="AH1902" s="316"/>
      <c r="AI1902" s="316"/>
      <c r="AJ1902" s="316"/>
      <c r="AK1902" s="316"/>
      <c r="AL1902" s="316"/>
      <c r="AM1902" s="416"/>
      <c r="AR1902" s="333"/>
      <c r="AS1902" s="333"/>
      <c r="AT1902" s="333"/>
      <c r="AU1902" s="333"/>
      <c r="AV1902" s="333"/>
    </row>
    <row r="1903" spans="2:48" s="330" customFormat="1" ht="28.15" customHeight="1" x14ac:dyDescent="0.25">
      <c r="B1903" s="331"/>
      <c r="C1903" s="332"/>
      <c r="D1903" s="332"/>
      <c r="E1903" s="333"/>
      <c r="F1903" s="333"/>
      <c r="R1903" s="316"/>
      <c r="S1903" s="404"/>
      <c r="T1903" s="404"/>
      <c r="U1903" s="404"/>
      <c r="V1903" s="404"/>
      <c r="W1903" s="316"/>
      <c r="X1903" s="316"/>
      <c r="Y1903" s="316"/>
      <c r="Z1903" s="316"/>
      <c r="AA1903" s="404"/>
      <c r="AB1903" s="404"/>
      <c r="AC1903" s="404"/>
      <c r="AD1903" s="404"/>
      <c r="AE1903" s="316"/>
      <c r="AF1903" s="316"/>
      <c r="AG1903" s="404"/>
      <c r="AH1903" s="316"/>
      <c r="AI1903" s="316"/>
      <c r="AJ1903" s="316"/>
      <c r="AK1903" s="316"/>
      <c r="AL1903" s="316"/>
      <c r="AM1903" s="416"/>
      <c r="AR1903" s="333"/>
      <c r="AS1903" s="333"/>
      <c r="AT1903" s="333"/>
      <c r="AU1903" s="333"/>
      <c r="AV1903" s="333"/>
    </row>
    <row r="1904" spans="2:48" s="330" customFormat="1" ht="28.15" customHeight="1" x14ac:dyDescent="0.25">
      <c r="B1904" s="331"/>
      <c r="C1904" s="332"/>
      <c r="D1904" s="332"/>
      <c r="E1904" s="333"/>
      <c r="F1904" s="333"/>
      <c r="R1904" s="316"/>
      <c r="S1904" s="404"/>
      <c r="T1904" s="404"/>
      <c r="U1904" s="404"/>
      <c r="V1904" s="404"/>
      <c r="W1904" s="316"/>
      <c r="X1904" s="316"/>
      <c r="Y1904" s="316"/>
      <c r="Z1904" s="316"/>
      <c r="AA1904" s="404"/>
      <c r="AB1904" s="404"/>
      <c r="AC1904" s="404"/>
      <c r="AD1904" s="404"/>
      <c r="AE1904" s="316"/>
      <c r="AF1904" s="316"/>
      <c r="AG1904" s="404"/>
      <c r="AH1904" s="316"/>
      <c r="AI1904" s="316"/>
      <c r="AJ1904" s="316"/>
      <c r="AK1904" s="316"/>
      <c r="AL1904" s="316"/>
      <c r="AM1904" s="416"/>
      <c r="AR1904" s="333"/>
      <c r="AS1904" s="333"/>
      <c r="AT1904" s="333"/>
      <c r="AU1904" s="333"/>
      <c r="AV1904" s="333"/>
    </row>
    <row r="1905" spans="2:48" s="330" customFormat="1" ht="28.15" customHeight="1" x14ac:dyDescent="0.25">
      <c r="B1905" s="331"/>
      <c r="C1905" s="332"/>
      <c r="D1905" s="332"/>
      <c r="E1905" s="333"/>
      <c r="F1905" s="333"/>
      <c r="R1905" s="316"/>
      <c r="S1905" s="404"/>
      <c r="T1905" s="404"/>
      <c r="U1905" s="404"/>
      <c r="V1905" s="404"/>
      <c r="W1905" s="316"/>
      <c r="X1905" s="316"/>
      <c r="Y1905" s="316"/>
      <c r="Z1905" s="316"/>
      <c r="AA1905" s="404"/>
      <c r="AB1905" s="404"/>
      <c r="AC1905" s="404"/>
      <c r="AD1905" s="404"/>
      <c r="AE1905" s="316"/>
      <c r="AF1905" s="316"/>
      <c r="AG1905" s="404"/>
      <c r="AH1905" s="316"/>
      <c r="AI1905" s="316"/>
      <c r="AJ1905" s="316"/>
      <c r="AK1905" s="316"/>
      <c r="AL1905" s="316"/>
      <c r="AM1905" s="416"/>
      <c r="AR1905" s="333"/>
      <c r="AS1905" s="333"/>
      <c r="AT1905" s="333"/>
      <c r="AU1905" s="333"/>
      <c r="AV1905" s="333"/>
    </row>
    <row r="1906" spans="2:48" s="330" customFormat="1" ht="28.15" customHeight="1" x14ac:dyDescent="0.25">
      <c r="B1906" s="331"/>
      <c r="C1906" s="332"/>
      <c r="D1906" s="332"/>
      <c r="E1906" s="333"/>
      <c r="F1906" s="333"/>
      <c r="R1906" s="316"/>
      <c r="S1906" s="404"/>
      <c r="T1906" s="404"/>
      <c r="U1906" s="404"/>
      <c r="V1906" s="404"/>
      <c r="W1906" s="316"/>
      <c r="X1906" s="316"/>
      <c r="Y1906" s="316"/>
      <c r="Z1906" s="316"/>
      <c r="AA1906" s="404"/>
      <c r="AB1906" s="404"/>
      <c r="AC1906" s="404"/>
      <c r="AD1906" s="404"/>
      <c r="AE1906" s="316"/>
      <c r="AF1906" s="316"/>
      <c r="AG1906" s="404"/>
      <c r="AH1906" s="316"/>
      <c r="AI1906" s="316"/>
      <c r="AJ1906" s="316"/>
      <c r="AK1906" s="316"/>
      <c r="AL1906" s="316"/>
      <c r="AM1906" s="416"/>
      <c r="AR1906" s="333"/>
      <c r="AS1906" s="333"/>
      <c r="AT1906" s="333"/>
      <c r="AU1906" s="333"/>
      <c r="AV1906" s="333"/>
    </row>
    <row r="1907" spans="2:48" s="330" customFormat="1" ht="28.15" customHeight="1" x14ac:dyDescent="0.25">
      <c r="B1907" s="331"/>
      <c r="C1907" s="332"/>
      <c r="D1907" s="332"/>
      <c r="E1907" s="333"/>
      <c r="F1907" s="333"/>
      <c r="R1907" s="316"/>
      <c r="S1907" s="404"/>
      <c r="T1907" s="404"/>
      <c r="U1907" s="404"/>
      <c r="V1907" s="404"/>
      <c r="W1907" s="316"/>
      <c r="X1907" s="316"/>
      <c r="Y1907" s="316"/>
      <c r="Z1907" s="316"/>
      <c r="AA1907" s="404"/>
      <c r="AB1907" s="404"/>
      <c r="AC1907" s="404"/>
      <c r="AD1907" s="404"/>
      <c r="AE1907" s="316"/>
      <c r="AF1907" s="316"/>
      <c r="AG1907" s="404"/>
      <c r="AH1907" s="316"/>
      <c r="AI1907" s="316"/>
      <c r="AJ1907" s="316"/>
      <c r="AK1907" s="316"/>
      <c r="AL1907" s="316"/>
      <c r="AM1907" s="416"/>
      <c r="AR1907" s="333"/>
      <c r="AS1907" s="333"/>
      <c r="AT1907" s="333"/>
      <c r="AU1907" s="333"/>
      <c r="AV1907" s="333"/>
    </row>
    <row r="1908" spans="2:48" s="330" customFormat="1" ht="28.15" customHeight="1" x14ac:dyDescent="0.25">
      <c r="B1908" s="331"/>
      <c r="C1908" s="332"/>
      <c r="D1908" s="332"/>
      <c r="E1908" s="333"/>
      <c r="F1908" s="333"/>
      <c r="R1908" s="316"/>
      <c r="S1908" s="404"/>
      <c r="T1908" s="404"/>
      <c r="U1908" s="404"/>
      <c r="V1908" s="404"/>
      <c r="W1908" s="316"/>
      <c r="X1908" s="316"/>
      <c r="Y1908" s="316"/>
      <c r="Z1908" s="316"/>
      <c r="AA1908" s="404"/>
      <c r="AB1908" s="404"/>
      <c r="AC1908" s="404"/>
      <c r="AD1908" s="404"/>
      <c r="AE1908" s="316"/>
      <c r="AF1908" s="316"/>
      <c r="AG1908" s="404"/>
      <c r="AH1908" s="316"/>
      <c r="AI1908" s="316"/>
      <c r="AJ1908" s="316"/>
      <c r="AK1908" s="316"/>
      <c r="AL1908" s="316"/>
      <c r="AM1908" s="416"/>
      <c r="AR1908" s="333"/>
      <c r="AS1908" s="333"/>
      <c r="AT1908" s="333"/>
      <c r="AU1908" s="333"/>
      <c r="AV1908" s="333"/>
    </row>
    <row r="1909" spans="2:48" s="330" customFormat="1" ht="28.15" customHeight="1" x14ac:dyDescent="0.25">
      <c r="B1909" s="331"/>
      <c r="C1909" s="332"/>
      <c r="D1909" s="332"/>
      <c r="E1909" s="333"/>
      <c r="F1909" s="333"/>
      <c r="R1909" s="316"/>
      <c r="S1909" s="404"/>
      <c r="T1909" s="404"/>
      <c r="U1909" s="404"/>
      <c r="V1909" s="404"/>
      <c r="W1909" s="316"/>
      <c r="X1909" s="316"/>
      <c r="Y1909" s="316"/>
      <c r="Z1909" s="316"/>
      <c r="AA1909" s="404"/>
      <c r="AB1909" s="404"/>
      <c r="AC1909" s="404"/>
      <c r="AD1909" s="404"/>
      <c r="AE1909" s="316"/>
      <c r="AF1909" s="316"/>
      <c r="AG1909" s="404"/>
      <c r="AH1909" s="316"/>
      <c r="AI1909" s="316"/>
      <c r="AJ1909" s="316"/>
      <c r="AK1909" s="316"/>
      <c r="AL1909" s="316"/>
      <c r="AM1909" s="416"/>
      <c r="AR1909" s="333"/>
      <c r="AS1909" s="333"/>
      <c r="AT1909" s="333"/>
      <c r="AU1909" s="333"/>
      <c r="AV1909" s="333"/>
    </row>
    <row r="1910" spans="2:48" s="330" customFormat="1" ht="28.15" customHeight="1" x14ac:dyDescent="0.25">
      <c r="B1910" s="331"/>
      <c r="C1910" s="332"/>
      <c r="D1910" s="332"/>
      <c r="E1910" s="333"/>
      <c r="F1910" s="333"/>
      <c r="R1910" s="316"/>
      <c r="S1910" s="404"/>
      <c r="T1910" s="404"/>
      <c r="U1910" s="404"/>
      <c r="V1910" s="404"/>
      <c r="W1910" s="316"/>
      <c r="X1910" s="316"/>
      <c r="Y1910" s="316"/>
      <c r="Z1910" s="316"/>
      <c r="AA1910" s="404"/>
      <c r="AB1910" s="404"/>
      <c r="AC1910" s="404"/>
      <c r="AD1910" s="404"/>
      <c r="AE1910" s="316"/>
      <c r="AF1910" s="316"/>
      <c r="AG1910" s="404"/>
      <c r="AH1910" s="316"/>
      <c r="AI1910" s="316"/>
      <c r="AJ1910" s="316"/>
      <c r="AK1910" s="316"/>
      <c r="AL1910" s="316"/>
      <c r="AM1910" s="416"/>
      <c r="AR1910" s="333"/>
      <c r="AS1910" s="333"/>
      <c r="AT1910" s="333"/>
      <c r="AU1910" s="333"/>
      <c r="AV1910" s="333"/>
    </row>
    <row r="1911" spans="2:48" s="330" customFormat="1" ht="28.15" customHeight="1" x14ac:dyDescent="0.25">
      <c r="B1911" s="331"/>
      <c r="C1911" s="332"/>
      <c r="D1911" s="332"/>
      <c r="E1911" s="333"/>
      <c r="F1911" s="333"/>
      <c r="R1911" s="316"/>
      <c r="S1911" s="404"/>
      <c r="T1911" s="404"/>
      <c r="U1911" s="404"/>
      <c r="V1911" s="404"/>
      <c r="W1911" s="316"/>
      <c r="X1911" s="316"/>
      <c r="Y1911" s="316"/>
      <c r="Z1911" s="316"/>
      <c r="AA1911" s="404"/>
      <c r="AB1911" s="404"/>
      <c r="AC1911" s="404"/>
      <c r="AD1911" s="404"/>
      <c r="AE1911" s="316"/>
      <c r="AF1911" s="316"/>
      <c r="AG1911" s="404"/>
      <c r="AH1911" s="316"/>
      <c r="AI1911" s="316"/>
      <c r="AJ1911" s="316"/>
      <c r="AK1911" s="316"/>
      <c r="AL1911" s="316"/>
      <c r="AM1911" s="416"/>
      <c r="AR1911" s="333"/>
      <c r="AS1911" s="333"/>
      <c r="AT1911" s="333"/>
      <c r="AU1911" s="333"/>
      <c r="AV1911" s="333"/>
    </row>
    <row r="1912" spans="2:48" s="330" customFormat="1" ht="28.15" customHeight="1" x14ac:dyDescent="0.25">
      <c r="B1912" s="331"/>
      <c r="C1912" s="332"/>
      <c r="D1912" s="332"/>
      <c r="E1912" s="333"/>
      <c r="F1912" s="333"/>
      <c r="R1912" s="316"/>
      <c r="S1912" s="404"/>
      <c r="T1912" s="404"/>
      <c r="U1912" s="404"/>
      <c r="V1912" s="404"/>
      <c r="W1912" s="316"/>
      <c r="X1912" s="316"/>
      <c r="Y1912" s="316"/>
      <c r="Z1912" s="316"/>
      <c r="AA1912" s="404"/>
      <c r="AB1912" s="404"/>
      <c r="AC1912" s="404"/>
      <c r="AD1912" s="404"/>
      <c r="AE1912" s="316"/>
      <c r="AF1912" s="316"/>
      <c r="AG1912" s="404"/>
      <c r="AH1912" s="316"/>
      <c r="AI1912" s="316"/>
      <c r="AJ1912" s="316"/>
      <c r="AK1912" s="316"/>
      <c r="AL1912" s="316"/>
      <c r="AM1912" s="416"/>
      <c r="AR1912" s="333"/>
      <c r="AS1912" s="333"/>
      <c r="AT1912" s="333"/>
      <c r="AU1912" s="333"/>
      <c r="AV1912" s="333"/>
    </row>
    <row r="1913" spans="2:48" s="330" customFormat="1" ht="28.15" customHeight="1" x14ac:dyDescent="0.25">
      <c r="B1913" s="331"/>
      <c r="C1913" s="332"/>
      <c r="D1913" s="332"/>
      <c r="E1913" s="333"/>
      <c r="F1913" s="333"/>
      <c r="R1913" s="316"/>
      <c r="S1913" s="404"/>
      <c r="T1913" s="404"/>
      <c r="U1913" s="404"/>
      <c r="V1913" s="404"/>
      <c r="W1913" s="316"/>
      <c r="X1913" s="316"/>
      <c r="Y1913" s="316"/>
      <c r="Z1913" s="316"/>
      <c r="AA1913" s="404"/>
      <c r="AB1913" s="404"/>
      <c r="AC1913" s="404"/>
      <c r="AD1913" s="404"/>
      <c r="AE1913" s="316"/>
      <c r="AF1913" s="316"/>
      <c r="AG1913" s="404"/>
      <c r="AH1913" s="316"/>
      <c r="AI1913" s="316"/>
      <c r="AJ1913" s="316"/>
      <c r="AK1913" s="316"/>
      <c r="AL1913" s="316"/>
      <c r="AM1913" s="416"/>
      <c r="AR1913" s="333"/>
      <c r="AS1913" s="333"/>
      <c r="AT1913" s="333"/>
      <c r="AU1913" s="333"/>
      <c r="AV1913" s="333"/>
    </row>
    <row r="1914" spans="2:48" s="330" customFormat="1" ht="28.15" customHeight="1" x14ac:dyDescent="0.25">
      <c r="B1914" s="331"/>
      <c r="C1914" s="332"/>
      <c r="D1914" s="332"/>
      <c r="E1914" s="333"/>
      <c r="F1914" s="333"/>
      <c r="R1914" s="316"/>
      <c r="S1914" s="404"/>
      <c r="T1914" s="404"/>
      <c r="U1914" s="404"/>
      <c r="V1914" s="404"/>
      <c r="W1914" s="316"/>
      <c r="X1914" s="316"/>
      <c r="Y1914" s="316"/>
      <c r="Z1914" s="316"/>
      <c r="AA1914" s="404"/>
      <c r="AB1914" s="404"/>
      <c r="AC1914" s="404"/>
      <c r="AD1914" s="404"/>
      <c r="AE1914" s="316"/>
      <c r="AF1914" s="316"/>
      <c r="AG1914" s="404"/>
      <c r="AH1914" s="316"/>
      <c r="AI1914" s="316"/>
      <c r="AJ1914" s="316"/>
      <c r="AK1914" s="316"/>
      <c r="AL1914" s="316"/>
      <c r="AM1914" s="416"/>
      <c r="AR1914" s="333"/>
      <c r="AS1914" s="333"/>
      <c r="AT1914" s="333"/>
      <c r="AU1914" s="333"/>
      <c r="AV1914" s="333"/>
    </row>
    <row r="1915" spans="2:48" s="330" customFormat="1" ht="28.15" customHeight="1" x14ac:dyDescent="0.25">
      <c r="B1915" s="331"/>
      <c r="C1915" s="332"/>
      <c r="D1915" s="332"/>
      <c r="E1915" s="333"/>
      <c r="F1915" s="333"/>
      <c r="R1915" s="316"/>
      <c r="S1915" s="404"/>
      <c r="T1915" s="404"/>
      <c r="U1915" s="404"/>
      <c r="V1915" s="404"/>
      <c r="W1915" s="316"/>
      <c r="X1915" s="316"/>
      <c r="Y1915" s="316"/>
      <c r="Z1915" s="316"/>
      <c r="AA1915" s="404"/>
      <c r="AB1915" s="404"/>
      <c r="AC1915" s="404"/>
      <c r="AD1915" s="404"/>
      <c r="AE1915" s="316"/>
      <c r="AF1915" s="316"/>
      <c r="AG1915" s="404"/>
      <c r="AH1915" s="316"/>
      <c r="AI1915" s="316"/>
      <c r="AJ1915" s="316"/>
      <c r="AK1915" s="316"/>
      <c r="AL1915" s="316"/>
      <c r="AM1915" s="416"/>
      <c r="AR1915" s="333"/>
      <c r="AS1915" s="333"/>
      <c r="AT1915" s="333"/>
      <c r="AU1915" s="333"/>
      <c r="AV1915" s="333"/>
    </row>
    <row r="1916" spans="2:48" s="330" customFormat="1" ht="28.15" customHeight="1" x14ac:dyDescent="0.25">
      <c r="B1916" s="331"/>
      <c r="C1916" s="332"/>
      <c r="D1916" s="332"/>
      <c r="E1916" s="333"/>
      <c r="F1916" s="333"/>
      <c r="R1916" s="316"/>
      <c r="S1916" s="404"/>
      <c r="T1916" s="404"/>
      <c r="U1916" s="404"/>
      <c r="V1916" s="404"/>
      <c r="W1916" s="316"/>
      <c r="X1916" s="316"/>
      <c r="Y1916" s="316"/>
      <c r="Z1916" s="316"/>
      <c r="AA1916" s="404"/>
      <c r="AB1916" s="404"/>
      <c r="AC1916" s="404"/>
      <c r="AD1916" s="404"/>
      <c r="AE1916" s="316"/>
      <c r="AF1916" s="316"/>
      <c r="AG1916" s="404"/>
      <c r="AH1916" s="316"/>
      <c r="AI1916" s="316"/>
      <c r="AJ1916" s="316"/>
      <c r="AK1916" s="316"/>
      <c r="AL1916" s="316"/>
      <c r="AM1916" s="416"/>
      <c r="AR1916" s="333"/>
      <c r="AS1916" s="333"/>
      <c r="AT1916" s="333"/>
      <c r="AU1916" s="333"/>
      <c r="AV1916" s="333"/>
    </row>
    <row r="1917" spans="2:48" s="330" customFormat="1" ht="28.15" customHeight="1" x14ac:dyDescent="0.25">
      <c r="B1917" s="331"/>
      <c r="C1917" s="332"/>
      <c r="D1917" s="332"/>
      <c r="E1917" s="333"/>
      <c r="F1917" s="333"/>
      <c r="R1917" s="316"/>
      <c r="S1917" s="404"/>
      <c r="T1917" s="404"/>
      <c r="U1917" s="404"/>
      <c r="V1917" s="404"/>
      <c r="W1917" s="316"/>
      <c r="X1917" s="316"/>
      <c r="Y1917" s="316"/>
      <c r="Z1917" s="316"/>
      <c r="AA1917" s="404"/>
      <c r="AB1917" s="404"/>
      <c r="AC1917" s="404"/>
      <c r="AD1917" s="404"/>
      <c r="AE1917" s="316"/>
      <c r="AF1917" s="316"/>
      <c r="AG1917" s="404"/>
      <c r="AH1917" s="316"/>
      <c r="AI1917" s="316"/>
      <c r="AJ1917" s="316"/>
      <c r="AK1917" s="316"/>
      <c r="AL1917" s="316"/>
      <c r="AM1917" s="416"/>
      <c r="AR1917" s="333"/>
      <c r="AS1917" s="333"/>
      <c r="AT1917" s="333"/>
      <c r="AU1917" s="333"/>
      <c r="AV1917" s="333"/>
    </row>
    <row r="1918" spans="2:48" s="330" customFormat="1" ht="28.15" customHeight="1" x14ac:dyDescent="0.25">
      <c r="B1918" s="331"/>
      <c r="C1918" s="332"/>
      <c r="D1918" s="332"/>
      <c r="E1918" s="333"/>
      <c r="F1918" s="333"/>
      <c r="R1918" s="316"/>
      <c r="S1918" s="404"/>
      <c r="T1918" s="404"/>
      <c r="U1918" s="404"/>
      <c r="V1918" s="404"/>
      <c r="W1918" s="316"/>
      <c r="X1918" s="316"/>
      <c r="Y1918" s="316"/>
      <c r="Z1918" s="316"/>
      <c r="AA1918" s="404"/>
      <c r="AB1918" s="404"/>
      <c r="AC1918" s="404"/>
      <c r="AD1918" s="404"/>
      <c r="AE1918" s="316"/>
      <c r="AF1918" s="316"/>
      <c r="AG1918" s="404"/>
      <c r="AH1918" s="316"/>
      <c r="AI1918" s="316"/>
      <c r="AJ1918" s="316"/>
      <c r="AK1918" s="316"/>
      <c r="AL1918" s="316"/>
      <c r="AM1918" s="416"/>
      <c r="AR1918" s="333"/>
      <c r="AS1918" s="333"/>
      <c r="AT1918" s="333"/>
      <c r="AU1918" s="333"/>
      <c r="AV1918" s="333"/>
    </row>
    <row r="1919" spans="2:48" s="330" customFormat="1" ht="28.15" customHeight="1" x14ac:dyDescent="0.25">
      <c r="B1919" s="331"/>
      <c r="C1919" s="332"/>
      <c r="D1919" s="332"/>
      <c r="E1919" s="333"/>
      <c r="F1919" s="333"/>
      <c r="R1919" s="316"/>
      <c r="S1919" s="404"/>
      <c r="T1919" s="404"/>
      <c r="U1919" s="404"/>
      <c r="V1919" s="404"/>
      <c r="W1919" s="316"/>
      <c r="X1919" s="316"/>
      <c r="Y1919" s="316"/>
      <c r="Z1919" s="316"/>
      <c r="AA1919" s="404"/>
      <c r="AB1919" s="404"/>
      <c r="AC1919" s="404"/>
      <c r="AD1919" s="404"/>
      <c r="AE1919" s="316"/>
      <c r="AF1919" s="316"/>
      <c r="AG1919" s="404"/>
      <c r="AH1919" s="316"/>
      <c r="AI1919" s="316"/>
      <c r="AJ1919" s="316"/>
      <c r="AK1919" s="316"/>
      <c r="AL1919" s="316"/>
      <c r="AM1919" s="416"/>
      <c r="AR1919" s="333"/>
      <c r="AS1919" s="333"/>
      <c r="AT1919" s="333"/>
      <c r="AU1919" s="333"/>
      <c r="AV1919" s="333"/>
    </row>
    <row r="1920" spans="2:48" s="330" customFormat="1" ht="28.15" customHeight="1" x14ac:dyDescent="0.25">
      <c r="B1920" s="331"/>
      <c r="C1920" s="332"/>
      <c r="D1920" s="332"/>
      <c r="E1920" s="333"/>
      <c r="F1920" s="333"/>
      <c r="R1920" s="316"/>
      <c r="S1920" s="404"/>
      <c r="T1920" s="404"/>
      <c r="U1920" s="404"/>
      <c r="V1920" s="404"/>
      <c r="W1920" s="316"/>
      <c r="X1920" s="316"/>
      <c r="Y1920" s="316"/>
      <c r="Z1920" s="316"/>
      <c r="AA1920" s="404"/>
      <c r="AB1920" s="404"/>
      <c r="AC1920" s="404"/>
      <c r="AD1920" s="404"/>
      <c r="AE1920" s="316"/>
      <c r="AF1920" s="316"/>
      <c r="AG1920" s="404"/>
      <c r="AH1920" s="316"/>
      <c r="AI1920" s="316"/>
      <c r="AJ1920" s="316"/>
      <c r="AK1920" s="316"/>
      <c r="AL1920" s="316"/>
      <c r="AM1920" s="416"/>
      <c r="AR1920" s="333"/>
      <c r="AS1920" s="333"/>
      <c r="AT1920" s="333"/>
      <c r="AU1920" s="333"/>
      <c r="AV1920" s="333"/>
    </row>
    <row r="1921" spans="2:48" s="330" customFormat="1" ht="28.15" customHeight="1" x14ac:dyDescent="0.25">
      <c r="B1921" s="331"/>
      <c r="C1921" s="332"/>
      <c r="D1921" s="332"/>
      <c r="E1921" s="333"/>
      <c r="F1921" s="333"/>
      <c r="R1921" s="316"/>
      <c r="S1921" s="404"/>
      <c r="T1921" s="404"/>
      <c r="U1921" s="404"/>
      <c r="V1921" s="404"/>
      <c r="W1921" s="316"/>
      <c r="X1921" s="316"/>
      <c r="Y1921" s="316"/>
      <c r="Z1921" s="316"/>
      <c r="AA1921" s="404"/>
      <c r="AB1921" s="404"/>
      <c r="AC1921" s="404"/>
      <c r="AD1921" s="404"/>
      <c r="AE1921" s="316"/>
      <c r="AF1921" s="316"/>
      <c r="AG1921" s="404"/>
      <c r="AH1921" s="316"/>
      <c r="AI1921" s="316"/>
      <c r="AJ1921" s="316"/>
      <c r="AK1921" s="316"/>
      <c r="AL1921" s="316"/>
      <c r="AM1921" s="416"/>
      <c r="AR1921" s="333"/>
      <c r="AS1921" s="333"/>
      <c r="AT1921" s="333"/>
      <c r="AU1921" s="333"/>
      <c r="AV1921" s="333"/>
    </row>
    <row r="1922" spans="2:48" s="330" customFormat="1" ht="28.15" customHeight="1" x14ac:dyDescent="0.25">
      <c r="B1922" s="331"/>
      <c r="C1922" s="332"/>
      <c r="D1922" s="332"/>
      <c r="E1922" s="333"/>
      <c r="F1922" s="333"/>
      <c r="R1922" s="316"/>
      <c r="S1922" s="404"/>
      <c r="T1922" s="404"/>
      <c r="U1922" s="404"/>
      <c r="V1922" s="404"/>
      <c r="W1922" s="316"/>
      <c r="X1922" s="316"/>
      <c r="Y1922" s="316"/>
      <c r="Z1922" s="316"/>
      <c r="AA1922" s="404"/>
      <c r="AB1922" s="404"/>
      <c r="AC1922" s="404"/>
      <c r="AD1922" s="404"/>
      <c r="AE1922" s="316"/>
      <c r="AF1922" s="316"/>
      <c r="AG1922" s="404"/>
      <c r="AH1922" s="316"/>
      <c r="AI1922" s="316"/>
      <c r="AJ1922" s="316"/>
      <c r="AK1922" s="316"/>
      <c r="AL1922" s="316"/>
      <c r="AM1922" s="416"/>
      <c r="AR1922" s="333"/>
      <c r="AS1922" s="333"/>
      <c r="AT1922" s="333"/>
      <c r="AU1922" s="333"/>
      <c r="AV1922" s="333"/>
    </row>
    <row r="1923" spans="2:48" s="330" customFormat="1" ht="28.15" customHeight="1" x14ac:dyDescent="0.25">
      <c r="B1923" s="331"/>
      <c r="C1923" s="332"/>
      <c r="D1923" s="332"/>
      <c r="E1923" s="333"/>
      <c r="F1923" s="333"/>
      <c r="R1923" s="316"/>
      <c r="S1923" s="404"/>
      <c r="T1923" s="404"/>
      <c r="U1923" s="404"/>
      <c r="V1923" s="404"/>
      <c r="W1923" s="316"/>
      <c r="X1923" s="316"/>
      <c r="Y1923" s="316"/>
      <c r="Z1923" s="316"/>
      <c r="AA1923" s="404"/>
      <c r="AB1923" s="404"/>
      <c r="AC1923" s="404"/>
      <c r="AD1923" s="404"/>
      <c r="AE1923" s="316"/>
      <c r="AF1923" s="316"/>
      <c r="AG1923" s="404"/>
      <c r="AH1923" s="316"/>
      <c r="AI1923" s="316"/>
      <c r="AJ1923" s="316"/>
      <c r="AK1923" s="316"/>
      <c r="AL1923" s="316"/>
      <c r="AM1923" s="416"/>
      <c r="AR1923" s="333"/>
      <c r="AS1923" s="333"/>
      <c r="AT1923" s="333"/>
      <c r="AU1923" s="333"/>
      <c r="AV1923" s="333"/>
    </row>
    <row r="1924" spans="2:48" s="330" customFormat="1" ht="28.15" customHeight="1" x14ac:dyDescent="0.25">
      <c r="B1924" s="331"/>
      <c r="C1924" s="332"/>
      <c r="D1924" s="332"/>
      <c r="E1924" s="333"/>
      <c r="F1924" s="333"/>
      <c r="R1924" s="316"/>
      <c r="S1924" s="404"/>
      <c r="T1924" s="404"/>
      <c r="U1924" s="404"/>
      <c r="V1924" s="404"/>
      <c r="W1924" s="316"/>
      <c r="X1924" s="316"/>
      <c r="Y1924" s="316"/>
      <c r="Z1924" s="316"/>
      <c r="AA1924" s="404"/>
      <c r="AB1924" s="404"/>
      <c r="AC1924" s="404"/>
      <c r="AD1924" s="404"/>
      <c r="AE1924" s="316"/>
      <c r="AF1924" s="316"/>
      <c r="AG1924" s="404"/>
      <c r="AH1924" s="316"/>
      <c r="AI1924" s="316"/>
      <c r="AJ1924" s="316"/>
      <c r="AK1924" s="316"/>
      <c r="AL1924" s="316"/>
      <c r="AM1924" s="416"/>
      <c r="AR1924" s="333"/>
      <c r="AS1924" s="333"/>
      <c r="AT1924" s="333"/>
      <c r="AU1924" s="333"/>
      <c r="AV1924" s="333"/>
    </row>
    <row r="1925" spans="2:48" s="330" customFormat="1" ht="28.15" customHeight="1" x14ac:dyDescent="0.25">
      <c r="B1925" s="331"/>
      <c r="C1925" s="332"/>
      <c r="D1925" s="332"/>
      <c r="E1925" s="333"/>
      <c r="F1925" s="333"/>
      <c r="R1925" s="316"/>
      <c r="S1925" s="404"/>
      <c r="T1925" s="404"/>
      <c r="U1925" s="404"/>
      <c r="V1925" s="404"/>
      <c r="W1925" s="316"/>
      <c r="X1925" s="316"/>
      <c r="Y1925" s="316"/>
      <c r="Z1925" s="316"/>
      <c r="AA1925" s="404"/>
      <c r="AB1925" s="404"/>
      <c r="AC1925" s="404"/>
      <c r="AD1925" s="404"/>
      <c r="AE1925" s="316"/>
      <c r="AF1925" s="316"/>
      <c r="AG1925" s="404"/>
      <c r="AH1925" s="316"/>
      <c r="AI1925" s="316"/>
      <c r="AJ1925" s="316"/>
      <c r="AK1925" s="316"/>
      <c r="AL1925" s="316"/>
      <c r="AM1925" s="416"/>
      <c r="AR1925" s="333"/>
      <c r="AS1925" s="333"/>
      <c r="AT1925" s="333"/>
      <c r="AU1925" s="333"/>
      <c r="AV1925" s="333"/>
    </row>
    <row r="1926" spans="2:48" s="330" customFormat="1" ht="28.15" customHeight="1" x14ac:dyDescent="0.25">
      <c r="B1926" s="331"/>
      <c r="C1926" s="332"/>
      <c r="D1926" s="332"/>
      <c r="E1926" s="333"/>
      <c r="F1926" s="333"/>
      <c r="R1926" s="316"/>
      <c r="S1926" s="404"/>
      <c r="T1926" s="404"/>
      <c r="U1926" s="404"/>
      <c r="V1926" s="404"/>
      <c r="W1926" s="316"/>
      <c r="X1926" s="316"/>
      <c r="Y1926" s="316"/>
      <c r="Z1926" s="316"/>
      <c r="AA1926" s="404"/>
      <c r="AB1926" s="404"/>
      <c r="AC1926" s="404"/>
      <c r="AD1926" s="404"/>
      <c r="AE1926" s="316"/>
      <c r="AF1926" s="316"/>
      <c r="AG1926" s="404"/>
      <c r="AH1926" s="316"/>
      <c r="AI1926" s="316"/>
      <c r="AJ1926" s="316"/>
      <c r="AK1926" s="316"/>
      <c r="AL1926" s="316"/>
      <c r="AM1926" s="416"/>
      <c r="AR1926" s="333"/>
      <c r="AS1926" s="333"/>
      <c r="AT1926" s="333"/>
      <c r="AU1926" s="333"/>
      <c r="AV1926" s="333"/>
    </row>
    <row r="1927" spans="2:48" s="330" customFormat="1" ht="28.15" customHeight="1" x14ac:dyDescent="0.25">
      <c r="B1927" s="331"/>
      <c r="C1927" s="332"/>
      <c r="D1927" s="332"/>
      <c r="E1927" s="333"/>
      <c r="F1927" s="333"/>
      <c r="R1927" s="316"/>
      <c r="S1927" s="404"/>
      <c r="T1927" s="404"/>
      <c r="U1927" s="404"/>
      <c r="V1927" s="404"/>
      <c r="W1927" s="316"/>
      <c r="X1927" s="316"/>
      <c r="Y1927" s="316"/>
      <c r="Z1927" s="316"/>
      <c r="AA1927" s="404"/>
      <c r="AB1927" s="404"/>
      <c r="AC1927" s="404"/>
      <c r="AD1927" s="404"/>
      <c r="AE1927" s="316"/>
      <c r="AF1927" s="316"/>
      <c r="AG1927" s="404"/>
      <c r="AH1927" s="316"/>
      <c r="AI1927" s="316"/>
      <c r="AJ1927" s="316"/>
      <c r="AK1927" s="316"/>
      <c r="AL1927" s="316"/>
      <c r="AM1927" s="416"/>
      <c r="AR1927" s="333"/>
      <c r="AS1927" s="333"/>
      <c r="AT1927" s="333"/>
      <c r="AU1927" s="333"/>
      <c r="AV1927" s="333"/>
    </row>
    <row r="1928" spans="2:48" s="330" customFormat="1" ht="28.15" customHeight="1" x14ac:dyDescent="0.25">
      <c r="B1928" s="331"/>
      <c r="C1928" s="332"/>
      <c r="D1928" s="332"/>
      <c r="E1928" s="333"/>
      <c r="F1928" s="333"/>
      <c r="R1928" s="316"/>
      <c r="S1928" s="404"/>
      <c r="T1928" s="404"/>
      <c r="U1928" s="404"/>
      <c r="V1928" s="404"/>
      <c r="W1928" s="316"/>
      <c r="X1928" s="316"/>
      <c r="Y1928" s="316"/>
      <c r="Z1928" s="316"/>
      <c r="AA1928" s="404"/>
      <c r="AB1928" s="404"/>
      <c r="AC1928" s="404"/>
      <c r="AD1928" s="404"/>
      <c r="AE1928" s="316"/>
      <c r="AF1928" s="316"/>
      <c r="AG1928" s="404"/>
      <c r="AH1928" s="316"/>
      <c r="AI1928" s="316"/>
      <c r="AJ1928" s="316"/>
      <c r="AK1928" s="316"/>
      <c r="AL1928" s="316"/>
      <c r="AM1928" s="416"/>
      <c r="AR1928" s="333"/>
      <c r="AS1928" s="333"/>
      <c r="AT1928" s="333"/>
      <c r="AU1928" s="333"/>
      <c r="AV1928" s="333"/>
    </row>
    <row r="1929" spans="2:48" s="330" customFormat="1" ht="28.15" customHeight="1" x14ac:dyDescent="0.25">
      <c r="B1929" s="331"/>
      <c r="C1929" s="332"/>
      <c r="D1929" s="332"/>
      <c r="E1929" s="333"/>
      <c r="F1929" s="333"/>
      <c r="R1929" s="316"/>
      <c r="S1929" s="404"/>
      <c r="T1929" s="404"/>
      <c r="U1929" s="404"/>
      <c r="V1929" s="404"/>
      <c r="W1929" s="316"/>
      <c r="X1929" s="316"/>
      <c r="Y1929" s="316"/>
      <c r="Z1929" s="316"/>
      <c r="AA1929" s="404"/>
      <c r="AB1929" s="404"/>
      <c r="AC1929" s="404"/>
      <c r="AD1929" s="404"/>
      <c r="AE1929" s="316"/>
      <c r="AF1929" s="316"/>
      <c r="AG1929" s="404"/>
      <c r="AH1929" s="316"/>
      <c r="AI1929" s="316"/>
      <c r="AJ1929" s="316"/>
      <c r="AK1929" s="316"/>
      <c r="AL1929" s="316"/>
      <c r="AM1929" s="416"/>
      <c r="AR1929" s="333"/>
      <c r="AS1929" s="333"/>
      <c r="AT1929" s="333"/>
      <c r="AU1929" s="333"/>
      <c r="AV1929" s="333"/>
    </row>
    <row r="1930" spans="2:48" s="330" customFormat="1" ht="28.15" customHeight="1" x14ac:dyDescent="0.25">
      <c r="B1930" s="331"/>
      <c r="C1930" s="332"/>
      <c r="D1930" s="332"/>
      <c r="E1930" s="333"/>
      <c r="F1930" s="333"/>
      <c r="R1930" s="316"/>
      <c r="S1930" s="404"/>
      <c r="T1930" s="404"/>
      <c r="U1930" s="404"/>
      <c r="V1930" s="404"/>
      <c r="W1930" s="316"/>
      <c r="X1930" s="316"/>
      <c r="Y1930" s="316"/>
      <c r="Z1930" s="316"/>
      <c r="AA1930" s="404"/>
      <c r="AB1930" s="404"/>
      <c r="AC1930" s="404"/>
      <c r="AD1930" s="404"/>
      <c r="AE1930" s="316"/>
      <c r="AF1930" s="316"/>
      <c r="AG1930" s="404"/>
      <c r="AH1930" s="316"/>
      <c r="AI1930" s="316"/>
      <c r="AJ1930" s="316"/>
      <c r="AK1930" s="316"/>
      <c r="AL1930" s="316"/>
      <c r="AM1930" s="416"/>
      <c r="AR1930" s="333"/>
      <c r="AS1930" s="333"/>
      <c r="AT1930" s="333"/>
      <c r="AU1930" s="333"/>
      <c r="AV1930" s="333"/>
    </row>
    <row r="1931" spans="2:48" s="330" customFormat="1" ht="28.15" customHeight="1" x14ac:dyDescent="0.25">
      <c r="B1931" s="331"/>
      <c r="C1931" s="332"/>
      <c r="D1931" s="332"/>
      <c r="E1931" s="333"/>
      <c r="F1931" s="333"/>
      <c r="R1931" s="316"/>
      <c r="S1931" s="404"/>
      <c r="T1931" s="404"/>
      <c r="U1931" s="404"/>
      <c r="V1931" s="404"/>
      <c r="W1931" s="316"/>
      <c r="X1931" s="316"/>
      <c r="Y1931" s="316"/>
      <c r="Z1931" s="316"/>
      <c r="AA1931" s="404"/>
      <c r="AB1931" s="404"/>
      <c r="AC1931" s="404"/>
      <c r="AD1931" s="404"/>
      <c r="AE1931" s="316"/>
      <c r="AF1931" s="316"/>
      <c r="AG1931" s="404"/>
      <c r="AH1931" s="316"/>
      <c r="AI1931" s="316"/>
      <c r="AJ1931" s="316"/>
      <c r="AK1931" s="316"/>
      <c r="AL1931" s="316"/>
      <c r="AM1931" s="416"/>
      <c r="AR1931" s="333"/>
      <c r="AS1931" s="333"/>
      <c r="AT1931" s="333"/>
      <c r="AU1931" s="333"/>
      <c r="AV1931" s="333"/>
    </row>
    <row r="1932" spans="2:48" s="330" customFormat="1" ht="28.15" customHeight="1" x14ac:dyDescent="0.25">
      <c r="B1932" s="331"/>
      <c r="C1932" s="332"/>
      <c r="D1932" s="332"/>
      <c r="E1932" s="333"/>
      <c r="F1932" s="333"/>
      <c r="R1932" s="316"/>
      <c r="S1932" s="404"/>
      <c r="T1932" s="404"/>
      <c r="U1932" s="404"/>
      <c r="V1932" s="404"/>
      <c r="W1932" s="316"/>
      <c r="X1932" s="316"/>
      <c r="Y1932" s="316"/>
      <c r="Z1932" s="316"/>
      <c r="AA1932" s="404"/>
      <c r="AB1932" s="404"/>
      <c r="AC1932" s="404"/>
      <c r="AD1932" s="404"/>
      <c r="AE1932" s="316"/>
      <c r="AF1932" s="316"/>
      <c r="AG1932" s="404"/>
      <c r="AH1932" s="316"/>
      <c r="AI1932" s="316"/>
      <c r="AJ1932" s="316"/>
      <c r="AK1932" s="316"/>
      <c r="AL1932" s="316"/>
      <c r="AM1932" s="416"/>
      <c r="AR1932" s="333"/>
      <c r="AS1932" s="333"/>
      <c r="AT1932" s="333"/>
      <c r="AU1932" s="333"/>
      <c r="AV1932" s="333"/>
    </row>
    <row r="1933" spans="2:48" s="330" customFormat="1" ht="28.15" customHeight="1" x14ac:dyDescent="0.25">
      <c r="B1933" s="331"/>
      <c r="C1933" s="332"/>
      <c r="D1933" s="332"/>
      <c r="E1933" s="333"/>
      <c r="F1933" s="333"/>
      <c r="R1933" s="316"/>
      <c r="S1933" s="404"/>
      <c r="T1933" s="404"/>
      <c r="U1933" s="404"/>
      <c r="V1933" s="404"/>
      <c r="W1933" s="316"/>
      <c r="X1933" s="316"/>
      <c r="Y1933" s="316"/>
      <c r="Z1933" s="316"/>
      <c r="AA1933" s="404"/>
      <c r="AB1933" s="404"/>
      <c r="AC1933" s="404"/>
      <c r="AD1933" s="404"/>
      <c r="AE1933" s="316"/>
      <c r="AF1933" s="316"/>
      <c r="AG1933" s="404"/>
      <c r="AH1933" s="316"/>
      <c r="AI1933" s="316"/>
      <c r="AJ1933" s="316"/>
      <c r="AK1933" s="316"/>
      <c r="AL1933" s="316"/>
      <c r="AM1933" s="416"/>
      <c r="AR1933" s="333"/>
      <c r="AS1933" s="333"/>
      <c r="AT1933" s="333"/>
      <c r="AU1933" s="333"/>
      <c r="AV1933" s="333"/>
    </row>
    <row r="1934" spans="2:48" s="330" customFormat="1" ht="28.15" customHeight="1" x14ac:dyDescent="0.25">
      <c r="B1934" s="331"/>
      <c r="C1934" s="332"/>
      <c r="D1934" s="332"/>
      <c r="E1934" s="333"/>
      <c r="F1934" s="333"/>
      <c r="R1934" s="316"/>
      <c r="S1934" s="404"/>
      <c r="T1934" s="404"/>
      <c r="U1934" s="404"/>
      <c r="V1934" s="404"/>
      <c r="W1934" s="316"/>
      <c r="X1934" s="316"/>
      <c r="Y1934" s="316"/>
      <c r="Z1934" s="316"/>
      <c r="AA1934" s="404"/>
      <c r="AB1934" s="404"/>
      <c r="AC1934" s="404"/>
      <c r="AD1934" s="404"/>
      <c r="AE1934" s="316"/>
      <c r="AF1934" s="316"/>
      <c r="AG1934" s="404"/>
      <c r="AH1934" s="316"/>
      <c r="AI1934" s="316"/>
      <c r="AJ1934" s="316"/>
      <c r="AK1934" s="316"/>
      <c r="AL1934" s="316"/>
      <c r="AM1934" s="416"/>
      <c r="AR1934" s="333"/>
      <c r="AS1934" s="333"/>
      <c r="AT1934" s="333"/>
      <c r="AU1934" s="333"/>
      <c r="AV1934" s="333"/>
    </row>
    <row r="1935" spans="2:48" s="330" customFormat="1" ht="28.15" customHeight="1" x14ac:dyDescent="0.25">
      <c r="B1935" s="331"/>
      <c r="C1935" s="332"/>
      <c r="D1935" s="332"/>
      <c r="E1935" s="333"/>
      <c r="F1935" s="333"/>
      <c r="R1935" s="316"/>
      <c r="S1935" s="404"/>
      <c r="T1935" s="404"/>
      <c r="U1935" s="404"/>
      <c r="V1935" s="404"/>
      <c r="W1935" s="316"/>
      <c r="X1935" s="316"/>
      <c r="Y1935" s="316"/>
      <c r="Z1935" s="316"/>
      <c r="AA1935" s="404"/>
      <c r="AB1935" s="404"/>
      <c r="AC1935" s="404"/>
      <c r="AD1935" s="404"/>
      <c r="AE1935" s="316"/>
      <c r="AF1935" s="316"/>
      <c r="AG1935" s="404"/>
      <c r="AH1935" s="316"/>
      <c r="AI1935" s="316"/>
      <c r="AJ1935" s="316"/>
      <c r="AK1935" s="316"/>
      <c r="AL1935" s="316"/>
      <c r="AM1935" s="416"/>
      <c r="AR1935" s="333"/>
      <c r="AS1935" s="333"/>
      <c r="AT1935" s="333"/>
      <c r="AU1935" s="333"/>
      <c r="AV1935" s="333"/>
    </row>
    <row r="1936" spans="2:48" s="330" customFormat="1" ht="28.15" customHeight="1" x14ac:dyDescent="0.25">
      <c r="B1936" s="331"/>
      <c r="C1936" s="332"/>
      <c r="D1936" s="332"/>
      <c r="E1936" s="333"/>
      <c r="F1936" s="333"/>
      <c r="R1936" s="316"/>
      <c r="S1936" s="404"/>
      <c r="T1936" s="404"/>
      <c r="U1936" s="404"/>
      <c r="V1936" s="404"/>
      <c r="W1936" s="316"/>
      <c r="X1936" s="316"/>
      <c r="Y1936" s="316"/>
      <c r="Z1936" s="316"/>
      <c r="AA1936" s="404"/>
      <c r="AB1936" s="404"/>
      <c r="AC1936" s="404"/>
      <c r="AD1936" s="404"/>
      <c r="AE1936" s="316"/>
      <c r="AF1936" s="316"/>
      <c r="AG1936" s="404"/>
      <c r="AH1936" s="316"/>
      <c r="AI1936" s="316"/>
      <c r="AJ1936" s="316"/>
      <c r="AK1936" s="316"/>
      <c r="AL1936" s="316"/>
      <c r="AM1936" s="416"/>
      <c r="AR1936" s="333"/>
      <c r="AS1936" s="333"/>
      <c r="AT1936" s="333"/>
      <c r="AU1936" s="333"/>
      <c r="AV1936" s="333"/>
    </row>
    <row r="1937" spans="2:48" s="330" customFormat="1" ht="28.15" customHeight="1" x14ac:dyDescent="0.25">
      <c r="B1937" s="331"/>
      <c r="C1937" s="332"/>
      <c r="D1937" s="332"/>
      <c r="E1937" s="333"/>
      <c r="F1937" s="333"/>
      <c r="R1937" s="316"/>
      <c r="S1937" s="404"/>
      <c r="T1937" s="404"/>
      <c r="U1937" s="404"/>
      <c r="V1937" s="404"/>
      <c r="W1937" s="316"/>
      <c r="X1937" s="316"/>
      <c r="Y1937" s="316"/>
      <c r="Z1937" s="316"/>
      <c r="AA1937" s="404"/>
      <c r="AB1937" s="404"/>
      <c r="AC1937" s="404"/>
      <c r="AD1937" s="404"/>
      <c r="AE1937" s="316"/>
      <c r="AF1937" s="316"/>
      <c r="AG1937" s="404"/>
      <c r="AH1937" s="316"/>
      <c r="AI1937" s="316"/>
      <c r="AJ1937" s="316"/>
      <c r="AK1937" s="316"/>
      <c r="AL1937" s="316"/>
      <c r="AM1937" s="416"/>
      <c r="AR1937" s="333"/>
      <c r="AS1937" s="333"/>
      <c r="AT1937" s="333"/>
      <c r="AU1937" s="333"/>
      <c r="AV1937" s="333"/>
    </row>
    <row r="1938" spans="2:48" s="330" customFormat="1" ht="28.15" customHeight="1" x14ac:dyDescent="0.25">
      <c r="B1938" s="331"/>
      <c r="C1938" s="332"/>
      <c r="D1938" s="332"/>
      <c r="E1938" s="333"/>
      <c r="F1938" s="333"/>
      <c r="R1938" s="316"/>
      <c r="S1938" s="404"/>
      <c r="T1938" s="404"/>
      <c r="U1938" s="404"/>
      <c r="V1938" s="404"/>
      <c r="W1938" s="316"/>
      <c r="X1938" s="316"/>
      <c r="Y1938" s="316"/>
      <c r="Z1938" s="316"/>
      <c r="AA1938" s="404"/>
      <c r="AB1938" s="404"/>
      <c r="AC1938" s="404"/>
      <c r="AD1938" s="404"/>
      <c r="AE1938" s="316"/>
      <c r="AF1938" s="316"/>
      <c r="AG1938" s="404"/>
      <c r="AH1938" s="316"/>
      <c r="AI1938" s="316"/>
      <c r="AJ1938" s="316"/>
      <c r="AK1938" s="316"/>
      <c r="AL1938" s="316"/>
      <c r="AM1938" s="416"/>
      <c r="AR1938" s="333"/>
      <c r="AS1938" s="333"/>
      <c r="AT1938" s="333"/>
      <c r="AU1938" s="333"/>
      <c r="AV1938" s="333"/>
    </row>
    <row r="1939" spans="2:48" s="330" customFormat="1" ht="28.15" customHeight="1" x14ac:dyDescent="0.25">
      <c r="B1939" s="331"/>
      <c r="C1939" s="332"/>
      <c r="D1939" s="332"/>
      <c r="E1939" s="333"/>
      <c r="F1939" s="333"/>
      <c r="R1939" s="316"/>
      <c r="S1939" s="404"/>
      <c r="T1939" s="404"/>
      <c r="U1939" s="404"/>
      <c r="V1939" s="404"/>
      <c r="W1939" s="316"/>
      <c r="X1939" s="316"/>
      <c r="Y1939" s="316"/>
      <c r="Z1939" s="316"/>
      <c r="AA1939" s="404"/>
      <c r="AB1939" s="404"/>
      <c r="AC1939" s="404"/>
      <c r="AD1939" s="404"/>
      <c r="AE1939" s="316"/>
      <c r="AF1939" s="316"/>
      <c r="AG1939" s="404"/>
      <c r="AH1939" s="316"/>
      <c r="AI1939" s="316"/>
      <c r="AJ1939" s="316"/>
      <c r="AK1939" s="316"/>
      <c r="AL1939" s="316"/>
      <c r="AM1939" s="416"/>
      <c r="AR1939" s="333"/>
      <c r="AS1939" s="333"/>
      <c r="AT1939" s="333"/>
      <c r="AU1939" s="333"/>
      <c r="AV1939" s="333"/>
    </row>
    <row r="1940" spans="2:48" s="330" customFormat="1" ht="28.15" customHeight="1" x14ac:dyDescent="0.25">
      <c r="B1940" s="331"/>
      <c r="C1940" s="332"/>
      <c r="D1940" s="332"/>
      <c r="E1940" s="333"/>
      <c r="F1940" s="333"/>
      <c r="R1940" s="316"/>
      <c r="S1940" s="404"/>
      <c r="T1940" s="404"/>
      <c r="U1940" s="404"/>
      <c r="V1940" s="404"/>
      <c r="W1940" s="316"/>
      <c r="X1940" s="316"/>
      <c r="Y1940" s="316"/>
      <c r="Z1940" s="316"/>
      <c r="AA1940" s="404"/>
      <c r="AB1940" s="404"/>
      <c r="AC1940" s="404"/>
      <c r="AD1940" s="404"/>
      <c r="AE1940" s="316"/>
      <c r="AF1940" s="316"/>
      <c r="AG1940" s="404"/>
      <c r="AH1940" s="316"/>
      <c r="AI1940" s="316"/>
      <c r="AJ1940" s="316"/>
      <c r="AK1940" s="316"/>
      <c r="AL1940" s="316"/>
      <c r="AM1940" s="416"/>
      <c r="AR1940" s="333"/>
      <c r="AS1940" s="333"/>
      <c r="AT1940" s="333"/>
      <c r="AU1940" s="333"/>
      <c r="AV1940" s="333"/>
    </row>
    <row r="1941" spans="2:48" s="330" customFormat="1" ht="28.15" customHeight="1" x14ac:dyDescent="0.25">
      <c r="B1941" s="331"/>
      <c r="C1941" s="332"/>
      <c r="D1941" s="332"/>
      <c r="E1941" s="333"/>
      <c r="F1941" s="333"/>
      <c r="R1941" s="316"/>
      <c r="S1941" s="404"/>
      <c r="T1941" s="404"/>
      <c r="U1941" s="404"/>
      <c r="V1941" s="404"/>
      <c r="W1941" s="316"/>
      <c r="X1941" s="316"/>
      <c r="Y1941" s="316"/>
      <c r="Z1941" s="316"/>
      <c r="AA1941" s="404"/>
      <c r="AB1941" s="404"/>
      <c r="AC1941" s="404"/>
      <c r="AD1941" s="404"/>
      <c r="AE1941" s="316"/>
      <c r="AF1941" s="316"/>
      <c r="AG1941" s="404"/>
      <c r="AH1941" s="316"/>
      <c r="AI1941" s="316"/>
      <c r="AJ1941" s="316"/>
      <c r="AK1941" s="316"/>
      <c r="AL1941" s="316"/>
      <c r="AM1941" s="416"/>
      <c r="AR1941" s="333"/>
      <c r="AS1941" s="333"/>
      <c r="AT1941" s="333"/>
      <c r="AU1941" s="333"/>
      <c r="AV1941" s="333"/>
    </row>
    <row r="1942" spans="2:48" s="330" customFormat="1" ht="28.15" customHeight="1" x14ac:dyDescent="0.25">
      <c r="B1942" s="331"/>
      <c r="C1942" s="332"/>
      <c r="D1942" s="332"/>
      <c r="E1942" s="333"/>
      <c r="F1942" s="333"/>
      <c r="R1942" s="316"/>
      <c r="S1942" s="404"/>
      <c r="T1942" s="404"/>
      <c r="U1942" s="404"/>
      <c r="V1942" s="404"/>
      <c r="W1942" s="316"/>
      <c r="X1942" s="316"/>
      <c r="Y1942" s="316"/>
      <c r="Z1942" s="316"/>
      <c r="AA1942" s="404"/>
      <c r="AB1942" s="404"/>
      <c r="AC1942" s="404"/>
      <c r="AD1942" s="404"/>
      <c r="AE1942" s="316"/>
      <c r="AF1942" s="316"/>
      <c r="AG1942" s="404"/>
      <c r="AH1942" s="316"/>
      <c r="AI1942" s="316"/>
      <c r="AJ1942" s="316"/>
      <c r="AK1942" s="316"/>
      <c r="AL1942" s="316"/>
      <c r="AM1942" s="416"/>
      <c r="AR1942" s="333"/>
      <c r="AS1942" s="333"/>
      <c r="AT1942" s="333"/>
      <c r="AU1942" s="333"/>
      <c r="AV1942" s="333"/>
    </row>
    <row r="1943" spans="2:48" s="330" customFormat="1" ht="28.15" customHeight="1" x14ac:dyDescent="0.25">
      <c r="B1943" s="331"/>
      <c r="C1943" s="332"/>
      <c r="D1943" s="332"/>
      <c r="E1943" s="333"/>
      <c r="F1943" s="333"/>
      <c r="R1943" s="316"/>
      <c r="S1943" s="404"/>
      <c r="T1943" s="404"/>
      <c r="U1943" s="404"/>
      <c r="V1943" s="404"/>
      <c r="W1943" s="316"/>
      <c r="X1943" s="316"/>
      <c r="Y1943" s="316"/>
      <c r="Z1943" s="316"/>
      <c r="AA1943" s="404"/>
      <c r="AB1943" s="404"/>
      <c r="AC1943" s="404"/>
      <c r="AD1943" s="404"/>
      <c r="AE1943" s="316"/>
      <c r="AF1943" s="316"/>
      <c r="AG1943" s="404"/>
      <c r="AH1943" s="316"/>
      <c r="AI1943" s="316"/>
      <c r="AJ1943" s="316"/>
      <c r="AK1943" s="316"/>
      <c r="AL1943" s="316"/>
      <c r="AM1943" s="416"/>
      <c r="AR1943" s="333"/>
      <c r="AS1943" s="333"/>
      <c r="AT1943" s="333"/>
      <c r="AU1943" s="333"/>
      <c r="AV1943" s="333"/>
    </row>
    <row r="1944" spans="2:48" s="330" customFormat="1" ht="28.15" customHeight="1" x14ac:dyDescent="0.25">
      <c r="B1944" s="331"/>
      <c r="C1944" s="332"/>
      <c r="D1944" s="332"/>
      <c r="E1944" s="333"/>
      <c r="F1944" s="333"/>
      <c r="R1944" s="316"/>
      <c r="S1944" s="404"/>
      <c r="T1944" s="404"/>
      <c r="U1944" s="404"/>
      <c r="V1944" s="404"/>
      <c r="W1944" s="316"/>
      <c r="X1944" s="316"/>
      <c r="Y1944" s="316"/>
      <c r="Z1944" s="316"/>
      <c r="AA1944" s="404"/>
      <c r="AB1944" s="404"/>
      <c r="AC1944" s="404"/>
      <c r="AD1944" s="404"/>
      <c r="AE1944" s="316"/>
      <c r="AF1944" s="316"/>
      <c r="AG1944" s="404"/>
      <c r="AH1944" s="316"/>
      <c r="AI1944" s="316"/>
      <c r="AJ1944" s="316"/>
      <c r="AK1944" s="316"/>
      <c r="AL1944" s="316"/>
      <c r="AM1944" s="416"/>
      <c r="AR1944" s="333"/>
      <c r="AS1944" s="333"/>
      <c r="AT1944" s="333"/>
      <c r="AU1944" s="333"/>
      <c r="AV1944" s="333"/>
    </row>
    <row r="1945" spans="2:48" s="330" customFormat="1" ht="28.15" customHeight="1" x14ac:dyDescent="0.25">
      <c r="B1945" s="331"/>
      <c r="C1945" s="332"/>
      <c r="D1945" s="332"/>
      <c r="E1945" s="333"/>
      <c r="F1945" s="333"/>
      <c r="R1945" s="316"/>
      <c r="S1945" s="404"/>
      <c r="T1945" s="404"/>
      <c r="U1945" s="404"/>
      <c r="V1945" s="404"/>
      <c r="W1945" s="316"/>
      <c r="X1945" s="316"/>
      <c r="Y1945" s="316"/>
      <c r="Z1945" s="316"/>
      <c r="AA1945" s="404"/>
      <c r="AB1945" s="404"/>
      <c r="AC1945" s="404"/>
      <c r="AD1945" s="404"/>
      <c r="AE1945" s="316"/>
      <c r="AF1945" s="316"/>
      <c r="AG1945" s="404"/>
      <c r="AH1945" s="316"/>
      <c r="AI1945" s="316"/>
      <c r="AJ1945" s="316"/>
      <c r="AK1945" s="316"/>
      <c r="AL1945" s="316"/>
      <c r="AM1945" s="416"/>
      <c r="AR1945" s="333"/>
      <c r="AS1945" s="333"/>
      <c r="AT1945" s="333"/>
      <c r="AU1945" s="333"/>
      <c r="AV1945" s="333"/>
    </row>
    <row r="1946" spans="2:48" s="330" customFormat="1" ht="28.15" customHeight="1" x14ac:dyDescent="0.25">
      <c r="B1946" s="331"/>
      <c r="C1946" s="332"/>
      <c r="D1946" s="332"/>
      <c r="E1946" s="333"/>
      <c r="F1946" s="333"/>
      <c r="R1946" s="316"/>
      <c r="S1946" s="404"/>
      <c r="T1946" s="404"/>
      <c r="U1946" s="404"/>
      <c r="V1946" s="404"/>
      <c r="W1946" s="316"/>
      <c r="X1946" s="316"/>
      <c r="Y1946" s="316"/>
      <c r="Z1946" s="316"/>
      <c r="AA1946" s="404"/>
      <c r="AB1946" s="404"/>
      <c r="AC1946" s="404"/>
      <c r="AD1946" s="404"/>
      <c r="AE1946" s="316"/>
      <c r="AF1946" s="316"/>
      <c r="AG1946" s="404"/>
      <c r="AH1946" s="316"/>
      <c r="AI1946" s="316"/>
      <c r="AJ1946" s="316"/>
      <c r="AK1946" s="316"/>
      <c r="AL1946" s="316"/>
      <c r="AM1946" s="416"/>
      <c r="AR1946" s="333"/>
      <c r="AS1946" s="333"/>
      <c r="AT1946" s="333"/>
      <c r="AU1946" s="333"/>
      <c r="AV1946" s="333"/>
    </row>
    <row r="1947" spans="2:48" s="330" customFormat="1" ht="28.15" customHeight="1" x14ac:dyDescent="0.25">
      <c r="B1947" s="331"/>
      <c r="C1947" s="332"/>
      <c r="D1947" s="332"/>
      <c r="E1947" s="333"/>
      <c r="F1947" s="333"/>
      <c r="R1947" s="316"/>
      <c r="S1947" s="404"/>
      <c r="T1947" s="404"/>
      <c r="U1947" s="404"/>
      <c r="V1947" s="404"/>
      <c r="W1947" s="316"/>
      <c r="X1947" s="316"/>
      <c r="Y1947" s="316"/>
      <c r="Z1947" s="316"/>
      <c r="AA1947" s="404"/>
      <c r="AB1947" s="404"/>
      <c r="AC1947" s="404"/>
      <c r="AD1947" s="404"/>
      <c r="AE1947" s="316"/>
      <c r="AF1947" s="316"/>
      <c r="AG1947" s="404"/>
      <c r="AH1947" s="316"/>
      <c r="AI1947" s="316"/>
      <c r="AJ1947" s="316"/>
      <c r="AK1947" s="316"/>
      <c r="AL1947" s="316"/>
      <c r="AM1947" s="416"/>
      <c r="AR1947" s="333"/>
      <c r="AS1947" s="333"/>
      <c r="AT1947" s="333"/>
      <c r="AU1947" s="333"/>
      <c r="AV1947" s="333"/>
    </row>
    <row r="1948" spans="2:48" s="330" customFormat="1" ht="28.15" customHeight="1" x14ac:dyDescent="0.25">
      <c r="B1948" s="331"/>
      <c r="C1948" s="332"/>
      <c r="D1948" s="332"/>
      <c r="E1948" s="333"/>
      <c r="F1948" s="333"/>
      <c r="R1948" s="316"/>
      <c r="S1948" s="404"/>
      <c r="T1948" s="404"/>
      <c r="U1948" s="404"/>
      <c r="V1948" s="404"/>
      <c r="W1948" s="316"/>
      <c r="X1948" s="316"/>
      <c r="Y1948" s="316"/>
      <c r="Z1948" s="316"/>
      <c r="AA1948" s="404"/>
      <c r="AB1948" s="404"/>
      <c r="AC1948" s="404"/>
      <c r="AD1948" s="404"/>
      <c r="AE1948" s="316"/>
      <c r="AF1948" s="316"/>
      <c r="AG1948" s="404"/>
      <c r="AH1948" s="316"/>
      <c r="AI1948" s="316"/>
      <c r="AJ1948" s="316"/>
      <c r="AK1948" s="316"/>
      <c r="AL1948" s="316"/>
      <c r="AM1948" s="416"/>
      <c r="AR1948" s="333"/>
      <c r="AS1948" s="333"/>
      <c r="AT1948" s="333"/>
      <c r="AU1948" s="333"/>
      <c r="AV1948" s="333"/>
    </row>
    <row r="1949" spans="2:48" s="330" customFormat="1" ht="28.15" customHeight="1" x14ac:dyDescent="0.25">
      <c r="B1949" s="331"/>
      <c r="C1949" s="332"/>
      <c r="D1949" s="332"/>
      <c r="E1949" s="333"/>
      <c r="F1949" s="333"/>
      <c r="R1949" s="316"/>
      <c r="S1949" s="404"/>
      <c r="T1949" s="404"/>
      <c r="U1949" s="404"/>
      <c r="V1949" s="404"/>
      <c r="W1949" s="316"/>
      <c r="X1949" s="316"/>
      <c r="Y1949" s="316"/>
      <c r="Z1949" s="316"/>
      <c r="AA1949" s="404"/>
      <c r="AB1949" s="404"/>
      <c r="AC1949" s="404"/>
      <c r="AD1949" s="404"/>
      <c r="AE1949" s="316"/>
      <c r="AF1949" s="316"/>
      <c r="AG1949" s="404"/>
      <c r="AH1949" s="316"/>
      <c r="AI1949" s="316"/>
      <c r="AJ1949" s="316"/>
      <c r="AK1949" s="316"/>
      <c r="AL1949" s="316"/>
      <c r="AM1949" s="416"/>
      <c r="AR1949" s="333"/>
      <c r="AS1949" s="333"/>
      <c r="AT1949" s="333"/>
      <c r="AU1949" s="333"/>
      <c r="AV1949" s="333"/>
    </row>
    <row r="1950" spans="2:48" s="330" customFormat="1" ht="28.15" customHeight="1" x14ac:dyDescent="0.25">
      <c r="B1950" s="331"/>
      <c r="C1950" s="332"/>
      <c r="D1950" s="332"/>
      <c r="E1950" s="333"/>
      <c r="F1950" s="333"/>
      <c r="R1950" s="316"/>
      <c r="S1950" s="404"/>
      <c r="T1950" s="404"/>
      <c r="U1950" s="404"/>
      <c r="V1950" s="404"/>
      <c r="W1950" s="316"/>
      <c r="X1950" s="316"/>
      <c r="Y1950" s="316"/>
      <c r="Z1950" s="316"/>
      <c r="AA1950" s="404"/>
      <c r="AB1950" s="404"/>
      <c r="AC1950" s="404"/>
      <c r="AD1950" s="404"/>
      <c r="AE1950" s="316"/>
      <c r="AF1950" s="316"/>
      <c r="AG1950" s="404"/>
      <c r="AH1950" s="316"/>
      <c r="AI1950" s="316"/>
      <c r="AJ1950" s="316"/>
      <c r="AK1950" s="316"/>
      <c r="AL1950" s="316"/>
      <c r="AM1950" s="416"/>
      <c r="AR1950" s="333"/>
      <c r="AS1950" s="333"/>
      <c r="AT1950" s="333"/>
      <c r="AU1950" s="333"/>
      <c r="AV1950" s="333"/>
    </row>
    <row r="1951" spans="2:48" s="330" customFormat="1" ht="28.15" customHeight="1" x14ac:dyDescent="0.25">
      <c r="B1951" s="331"/>
      <c r="C1951" s="332"/>
      <c r="D1951" s="332"/>
      <c r="E1951" s="333"/>
      <c r="F1951" s="333"/>
      <c r="R1951" s="316"/>
      <c r="S1951" s="404"/>
      <c r="T1951" s="404"/>
      <c r="U1951" s="404"/>
      <c r="V1951" s="404"/>
      <c r="W1951" s="316"/>
      <c r="X1951" s="316"/>
      <c r="Y1951" s="316"/>
      <c r="Z1951" s="316"/>
      <c r="AA1951" s="404"/>
      <c r="AB1951" s="404"/>
      <c r="AC1951" s="404"/>
      <c r="AD1951" s="404"/>
      <c r="AE1951" s="316"/>
      <c r="AF1951" s="316"/>
      <c r="AG1951" s="404"/>
      <c r="AH1951" s="316"/>
      <c r="AI1951" s="316"/>
      <c r="AJ1951" s="316"/>
      <c r="AK1951" s="316"/>
      <c r="AL1951" s="316"/>
      <c r="AM1951" s="416"/>
      <c r="AR1951" s="333"/>
      <c r="AS1951" s="333"/>
      <c r="AT1951" s="333"/>
      <c r="AU1951" s="333"/>
      <c r="AV1951" s="333"/>
    </row>
    <row r="1952" spans="2:48" s="330" customFormat="1" ht="28.15" customHeight="1" x14ac:dyDescent="0.25">
      <c r="B1952" s="331"/>
      <c r="C1952" s="332"/>
      <c r="D1952" s="332"/>
      <c r="E1952" s="333"/>
      <c r="F1952" s="333"/>
      <c r="R1952" s="316"/>
      <c r="S1952" s="404"/>
      <c r="T1952" s="404"/>
      <c r="U1952" s="404"/>
      <c r="V1952" s="404"/>
      <c r="W1952" s="316"/>
      <c r="X1952" s="316"/>
      <c r="Y1952" s="316"/>
      <c r="Z1952" s="316"/>
      <c r="AA1952" s="404"/>
      <c r="AB1952" s="404"/>
      <c r="AC1952" s="404"/>
      <c r="AD1952" s="404"/>
      <c r="AE1952" s="316"/>
      <c r="AF1952" s="316"/>
      <c r="AG1952" s="404"/>
      <c r="AH1952" s="316"/>
      <c r="AI1952" s="316"/>
      <c r="AJ1952" s="316"/>
      <c r="AK1952" s="316"/>
      <c r="AL1952" s="316"/>
      <c r="AM1952" s="416"/>
      <c r="AR1952" s="333"/>
      <c r="AS1952" s="333"/>
      <c r="AT1952" s="333"/>
      <c r="AU1952" s="333"/>
      <c r="AV1952" s="333"/>
    </row>
    <row r="1953" spans="2:48" s="330" customFormat="1" ht="28.15" customHeight="1" x14ac:dyDescent="0.25">
      <c r="B1953" s="331"/>
      <c r="C1953" s="332"/>
      <c r="D1953" s="332"/>
      <c r="E1953" s="333"/>
      <c r="F1953" s="333"/>
      <c r="R1953" s="316"/>
      <c r="S1953" s="404"/>
      <c r="T1953" s="404"/>
      <c r="U1953" s="404"/>
      <c r="V1953" s="404"/>
      <c r="W1953" s="316"/>
      <c r="X1953" s="316"/>
      <c r="Y1953" s="316"/>
      <c r="Z1953" s="316"/>
      <c r="AA1953" s="404"/>
      <c r="AB1953" s="404"/>
      <c r="AC1953" s="404"/>
      <c r="AD1953" s="404"/>
      <c r="AE1953" s="316"/>
      <c r="AF1953" s="316"/>
      <c r="AG1953" s="404"/>
      <c r="AH1953" s="316"/>
      <c r="AI1953" s="316"/>
      <c r="AJ1953" s="316"/>
      <c r="AK1953" s="316"/>
      <c r="AL1953" s="316"/>
      <c r="AM1953" s="416"/>
      <c r="AR1953" s="333"/>
      <c r="AS1953" s="333"/>
      <c r="AT1953" s="333"/>
      <c r="AU1953" s="333"/>
      <c r="AV1953" s="333"/>
    </row>
    <row r="1954" spans="2:48" s="330" customFormat="1" ht="28.15" customHeight="1" x14ac:dyDescent="0.25">
      <c r="B1954" s="331"/>
      <c r="C1954" s="332"/>
      <c r="D1954" s="332"/>
      <c r="E1954" s="333"/>
      <c r="F1954" s="333"/>
      <c r="R1954" s="316"/>
      <c r="S1954" s="404"/>
      <c r="T1954" s="404"/>
      <c r="U1954" s="404"/>
      <c r="V1954" s="404"/>
      <c r="W1954" s="316"/>
      <c r="X1954" s="316"/>
      <c r="Y1954" s="316"/>
      <c r="Z1954" s="316"/>
      <c r="AA1954" s="404"/>
      <c r="AB1954" s="404"/>
      <c r="AC1954" s="404"/>
      <c r="AD1954" s="404"/>
      <c r="AE1954" s="316"/>
      <c r="AF1954" s="316"/>
      <c r="AG1954" s="404"/>
      <c r="AH1954" s="316"/>
      <c r="AI1954" s="316"/>
      <c r="AJ1954" s="316"/>
      <c r="AK1954" s="316"/>
      <c r="AL1954" s="316"/>
      <c r="AM1954" s="416"/>
      <c r="AR1954" s="333"/>
      <c r="AS1954" s="333"/>
      <c r="AT1954" s="333"/>
      <c r="AU1954" s="333"/>
      <c r="AV1954" s="333"/>
    </row>
    <row r="1955" spans="2:48" s="330" customFormat="1" ht="28.15" customHeight="1" x14ac:dyDescent="0.25">
      <c r="B1955" s="331"/>
      <c r="C1955" s="332"/>
      <c r="D1955" s="332"/>
      <c r="E1955" s="333"/>
      <c r="F1955" s="333"/>
      <c r="R1955" s="316"/>
      <c r="S1955" s="404"/>
      <c r="T1955" s="404"/>
      <c r="U1955" s="404"/>
      <c r="V1955" s="404"/>
      <c r="W1955" s="316"/>
      <c r="X1955" s="316"/>
      <c r="Y1955" s="316"/>
      <c r="Z1955" s="316"/>
      <c r="AA1955" s="404"/>
      <c r="AB1955" s="404"/>
      <c r="AC1955" s="404"/>
      <c r="AD1955" s="404"/>
      <c r="AE1955" s="316"/>
      <c r="AF1955" s="316"/>
      <c r="AG1955" s="404"/>
      <c r="AH1955" s="316"/>
      <c r="AI1955" s="316"/>
      <c r="AJ1955" s="316"/>
      <c r="AK1955" s="316"/>
      <c r="AL1955" s="316"/>
      <c r="AM1955" s="416"/>
      <c r="AR1955" s="333"/>
      <c r="AS1955" s="333"/>
      <c r="AT1955" s="333"/>
      <c r="AU1955" s="333"/>
      <c r="AV1955" s="333"/>
    </row>
    <row r="1956" spans="2:48" s="330" customFormat="1" ht="28.15" customHeight="1" x14ac:dyDescent="0.25">
      <c r="B1956" s="331"/>
      <c r="C1956" s="332"/>
      <c r="D1956" s="332"/>
      <c r="E1956" s="333"/>
      <c r="F1956" s="333"/>
      <c r="R1956" s="316"/>
      <c r="S1956" s="404"/>
      <c r="T1956" s="404"/>
      <c r="U1956" s="404"/>
      <c r="V1956" s="404"/>
      <c r="W1956" s="316"/>
      <c r="X1956" s="316"/>
      <c r="Y1956" s="316"/>
      <c r="Z1956" s="316"/>
      <c r="AA1956" s="404"/>
      <c r="AB1956" s="404"/>
      <c r="AC1956" s="404"/>
      <c r="AD1956" s="404"/>
      <c r="AE1956" s="316"/>
      <c r="AF1956" s="316"/>
      <c r="AG1956" s="404"/>
      <c r="AH1956" s="316"/>
      <c r="AI1956" s="316"/>
      <c r="AJ1956" s="316"/>
      <c r="AK1956" s="316"/>
      <c r="AL1956" s="316"/>
      <c r="AM1956" s="416"/>
      <c r="AR1956" s="333"/>
      <c r="AS1956" s="333"/>
      <c r="AT1956" s="333"/>
      <c r="AU1956" s="333"/>
      <c r="AV1956" s="333"/>
    </row>
    <row r="1957" spans="2:48" s="330" customFormat="1" ht="28.15" customHeight="1" x14ac:dyDescent="0.25">
      <c r="B1957" s="331"/>
      <c r="C1957" s="332"/>
      <c r="D1957" s="332"/>
      <c r="E1957" s="333"/>
      <c r="F1957" s="333"/>
      <c r="R1957" s="316"/>
      <c r="S1957" s="404"/>
      <c r="T1957" s="404"/>
      <c r="U1957" s="404"/>
      <c r="V1957" s="404"/>
      <c r="W1957" s="316"/>
      <c r="X1957" s="316"/>
      <c r="Y1957" s="316"/>
      <c r="Z1957" s="316"/>
      <c r="AA1957" s="404"/>
      <c r="AB1957" s="404"/>
      <c r="AC1957" s="404"/>
      <c r="AD1957" s="404"/>
      <c r="AE1957" s="316"/>
      <c r="AF1957" s="316"/>
      <c r="AG1957" s="404"/>
      <c r="AH1957" s="316"/>
      <c r="AI1957" s="316"/>
      <c r="AJ1957" s="316"/>
      <c r="AK1957" s="316"/>
      <c r="AL1957" s="316"/>
      <c r="AM1957" s="416"/>
      <c r="AR1957" s="333"/>
      <c r="AS1957" s="333"/>
      <c r="AT1957" s="333"/>
      <c r="AU1957" s="333"/>
      <c r="AV1957" s="333"/>
    </row>
    <row r="1958" spans="2:48" s="330" customFormat="1" ht="28.15" customHeight="1" x14ac:dyDescent="0.25">
      <c r="B1958" s="331"/>
      <c r="C1958" s="332"/>
      <c r="D1958" s="332"/>
      <c r="E1958" s="333"/>
      <c r="F1958" s="333"/>
      <c r="R1958" s="316"/>
      <c r="S1958" s="404"/>
      <c r="T1958" s="404"/>
      <c r="U1958" s="404"/>
      <c r="V1958" s="404"/>
      <c r="W1958" s="316"/>
      <c r="X1958" s="316"/>
      <c r="Y1958" s="316"/>
      <c r="Z1958" s="316"/>
      <c r="AA1958" s="404"/>
      <c r="AB1958" s="404"/>
      <c r="AC1958" s="404"/>
      <c r="AD1958" s="404"/>
      <c r="AE1958" s="316"/>
      <c r="AF1958" s="316"/>
      <c r="AG1958" s="404"/>
      <c r="AH1958" s="316"/>
      <c r="AI1958" s="316"/>
      <c r="AJ1958" s="316"/>
      <c r="AK1958" s="316"/>
      <c r="AL1958" s="316"/>
      <c r="AM1958" s="416"/>
      <c r="AR1958" s="333"/>
      <c r="AS1958" s="333"/>
      <c r="AT1958" s="333"/>
      <c r="AU1958" s="333"/>
      <c r="AV1958" s="333"/>
    </row>
    <row r="1959" spans="2:48" s="330" customFormat="1" ht="28.15" customHeight="1" x14ac:dyDescent="0.25">
      <c r="B1959" s="331"/>
      <c r="C1959" s="332"/>
      <c r="D1959" s="332"/>
      <c r="E1959" s="333"/>
      <c r="F1959" s="333"/>
      <c r="R1959" s="316"/>
      <c r="S1959" s="404"/>
      <c r="T1959" s="404"/>
      <c r="U1959" s="404"/>
      <c r="V1959" s="404"/>
      <c r="W1959" s="316"/>
      <c r="X1959" s="316"/>
      <c r="Y1959" s="316"/>
      <c r="Z1959" s="316"/>
      <c r="AA1959" s="404"/>
      <c r="AB1959" s="404"/>
      <c r="AC1959" s="404"/>
      <c r="AD1959" s="404"/>
      <c r="AE1959" s="316"/>
      <c r="AF1959" s="316"/>
      <c r="AG1959" s="404"/>
      <c r="AH1959" s="316"/>
      <c r="AI1959" s="316"/>
      <c r="AJ1959" s="316"/>
      <c r="AK1959" s="316"/>
      <c r="AL1959" s="316"/>
      <c r="AM1959" s="416"/>
      <c r="AR1959" s="333"/>
      <c r="AS1959" s="333"/>
      <c r="AT1959" s="333"/>
      <c r="AU1959" s="333"/>
      <c r="AV1959" s="333"/>
    </row>
    <row r="1960" spans="2:48" s="330" customFormat="1" ht="28.15" customHeight="1" x14ac:dyDescent="0.25">
      <c r="B1960" s="331"/>
      <c r="C1960" s="332"/>
      <c r="D1960" s="332"/>
      <c r="E1960" s="333"/>
      <c r="F1960" s="333"/>
      <c r="R1960" s="316"/>
      <c r="S1960" s="404"/>
      <c r="T1960" s="404"/>
      <c r="U1960" s="404"/>
      <c r="V1960" s="404"/>
      <c r="W1960" s="316"/>
      <c r="X1960" s="316"/>
      <c r="Y1960" s="316"/>
      <c r="Z1960" s="316"/>
      <c r="AA1960" s="404"/>
      <c r="AB1960" s="404"/>
      <c r="AC1960" s="404"/>
      <c r="AD1960" s="404"/>
      <c r="AE1960" s="316"/>
      <c r="AF1960" s="316"/>
      <c r="AG1960" s="404"/>
      <c r="AH1960" s="316"/>
      <c r="AI1960" s="316"/>
      <c r="AJ1960" s="316"/>
      <c r="AK1960" s="316"/>
      <c r="AL1960" s="316"/>
      <c r="AM1960" s="416"/>
      <c r="AR1960" s="333"/>
      <c r="AS1960" s="333"/>
      <c r="AT1960" s="333"/>
      <c r="AU1960" s="333"/>
      <c r="AV1960" s="333"/>
    </row>
    <row r="1961" spans="2:48" s="330" customFormat="1" ht="28.15" customHeight="1" x14ac:dyDescent="0.25">
      <c r="B1961" s="331"/>
      <c r="C1961" s="332"/>
      <c r="D1961" s="332"/>
      <c r="E1961" s="333"/>
      <c r="F1961" s="333"/>
      <c r="R1961" s="316"/>
      <c r="S1961" s="404"/>
      <c r="T1961" s="404"/>
      <c r="U1961" s="404"/>
      <c r="V1961" s="404"/>
      <c r="W1961" s="316"/>
      <c r="X1961" s="316"/>
      <c r="Y1961" s="316"/>
      <c r="Z1961" s="316"/>
      <c r="AA1961" s="404"/>
      <c r="AB1961" s="404"/>
      <c r="AC1961" s="404"/>
      <c r="AD1961" s="404"/>
      <c r="AE1961" s="316"/>
      <c r="AF1961" s="316"/>
      <c r="AG1961" s="404"/>
      <c r="AH1961" s="316"/>
      <c r="AI1961" s="316"/>
      <c r="AJ1961" s="316"/>
      <c r="AK1961" s="316"/>
      <c r="AL1961" s="316"/>
      <c r="AM1961" s="416"/>
      <c r="AR1961" s="333"/>
      <c r="AS1961" s="333"/>
      <c r="AT1961" s="333"/>
      <c r="AU1961" s="333"/>
      <c r="AV1961" s="333"/>
    </row>
    <row r="1962" spans="2:48" s="330" customFormat="1" ht="28.15" customHeight="1" x14ac:dyDescent="0.25">
      <c r="B1962" s="331"/>
      <c r="C1962" s="332"/>
      <c r="D1962" s="332"/>
      <c r="E1962" s="333"/>
      <c r="F1962" s="333"/>
      <c r="R1962" s="316"/>
      <c r="S1962" s="404"/>
      <c r="T1962" s="404"/>
      <c r="U1962" s="404"/>
      <c r="V1962" s="404"/>
      <c r="W1962" s="316"/>
      <c r="X1962" s="316"/>
      <c r="Y1962" s="316"/>
      <c r="Z1962" s="316"/>
      <c r="AA1962" s="404"/>
      <c r="AB1962" s="404"/>
      <c r="AC1962" s="404"/>
      <c r="AD1962" s="404"/>
      <c r="AE1962" s="316"/>
      <c r="AF1962" s="316"/>
      <c r="AG1962" s="404"/>
      <c r="AH1962" s="316"/>
      <c r="AI1962" s="316"/>
      <c r="AJ1962" s="316"/>
      <c r="AK1962" s="316"/>
      <c r="AL1962" s="316"/>
      <c r="AM1962" s="416"/>
      <c r="AR1962" s="333"/>
      <c r="AS1962" s="333"/>
      <c r="AT1962" s="333"/>
      <c r="AU1962" s="333"/>
      <c r="AV1962" s="333"/>
    </row>
    <row r="1963" spans="2:48" s="330" customFormat="1" ht="28.15" customHeight="1" x14ac:dyDescent="0.25">
      <c r="B1963" s="331"/>
      <c r="C1963" s="332"/>
      <c r="D1963" s="332"/>
      <c r="E1963" s="333"/>
      <c r="F1963" s="333"/>
      <c r="R1963" s="316"/>
      <c r="S1963" s="404"/>
      <c r="T1963" s="404"/>
      <c r="U1963" s="404"/>
      <c r="V1963" s="404"/>
      <c r="W1963" s="316"/>
      <c r="X1963" s="316"/>
      <c r="Y1963" s="316"/>
      <c r="Z1963" s="316"/>
      <c r="AA1963" s="404"/>
      <c r="AB1963" s="404"/>
      <c r="AC1963" s="404"/>
      <c r="AD1963" s="404"/>
      <c r="AE1963" s="316"/>
      <c r="AF1963" s="316"/>
      <c r="AG1963" s="404"/>
      <c r="AH1963" s="316"/>
      <c r="AI1963" s="316"/>
      <c r="AJ1963" s="316"/>
      <c r="AK1963" s="316"/>
      <c r="AL1963" s="316"/>
      <c r="AM1963" s="416"/>
      <c r="AR1963" s="333"/>
      <c r="AS1963" s="333"/>
      <c r="AT1963" s="333"/>
      <c r="AU1963" s="333"/>
      <c r="AV1963" s="333"/>
    </row>
    <row r="1964" spans="2:48" s="330" customFormat="1" ht="28.15" customHeight="1" x14ac:dyDescent="0.25">
      <c r="B1964" s="331"/>
      <c r="C1964" s="332"/>
      <c r="D1964" s="332"/>
      <c r="E1964" s="333"/>
      <c r="F1964" s="333"/>
      <c r="R1964" s="316"/>
      <c r="S1964" s="404"/>
      <c r="T1964" s="404"/>
      <c r="U1964" s="404"/>
      <c r="V1964" s="404"/>
      <c r="W1964" s="316"/>
      <c r="X1964" s="316"/>
      <c r="Y1964" s="316"/>
      <c r="Z1964" s="316"/>
      <c r="AA1964" s="404"/>
      <c r="AB1964" s="404"/>
      <c r="AC1964" s="404"/>
      <c r="AD1964" s="404"/>
      <c r="AE1964" s="316"/>
      <c r="AF1964" s="316"/>
      <c r="AG1964" s="404"/>
      <c r="AH1964" s="316"/>
      <c r="AI1964" s="316"/>
      <c r="AJ1964" s="316"/>
      <c r="AK1964" s="316"/>
      <c r="AL1964" s="316"/>
      <c r="AM1964" s="416"/>
      <c r="AR1964" s="333"/>
      <c r="AS1964" s="333"/>
      <c r="AT1964" s="333"/>
      <c r="AU1964" s="333"/>
      <c r="AV1964" s="333"/>
    </row>
    <row r="1965" spans="2:48" s="330" customFormat="1" ht="28.15" customHeight="1" x14ac:dyDescent="0.25">
      <c r="B1965" s="331"/>
      <c r="C1965" s="332"/>
      <c r="D1965" s="332"/>
      <c r="E1965" s="333"/>
      <c r="F1965" s="333"/>
      <c r="R1965" s="316"/>
      <c r="S1965" s="404"/>
      <c r="T1965" s="404"/>
      <c r="U1965" s="404"/>
      <c r="V1965" s="404"/>
      <c r="W1965" s="316"/>
      <c r="X1965" s="316"/>
      <c r="Y1965" s="316"/>
      <c r="Z1965" s="316"/>
      <c r="AA1965" s="404"/>
      <c r="AB1965" s="404"/>
      <c r="AC1965" s="404"/>
      <c r="AD1965" s="404"/>
      <c r="AE1965" s="316"/>
      <c r="AF1965" s="316"/>
      <c r="AG1965" s="404"/>
      <c r="AH1965" s="316"/>
      <c r="AI1965" s="316"/>
      <c r="AJ1965" s="316"/>
      <c r="AK1965" s="316"/>
      <c r="AL1965" s="316"/>
      <c r="AM1965" s="416"/>
      <c r="AR1965" s="333"/>
      <c r="AS1965" s="333"/>
      <c r="AT1965" s="333"/>
      <c r="AU1965" s="333"/>
      <c r="AV1965" s="333"/>
    </row>
    <row r="1966" spans="2:48" s="330" customFormat="1" ht="28.15" customHeight="1" x14ac:dyDescent="0.25">
      <c r="B1966" s="331"/>
      <c r="C1966" s="332"/>
      <c r="D1966" s="332"/>
      <c r="E1966" s="333"/>
      <c r="F1966" s="333"/>
      <c r="R1966" s="316"/>
      <c r="S1966" s="404"/>
      <c r="T1966" s="404"/>
      <c r="U1966" s="404"/>
      <c r="V1966" s="404"/>
      <c r="W1966" s="316"/>
      <c r="X1966" s="316"/>
      <c r="Y1966" s="316"/>
      <c r="Z1966" s="316"/>
      <c r="AA1966" s="404"/>
      <c r="AB1966" s="404"/>
      <c r="AC1966" s="404"/>
      <c r="AD1966" s="404"/>
      <c r="AE1966" s="316"/>
      <c r="AF1966" s="316"/>
      <c r="AG1966" s="404"/>
      <c r="AH1966" s="316"/>
      <c r="AI1966" s="316"/>
      <c r="AJ1966" s="316"/>
      <c r="AK1966" s="316"/>
      <c r="AL1966" s="316"/>
      <c r="AM1966" s="416"/>
      <c r="AR1966" s="333"/>
      <c r="AS1966" s="333"/>
      <c r="AT1966" s="333"/>
      <c r="AU1966" s="333"/>
      <c r="AV1966" s="333"/>
    </row>
    <row r="1967" spans="2:48" s="330" customFormat="1" ht="28.15" customHeight="1" x14ac:dyDescent="0.25">
      <c r="B1967" s="331"/>
      <c r="C1967" s="332"/>
      <c r="D1967" s="332"/>
      <c r="E1967" s="333"/>
      <c r="F1967" s="333"/>
      <c r="R1967" s="316"/>
      <c r="S1967" s="404"/>
      <c r="T1967" s="404"/>
      <c r="U1967" s="404"/>
      <c r="V1967" s="404"/>
      <c r="W1967" s="316"/>
      <c r="X1967" s="316"/>
      <c r="Y1967" s="316"/>
      <c r="Z1967" s="316"/>
      <c r="AA1967" s="404"/>
      <c r="AB1967" s="404"/>
      <c r="AC1967" s="404"/>
      <c r="AD1967" s="404"/>
      <c r="AE1967" s="316"/>
      <c r="AF1967" s="316"/>
      <c r="AG1967" s="404"/>
      <c r="AH1967" s="316"/>
      <c r="AI1967" s="316"/>
      <c r="AJ1967" s="316"/>
      <c r="AK1967" s="316"/>
      <c r="AL1967" s="316"/>
      <c r="AM1967" s="416"/>
      <c r="AR1967" s="333"/>
      <c r="AS1967" s="333"/>
      <c r="AT1967" s="333"/>
      <c r="AU1967" s="333"/>
      <c r="AV1967" s="333"/>
    </row>
    <row r="1968" spans="2:48" s="330" customFormat="1" ht="28.15" customHeight="1" x14ac:dyDescent="0.25">
      <c r="B1968" s="331"/>
      <c r="C1968" s="332"/>
      <c r="D1968" s="332"/>
      <c r="E1968" s="333"/>
      <c r="F1968" s="333"/>
      <c r="R1968" s="316"/>
      <c r="S1968" s="404"/>
      <c r="T1968" s="404"/>
      <c r="U1968" s="404"/>
      <c r="V1968" s="404"/>
      <c r="W1968" s="316"/>
      <c r="X1968" s="316"/>
      <c r="Y1968" s="316"/>
      <c r="Z1968" s="316"/>
      <c r="AA1968" s="404"/>
      <c r="AB1968" s="404"/>
      <c r="AC1968" s="404"/>
      <c r="AD1968" s="404"/>
      <c r="AE1968" s="316"/>
      <c r="AF1968" s="316"/>
      <c r="AG1968" s="404"/>
      <c r="AH1968" s="316"/>
      <c r="AI1968" s="316"/>
      <c r="AJ1968" s="316"/>
      <c r="AK1968" s="316"/>
      <c r="AL1968" s="316"/>
      <c r="AM1968" s="416"/>
      <c r="AR1968" s="333"/>
      <c r="AS1968" s="333"/>
      <c r="AT1968" s="333"/>
      <c r="AU1968" s="333"/>
      <c r="AV1968" s="333"/>
    </row>
    <row r="1969" spans="2:48" s="330" customFormat="1" ht="28.15" customHeight="1" x14ac:dyDescent="0.25">
      <c r="B1969" s="331"/>
      <c r="C1969" s="332"/>
      <c r="D1969" s="332"/>
      <c r="E1969" s="333"/>
      <c r="F1969" s="333"/>
      <c r="R1969" s="316"/>
      <c r="S1969" s="404"/>
      <c r="T1969" s="404"/>
      <c r="U1969" s="404"/>
      <c r="V1969" s="404"/>
      <c r="W1969" s="316"/>
      <c r="X1969" s="316"/>
      <c r="Y1969" s="316"/>
      <c r="Z1969" s="316"/>
      <c r="AA1969" s="404"/>
      <c r="AB1969" s="404"/>
      <c r="AC1969" s="404"/>
      <c r="AD1969" s="404"/>
      <c r="AE1969" s="316"/>
      <c r="AF1969" s="316"/>
      <c r="AG1969" s="404"/>
      <c r="AH1969" s="316"/>
      <c r="AI1969" s="316"/>
      <c r="AJ1969" s="316"/>
      <c r="AK1969" s="316"/>
      <c r="AL1969" s="316"/>
      <c r="AM1969" s="416"/>
      <c r="AR1969" s="333"/>
      <c r="AS1969" s="333"/>
      <c r="AT1969" s="333"/>
      <c r="AU1969" s="333"/>
      <c r="AV1969" s="333"/>
    </row>
    <row r="1970" spans="2:48" s="330" customFormat="1" ht="28.15" customHeight="1" x14ac:dyDescent="0.25">
      <c r="B1970" s="331"/>
      <c r="C1970" s="332"/>
      <c r="D1970" s="332"/>
      <c r="E1970" s="333"/>
      <c r="F1970" s="333"/>
      <c r="R1970" s="316"/>
      <c r="S1970" s="404"/>
      <c r="T1970" s="404"/>
      <c r="U1970" s="404"/>
      <c r="V1970" s="404"/>
      <c r="W1970" s="316"/>
      <c r="X1970" s="316"/>
      <c r="Y1970" s="316"/>
      <c r="Z1970" s="316"/>
      <c r="AA1970" s="404"/>
      <c r="AB1970" s="404"/>
      <c r="AC1970" s="404"/>
      <c r="AD1970" s="404"/>
      <c r="AE1970" s="316"/>
      <c r="AF1970" s="316"/>
      <c r="AG1970" s="404"/>
      <c r="AH1970" s="316"/>
      <c r="AI1970" s="316"/>
      <c r="AJ1970" s="316"/>
      <c r="AK1970" s="316"/>
      <c r="AL1970" s="316"/>
      <c r="AM1970" s="416"/>
      <c r="AR1970" s="333"/>
      <c r="AS1970" s="333"/>
      <c r="AT1970" s="333"/>
      <c r="AU1970" s="333"/>
      <c r="AV1970" s="333"/>
    </row>
    <row r="1971" spans="2:48" s="330" customFormat="1" ht="28.15" customHeight="1" x14ac:dyDescent="0.25">
      <c r="B1971" s="331"/>
      <c r="C1971" s="332"/>
      <c r="D1971" s="332"/>
      <c r="E1971" s="333"/>
      <c r="F1971" s="333"/>
      <c r="R1971" s="316"/>
      <c r="S1971" s="404"/>
      <c r="T1971" s="404"/>
      <c r="U1971" s="404"/>
      <c r="V1971" s="404"/>
      <c r="W1971" s="316"/>
      <c r="X1971" s="316"/>
      <c r="Y1971" s="316"/>
      <c r="Z1971" s="316"/>
      <c r="AA1971" s="404"/>
      <c r="AB1971" s="404"/>
      <c r="AC1971" s="404"/>
      <c r="AD1971" s="404"/>
      <c r="AE1971" s="316"/>
      <c r="AF1971" s="316"/>
      <c r="AG1971" s="404"/>
      <c r="AH1971" s="316"/>
      <c r="AI1971" s="316"/>
      <c r="AJ1971" s="316"/>
      <c r="AK1971" s="316"/>
      <c r="AL1971" s="316"/>
      <c r="AM1971" s="416"/>
      <c r="AR1971" s="333"/>
      <c r="AS1971" s="333"/>
      <c r="AT1971" s="333"/>
      <c r="AU1971" s="333"/>
      <c r="AV1971" s="333"/>
    </row>
    <row r="1972" spans="2:48" s="330" customFormat="1" ht="28.15" customHeight="1" x14ac:dyDescent="0.25">
      <c r="B1972" s="331"/>
      <c r="C1972" s="332"/>
      <c r="D1972" s="332"/>
      <c r="E1972" s="333"/>
      <c r="F1972" s="333"/>
      <c r="R1972" s="316"/>
      <c r="S1972" s="404"/>
      <c r="T1972" s="404"/>
      <c r="U1972" s="404"/>
      <c r="V1972" s="404"/>
      <c r="W1972" s="316"/>
      <c r="X1972" s="316"/>
      <c r="Y1972" s="316"/>
      <c r="Z1972" s="316"/>
      <c r="AA1972" s="404"/>
      <c r="AB1972" s="404"/>
      <c r="AC1972" s="404"/>
      <c r="AD1972" s="404"/>
      <c r="AE1972" s="316"/>
      <c r="AF1972" s="316"/>
      <c r="AG1972" s="404"/>
      <c r="AH1972" s="316"/>
      <c r="AI1972" s="316"/>
      <c r="AJ1972" s="316"/>
      <c r="AK1972" s="316"/>
      <c r="AL1972" s="316"/>
      <c r="AM1972" s="416"/>
      <c r="AR1972" s="333"/>
      <c r="AS1972" s="333"/>
      <c r="AT1972" s="333"/>
      <c r="AU1972" s="333"/>
      <c r="AV1972" s="333"/>
    </row>
    <row r="1973" spans="2:48" s="330" customFormat="1" ht="28.15" customHeight="1" x14ac:dyDescent="0.25">
      <c r="B1973" s="331"/>
      <c r="C1973" s="332"/>
      <c r="D1973" s="332"/>
      <c r="E1973" s="333"/>
      <c r="F1973" s="333"/>
      <c r="R1973" s="316"/>
      <c r="S1973" s="404"/>
      <c r="T1973" s="404"/>
      <c r="U1973" s="404"/>
      <c r="V1973" s="404"/>
      <c r="W1973" s="316"/>
      <c r="X1973" s="316"/>
      <c r="Y1973" s="316"/>
      <c r="Z1973" s="316"/>
      <c r="AA1973" s="404"/>
      <c r="AB1973" s="404"/>
      <c r="AC1973" s="404"/>
      <c r="AD1973" s="404"/>
      <c r="AE1973" s="316"/>
      <c r="AF1973" s="316"/>
      <c r="AG1973" s="404"/>
      <c r="AH1973" s="316"/>
      <c r="AI1973" s="316"/>
      <c r="AJ1973" s="316"/>
      <c r="AK1973" s="316"/>
      <c r="AL1973" s="316"/>
      <c r="AM1973" s="416"/>
      <c r="AR1973" s="333"/>
      <c r="AS1973" s="333"/>
      <c r="AT1973" s="333"/>
      <c r="AU1973" s="333"/>
      <c r="AV1973" s="333"/>
    </row>
    <row r="1974" spans="2:48" s="330" customFormat="1" ht="28.15" customHeight="1" x14ac:dyDescent="0.25">
      <c r="B1974" s="331"/>
      <c r="C1974" s="332"/>
      <c r="D1974" s="332"/>
      <c r="E1974" s="333"/>
      <c r="F1974" s="333"/>
      <c r="R1974" s="316"/>
      <c r="S1974" s="404"/>
      <c r="T1974" s="404"/>
      <c r="U1974" s="404"/>
      <c r="V1974" s="404"/>
      <c r="W1974" s="316"/>
      <c r="X1974" s="316"/>
      <c r="Y1974" s="316"/>
      <c r="Z1974" s="316"/>
      <c r="AA1974" s="404"/>
      <c r="AB1974" s="404"/>
      <c r="AC1974" s="404"/>
      <c r="AD1974" s="404"/>
      <c r="AE1974" s="316"/>
      <c r="AF1974" s="316"/>
      <c r="AG1974" s="404"/>
      <c r="AH1974" s="316"/>
      <c r="AI1974" s="316"/>
      <c r="AJ1974" s="316"/>
      <c r="AK1974" s="316"/>
      <c r="AL1974" s="316"/>
      <c r="AM1974" s="416"/>
      <c r="AR1974" s="333"/>
      <c r="AS1974" s="333"/>
      <c r="AT1974" s="333"/>
      <c r="AU1974" s="333"/>
      <c r="AV1974" s="333"/>
    </row>
    <row r="1975" spans="2:48" s="330" customFormat="1" ht="28.15" customHeight="1" x14ac:dyDescent="0.25">
      <c r="B1975" s="331"/>
      <c r="C1975" s="332"/>
      <c r="D1975" s="332"/>
      <c r="E1975" s="333"/>
      <c r="F1975" s="333"/>
      <c r="R1975" s="316"/>
      <c r="S1975" s="404"/>
      <c r="T1975" s="404"/>
      <c r="U1975" s="404"/>
      <c r="V1975" s="404"/>
      <c r="W1975" s="316"/>
      <c r="X1975" s="316"/>
      <c r="Y1975" s="316"/>
      <c r="Z1975" s="316"/>
      <c r="AA1975" s="404"/>
      <c r="AB1975" s="404"/>
      <c r="AC1975" s="404"/>
      <c r="AD1975" s="404"/>
      <c r="AE1975" s="316"/>
      <c r="AF1975" s="316"/>
      <c r="AG1975" s="404"/>
      <c r="AH1975" s="316"/>
      <c r="AI1975" s="316"/>
      <c r="AJ1975" s="316"/>
      <c r="AK1975" s="316"/>
      <c r="AL1975" s="316"/>
      <c r="AM1975" s="416"/>
      <c r="AR1975" s="333"/>
      <c r="AS1975" s="333"/>
      <c r="AT1975" s="333"/>
      <c r="AU1975" s="333"/>
      <c r="AV1975" s="333"/>
    </row>
    <row r="1976" spans="2:48" s="330" customFormat="1" ht="28.15" customHeight="1" x14ac:dyDescent="0.25">
      <c r="B1976" s="331"/>
      <c r="C1976" s="332"/>
      <c r="D1976" s="332"/>
      <c r="E1976" s="333"/>
      <c r="F1976" s="333"/>
      <c r="R1976" s="316"/>
      <c r="S1976" s="404"/>
      <c r="T1976" s="404"/>
      <c r="U1976" s="404"/>
      <c r="V1976" s="404"/>
      <c r="W1976" s="316"/>
      <c r="X1976" s="316"/>
      <c r="Y1976" s="316"/>
      <c r="Z1976" s="316"/>
      <c r="AA1976" s="404"/>
      <c r="AB1976" s="404"/>
      <c r="AC1976" s="404"/>
      <c r="AD1976" s="404"/>
      <c r="AE1976" s="316"/>
      <c r="AF1976" s="316"/>
      <c r="AG1976" s="404"/>
      <c r="AH1976" s="316"/>
      <c r="AI1976" s="316"/>
      <c r="AJ1976" s="316"/>
      <c r="AK1976" s="316"/>
      <c r="AL1976" s="316"/>
      <c r="AM1976" s="416"/>
      <c r="AR1976" s="333"/>
      <c r="AS1976" s="333"/>
      <c r="AT1976" s="333"/>
      <c r="AU1976" s="333"/>
      <c r="AV1976" s="333"/>
    </row>
    <row r="1977" spans="2:48" s="330" customFormat="1" ht="28.15" customHeight="1" x14ac:dyDescent="0.25">
      <c r="B1977" s="331"/>
      <c r="C1977" s="332"/>
      <c r="D1977" s="332"/>
      <c r="E1977" s="333"/>
      <c r="F1977" s="333"/>
      <c r="R1977" s="316"/>
      <c r="S1977" s="404"/>
      <c r="T1977" s="404"/>
      <c r="U1977" s="404"/>
      <c r="V1977" s="404"/>
      <c r="W1977" s="316"/>
      <c r="X1977" s="316"/>
      <c r="Y1977" s="316"/>
      <c r="Z1977" s="316"/>
      <c r="AA1977" s="404"/>
      <c r="AB1977" s="404"/>
      <c r="AC1977" s="404"/>
      <c r="AD1977" s="404"/>
      <c r="AE1977" s="316"/>
      <c r="AF1977" s="316"/>
      <c r="AG1977" s="404"/>
      <c r="AH1977" s="316"/>
      <c r="AI1977" s="316"/>
      <c r="AJ1977" s="316"/>
      <c r="AK1977" s="316"/>
      <c r="AL1977" s="316"/>
      <c r="AM1977" s="416"/>
      <c r="AR1977" s="333"/>
      <c r="AS1977" s="333"/>
      <c r="AT1977" s="333"/>
      <c r="AU1977" s="333"/>
      <c r="AV1977" s="333"/>
    </row>
    <row r="1978" spans="2:48" s="330" customFormat="1" ht="28.15" customHeight="1" x14ac:dyDescent="0.25">
      <c r="B1978" s="331"/>
      <c r="C1978" s="332"/>
      <c r="D1978" s="332"/>
      <c r="E1978" s="333"/>
      <c r="F1978" s="333"/>
      <c r="R1978" s="316"/>
      <c r="S1978" s="404"/>
      <c r="T1978" s="404"/>
      <c r="U1978" s="404"/>
      <c r="V1978" s="404"/>
      <c r="W1978" s="316"/>
      <c r="X1978" s="316"/>
      <c r="Y1978" s="316"/>
      <c r="Z1978" s="316"/>
      <c r="AA1978" s="404"/>
      <c r="AB1978" s="404"/>
      <c r="AC1978" s="404"/>
      <c r="AD1978" s="404"/>
      <c r="AE1978" s="316"/>
      <c r="AF1978" s="316"/>
      <c r="AG1978" s="404"/>
      <c r="AH1978" s="316"/>
      <c r="AI1978" s="316"/>
      <c r="AJ1978" s="316"/>
      <c r="AK1978" s="316"/>
      <c r="AL1978" s="316"/>
      <c r="AM1978" s="416"/>
      <c r="AR1978" s="333"/>
      <c r="AS1978" s="333"/>
      <c r="AT1978" s="333"/>
      <c r="AU1978" s="333"/>
      <c r="AV1978" s="333"/>
    </row>
    <row r="1979" spans="2:48" s="330" customFormat="1" ht="28.15" customHeight="1" x14ac:dyDescent="0.25">
      <c r="B1979" s="331"/>
      <c r="C1979" s="332"/>
      <c r="D1979" s="332"/>
      <c r="E1979" s="333"/>
      <c r="F1979" s="333"/>
      <c r="R1979" s="316"/>
      <c r="S1979" s="404"/>
      <c r="T1979" s="404"/>
      <c r="U1979" s="404"/>
      <c r="V1979" s="404"/>
      <c r="W1979" s="316"/>
      <c r="X1979" s="316"/>
      <c r="Y1979" s="316"/>
      <c r="Z1979" s="316"/>
      <c r="AA1979" s="404"/>
      <c r="AB1979" s="404"/>
      <c r="AC1979" s="404"/>
      <c r="AD1979" s="404"/>
      <c r="AE1979" s="316"/>
      <c r="AF1979" s="316"/>
      <c r="AG1979" s="404"/>
      <c r="AH1979" s="316"/>
      <c r="AI1979" s="316"/>
      <c r="AJ1979" s="316"/>
      <c r="AK1979" s="316"/>
      <c r="AL1979" s="316"/>
      <c r="AM1979" s="416"/>
      <c r="AR1979" s="333"/>
      <c r="AS1979" s="333"/>
      <c r="AT1979" s="333"/>
      <c r="AU1979" s="333"/>
      <c r="AV1979" s="333"/>
    </row>
    <row r="1980" spans="2:48" s="330" customFormat="1" ht="28.15" customHeight="1" x14ac:dyDescent="0.25">
      <c r="B1980" s="331"/>
      <c r="C1980" s="332"/>
      <c r="D1980" s="332"/>
      <c r="E1980" s="333"/>
      <c r="F1980" s="333"/>
      <c r="R1980" s="316"/>
      <c r="S1980" s="404"/>
      <c r="T1980" s="404"/>
      <c r="U1980" s="404"/>
      <c r="V1980" s="404"/>
      <c r="W1980" s="316"/>
      <c r="X1980" s="316"/>
      <c r="Y1980" s="316"/>
      <c r="Z1980" s="316"/>
      <c r="AA1980" s="404"/>
      <c r="AB1980" s="404"/>
      <c r="AC1980" s="404"/>
      <c r="AD1980" s="404"/>
      <c r="AE1980" s="316"/>
      <c r="AF1980" s="316"/>
      <c r="AG1980" s="404"/>
      <c r="AH1980" s="316"/>
      <c r="AI1980" s="316"/>
      <c r="AJ1980" s="316"/>
      <c r="AK1980" s="316"/>
      <c r="AL1980" s="316"/>
      <c r="AM1980" s="416"/>
      <c r="AR1980" s="333"/>
      <c r="AS1980" s="333"/>
      <c r="AT1980" s="333"/>
      <c r="AU1980" s="333"/>
      <c r="AV1980" s="333"/>
    </row>
    <row r="1981" spans="2:48" s="330" customFormat="1" ht="28.15" customHeight="1" x14ac:dyDescent="0.25">
      <c r="B1981" s="331"/>
      <c r="C1981" s="332"/>
      <c r="D1981" s="332"/>
      <c r="E1981" s="333"/>
      <c r="F1981" s="333"/>
      <c r="R1981" s="316"/>
      <c r="S1981" s="404"/>
      <c r="T1981" s="404"/>
      <c r="U1981" s="404"/>
      <c r="V1981" s="404"/>
      <c r="W1981" s="316"/>
      <c r="X1981" s="316"/>
      <c r="Y1981" s="316"/>
      <c r="Z1981" s="316"/>
      <c r="AA1981" s="404"/>
      <c r="AB1981" s="404"/>
      <c r="AC1981" s="404"/>
      <c r="AD1981" s="404"/>
      <c r="AE1981" s="316"/>
      <c r="AF1981" s="316"/>
      <c r="AG1981" s="404"/>
      <c r="AH1981" s="316"/>
      <c r="AI1981" s="316"/>
      <c r="AJ1981" s="316"/>
      <c r="AK1981" s="316"/>
      <c r="AL1981" s="316"/>
      <c r="AM1981" s="416"/>
      <c r="AR1981" s="333"/>
      <c r="AS1981" s="333"/>
      <c r="AT1981" s="333"/>
      <c r="AU1981" s="333"/>
      <c r="AV1981" s="333"/>
    </row>
    <row r="1982" spans="2:48" s="330" customFormat="1" ht="28.15" customHeight="1" x14ac:dyDescent="0.25">
      <c r="B1982" s="331"/>
      <c r="C1982" s="332"/>
      <c r="D1982" s="332"/>
      <c r="E1982" s="333"/>
      <c r="F1982" s="333"/>
      <c r="R1982" s="316"/>
      <c r="S1982" s="404"/>
      <c r="T1982" s="404"/>
      <c r="U1982" s="404"/>
      <c r="V1982" s="404"/>
      <c r="W1982" s="316"/>
      <c r="X1982" s="316"/>
      <c r="Y1982" s="316"/>
      <c r="Z1982" s="316"/>
      <c r="AA1982" s="404"/>
      <c r="AB1982" s="404"/>
      <c r="AC1982" s="404"/>
      <c r="AD1982" s="404"/>
      <c r="AE1982" s="316"/>
      <c r="AF1982" s="316"/>
      <c r="AG1982" s="404"/>
      <c r="AH1982" s="316"/>
      <c r="AI1982" s="316"/>
      <c r="AJ1982" s="316"/>
      <c r="AK1982" s="316"/>
      <c r="AL1982" s="316"/>
      <c r="AM1982" s="416"/>
      <c r="AR1982" s="333"/>
      <c r="AS1982" s="333"/>
      <c r="AT1982" s="333"/>
      <c r="AU1982" s="333"/>
      <c r="AV1982" s="333"/>
    </row>
    <row r="1983" spans="2:48" s="330" customFormat="1" ht="28.15" customHeight="1" x14ac:dyDescent="0.25">
      <c r="B1983" s="331"/>
      <c r="C1983" s="332"/>
      <c r="D1983" s="332"/>
      <c r="E1983" s="333"/>
      <c r="F1983" s="333"/>
      <c r="R1983" s="316"/>
      <c r="S1983" s="404"/>
      <c r="T1983" s="404"/>
      <c r="U1983" s="404"/>
      <c r="V1983" s="404"/>
      <c r="W1983" s="316"/>
      <c r="X1983" s="316"/>
      <c r="Y1983" s="316"/>
      <c r="Z1983" s="316"/>
      <c r="AA1983" s="404"/>
      <c r="AB1983" s="404"/>
      <c r="AC1983" s="404"/>
      <c r="AD1983" s="404"/>
      <c r="AE1983" s="316"/>
      <c r="AF1983" s="316"/>
      <c r="AG1983" s="404"/>
      <c r="AH1983" s="316"/>
      <c r="AI1983" s="316"/>
      <c r="AJ1983" s="316"/>
      <c r="AK1983" s="316"/>
      <c r="AL1983" s="316"/>
      <c r="AM1983" s="416"/>
      <c r="AR1983" s="333"/>
      <c r="AS1983" s="333"/>
      <c r="AT1983" s="333"/>
      <c r="AU1983" s="333"/>
      <c r="AV1983" s="333"/>
    </row>
    <row r="1984" spans="2:48" s="330" customFormat="1" ht="28.15" customHeight="1" x14ac:dyDescent="0.25">
      <c r="B1984" s="331"/>
      <c r="C1984" s="332"/>
      <c r="D1984" s="332"/>
      <c r="E1984" s="333"/>
      <c r="F1984" s="333"/>
      <c r="R1984" s="316"/>
      <c r="S1984" s="404"/>
      <c r="T1984" s="404"/>
      <c r="U1984" s="404"/>
      <c r="V1984" s="404"/>
      <c r="W1984" s="316"/>
      <c r="X1984" s="316"/>
      <c r="Y1984" s="316"/>
      <c r="Z1984" s="316"/>
      <c r="AA1984" s="404"/>
      <c r="AB1984" s="404"/>
      <c r="AC1984" s="404"/>
      <c r="AD1984" s="404"/>
      <c r="AE1984" s="316"/>
      <c r="AF1984" s="316"/>
      <c r="AG1984" s="404"/>
      <c r="AH1984" s="316"/>
      <c r="AI1984" s="316"/>
      <c r="AJ1984" s="316"/>
      <c r="AK1984" s="316"/>
      <c r="AL1984" s="316"/>
      <c r="AM1984" s="416"/>
      <c r="AR1984" s="333"/>
      <c r="AS1984" s="333"/>
      <c r="AT1984" s="333"/>
      <c r="AU1984" s="333"/>
      <c r="AV1984" s="333"/>
    </row>
    <row r="1985" spans="2:48" s="330" customFormat="1" ht="28.15" customHeight="1" x14ac:dyDescent="0.25">
      <c r="B1985" s="331"/>
      <c r="C1985" s="332"/>
      <c r="D1985" s="332"/>
      <c r="E1985" s="333"/>
      <c r="F1985" s="333"/>
      <c r="R1985" s="316"/>
      <c r="S1985" s="404"/>
      <c r="T1985" s="404"/>
      <c r="U1985" s="404"/>
      <c r="V1985" s="404"/>
      <c r="W1985" s="316"/>
      <c r="X1985" s="316"/>
      <c r="Y1985" s="316"/>
      <c r="Z1985" s="316"/>
      <c r="AA1985" s="404"/>
      <c r="AB1985" s="404"/>
      <c r="AC1985" s="404"/>
      <c r="AD1985" s="404"/>
      <c r="AE1985" s="316"/>
      <c r="AF1985" s="316"/>
      <c r="AG1985" s="404"/>
      <c r="AH1985" s="316"/>
      <c r="AI1985" s="316"/>
      <c r="AJ1985" s="316"/>
      <c r="AK1985" s="316"/>
      <c r="AL1985" s="316"/>
      <c r="AM1985" s="416"/>
      <c r="AR1985" s="333"/>
      <c r="AS1985" s="333"/>
      <c r="AT1985" s="333"/>
      <c r="AU1985" s="333"/>
      <c r="AV1985" s="333"/>
    </row>
    <row r="1986" spans="2:48" s="330" customFormat="1" ht="28.15" customHeight="1" x14ac:dyDescent="0.25">
      <c r="B1986" s="331"/>
      <c r="C1986" s="332"/>
      <c r="D1986" s="332"/>
      <c r="E1986" s="333"/>
      <c r="F1986" s="333"/>
      <c r="R1986" s="316"/>
      <c r="S1986" s="404"/>
      <c r="T1986" s="404"/>
      <c r="U1986" s="404"/>
      <c r="V1986" s="404"/>
      <c r="W1986" s="316"/>
      <c r="X1986" s="316"/>
      <c r="Y1986" s="316"/>
      <c r="Z1986" s="316"/>
      <c r="AA1986" s="404"/>
      <c r="AB1986" s="404"/>
      <c r="AC1986" s="404"/>
      <c r="AD1986" s="404"/>
      <c r="AE1986" s="316"/>
      <c r="AF1986" s="316"/>
      <c r="AG1986" s="404"/>
      <c r="AH1986" s="316"/>
      <c r="AI1986" s="316"/>
      <c r="AJ1986" s="316"/>
      <c r="AK1986" s="316"/>
      <c r="AL1986" s="316"/>
      <c r="AM1986" s="416"/>
      <c r="AR1986" s="333"/>
      <c r="AS1986" s="333"/>
      <c r="AT1986" s="333"/>
      <c r="AU1986" s="333"/>
      <c r="AV1986" s="333"/>
    </row>
    <row r="1987" spans="2:48" s="330" customFormat="1" ht="28.15" customHeight="1" x14ac:dyDescent="0.25">
      <c r="B1987" s="331"/>
      <c r="C1987" s="332"/>
      <c r="D1987" s="332"/>
      <c r="E1987" s="333"/>
      <c r="F1987" s="333"/>
      <c r="R1987" s="316"/>
      <c r="S1987" s="404"/>
      <c r="T1987" s="404"/>
      <c r="U1987" s="404"/>
      <c r="V1987" s="404"/>
      <c r="W1987" s="316"/>
      <c r="X1987" s="316"/>
      <c r="Y1987" s="316"/>
      <c r="Z1987" s="316"/>
      <c r="AA1987" s="404"/>
      <c r="AB1987" s="404"/>
      <c r="AC1987" s="404"/>
      <c r="AD1987" s="404"/>
      <c r="AE1987" s="316"/>
      <c r="AF1987" s="316"/>
      <c r="AG1987" s="404"/>
      <c r="AH1987" s="316"/>
      <c r="AI1987" s="316"/>
      <c r="AJ1987" s="316"/>
      <c r="AK1987" s="316"/>
      <c r="AL1987" s="316"/>
      <c r="AM1987" s="416"/>
      <c r="AR1987" s="333"/>
      <c r="AS1987" s="333"/>
      <c r="AT1987" s="333"/>
      <c r="AU1987" s="333"/>
      <c r="AV1987" s="333"/>
    </row>
    <row r="1988" spans="2:48" s="330" customFormat="1" ht="28.15" customHeight="1" x14ac:dyDescent="0.25">
      <c r="B1988" s="331"/>
      <c r="C1988" s="332"/>
      <c r="D1988" s="332"/>
      <c r="E1988" s="333"/>
      <c r="F1988" s="333"/>
      <c r="R1988" s="316"/>
      <c r="S1988" s="404"/>
      <c r="T1988" s="404"/>
      <c r="U1988" s="404"/>
      <c r="V1988" s="404"/>
      <c r="W1988" s="316"/>
      <c r="X1988" s="316"/>
      <c r="Y1988" s="316"/>
      <c r="Z1988" s="316"/>
      <c r="AA1988" s="404"/>
      <c r="AB1988" s="404"/>
      <c r="AC1988" s="404"/>
      <c r="AD1988" s="404"/>
      <c r="AE1988" s="316"/>
      <c r="AF1988" s="316"/>
      <c r="AG1988" s="404"/>
      <c r="AH1988" s="316"/>
      <c r="AI1988" s="316"/>
      <c r="AJ1988" s="316"/>
      <c r="AK1988" s="316"/>
      <c r="AL1988" s="316"/>
      <c r="AM1988" s="416"/>
      <c r="AR1988" s="333"/>
      <c r="AS1988" s="333"/>
      <c r="AT1988" s="333"/>
      <c r="AU1988" s="333"/>
      <c r="AV1988" s="333"/>
    </row>
    <row r="1989" spans="2:48" s="330" customFormat="1" ht="28.15" customHeight="1" x14ac:dyDescent="0.25">
      <c r="B1989" s="331"/>
      <c r="C1989" s="332"/>
      <c r="D1989" s="332"/>
      <c r="E1989" s="333"/>
      <c r="F1989" s="333"/>
      <c r="R1989" s="316"/>
      <c r="S1989" s="404"/>
      <c r="T1989" s="404"/>
      <c r="U1989" s="404"/>
      <c r="V1989" s="404"/>
      <c r="W1989" s="316"/>
      <c r="X1989" s="316"/>
      <c r="Y1989" s="316"/>
      <c r="Z1989" s="316"/>
      <c r="AA1989" s="404"/>
      <c r="AB1989" s="404"/>
      <c r="AC1989" s="404"/>
      <c r="AD1989" s="404"/>
      <c r="AE1989" s="316"/>
      <c r="AF1989" s="316"/>
      <c r="AG1989" s="404"/>
      <c r="AH1989" s="316"/>
      <c r="AI1989" s="316"/>
      <c r="AJ1989" s="316"/>
      <c r="AK1989" s="316"/>
      <c r="AL1989" s="316"/>
      <c r="AM1989" s="416"/>
      <c r="AR1989" s="333"/>
      <c r="AS1989" s="333"/>
      <c r="AT1989" s="333"/>
      <c r="AU1989" s="333"/>
      <c r="AV1989" s="333"/>
    </row>
    <row r="1990" spans="2:48" s="330" customFormat="1" ht="28.15" customHeight="1" x14ac:dyDescent="0.25">
      <c r="B1990" s="331"/>
      <c r="C1990" s="332"/>
      <c r="D1990" s="332"/>
      <c r="E1990" s="333"/>
      <c r="F1990" s="333"/>
      <c r="R1990" s="316"/>
      <c r="S1990" s="404"/>
      <c r="T1990" s="404"/>
      <c r="U1990" s="404"/>
      <c r="V1990" s="404"/>
      <c r="W1990" s="316"/>
      <c r="X1990" s="316"/>
      <c r="Y1990" s="316"/>
      <c r="Z1990" s="316"/>
      <c r="AA1990" s="404"/>
      <c r="AB1990" s="404"/>
      <c r="AC1990" s="404"/>
      <c r="AD1990" s="404"/>
      <c r="AE1990" s="316"/>
      <c r="AF1990" s="316"/>
      <c r="AG1990" s="404"/>
      <c r="AH1990" s="316"/>
      <c r="AI1990" s="316"/>
      <c r="AJ1990" s="316"/>
      <c r="AK1990" s="316"/>
      <c r="AL1990" s="316"/>
      <c r="AM1990" s="416"/>
      <c r="AR1990" s="333"/>
      <c r="AS1990" s="333"/>
      <c r="AT1990" s="333"/>
      <c r="AU1990" s="333"/>
      <c r="AV1990" s="333"/>
    </row>
    <row r="1991" spans="2:48" s="330" customFormat="1" ht="28.15" customHeight="1" x14ac:dyDescent="0.25">
      <c r="B1991" s="331"/>
      <c r="C1991" s="332"/>
      <c r="D1991" s="332"/>
      <c r="E1991" s="333"/>
      <c r="F1991" s="333"/>
      <c r="R1991" s="316"/>
      <c r="S1991" s="404"/>
      <c r="T1991" s="404"/>
      <c r="U1991" s="404"/>
      <c r="V1991" s="404"/>
      <c r="W1991" s="316"/>
      <c r="X1991" s="316"/>
      <c r="Y1991" s="316"/>
      <c r="Z1991" s="316"/>
      <c r="AA1991" s="404"/>
      <c r="AB1991" s="404"/>
      <c r="AC1991" s="404"/>
      <c r="AD1991" s="404"/>
      <c r="AE1991" s="316"/>
      <c r="AF1991" s="316"/>
      <c r="AG1991" s="404"/>
      <c r="AH1991" s="316"/>
      <c r="AI1991" s="316"/>
      <c r="AJ1991" s="316"/>
      <c r="AK1991" s="316"/>
      <c r="AL1991" s="316"/>
      <c r="AM1991" s="416"/>
      <c r="AR1991" s="333"/>
      <c r="AS1991" s="333"/>
      <c r="AT1991" s="333"/>
      <c r="AU1991" s="333"/>
      <c r="AV1991" s="333"/>
    </row>
    <row r="1992" spans="2:48" s="330" customFormat="1" ht="28.15" customHeight="1" x14ac:dyDescent="0.25">
      <c r="B1992" s="331"/>
      <c r="C1992" s="332"/>
      <c r="D1992" s="332"/>
      <c r="E1992" s="333"/>
      <c r="F1992" s="333"/>
      <c r="R1992" s="316"/>
      <c r="S1992" s="404"/>
      <c r="T1992" s="404"/>
      <c r="U1992" s="404"/>
      <c r="V1992" s="404"/>
      <c r="W1992" s="316"/>
      <c r="X1992" s="316"/>
      <c r="Y1992" s="316"/>
      <c r="Z1992" s="316"/>
      <c r="AA1992" s="404"/>
      <c r="AB1992" s="404"/>
      <c r="AC1992" s="404"/>
      <c r="AD1992" s="404"/>
      <c r="AE1992" s="316"/>
      <c r="AF1992" s="316"/>
      <c r="AG1992" s="404"/>
      <c r="AH1992" s="316"/>
      <c r="AI1992" s="316"/>
      <c r="AJ1992" s="316"/>
      <c r="AK1992" s="316"/>
      <c r="AL1992" s="316"/>
      <c r="AM1992" s="416"/>
      <c r="AR1992" s="333"/>
      <c r="AS1992" s="333"/>
      <c r="AT1992" s="333"/>
      <c r="AU1992" s="333"/>
      <c r="AV1992" s="333"/>
    </row>
    <row r="1993" spans="2:48" s="330" customFormat="1" ht="28.15" customHeight="1" x14ac:dyDescent="0.25">
      <c r="B1993" s="331"/>
      <c r="C1993" s="332"/>
      <c r="D1993" s="332"/>
      <c r="E1993" s="333"/>
      <c r="F1993" s="333"/>
      <c r="R1993" s="316"/>
      <c r="S1993" s="404"/>
      <c r="T1993" s="404"/>
      <c r="U1993" s="404"/>
      <c r="V1993" s="404"/>
      <c r="W1993" s="316"/>
      <c r="X1993" s="316"/>
      <c r="Y1993" s="316"/>
      <c r="Z1993" s="316"/>
      <c r="AA1993" s="404"/>
      <c r="AB1993" s="404"/>
      <c r="AC1993" s="404"/>
      <c r="AD1993" s="404"/>
      <c r="AE1993" s="316"/>
      <c r="AF1993" s="316"/>
      <c r="AG1993" s="404"/>
      <c r="AH1993" s="316"/>
      <c r="AI1993" s="316"/>
      <c r="AJ1993" s="316"/>
      <c r="AK1993" s="316"/>
      <c r="AL1993" s="316"/>
      <c r="AM1993" s="416"/>
      <c r="AR1993" s="333"/>
      <c r="AS1993" s="333"/>
      <c r="AT1993" s="333"/>
      <c r="AU1993" s="333"/>
      <c r="AV1993" s="333"/>
    </row>
    <row r="1994" spans="2:48" s="330" customFormat="1" ht="28.15" customHeight="1" x14ac:dyDescent="0.25">
      <c r="B1994" s="331"/>
      <c r="C1994" s="332"/>
      <c r="D1994" s="332"/>
      <c r="E1994" s="333"/>
      <c r="F1994" s="333"/>
      <c r="R1994" s="316"/>
      <c r="S1994" s="404"/>
      <c r="T1994" s="404"/>
      <c r="U1994" s="404"/>
      <c r="V1994" s="404"/>
      <c r="W1994" s="316"/>
      <c r="X1994" s="316"/>
      <c r="Y1994" s="316"/>
      <c r="Z1994" s="316"/>
      <c r="AA1994" s="404"/>
      <c r="AB1994" s="404"/>
      <c r="AC1994" s="404"/>
      <c r="AD1994" s="404"/>
      <c r="AE1994" s="316"/>
      <c r="AF1994" s="316"/>
      <c r="AG1994" s="404"/>
      <c r="AH1994" s="316"/>
      <c r="AI1994" s="316"/>
      <c r="AJ1994" s="316"/>
      <c r="AK1994" s="316"/>
      <c r="AL1994" s="316"/>
      <c r="AM1994" s="416"/>
      <c r="AR1994" s="333"/>
      <c r="AS1994" s="333"/>
      <c r="AT1994" s="333"/>
      <c r="AU1994" s="333"/>
      <c r="AV1994" s="333"/>
    </row>
    <row r="1995" spans="2:48" s="330" customFormat="1" ht="28.15" customHeight="1" x14ac:dyDescent="0.25">
      <c r="B1995" s="331"/>
      <c r="C1995" s="332"/>
      <c r="D1995" s="332"/>
      <c r="E1995" s="333"/>
      <c r="F1995" s="333"/>
      <c r="R1995" s="316"/>
      <c r="S1995" s="404"/>
      <c r="T1995" s="404"/>
      <c r="U1995" s="404"/>
      <c r="V1995" s="404"/>
      <c r="W1995" s="316"/>
      <c r="X1995" s="316"/>
      <c r="Y1995" s="316"/>
      <c r="Z1995" s="316"/>
      <c r="AA1995" s="404"/>
      <c r="AB1995" s="404"/>
      <c r="AC1995" s="404"/>
      <c r="AD1995" s="404"/>
      <c r="AE1995" s="316"/>
      <c r="AF1995" s="316"/>
      <c r="AG1995" s="404"/>
      <c r="AH1995" s="316"/>
      <c r="AI1995" s="316"/>
      <c r="AJ1995" s="316"/>
      <c r="AK1995" s="316"/>
      <c r="AL1995" s="316"/>
      <c r="AM1995" s="416"/>
      <c r="AR1995" s="333"/>
      <c r="AS1995" s="333"/>
      <c r="AT1995" s="333"/>
      <c r="AU1995" s="333"/>
      <c r="AV1995" s="333"/>
    </row>
    <row r="1996" spans="2:48" s="330" customFormat="1" ht="28.15" customHeight="1" x14ac:dyDescent="0.25">
      <c r="B1996" s="331"/>
      <c r="C1996" s="332"/>
      <c r="D1996" s="332"/>
      <c r="E1996" s="333"/>
      <c r="F1996" s="333"/>
      <c r="R1996" s="316"/>
      <c r="S1996" s="404"/>
      <c r="T1996" s="404"/>
      <c r="U1996" s="404"/>
      <c r="V1996" s="404"/>
      <c r="W1996" s="316"/>
      <c r="X1996" s="316"/>
      <c r="Y1996" s="316"/>
      <c r="Z1996" s="316"/>
      <c r="AA1996" s="404"/>
      <c r="AB1996" s="404"/>
      <c r="AC1996" s="404"/>
      <c r="AD1996" s="404"/>
      <c r="AE1996" s="316"/>
      <c r="AF1996" s="316"/>
      <c r="AG1996" s="404"/>
      <c r="AH1996" s="316"/>
      <c r="AI1996" s="316"/>
      <c r="AJ1996" s="316"/>
      <c r="AK1996" s="316"/>
      <c r="AL1996" s="316"/>
      <c r="AM1996" s="416"/>
      <c r="AR1996" s="333"/>
      <c r="AS1996" s="333"/>
      <c r="AT1996" s="333"/>
      <c r="AU1996" s="333"/>
      <c r="AV1996" s="333"/>
    </row>
    <row r="1997" spans="2:48" s="330" customFormat="1" ht="28.15" customHeight="1" x14ac:dyDescent="0.25">
      <c r="B1997" s="331"/>
      <c r="C1997" s="332"/>
      <c r="D1997" s="332"/>
      <c r="E1997" s="333"/>
      <c r="F1997" s="333"/>
      <c r="R1997" s="316"/>
      <c r="S1997" s="404"/>
      <c r="T1997" s="404"/>
      <c r="U1997" s="404"/>
      <c r="V1997" s="404"/>
      <c r="W1997" s="316"/>
      <c r="X1997" s="316"/>
      <c r="Y1997" s="316"/>
      <c r="Z1997" s="316"/>
      <c r="AA1997" s="404"/>
      <c r="AB1997" s="404"/>
      <c r="AC1997" s="404"/>
      <c r="AD1997" s="404"/>
      <c r="AE1997" s="316"/>
      <c r="AF1997" s="316"/>
      <c r="AG1997" s="404"/>
      <c r="AH1997" s="316"/>
      <c r="AI1997" s="316"/>
      <c r="AJ1997" s="316"/>
      <c r="AK1997" s="316"/>
      <c r="AL1997" s="316"/>
      <c r="AM1997" s="416"/>
      <c r="AR1997" s="333"/>
      <c r="AS1997" s="333"/>
      <c r="AT1997" s="333"/>
      <c r="AU1997" s="333"/>
      <c r="AV1997" s="333"/>
    </row>
    <row r="1998" spans="2:48" s="330" customFormat="1" ht="28.15" customHeight="1" x14ac:dyDescent="0.25">
      <c r="B1998" s="331"/>
      <c r="C1998" s="332"/>
      <c r="D1998" s="332"/>
      <c r="E1998" s="333"/>
      <c r="F1998" s="333"/>
      <c r="R1998" s="316"/>
      <c r="S1998" s="404"/>
      <c r="T1998" s="404"/>
      <c r="U1998" s="404"/>
      <c r="V1998" s="404"/>
      <c r="W1998" s="316"/>
      <c r="X1998" s="316"/>
      <c r="Y1998" s="316"/>
      <c r="Z1998" s="316"/>
      <c r="AA1998" s="404"/>
      <c r="AB1998" s="404"/>
      <c r="AC1998" s="404"/>
      <c r="AD1998" s="404"/>
      <c r="AE1998" s="316"/>
      <c r="AF1998" s="316"/>
      <c r="AG1998" s="404"/>
      <c r="AH1998" s="316"/>
      <c r="AI1998" s="316"/>
      <c r="AJ1998" s="316"/>
      <c r="AK1998" s="316"/>
      <c r="AL1998" s="316"/>
      <c r="AM1998" s="416"/>
      <c r="AR1998" s="333"/>
      <c r="AS1998" s="333"/>
      <c r="AT1998" s="333"/>
      <c r="AU1998" s="333"/>
      <c r="AV1998" s="333"/>
    </row>
    <row r="1999" spans="2:48" s="330" customFormat="1" ht="28.15" customHeight="1" x14ac:dyDescent="0.25">
      <c r="B1999" s="331"/>
      <c r="C1999" s="332"/>
      <c r="D1999" s="332"/>
      <c r="E1999" s="333"/>
      <c r="F1999" s="333"/>
      <c r="R1999" s="316"/>
      <c r="S1999" s="404"/>
      <c r="T1999" s="404"/>
      <c r="U1999" s="404"/>
      <c r="V1999" s="404"/>
      <c r="W1999" s="316"/>
      <c r="X1999" s="316"/>
      <c r="Y1999" s="316"/>
      <c r="Z1999" s="316"/>
      <c r="AA1999" s="404"/>
      <c r="AB1999" s="404"/>
      <c r="AC1999" s="404"/>
      <c r="AD1999" s="404"/>
      <c r="AE1999" s="316"/>
      <c r="AF1999" s="316"/>
      <c r="AG1999" s="404"/>
      <c r="AH1999" s="316"/>
      <c r="AI1999" s="316"/>
      <c r="AJ1999" s="316"/>
      <c r="AK1999" s="316"/>
      <c r="AL1999" s="316"/>
      <c r="AM1999" s="416"/>
      <c r="AR1999" s="333"/>
      <c r="AS1999" s="333"/>
      <c r="AT1999" s="333"/>
      <c r="AU1999" s="333"/>
      <c r="AV1999" s="333"/>
    </row>
    <row r="2000" spans="2:48" s="330" customFormat="1" ht="28.15" customHeight="1" x14ac:dyDescent="0.25">
      <c r="B2000" s="331"/>
      <c r="C2000" s="332"/>
      <c r="D2000" s="332"/>
      <c r="E2000" s="333"/>
      <c r="F2000" s="333"/>
      <c r="R2000" s="316"/>
      <c r="S2000" s="404"/>
      <c r="T2000" s="404"/>
      <c r="U2000" s="404"/>
      <c r="V2000" s="404"/>
      <c r="W2000" s="316"/>
      <c r="X2000" s="316"/>
      <c r="Y2000" s="316"/>
      <c r="Z2000" s="316"/>
      <c r="AA2000" s="404"/>
      <c r="AB2000" s="404"/>
      <c r="AC2000" s="404"/>
      <c r="AD2000" s="404"/>
      <c r="AE2000" s="316"/>
      <c r="AF2000" s="316"/>
      <c r="AG2000" s="404"/>
      <c r="AH2000" s="316"/>
      <c r="AI2000" s="316"/>
      <c r="AJ2000" s="316"/>
      <c r="AK2000" s="316"/>
      <c r="AL2000" s="316"/>
      <c r="AM2000" s="416"/>
      <c r="AR2000" s="333"/>
      <c r="AS2000" s="333"/>
      <c r="AT2000" s="333"/>
      <c r="AU2000" s="333"/>
      <c r="AV2000" s="333"/>
    </row>
    <row r="2001" spans="2:48" s="330" customFormat="1" ht="28.15" customHeight="1" x14ac:dyDescent="0.25">
      <c r="B2001" s="331"/>
      <c r="C2001" s="332"/>
      <c r="D2001" s="332"/>
      <c r="E2001" s="333"/>
      <c r="F2001" s="333"/>
      <c r="R2001" s="316"/>
      <c r="S2001" s="404"/>
      <c r="T2001" s="404"/>
      <c r="U2001" s="404"/>
      <c r="V2001" s="404"/>
      <c r="W2001" s="316"/>
      <c r="X2001" s="316"/>
      <c r="Y2001" s="316"/>
      <c r="Z2001" s="316"/>
      <c r="AA2001" s="404"/>
      <c r="AB2001" s="404"/>
      <c r="AC2001" s="404"/>
      <c r="AD2001" s="404"/>
      <c r="AE2001" s="316"/>
      <c r="AF2001" s="316"/>
      <c r="AG2001" s="404"/>
      <c r="AH2001" s="316"/>
      <c r="AI2001" s="316"/>
      <c r="AJ2001" s="316"/>
      <c r="AK2001" s="316"/>
      <c r="AL2001" s="316"/>
      <c r="AM2001" s="416"/>
      <c r="AR2001" s="333"/>
      <c r="AS2001" s="333"/>
      <c r="AT2001" s="333"/>
      <c r="AU2001" s="333"/>
      <c r="AV2001" s="333"/>
    </row>
    <row r="2002" spans="2:48" s="330" customFormat="1" ht="28.15" customHeight="1" x14ac:dyDescent="0.25">
      <c r="B2002" s="331"/>
      <c r="C2002" s="332"/>
      <c r="D2002" s="332"/>
      <c r="E2002" s="333"/>
      <c r="F2002" s="333"/>
      <c r="R2002" s="316"/>
      <c r="S2002" s="404"/>
      <c r="T2002" s="404"/>
      <c r="U2002" s="404"/>
      <c r="V2002" s="404"/>
      <c r="W2002" s="316"/>
      <c r="X2002" s="316"/>
      <c r="Y2002" s="316"/>
      <c r="Z2002" s="316"/>
      <c r="AA2002" s="404"/>
      <c r="AB2002" s="404"/>
      <c r="AC2002" s="404"/>
      <c r="AD2002" s="404"/>
      <c r="AE2002" s="316"/>
      <c r="AF2002" s="316"/>
      <c r="AG2002" s="404"/>
      <c r="AH2002" s="316"/>
      <c r="AI2002" s="316"/>
      <c r="AJ2002" s="316"/>
      <c r="AK2002" s="316"/>
      <c r="AL2002" s="316"/>
      <c r="AM2002" s="416"/>
      <c r="AR2002" s="333"/>
      <c r="AS2002" s="333"/>
      <c r="AT2002" s="333"/>
      <c r="AU2002" s="333"/>
      <c r="AV2002" s="333"/>
    </row>
    <row r="2003" spans="2:48" s="330" customFormat="1" ht="28.15" customHeight="1" x14ac:dyDescent="0.25">
      <c r="B2003" s="331"/>
      <c r="C2003" s="332"/>
      <c r="D2003" s="332"/>
      <c r="E2003" s="333"/>
      <c r="F2003" s="333"/>
      <c r="R2003" s="316"/>
      <c r="S2003" s="404"/>
      <c r="T2003" s="404"/>
      <c r="U2003" s="404"/>
      <c r="V2003" s="404"/>
      <c r="W2003" s="316"/>
      <c r="X2003" s="316"/>
      <c r="Y2003" s="316"/>
      <c r="Z2003" s="316"/>
      <c r="AA2003" s="404"/>
      <c r="AB2003" s="404"/>
      <c r="AC2003" s="404"/>
      <c r="AD2003" s="404"/>
      <c r="AE2003" s="316"/>
      <c r="AF2003" s="316"/>
      <c r="AG2003" s="404"/>
      <c r="AH2003" s="316"/>
      <c r="AI2003" s="316"/>
      <c r="AJ2003" s="316"/>
      <c r="AK2003" s="316"/>
      <c r="AL2003" s="316"/>
      <c r="AM2003" s="416"/>
      <c r="AR2003" s="333"/>
      <c r="AS2003" s="333"/>
      <c r="AT2003" s="333"/>
      <c r="AU2003" s="333"/>
      <c r="AV2003" s="333"/>
    </row>
    <row r="2004" spans="2:48" s="330" customFormat="1" ht="28.15" customHeight="1" x14ac:dyDescent="0.25">
      <c r="B2004" s="331"/>
      <c r="C2004" s="332"/>
      <c r="D2004" s="332"/>
      <c r="E2004" s="333"/>
      <c r="F2004" s="333"/>
      <c r="R2004" s="316"/>
      <c r="S2004" s="404"/>
      <c r="T2004" s="404"/>
      <c r="U2004" s="404"/>
      <c r="V2004" s="404"/>
      <c r="W2004" s="316"/>
      <c r="X2004" s="316"/>
      <c r="Y2004" s="316"/>
      <c r="Z2004" s="316"/>
      <c r="AA2004" s="404"/>
      <c r="AB2004" s="404"/>
      <c r="AC2004" s="404"/>
      <c r="AD2004" s="404"/>
      <c r="AE2004" s="316"/>
      <c r="AF2004" s="316"/>
      <c r="AG2004" s="404"/>
      <c r="AH2004" s="316"/>
      <c r="AI2004" s="316"/>
      <c r="AJ2004" s="316"/>
      <c r="AK2004" s="316"/>
      <c r="AL2004" s="316"/>
      <c r="AM2004" s="416"/>
      <c r="AR2004" s="333"/>
      <c r="AS2004" s="333"/>
      <c r="AT2004" s="333"/>
      <c r="AU2004" s="333"/>
      <c r="AV2004" s="333"/>
    </row>
    <row r="2005" spans="2:48" s="330" customFormat="1" ht="28.15" customHeight="1" x14ac:dyDescent="0.25">
      <c r="B2005" s="331"/>
      <c r="C2005" s="332"/>
      <c r="D2005" s="332"/>
      <c r="E2005" s="333"/>
      <c r="F2005" s="333"/>
      <c r="R2005" s="316"/>
      <c r="S2005" s="404"/>
      <c r="T2005" s="404"/>
      <c r="U2005" s="404"/>
      <c r="V2005" s="404"/>
      <c r="W2005" s="316"/>
      <c r="X2005" s="316"/>
      <c r="Y2005" s="316"/>
      <c r="Z2005" s="316"/>
      <c r="AA2005" s="404"/>
      <c r="AB2005" s="404"/>
      <c r="AC2005" s="404"/>
      <c r="AD2005" s="404"/>
      <c r="AE2005" s="316"/>
      <c r="AF2005" s="316"/>
      <c r="AG2005" s="404"/>
      <c r="AH2005" s="316"/>
      <c r="AI2005" s="316"/>
      <c r="AJ2005" s="316"/>
      <c r="AK2005" s="316"/>
      <c r="AL2005" s="316"/>
      <c r="AM2005" s="416"/>
      <c r="AR2005" s="333"/>
      <c r="AS2005" s="333"/>
      <c r="AT2005" s="333"/>
      <c r="AU2005" s="333"/>
      <c r="AV2005" s="333"/>
    </row>
    <row r="2006" spans="2:48" s="330" customFormat="1" ht="28.15" customHeight="1" x14ac:dyDescent="0.25">
      <c r="B2006" s="331"/>
      <c r="C2006" s="332"/>
      <c r="D2006" s="332"/>
      <c r="E2006" s="333"/>
      <c r="F2006" s="333"/>
      <c r="R2006" s="316"/>
      <c r="S2006" s="404"/>
      <c r="T2006" s="404"/>
      <c r="U2006" s="404"/>
      <c r="V2006" s="404"/>
      <c r="W2006" s="316"/>
      <c r="X2006" s="316"/>
      <c r="Y2006" s="316"/>
      <c r="Z2006" s="316"/>
      <c r="AA2006" s="404"/>
      <c r="AB2006" s="404"/>
      <c r="AC2006" s="404"/>
      <c r="AD2006" s="404"/>
      <c r="AE2006" s="316"/>
      <c r="AF2006" s="316"/>
      <c r="AG2006" s="404"/>
      <c r="AH2006" s="316"/>
      <c r="AI2006" s="316"/>
      <c r="AJ2006" s="316"/>
      <c r="AK2006" s="316"/>
      <c r="AL2006" s="316"/>
      <c r="AM2006" s="416"/>
      <c r="AR2006" s="333"/>
      <c r="AS2006" s="333"/>
      <c r="AT2006" s="333"/>
      <c r="AU2006" s="333"/>
      <c r="AV2006" s="333"/>
    </row>
    <row r="2007" spans="2:48" s="330" customFormat="1" ht="28.15" customHeight="1" x14ac:dyDescent="0.25">
      <c r="B2007" s="331"/>
      <c r="C2007" s="332"/>
      <c r="D2007" s="332"/>
      <c r="E2007" s="333"/>
      <c r="F2007" s="333"/>
      <c r="R2007" s="316"/>
      <c r="S2007" s="404"/>
      <c r="T2007" s="404"/>
      <c r="U2007" s="404"/>
      <c r="V2007" s="404"/>
      <c r="W2007" s="316"/>
      <c r="X2007" s="316"/>
      <c r="Y2007" s="316"/>
      <c r="Z2007" s="316"/>
      <c r="AA2007" s="404"/>
      <c r="AB2007" s="404"/>
      <c r="AC2007" s="404"/>
      <c r="AD2007" s="404"/>
      <c r="AE2007" s="316"/>
      <c r="AF2007" s="316"/>
      <c r="AG2007" s="404"/>
      <c r="AH2007" s="316"/>
      <c r="AI2007" s="316"/>
      <c r="AJ2007" s="316"/>
      <c r="AK2007" s="316"/>
      <c r="AL2007" s="316"/>
      <c r="AM2007" s="416"/>
      <c r="AR2007" s="333"/>
      <c r="AS2007" s="333"/>
      <c r="AT2007" s="333"/>
      <c r="AU2007" s="333"/>
      <c r="AV2007" s="333"/>
    </row>
    <row r="2008" spans="2:48" s="330" customFormat="1" ht="28.15" customHeight="1" x14ac:dyDescent="0.25">
      <c r="B2008" s="331"/>
      <c r="C2008" s="332"/>
      <c r="D2008" s="332"/>
      <c r="E2008" s="333"/>
      <c r="F2008" s="333"/>
      <c r="R2008" s="316"/>
      <c r="S2008" s="404"/>
      <c r="T2008" s="404"/>
      <c r="U2008" s="404"/>
      <c r="V2008" s="404"/>
      <c r="W2008" s="316"/>
      <c r="X2008" s="316"/>
      <c r="Y2008" s="316"/>
      <c r="Z2008" s="316"/>
      <c r="AA2008" s="404"/>
      <c r="AB2008" s="404"/>
      <c r="AC2008" s="404"/>
      <c r="AD2008" s="404"/>
      <c r="AE2008" s="316"/>
      <c r="AF2008" s="316"/>
      <c r="AG2008" s="404"/>
      <c r="AH2008" s="316"/>
      <c r="AI2008" s="316"/>
      <c r="AJ2008" s="316"/>
      <c r="AK2008" s="316"/>
      <c r="AL2008" s="316"/>
      <c r="AM2008" s="416"/>
      <c r="AR2008" s="333"/>
      <c r="AS2008" s="333"/>
      <c r="AT2008" s="333"/>
      <c r="AU2008" s="333"/>
      <c r="AV2008" s="333"/>
    </row>
    <row r="2009" spans="2:48" s="330" customFormat="1" ht="28.15" customHeight="1" x14ac:dyDescent="0.25">
      <c r="B2009" s="331"/>
      <c r="C2009" s="332"/>
      <c r="D2009" s="332"/>
      <c r="E2009" s="333"/>
      <c r="F2009" s="333"/>
      <c r="R2009" s="316"/>
      <c r="S2009" s="404"/>
      <c r="T2009" s="404"/>
      <c r="U2009" s="404"/>
      <c r="V2009" s="404"/>
      <c r="W2009" s="316"/>
      <c r="X2009" s="316"/>
      <c r="Y2009" s="316"/>
      <c r="Z2009" s="316"/>
      <c r="AA2009" s="404"/>
      <c r="AB2009" s="404"/>
      <c r="AC2009" s="404"/>
      <c r="AD2009" s="404"/>
      <c r="AE2009" s="316"/>
      <c r="AF2009" s="316"/>
      <c r="AG2009" s="404"/>
      <c r="AH2009" s="316"/>
      <c r="AI2009" s="316"/>
      <c r="AJ2009" s="316"/>
      <c r="AK2009" s="316"/>
      <c r="AL2009" s="316"/>
      <c r="AM2009" s="416"/>
      <c r="AR2009" s="333"/>
      <c r="AS2009" s="333"/>
      <c r="AT2009" s="333"/>
      <c r="AU2009" s="333"/>
      <c r="AV2009" s="333"/>
    </row>
    <row r="2010" spans="2:48" s="330" customFormat="1" ht="28.15" customHeight="1" x14ac:dyDescent="0.25">
      <c r="B2010" s="331"/>
      <c r="C2010" s="332"/>
      <c r="D2010" s="332"/>
      <c r="E2010" s="333"/>
      <c r="F2010" s="333"/>
      <c r="R2010" s="316"/>
      <c r="S2010" s="404"/>
      <c r="T2010" s="404"/>
      <c r="U2010" s="404"/>
      <c r="V2010" s="404"/>
      <c r="W2010" s="316"/>
      <c r="X2010" s="316"/>
      <c r="Y2010" s="316"/>
      <c r="Z2010" s="316"/>
      <c r="AA2010" s="404"/>
      <c r="AB2010" s="404"/>
      <c r="AC2010" s="404"/>
      <c r="AD2010" s="404"/>
      <c r="AE2010" s="316"/>
      <c r="AF2010" s="316"/>
      <c r="AG2010" s="404"/>
      <c r="AH2010" s="316"/>
      <c r="AI2010" s="316"/>
      <c r="AJ2010" s="316"/>
      <c r="AK2010" s="316"/>
      <c r="AL2010" s="316"/>
      <c r="AM2010" s="416"/>
      <c r="AR2010" s="333"/>
      <c r="AS2010" s="333"/>
      <c r="AT2010" s="333"/>
      <c r="AU2010" s="333"/>
      <c r="AV2010" s="333"/>
    </row>
    <row r="2011" spans="2:48" s="330" customFormat="1" ht="28.15" customHeight="1" x14ac:dyDescent="0.25">
      <c r="B2011" s="331"/>
      <c r="C2011" s="332"/>
      <c r="D2011" s="332"/>
      <c r="E2011" s="333"/>
      <c r="F2011" s="333"/>
      <c r="R2011" s="316"/>
      <c r="S2011" s="404"/>
      <c r="T2011" s="404"/>
      <c r="U2011" s="404"/>
      <c r="V2011" s="404"/>
      <c r="W2011" s="316"/>
      <c r="X2011" s="316"/>
      <c r="Y2011" s="316"/>
      <c r="Z2011" s="316"/>
      <c r="AA2011" s="404"/>
      <c r="AB2011" s="404"/>
      <c r="AC2011" s="404"/>
      <c r="AD2011" s="404"/>
      <c r="AE2011" s="316"/>
      <c r="AF2011" s="316"/>
      <c r="AG2011" s="404"/>
      <c r="AH2011" s="316"/>
      <c r="AI2011" s="316"/>
      <c r="AJ2011" s="316"/>
      <c r="AK2011" s="316"/>
      <c r="AL2011" s="316"/>
      <c r="AM2011" s="416"/>
      <c r="AR2011" s="333"/>
      <c r="AS2011" s="333"/>
      <c r="AT2011" s="333"/>
      <c r="AU2011" s="333"/>
      <c r="AV2011" s="333"/>
    </row>
    <row r="2012" spans="2:48" s="330" customFormat="1" ht="28.15" customHeight="1" x14ac:dyDescent="0.25">
      <c r="B2012" s="331"/>
      <c r="C2012" s="332"/>
      <c r="D2012" s="332"/>
      <c r="E2012" s="333"/>
      <c r="F2012" s="333"/>
      <c r="R2012" s="316"/>
      <c r="S2012" s="404"/>
      <c r="T2012" s="404"/>
      <c r="U2012" s="404"/>
      <c r="V2012" s="404"/>
      <c r="W2012" s="316"/>
      <c r="X2012" s="316"/>
      <c r="Y2012" s="316"/>
      <c r="Z2012" s="316"/>
      <c r="AA2012" s="404"/>
      <c r="AB2012" s="404"/>
      <c r="AC2012" s="404"/>
      <c r="AD2012" s="404"/>
      <c r="AE2012" s="316"/>
      <c r="AF2012" s="316"/>
      <c r="AG2012" s="404"/>
      <c r="AH2012" s="316"/>
      <c r="AI2012" s="316"/>
      <c r="AJ2012" s="316"/>
      <c r="AK2012" s="316"/>
      <c r="AL2012" s="316"/>
      <c r="AM2012" s="416"/>
      <c r="AR2012" s="333"/>
      <c r="AS2012" s="333"/>
      <c r="AT2012" s="333"/>
      <c r="AU2012" s="333"/>
      <c r="AV2012" s="333"/>
    </row>
    <row r="2013" spans="2:48" s="330" customFormat="1" ht="28.15" customHeight="1" x14ac:dyDescent="0.25">
      <c r="B2013" s="331"/>
      <c r="C2013" s="332"/>
      <c r="D2013" s="332"/>
      <c r="E2013" s="333"/>
      <c r="F2013" s="333"/>
      <c r="R2013" s="316"/>
      <c r="S2013" s="404"/>
      <c r="T2013" s="404"/>
      <c r="U2013" s="404"/>
      <c r="V2013" s="404"/>
      <c r="W2013" s="316"/>
      <c r="X2013" s="316"/>
      <c r="Y2013" s="316"/>
      <c r="Z2013" s="316"/>
      <c r="AA2013" s="404"/>
      <c r="AB2013" s="404"/>
      <c r="AC2013" s="404"/>
      <c r="AD2013" s="404"/>
      <c r="AE2013" s="316"/>
      <c r="AF2013" s="316"/>
      <c r="AG2013" s="404"/>
      <c r="AH2013" s="316"/>
      <c r="AI2013" s="316"/>
      <c r="AJ2013" s="316"/>
      <c r="AK2013" s="316"/>
      <c r="AL2013" s="316"/>
      <c r="AM2013" s="416"/>
      <c r="AR2013" s="333"/>
      <c r="AS2013" s="333"/>
      <c r="AT2013" s="333"/>
      <c r="AU2013" s="333"/>
      <c r="AV2013" s="333"/>
    </row>
    <row r="2014" spans="2:48" s="330" customFormat="1" ht="28.15" customHeight="1" x14ac:dyDescent="0.25">
      <c r="B2014" s="331"/>
      <c r="C2014" s="332"/>
      <c r="D2014" s="332"/>
      <c r="E2014" s="333"/>
      <c r="F2014" s="333"/>
      <c r="R2014" s="316"/>
      <c r="S2014" s="404"/>
      <c r="T2014" s="404"/>
      <c r="U2014" s="404"/>
      <c r="V2014" s="404"/>
      <c r="W2014" s="316"/>
      <c r="X2014" s="316"/>
      <c r="Y2014" s="316"/>
      <c r="Z2014" s="316"/>
      <c r="AA2014" s="404"/>
      <c r="AB2014" s="404"/>
      <c r="AC2014" s="404"/>
      <c r="AD2014" s="404"/>
      <c r="AE2014" s="316"/>
      <c r="AF2014" s="316"/>
      <c r="AG2014" s="404"/>
      <c r="AH2014" s="316"/>
      <c r="AI2014" s="316"/>
      <c r="AJ2014" s="316"/>
      <c r="AK2014" s="316"/>
      <c r="AL2014" s="316"/>
      <c r="AM2014" s="416"/>
      <c r="AR2014" s="333"/>
      <c r="AS2014" s="333"/>
      <c r="AT2014" s="333"/>
      <c r="AU2014" s="333"/>
      <c r="AV2014" s="333"/>
    </row>
    <row r="2015" spans="2:48" s="330" customFormat="1" ht="28.15" customHeight="1" x14ac:dyDescent="0.25">
      <c r="B2015" s="331"/>
      <c r="C2015" s="332"/>
      <c r="D2015" s="332"/>
      <c r="E2015" s="333"/>
      <c r="F2015" s="333"/>
      <c r="R2015" s="316"/>
      <c r="S2015" s="404"/>
      <c r="T2015" s="404"/>
      <c r="U2015" s="404"/>
      <c r="V2015" s="404"/>
      <c r="W2015" s="316"/>
      <c r="X2015" s="316"/>
      <c r="Y2015" s="316"/>
      <c r="Z2015" s="316"/>
      <c r="AA2015" s="404"/>
      <c r="AB2015" s="404"/>
      <c r="AC2015" s="404"/>
      <c r="AD2015" s="404"/>
      <c r="AE2015" s="316"/>
      <c r="AF2015" s="316"/>
      <c r="AG2015" s="404"/>
      <c r="AH2015" s="316"/>
      <c r="AI2015" s="316"/>
      <c r="AJ2015" s="316"/>
      <c r="AK2015" s="316"/>
      <c r="AL2015" s="316"/>
      <c r="AM2015" s="416"/>
      <c r="AR2015" s="333"/>
      <c r="AS2015" s="333"/>
      <c r="AT2015" s="333"/>
      <c r="AU2015" s="333"/>
      <c r="AV2015" s="333"/>
    </row>
    <row r="2016" spans="2:48" s="330" customFormat="1" ht="28.15" customHeight="1" x14ac:dyDescent="0.25">
      <c r="B2016" s="331"/>
      <c r="C2016" s="332"/>
      <c r="D2016" s="332"/>
      <c r="E2016" s="333"/>
      <c r="F2016" s="333"/>
      <c r="R2016" s="316"/>
      <c r="S2016" s="404"/>
      <c r="T2016" s="404"/>
      <c r="U2016" s="404"/>
      <c r="V2016" s="404"/>
      <c r="W2016" s="316"/>
      <c r="X2016" s="316"/>
      <c r="Y2016" s="316"/>
      <c r="Z2016" s="316"/>
      <c r="AA2016" s="404"/>
      <c r="AB2016" s="404"/>
      <c r="AC2016" s="404"/>
      <c r="AD2016" s="404"/>
      <c r="AE2016" s="316"/>
      <c r="AF2016" s="316"/>
      <c r="AG2016" s="404"/>
      <c r="AH2016" s="316"/>
      <c r="AI2016" s="316"/>
      <c r="AJ2016" s="316"/>
      <c r="AK2016" s="316"/>
      <c r="AL2016" s="316"/>
      <c r="AM2016" s="416"/>
      <c r="AR2016" s="333"/>
      <c r="AS2016" s="333"/>
      <c r="AT2016" s="333"/>
      <c r="AU2016" s="333"/>
      <c r="AV2016" s="333"/>
    </row>
    <row r="2017" spans="2:48" s="330" customFormat="1" ht="28.15" customHeight="1" x14ac:dyDescent="0.25">
      <c r="B2017" s="331"/>
      <c r="C2017" s="332"/>
      <c r="D2017" s="332"/>
      <c r="E2017" s="333"/>
      <c r="F2017" s="333"/>
      <c r="R2017" s="316"/>
      <c r="S2017" s="404"/>
      <c r="T2017" s="404"/>
      <c r="U2017" s="404"/>
      <c r="V2017" s="404"/>
      <c r="W2017" s="316"/>
      <c r="X2017" s="316"/>
      <c r="Y2017" s="316"/>
      <c r="Z2017" s="316"/>
      <c r="AA2017" s="404"/>
      <c r="AB2017" s="404"/>
      <c r="AC2017" s="404"/>
      <c r="AD2017" s="404"/>
      <c r="AE2017" s="316"/>
      <c r="AF2017" s="316"/>
      <c r="AG2017" s="404"/>
      <c r="AH2017" s="316"/>
      <c r="AI2017" s="316"/>
      <c r="AJ2017" s="316"/>
      <c r="AK2017" s="316"/>
      <c r="AL2017" s="316"/>
      <c r="AM2017" s="416"/>
      <c r="AR2017" s="333"/>
      <c r="AS2017" s="333"/>
      <c r="AT2017" s="333"/>
      <c r="AU2017" s="333"/>
      <c r="AV2017" s="333"/>
    </row>
    <row r="2018" spans="2:48" s="330" customFormat="1" ht="28.15" customHeight="1" x14ac:dyDescent="0.25">
      <c r="B2018" s="331"/>
      <c r="C2018" s="332"/>
      <c r="D2018" s="332"/>
      <c r="E2018" s="333"/>
      <c r="F2018" s="333"/>
      <c r="R2018" s="316"/>
      <c r="S2018" s="404"/>
      <c r="T2018" s="404"/>
      <c r="U2018" s="404"/>
      <c r="V2018" s="404"/>
      <c r="W2018" s="316"/>
      <c r="X2018" s="316"/>
      <c r="Y2018" s="316"/>
      <c r="Z2018" s="316"/>
      <c r="AA2018" s="404"/>
      <c r="AB2018" s="404"/>
      <c r="AC2018" s="404"/>
      <c r="AD2018" s="404"/>
      <c r="AE2018" s="316"/>
      <c r="AF2018" s="316"/>
      <c r="AG2018" s="404"/>
      <c r="AH2018" s="316"/>
      <c r="AI2018" s="316"/>
      <c r="AJ2018" s="316"/>
      <c r="AK2018" s="316"/>
      <c r="AL2018" s="316"/>
      <c r="AM2018" s="416"/>
      <c r="AR2018" s="333"/>
      <c r="AS2018" s="333"/>
      <c r="AT2018" s="333"/>
      <c r="AU2018" s="333"/>
      <c r="AV2018" s="333"/>
    </row>
    <row r="2019" spans="2:48" s="330" customFormat="1" ht="28.15" customHeight="1" x14ac:dyDescent="0.25">
      <c r="B2019" s="331"/>
      <c r="C2019" s="332"/>
      <c r="D2019" s="332"/>
      <c r="E2019" s="333"/>
      <c r="F2019" s="333"/>
      <c r="R2019" s="316"/>
      <c r="S2019" s="404"/>
      <c r="T2019" s="404"/>
      <c r="U2019" s="404"/>
      <c r="V2019" s="404"/>
      <c r="W2019" s="316"/>
      <c r="X2019" s="316"/>
      <c r="Y2019" s="316"/>
      <c r="Z2019" s="316"/>
      <c r="AA2019" s="404"/>
      <c r="AB2019" s="404"/>
      <c r="AC2019" s="404"/>
      <c r="AD2019" s="404"/>
      <c r="AE2019" s="316"/>
      <c r="AF2019" s="316"/>
      <c r="AG2019" s="404"/>
      <c r="AH2019" s="316"/>
      <c r="AI2019" s="316"/>
      <c r="AJ2019" s="316"/>
      <c r="AK2019" s="316"/>
      <c r="AL2019" s="316"/>
      <c r="AM2019" s="416"/>
      <c r="AR2019" s="333"/>
      <c r="AS2019" s="333"/>
      <c r="AT2019" s="333"/>
      <c r="AU2019" s="333"/>
      <c r="AV2019" s="333"/>
    </row>
    <row r="2020" spans="2:48" s="330" customFormat="1" ht="28.15" customHeight="1" x14ac:dyDescent="0.25">
      <c r="B2020" s="331"/>
      <c r="C2020" s="332"/>
      <c r="D2020" s="332"/>
      <c r="E2020" s="333"/>
      <c r="F2020" s="333"/>
      <c r="R2020" s="316"/>
      <c r="S2020" s="404"/>
      <c r="T2020" s="404"/>
      <c r="U2020" s="404"/>
      <c r="V2020" s="404"/>
      <c r="W2020" s="316"/>
      <c r="X2020" s="316"/>
      <c r="Y2020" s="316"/>
      <c r="Z2020" s="316"/>
      <c r="AA2020" s="404"/>
      <c r="AB2020" s="404"/>
      <c r="AC2020" s="404"/>
      <c r="AD2020" s="404"/>
      <c r="AE2020" s="316"/>
      <c r="AF2020" s="316"/>
      <c r="AG2020" s="404"/>
      <c r="AH2020" s="316"/>
      <c r="AI2020" s="316"/>
      <c r="AJ2020" s="316"/>
      <c r="AK2020" s="316"/>
      <c r="AL2020" s="316"/>
      <c r="AM2020" s="416"/>
      <c r="AR2020" s="333"/>
      <c r="AS2020" s="333"/>
      <c r="AT2020" s="333"/>
      <c r="AU2020" s="333"/>
      <c r="AV2020" s="333"/>
    </row>
    <row r="2021" spans="2:48" s="330" customFormat="1" ht="28.15" customHeight="1" x14ac:dyDescent="0.25">
      <c r="B2021" s="331"/>
      <c r="C2021" s="332"/>
      <c r="D2021" s="332"/>
      <c r="E2021" s="333"/>
      <c r="F2021" s="333"/>
      <c r="R2021" s="316"/>
      <c r="S2021" s="404"/>
      <c r="T2021" s="404"/>
      <c r="U2021" s="404"/>
      <c r="V2021" s="404"/>
      <c r="W2021" s="316"/>
      <c r="X2021" s="316"/>
      <c r="Y2021" s="316"/>
      <c r="Z2021" s="316"/>
      <c r="AA2021" s="404"/>
      <c r="AB2021" s="404"/>
      <c r="AC2021" s="404"/>
      <c r="AD2021" s="404"/>
      <c r="AE2021" s="316"/>
      <c r="AF2021" s="316"/>
      <c r="AG2021" s="404"/>
      <c r="AH2021" s="316"/>
      <c r="AI2021" s="316"/>
      <c r="AJ2021" s="316"/>
      <c r="AK2021" s="316"/>
      <c r="AL2021" s="316"/>
      <c r="AM2021" s="416"/>
      <c r="AR2021" s="333"/>
      <c r="AS2021" s="333"/>
      <c r="AT2021" s="333"/>
      <c r="AU2021" s="333"/>
      <c r="AV2021" s="333"/>
    </row>
    <row r="2022" spans="2:48" s="330" customFormat="1" ht="28.15" customHeight="1" x14ac:dyDescent="0.25">
      <c r="B2022" s="331"/>
      <c r="C2022" s="332"/>
      <c r="D2022" s="332"/>
      <c r="E2022" s="333"/>
      <c r="F2022" s="333"/>
      <c r="R2022" s="316"/>
      <c r="S2022" s="404"/>
      <c r="T2022" s="404"/>
      <c r="U2022" s="404"/>
      <c r="V2022" s="404"/>
      <c r="W2022" s="316"/>
      <c r="X2022" s="316"/>
      <c r="Y2022" s="316"/>
      <c r="Z2022" s="316"/>
      <c r="AA2022" s="404"/>
      <c r="AB2022" s="404"/>
      <c r="AC2022" s="404"/>
      <c r="AD2022" s="404"/>
      <c r="AE2022" s="316"/>
      <c r="AF2022" s="316"/>
      <c r="AG2022" s="404"/>
      <c r="AH2022" s="316"/>
      <c r="AI2022" s="316"/>
      <c r="AJ2022" s="316"/>
      <c r="AK2022" s="316"/>
      <c r="AL2022" s="316"/>
      <c r="AM2022" s="416"/>
      <c r="AR2022" s="333"/>
      <c r="AS2022" s="333"/>
      <c r="AT2022" s="333"/>
      <c r="AU2022" s="333"/>
      <c r="AV2022" s="333"/>
    </row>
    <row r="2023" spans="2:48" s="330" customFormat="1" ht="28.15" customHeight="1" x14ac:dyDescent="0.25">
      <c r="B2023" s="331"/>
      <c r="C2023" s="332"/>
      <c r="D2023" s="332"/>
      <c r="E2023" s="333"/>
      <c r="F2023" s="333"/>
      <c r="R2023" s="316"/>
      <c r="S2023" s="404"/>
      <c r="T2023" s="404"/>
      <c r="U2023" s="404"/>
      <c r="V2023" s="404"/>
      <c r="W2023" s="316"/>
      <c r="X2023" s="316"/>
      <c r="Y2023" s="316"/>
      <c r="Z2023" s="316"/>
      <c r="AA2023" s="404"/>
      <c r="AB2023" s="404"/>
      <c r="AC2023" s="404"/>
      <c r="AD2023" s="404"/>
      <c r="AE2023" s="316"/>
      <c r="AF2023" s="316"/>
      <c r="AG2023" s="404"/>
      <c r="AH2023" s="316"/>
      <c r="AI2023" s="316"/>
      <c r="AJ2023" s="316"/>
      <c r="AK2023" s="316"/>
      <c r="AL2023" s="316"/>
      <c r="AM2023" s="416"/>
      <c r="AR2023" s="333"/>
      <c r="AS2023" s="333"/>
      <c r="AT2023" s="333"/>
      <c r="AU2023" s="333"/>
      <c r="AV2023" s="333"/>
    </row>
    <row r="2024" spans="2:48" s="330" customFormat="1" ht="28.15" customHeight="1" x14ac:dyDescent="0.25">
      <c r="B2024" s="331"/>
      <c r="C2024" s="332"/>
      <c r="D2024" s="332"/>
      <c r="E2024" s="333"/>
      <c r="F2024" s="333"/>
      <c r="R2024" s="316"/>
      <c r="S2024" s="404"/>
      <c r="T2024" s="404"/>
      <c r="U2024" s="404"/>
      <c r="V2024" s="404"/>
      <c r="W2024" s="316"/>
      <c r="X2024" s="316"/>
      <c r="Y2024" s="316"/>
      <c r="Z2024" s="316"/>
      <c r="AA2024" s="404"/>
      <c r="AB2024" s="404"/>
      <c r="AC2024" s="404"/>
      <c r="AD2024" s="404"/>
      <c r="AE2024" s="316"/>
      <c r="AF2024" s="316"/>
      <c r="AG2024" s="404"/>
      <c r="AH2024" s="316"/>
      <c r="AI2024" s="316"/>
      <c r="AJ2024" s="316"/>
      <c r="AK2024" s="316"/>
      <c r="AL2024" s="316"/>
      <c r="AM2024" s="416"/>
      <c r="AR2024" s="333"/>
      <c r="AS2024" s="333"/>
      <c r="AT2024" s="333"/>
      <c r="AU2024" s="333"/>
      <c r="AV2024" s="333"/>
    </row>
    <row r="2025" spans="2:48" s="330" customFormat="1" ht="28.15" customHeight="1" x14ac:dyDescent="0.25">
      <c r="B2025" s="331"/>
      <c r="C2025" s="332"/>
      <c r="D2025" s="332"/>
      <c r="E2025" s="333"/>
      <c r="F2025" s="333"/>
      <c r="R2025" s="316"/>
      <c r="S2025" s="404"/>
      <c r="T2025" s="404"/>
      <c r="U2025" s="404"/>
      <c r="V2025" s="404"/>
      <c r="W2025" s="316"/>
      <c r="X2025" s="316"/>
      <c r="Y2025" s="316"/>
      <c r="Z2025" s="316"/>
      <c r="AA2025" s="404"/>
      <c r="AB2025" s="404"/>
      <c r="AC2025" s="404"/>
      <c r="AD2025" s="404"/>
      <c r="AE2025" s="316"/>
      <c r="AF2025" s="316"/>
      <c r="AG2025" s="404"/>
      <c r="AH2025" s="316"/>
      <c r="AI2025" s="316"/>
      <c r="AJ2025" s="316"/>
      <c r="AK2025" s="316"/>
      <c r="AL2025" s="316"/>
      <c r="AM2025" s="416"/>
      <c r="AR2025" s="333"/>
      <c r="AS2025" s="333"/>
      <c r="AT2025" s="333"/>
      <c r="AU2025" s="333"/>
      <c r="AV2025" s="333"/>
    </row>
    <row r="2026" spans="2:48" s="330" customFormat="1" ht="28.15" customHeight="1" x14ac:dyDescent="0.25">
      <c r="B2026" s="331"/>
      <c r="C2026" s="332"/>
      <c r="D2026" s="332"/>
      <c r="E2026" s="333"/>
      <c r="F2026" s="333"/>
      <c r="R2026" s="316"/>
      <c r="S2026" s="404"/>
      <c r="T2026" s="404"/>
      <c r="U2026" s="404"/>
      <c r="V2026" s="404"/>
      <c r="W2026" s="316"/>
      <c r="X2026" s="316"/>
      <c r="Y2026" s="316"/>
      <c r="Z2026" s="316"/>
      <c r="AA2026" s="404"/>
      <c r="AB2026" s="404"/>
      <c r="AC2026" s="404"/>
      <c r="AD2026" s="404"/>
      <c r="AE2026" s="316"/>
      <c r="AF2026" s="316"/>
      <c r="AG2026" s="404"/>
      <c r="AH2026" s="316"/>
      <c r="AI2026" s="316"/>
      <c r="AJ2026" s="316"/>
      <c r="AK2026" s="316"/>
      <c r="AL2026" s="316"/>
      <c r="AM2026" s="416"/>
      <c r="AR2026" s="333"/>
      <c r="AS2026" s="333"/>
      <c r="AT2026" s="333"/>
      <c r="AU2026" s="333"/>
      <c r="AV2026" s="333"/>
    </row>
    <row r="2027" spans="2:48" s="330" customFormat="1" ht="28.15" customHeight="1" x14ac:dyDescent="0.25">
      <c r="B2027" s="331"/>
      <c r="C2027" s="332"/>
      <c r="D2027" s="332"/>
      <c r="E2027" s="333"/>
      <c r="F2027" s="333"/>
      <c r="R2027" s="316"/>
      <c r="S2027" s="404"/>
      <c r="T2027" s="404"/>
      <c r="U2027" s="404"/>
      <c r="V2027" s="404"/>
      <c r="W2027" s="316"/>
      <c r="X2027" s="316"/>
      <c r="Y2027" s="316"/>
      <c r="Z2027" s="316"/>
      <c r="AA2027" s="404"/>
      <c r="AB2027" s="404"/>
      <c r="AC2027" s="404"/>
      <c r="AD2027" s="404"/>
      <c r="AE2027" s="316"/>
      <c r="AF2027" s="316"/>
      <c r="AG2027" s="404"/>
      <c r="AH2027" s="316"/>
      <c r="AI2027" s="316"/>
      <c r="AJ2027" s="316"/>
      <c r="AK2027" s="316"/>
      <c r="AL2027" s="316"/>
      <c r="AM2027" s="416"/>
      <c r="AR2027" s="333"/>
      <c r="AS2027" s="333"/>
      <c r="AT2027" s="333"/>
      <c r="AU2027" s="333"/>
      <c r="AV2027" s="333"/>
    </row>
    <row r="2028" spans="2:48" s="330" customFormat="1" ht="28.15" customHeight="1" x14ac:dyDescent="0.25">
      <c r="B2028" s="331"/>
      <c r="C2028" s="332"/>
      <c r="D2028" s="332"/>
      <c r="E2028" s="333"/>
      <c r="F2028" s="333"/>
      <c r="R2028" s="316"/>
      <c r="S2028" s="404"/>
      <c r="T2028" s="404"/>
      <c r="U2028" s="404"/>
      <c r="V2028" s="404"/>
      <c r="W2028" s="316"/>
      <c r="X2028" s="316"/>
      <c r="Y2028" s="316"/>
      <c r="Z2028" s="316"/>
      <c r="AA2028" s="404"/>
      <c r="AB2028" s="404"/>
      <c r="AC2028" s="404"/>
      <c r="AD2028" s="404"/>
      <c r="AE2028" s="316"/>
      <c r="AF2028" s="316"/>
      <c r="AG2028" s="404"/>
      <c r="AH2028" s="316"/>
      <c r="AI2028" s="316"/>
      <c r="AJ2028" s="316"/>
      <c r="AK2028" s="316"/>
      <c r="AL2028" s="316"/>
      <c r="AM2028" s="416"/>
      <c r="AR2028" s="333"/>
      <c r="AS2028" s="333"/>
      <c r="AT2028" s="333"/>
      <c r="AU2028" s="333"/>
      <c r="AV2028" s="333"/>
    </row>
    <row r="2029" spans="2:48" s="330" customFormat="1" ht="28.15" customHeight="1" x14ac:dyDescent="0.25">
      <c r="B2029" s="331"/>
      <c r="C2029" s="332"/>
      <c r="D2029" s="332"/>
      <c r="E2029" s="333"/>
      <c r="F2029" s="333"/>
      <c r="R2029" s="316"/>
      <c r="S2029" s="404"/>
      <c r="T2029" s="404"/>
      <c r="U2029" s="404"/>
      <c r="V2029" s="404"/>
      <c r="W2029" s="316"/>
      <c r="X2029" s="316"/>
      <c r="Y2029" s="316"/>
      <c r="Z2029" s="316"/>
      <c r="AA2029" s="404"/>
      <c r="AB2029" s="404"/>
      <c r="AC2029" s="404"/>
      <c r="AD2029" s="404"/>
      <c r="AE2029" s="316"/>
      <c r="AF2029" s="316"/>
      <c r="AG2029" s="404"/>
      <c r="AH2029" s="316"/>
      <c r="AI2029" s="316"/>
      <c r="AJ2029" s="316"/>
      <c r="AK2029" s="316"/>
      <c r="AL2029" s="316"/>
      <c r="AM2029" s="416"/>
      <c r="AR2029" s="333"/>
      <c r="AS2029" s="333"/>
      <c r="AT2029" s="333"/>
      <c r="AU2029" s="333"/>
      <c r="AV2029" s="333"/>
    </row>
    <row r="2030" spans="2:48" s="330" customFormat="1" ht="28.15" customHeight="1" x14ac:dyDescent="0.25">
      <c r="B2030" s="331"/>
      <c r="C2030" s="332"/>
      <c r="D2030" s="332"/>
      <c r="E2030" s="333"/>
      <c r="F2030" s="333"/>
      <c r="R2030" s="316"/>
      <c r="S2030" s="404"/>
      <c r="T2030" s="404"/>
      <c r="U2030" s="404"/>
      <c r="V2030" s="404"/>
      <c r="W2030" s="316"/>
      <c r="X2030" s="316"/>
      <c r="Y2030" s="316"/>
      <c r="Z2030" s="316"/>
      <c r="AA2030" s="404"/>
      <c r="AB2030" s="404"/>
      <c r="AC2030" s="404"/>
      <c r="AD2030" s="404"/>
      <c r="AE2030" s="316"/>
      <c r="AF2030" s="316"/>
      <c r="AG2030" s="404"/>
      <c r="AH2030" s="316"/>
      <c r="AI2030" s="316"/>
      <c r="AJ2030" s="316"/>
      <c r="AK2030" s="316"/>
      <c r="AL2030" s="316"/>
      <c r="AM2030" s="416"/>
      <c r="AR2030" s="333"/>
      <c r="AS2030" s="333"/>
      <c r="AT2030" s="333"/>
      <c r="AU2030" s="333"/>
      <c r="AV2030" s="333"/>
    </row>
    <row r="2031" spans="2:48" s="330" customFormat="1" ht="28.15" customHeight="1" x14ac:dyDescent="0.25">
      <c r="B2031" s="331"/>
      <c r="C2031" s="332"/>
      <c r="D2031" s="332"/>
      <c r="E2031" s="333"/>
      <c r="F2031" s="333"/>
      <c r="R2031" s="316"/>
      <c r="S2031" s="404"/>
      <c r="T2031" s="404"/>
      <c r="U2031" s="404"/>
      <c r="V2031" s="404"/>
      <c r="W2031" s="316"/>
      <c r="X2031" s="316"/>
      <c r="Y2031" s="316"/>
      <c r="Z2031" s="316"/>
      <c r="AA2031" s="404"/>
      <c r="AB2031" s="404"/>
      <c r="AC2031" s="404"/>
      <c r="AD2031" s="404"/>
      <c r="AE2031" s="316"/>
      <c r="AF2031" s="316"/>
      <c r="AG2031" s="404"/>
      <c r="AH2031" s="316"/>
      <c r="AI2031" s="316"/>
      <c r="AJ2031" s="316"/>
      <c r="AK2031" s="316"/>
      <c r="AL2031" s="316"/>
      <c r="AM2031" s="416"/>
      <c r="AR2031" s="333"/>
      <c r="AS2031" s="333"/>
      <c r="AT2031" s="333"/>
      <c r="AU2031" s="333"/>
      <c r="AV2031" s="333"/>
    </row>
    <row r="2032" spans="2:48" s="330" customFormat="1" ht="28.15" customHeight="1" x14ac:dyDescent="0.25">
      <c r="B2032" s="331"/>
      <c r="C2032" s="332"/>
      <c r="D2032" s="332"/>
      <c r="E2032" s="333"/>
      <c r="F2032" s="333"/>
      <c r="R2032" s="316"/>
      <c r="S2032" s="404"/>
      <c r="T2032" s="404"/>
      <c r="U2032" s="404"/>
      <c r="V2032" s="404"/>
      <c r="W2032" s="316"/>
      <c r="X2032" s="316"/>
      <c r="Y2032" s="316"/>
      <c r="Z2032" s="316"/>
      <c r="AA2032" s="404"/>
      <c r="AB2032" s="404"/>
      <c r="AC2032" s="404"/>
      <c r="AD2032" s="404"/>
      <c r="AE2032" s="316"/>
      <c r="AF2032" s="316"/>
      <c r="AG2032" s="404"/>
      <c r="AH2032" s="316"/>
      <c r="AI2032" s="316"/>
      <c r="AJ2032" s="316"/>
      <c r="AK2032" s="316"/>
      <c r="AL2032" s="316"/>
      <c r="AM2032" s="416"/>
      <c r="AR2032" s="333"/>
      <c r="AS2032" s="333"/>
      <c r="AT2032" s="333"/>
      <c r="AU2032" s="333"/>
      <c r="AV2032" s="333"/>
    </row>
    <row r="2033" spans="2:48" s="330" customFormat="1" ht="28.15" customHeight="1" x14ac:dyDescent="0.25">
      <c r="B2033" s="331"/>
      <c r="C2033" s="332"/>
      <c r="D2033" s="332"/>
      <c r="E2033" s="333"/>
      <c r="F2033" s="333"/>
      <c r="R2033" s="316"/>
      <c r="S2033" s="404"/>
      <c r="T2033" s="404"/>
      <c r="U2033" s="404"/>
      <c r="V2033" s="404"/>
      <c r="W2033" s="316"/>
      <c r="X2033" s="316"/>
      <c r="Y2033" s="316"/>
      <c r="Z2033" s="316"/>
      <c r="AA2033" s="404"/>
      <c r="AB2033" s="404"/>
      <c r="AC2033" s="404"/>
      <c r="AD2033" s="404"/>
      <c r="AE2033" s="316"/>
      <c r="AF2033" s="316"/>
      <c r="AG2033" s="404"/>
      <c r="AH2033" s="316"/>
      <c r="AI2033" s="316"/>
      <c r="AJ2033" s="316"/>
      <c r="AK2033" s="316"/>
      <c r="AL2033" s="316"/>
      <c r="AM2033" s="416"/>
      <c r="AR2033" s="333"/>
      <c r="AS2033" s="333"/>
      <c r="AT2033" s="333"/>
      <c r="AU2033" s="333"/>
      <c r="AV2033" s="333"/>
    </row>
    <row r="2034" spans="2:48" s="330" customFormat="1" ht="28.15" customHeight="1" x14ac:dyDescent="0.25">
      <c r="B2034" s="331"/>
      <c r="C2034" s="332"/>
      <c r="D2034" s="332"/>
      <c r="E2034" s="333"/>
      <c r="F2034" s="333"/>
      <c r="R2034" s="316"/>
      <c r="S2034" s="404"/>
      <c r="T2034" s="404"/>
      <c r="U2034" s="404"/>
      <c r="V2034" s="404"/>
      <c r="W2034" s="316"/>
      <c r="X2034" s="316"/>
      <c r="Y2034" s="316"/>
      <c r="Z2034" s="316"/>
      <c r="AA2034" s="404"/>
      <c r="AB2034" s="404"/>
      <c r="AC2034" s="404"/>
      <c r="AD2034" s="404"/>
      <c r="AE2034" s="316"/>
      <c r="AF2034" s="316"/>
      <c r="AG2034" s="404"/>
      <c r="AH2034" s="316"/>
      <c r="AI2034" s="316"/>
      <c r="AJ2034" s="316"/>
      <c r="AK2034" s="316"/>
      <c r="AL2034" s="316"/>
      <c r="AM2034" s="416"/>
      <c r="AR2034" s="333"/>
      <c r="AS2034" s="333"/>
      <c r="AT2034" s="333"/>
      <c r="AU2034" s="333"/>
      <c r="AV2034" s="333"/>
    </row>
    <row r="2035" spans="2:48" s="330" customFormat="1" ht="28.15" customHeight="1" x14ac:dyDescent="0.25">
      <c r="B2035" s="331"/>
      <c r="C2035" s="332"/>
      <c r="D2035" s="332"/>
      <c r="E2035" s="333"/>
      <c r="F2035" s="333"/>
      <c r="R2035" s="316"/>
      <c r="S2035" s="404"/>
      <c r="T2035" s="404"/>
      <c r="U2035" s="404"/>
      <c r="V2035" s="404"/>
      <c r="W2035" s="316"/>
      <c r="X2035" s="316"/>
      <c r="Y2035" s="316"/>
      <c r="Z2035" s="316"/>
      <c r="AA2035" s="404"/>
      <c r="AB2035" s="404"/>
      <c r="AC2035" s="404"/>
      <c r="AD2035" s="404"/>
      <c r="AE2035" s="316"/>
      <c r="AF2035" s="316"/>
      <c r="AG2035" s="404"/>
      <c r="AH2035" s="316"/>
      <c r="AI2035" s="316"/>
      <c r="AJ2035" s="316"/>
      <c r="AK2035" s="316"/>
      <c r="AL2035" s="316"/>
      <c r="AM2035" s="416"/>
      <c r="AR2035" s="333"/>
      <c r="AS2035" s="333"/>
      <c r="AT2035" s="333"/>
      <c r="AU2035" s="333"/>
      <c r="AV2035" s="333"/>
    </row>
    <row r="2036" spans="2:48" s="330" customFormat="1" ht="28.15" customHeight="1" x14ac:dyDescent="0.25">
      <c r="B2036" s="331"/>
      <c r="C2036" s="332"/>
      <c r="D2036" s="332"/>
      <c r="E2036" s="333"/>
      <c r="F2036" s="333"/>
      <c r="R2036" s="316"/>
      <c r="S2036" s="404"/>
      <c r="T2036" s="404"/>
      <c r="U2036" s="404"/>
      <c r="V2036" s="404"/>
      <c r="W2036" s="316"/>
      <c r="X2036" s="316"/>
      <c r="Y2036" s="316"/>
      <c r="Z2036" s="316"/>
      <c r="AA2036" s="404"/>
      <c r="AB2036" s="404"/>
      <c r="AC2036" s="404"/>
      <c r="AD2036" s="404"/>
      <c r="AE2036" s="316"/>
      <c r="AF2036" s="316"/>
      <c r="AG2036" s="404"/>
      <c r="AH2036" s="316"/>
      <c r="AI2036" s="316"/>
      <c r="AJ2036" s="316"/>
      <c r="AK2036" s="316"/>
      <c r="AL2036" s="316"/>
      <c r="AM2036" s="416"/>
      <c r="AR2036" s="333"/>
      <c r="AS2036" s="333"/>
      <c r="AT2036" s="333"/>
      <c r="AU2036" s="333"/>
      <c r="AV2036" s="333"/>
    </row>
    <row r="2037" spans="2:48" s="330" customFormat="1" ht="28.15" customHeight="1" x14ac:dyDescent="0.25">
      <c r="B2037" s="331"/>
      <c r="C2037" s="332"/>
      <c r="D2037" s="332"/>
      <c r="E2037" s="333"/>
      <c r="F2037" s="333"/>
      <c r="R2037" s="316"/>
      <c r="S2037" s="404"/>
      <c r="T2037" s="404"/>
      <c r="U2037" s="404"/>
      <c r="V2037" s="404"/>
      <c r="W2037" s="316"/>
      <c r="X2037" s="316"/>
      <c r="Y2037" s="316"/>
      <c r="Z2037" s="316"/>
      <c r="AA2037" s="404"/>
      <c r="AB2037" s="404"/>
      <c r="AC2037" s="404"/>
      <c r="AD2037" s="404"/>
      <c r="AE2037" s="316"/>
      <c r="AF2037" s="316"/>
      <c r="AG2037" s="404"/>
      <c r="AH2037" s="316"/>
      <c r="AI2037" s="316"/>
      <c r="AJ2037" s="316"/>
      <c r="AK2037" s="316"/>
      <c r="AL2037" s="316"/>
      <c r="AM2037" s="416"/>
      <c r="AR2037" s="333"/>
      <c r="AS2037" s="333"/>
      <c r="AT2037" s="333"/>
      <c r="AU2037" s="333"/>
      <c r="AV2037" s="333"/>
    </row>
    <row r="2038" spans="2:48" s="330" customFormat="1" ht="28.15" customHeight="1" x14ac:dyDescent="0.25">
      <c r="B2038" s="331"/>
      <c r="C2038" s="332"/>
      <c r="D2038" s="332"/>
      <c r="E2038" s="333"/>
      <c r="F2038" s="333"/>
      <c r="R2038" s="316"/>
      <c r="S2038" s="404"/>
      <c r="T2038" s="404"/>
      <c r="U2038" s="404"/>
      <c r="V2038" s="404"/>
      <c r="W2038" s="316"/>
      <c r="X2038" s="316"/>
      <c r="Y2038" s="316"/>
      <c r="Z2038" s="316"/>
      <c r="AA2038" s="404"/>
      <c r="AB2038" s="404"/>
      <c r="AC2038" s="404"/>
      <c r="AD2038" s="404"/>
      <c r="AE2038" s="316"/>
      <c r="AF2038" s="316"/>
      <c r="AG2038" s="404"/>
      <c r="AH2038" s="316"/>
      <c r="AI2038" s="316"/>
      <c r="AJ2038" s="316"/>
      <c r="AK2038" s="316"/>
      <c r="AL2038" s="316"/>
      <c r="AM2038" s="416"/>
      <c r="AR2038" s="333"/>
      <c r="AS2038" s="333"/>
      <c r="AT2038" s="333"/>
      <c r="AU2038" s="333"/>
      <c r="AV2038" s="333"/>
    </row>
    <row r="2039" spans="2:48" s="330" customFormat="1" ht="28.15" customHeight="1" x14ac:dyDescent="0.25">
      <c r="B2039" s="331"/>
      <c r="C2039" s="332"/>
      <c r="D2039" s="332"/>
      <c r="E2039" s="333"/>
      <c r="F2039" s="333"/>
      <c r="R2039" s="316"/>
      <c r="S2039" s="404"/>
      <c r="T2039" s="404"/>
      <c r="U2039" s="404"/>
      <c r="V2039" s="404"/>
      <c r="W2039" s="316"/>
      <c r="X2039" s="316"/>
      <c r="Y2039" s="316"/>
      <c r="Z2039" s="316"/>
      <c r="AA2039" s="404"/>
      <c r="AB2039" s="404"/>
      <c r="AC2039" s="404"/>
      <c r="AD2039" s="404"/>
      <c r="AE2039" s="316"/>
      <c r="AF2039" s="316"/>
      <c r="AG2039" s="404"/>
      <c r="AH2039" s="316"/>
      <c r="AI2039" s="316"/>
      <c r="AJ2039" s="316"/>
      <c r="AK2039" s="316"/>
      <c r="AL2039" s="316"/>
      <c r="AM2039" s="416"/>
      <c r="AR2039" s="333"/>
      <c r="AS2039" s="333"/>
      <c r="AT2039" s="333"/>
      <c r="AU2039" s="333"/>
      <c r="AV2039" s="333"/>
    </row>
    <row r="2040" spans="2:48" s="330" customFormat="1" ht="28.15" customHeight="1" x14ac:dyDescent="0.25">
      <c r="B2040" s="331"/>
      <c r="C2040" s="332"/>
      <c r="D2040" s="332"/>
      <c r="E2040" s="333"/>
      <c r="F2040" s="333"/>
      <c r="R2040" s="316"/>
      <c r="S2040" s="404"/>
      <c r="T2040" s="404"/>
      <c r="U2040" s="404"/>
      <c r="V2040" s="404"/>
      <c r="W2040" s="316"/>
      <c r="X2040" s="316"/>
      <c r="Y2040" s="316"/>
      <c r="Z2040" s="316"/>
      <c r="AA2040" s="404"/>
      <c r="AB2040" s="404"/>
      <c r="AC2040" s="404"/>
      <c r="AD2040" s="404"/>
      <c r="AE2040" s="316"/>
      <c r="AF2040" s="316"/>
      <c r="AG2040" s="404"/>
      <c r="AH2040" s="316"/>
      <c r="AI2040" s="316"/>
      <c r="AJ2040" s="316"/>
      <c r="AK2040" s="316"/>
      <c r="AL2040" s="316"/>
      <c r="AM2040" s="416"/>
      <c r="AR2040" s="333"/>
      <c r="AS2040" s="333"/>
      <c r="AT2040" s="333"/>
      <c r="AU2040" s="333"/>
      <c r="AV2040" s="333"/>
    </row>
    <row r="2041" spans="2:48" s="330" customFormat="1" ht="28.15" customHeight="1" x14ac:dyDescent="0.25">
      <c r="B2041" s="331"/>
      <c r="C2041" s="332"/>
      <c r="D2041" s="332"/>
      <c r="E2041" s="333"/>
      <c r="F2041" s="333"/>
      <c r="R2041" s="316"/>
      <c r="S2041" s="404"/>
      <c r="T2041" s="404"/>
      <c r="U2041" s="404"/>
      <c r="V2041" s="404"/>
      <c r="W2041" s="316"/>
      <c r="X2041" s="316"/>
      <c r="Y2041" s="316"/>
      <c r="Z2041" s="316"/>
      <c r="AA2041" s="404"/>
      <c r="AB2041" s="404"/>
      <c r="AC2041" s="404"/>
      <c r="AD2041" s="404"/>
      <c r="AE2041" s="316"/>
      <c r="AF2041" s="316"/>
      <c r="AG2041" s="404"/>
      <c r="AH2041" s="316"/>
      <c r="AI2041" s="316"/>
      <c r="AJ2041" s="316"/>
      <c r="AK2041" s="316"/>
      <c r="AL2041" s="316"/>
      <c r="AM2041" s="416"/>
      <c r="AR2041" s="333"/>
      <c r="AS2041" s="333"/>
      <c r="AT2041" s="333"/>
      <c r="AU2041" s="333"/>
      <c r="AV2041" s="333"/>
    </row>
    <row r="2042" spans="2:48" s="330" customFormat="1" ht="28.15" customHeight="1" x14ac:dyDescent="0.25">
      <c r="B2042" s="331"/>
      <c r="C2042" s="332"/>
      <c r="D2042" s="332"/>
      <c r="E2042" s="333"/>
      <c r="F2042" s="333"/>
      <c r="R2042" s="316"/>
      <c r="S2042" s="404"/>
      <c r="T2042" s="404"/>
      <c r="U2042" s="404"/>
      <c r="V2042" s="404"/>
      <c r="W2042" s="316"/>
      <c r="X2042" s="316"/>
      <c r="Y2042" s="316"/>
      <c r="Z2042" s="316"/>
      <c r="AA2042" s="404"/>
      <c r="AB2042" s="404"/>
      <c r="AC2042" s="404"/>
      <c r="AD2042" s="404"/>
      <c r="AE2042" s="316"/>
      <c r="AF2042" s="316"/>
      <c r="AG2042" s="404"/>
      <c r="AH2042" s="316"/>
      <c r="AI2042" s="316"/>
      <c r="AJ2042" s="316"/>
      <c r="AK2042" s="316"/>
      <c r="AL2042" s="316"/>
      <c r="AM2042" s="416"/>
      <c r="AR2042" s="333"/>
      <c r="AS2042" s="333"/>
      <c r="AT2042" s="333"/>
      <c r="AU2042" s="333"/>
      <c r="AV2042" s="333"/>
    </row>
    <row r="2043" spans="2:48" s="330" customFormat="1" ht="28.15" customHeight="1" x14ac:dyDescent="0.25">
      <c r="B2043" s="331"/>
      <c r="C2043" s="332"/>
      <c r="D2043" s="332"/>
      <c r="E2043" s="333"/>
      <c r="F2043" s="333"/>
      <c r="R2043" s="316"/>
      <c r="S2043" s="404"/>
      <c r="T2043" s="404"/>
      <c r="U2043" s="404"/>
      <c r="V2043" s="404"/>
      <c r="W2043" s="316"/>
      <c r="X2043" s="316"/>
      <c r="Y2043" s="316"/>
      <c r="Z2043" s="316"/>
      <c r="AA2043" s="404"/>
      <c r="AB2043" s="404"/>
      <c r="AC2043" s="404"/>
      <c r="AD2043" s="404"/>
      <c r="AE2043" s="316"/>
      <c r="AF2043" s="316"/>
      <c r="AG2043" s="404"/>
      <c r="AH2043" s="316"/>
      <c r="AI2043" s="316"/>
      <c r="AJ2043" s="316"/>
      <c r="AK2043" s="316"/>
      <c r="AL2043" s="316"/>
      <c r="AM2043" s="416"/>
      <c r="AR2043" s="333"/>
      <c r="AS2043" s="333"/>
      <c r="AT2043" s="333"/>
      <c r="AU2043" s="333"/>
      <c r="AV2043" s="333"/>
    </row>
    <row r="2044" spans="2:48" s="330" customFormat="1" ht="28.15" customHeight="1" x14ac:dyDescent="0.25">
      <c r="B2044" s="331"/>
      <c r="C2044" s="332"/>
      <c r="D2044" s="332"/>
      <c r="E2044" s="333"/>
      <c r="F2044" s="333"/>
      <c r="R2044" s="316"/>
      <c r="S2044" s="404"/>
      <c r="T2044" s="404"/>
      <c r="U2044" s="404"/>
      <c r="V2044" s="404"/>
      <c r="W2044" s="316"/>
      <c r="X2044" s="316"/>
      <c r="Y2044" s="316"/>
      <c r="Z2044" s="316"/>
      <c r="AA2044" s="404"/>
      <c r="AB2044" s="404"/>
      <c r="AC2044" s="404"/>
      <c r="AD2044" s="404"/>
      <c r="AE2044" s="316"/>
      <c r="AF2044" s="316"/>
      <c r="AG2044" s="404"/>
      <c r="AH2044" s="316"/>
      <c r="AI2044" s="316"/>
      <c r="AJ2044" s="316"/>
      <c r="AK2044" s="316"/>
      <c r="AL2044" s="316"/>
      <c r="AM2044" s="416"/>
      <c r="AR2044" s="333"/>
      <c r="AS2044" s="333"/>
      <c r="AT2044" s="333"/>
      <c r="AU2044" s="333"/>
      <c r="AV2044" s="333"/>
    </row>
    <row r="2045" spans="2:48" s="330" customFormat="1" ht="28.15" customHeight="1" x14ac:dyDescent="0.25">
      <c r="B2045" s="331"/>
      <c r="C2045" s="332"/>
      <c r="D2045" s="332"/>
      <c r="E2045" s="333"/>
      <c r="F2045" s="333"/>
      <c r="R2045" s="316"/>
      <c r="S2045" s="404"/>
      <c r="T2045" s="404"/>
      <c r="U2045" s="404"/>
      <c r="V2045" s="404"/>
      <c r="W2045" s="316"/>
      <c r="X2045" s="316"/>
      <c r="Y2045" s="316"/>
      <c r="Z2045" s="316"/>
      <c r="AA2045" s="404"/>
      <c r="AB2045" s="404"/>
      <c r="AC2045" s="404"/>
      <c r="AD2045" s="404"/>
      <c r="AE2045" s="316"/>
      <c r="AF2045" s="316"/>
      <c r="AG2045" s="404"/>
      <c r="AH2045" s="316"/>
      <c r="AI2045" s="316"/>
      <c r="AJ2045" s="316"/>
      <c r="AK2045" s="316"/>
      <c r="AL2045" s="316"/>
      <c r="AM2045" s="416"/>
      <c r="AR2045" s="333"/>
      <c r="AS2045" s="333"/>
      <c r="AT2045" s="333"/>
      <c r="AU2045" s="333"/>
      <c r="AV2045" s="333"/>
    </row>
    <row r="2046" spans="2:48" s="330" customFormat="1" ht="28.15" customHeight="1" x14ac:dyDescent="0.25">
      <c r="B2046" s="331"/>
      <c r="C2046" s="332"/>
      <c r="D2046" s="332"/>
      <c r="E2046" s="333"/>
      <c r="F2046" s="333"/>
      <c r="R2046" s="316"/>
      <c r="S2046" s="404"/>
      <c r="T2046" s="404"/>
      <c r="U2046" s="404"/>
      <c r="V2046" s="404"/>
      <c r="W2046" s="316"/>
      <c r="X2046" s="316"/>
      <c r="Y2046" s="316"/>
      <c r="Z2046" s="316"/>
      <c r="AA2046" s="404"/>
      <c r="AB2046" s="404"/>
      <c r="AC2046" s="404"/>
      <c r="AD2046" s="404"/>
      <c r="AE2046" s="316"/>
      <c r="AF2046" s="316"/>
      <c r="AG2046" s="404"/>
      <c r="AH2046" s="316"/>
      <c r="AI2046" s="316"/>
      <c r="AJ2046" s="316"/>
      <c r="AK2046" s="316"/>
      <c r="AL2046" s="316"/>
      <c r="AM2046" s="416"/>
      <c r="AR2046" s="333"/>
      <c r="AS2046" s="333"/>
      <c r="AT2046" s="333"/>
      <c r="AU2046" s="333"/>
      <c r="AV2046" s="333"/>
    </row>
    <row r="2047" spans="2:48" s="330" customFormat="1" ht="28.15" customHeight="1" x14ac:dyDescent="0.25">
      <c r="B2047" s="331"/>
      <c r="C2047" s="332"/>
      <c r="D2047" s="332"/>
      <c r="E2047" s="333"/>
      <c r="F2047" s="333"/>
      <c r="R2047" s="316"/>
      <c r="S2047" s="404"/>
      <c r="T2047" s="404"/>
      <c r="U2047" s="404"/>
      <c r="V2047" s="404"/>
      <c r="W2047" s="316"/>
      <c r="X2047" s="316"/>
      <c r="Y2047" s="316"/>
      <c r="Z2047" s="316"/>
      <c r="AA2047" s="404"/>
      <c r="AB2047" s="404"/>
      <c r="AC2047" s="404"/>
      <c r="AD2047" s="404"/>
      <c r="AE2047" s="316"/>
      <c r="AF2047" s="316"/>
      <c r="AG2047" s="404"/>
      <c r="AH2047" s="316"/>
      <c r="AI2047" s="316"/>
      <c r="AJ2047" s="316"/>
      <c r="AK2047" s="316"/>
      <c r="AL2047" s="316"/>
      <c r="AM2047" s="416"/>
      <c r="AR2047" s="333"/>
      <c r="AS2047" s="333"/>
      <c r="AT2047" s="333"/>
      <c r="AU2047" s="333"/>
      <c r="AV2047" s="333"/>
    </row>
    <row r="2048" spans="2:48" s="330" customFormat="1" ht="28.15" customHeight="1" x14ac:dyDescent="0.25">
      <c r="B2048" s="331"/>
      <c r="C2048" s="332"/>
      <c r="D2048" s="332"/>
      <c r="E2048" s="333"/>
      <c r="F2048" s="333"/>
      <c r="R2048" s="316"/>
      <c r="S2048" s="404"/>
      <c r="T2048" s="404"/>
      <c r="U2048" s="404"/>
      <c r="V2048" s="404"/>
      <c r="W2048" s="316"/>
      <c r="X2048" s="316"/>
      <c r="Y2048" s="316"/>
      <c r="Z2048" s="316"/>
      <c r="AA2048" s="404"/>
      <c r="AB2048" s="404"/>
      <c r="AC2048" s="404"/>
      <c r="AD2048" s="404"/>
      <c r="AE2048" s="316"/>
      <c r="AF2048" s="316"/>
      <c r="AG2048" s="404"/>
      <c r="AH2048" s="316"/>
      <c r="AI2048" s="316"/>
      <c r="AJ2048" s="316"/>
      <c r="AK2048" s="316"/>
      <c r="AL2048" s="316"/>
      <c r="AM2048" s="416"/>
      <c r="AR2048" s="333"/>
      <c r="AS2048" s="333"/>
      <c r="AT2048" s="333"/>
      <c r="AU2048" s="333"/>
      <c r="AV2048" s="333"/>
    </row>
    <row r="2049" spans="2:48" s="330" customFormat="1" ht="28.15" customHeight="1" x14ac:dyDescent="0.25">
      <c r="B2049" s="331"/>
      <c r="C2049" s="332"/>
      <c r="D2049" s="332"/>
      <c r="E2049" s="333"/>
      <c r="F2049" s="333"/>
      <c r="R2049" s="316"/>
      <c r="S2049" s="404"/>
      <c r="T2049" s="404"/>
      <c r="U2049" s="404"/>
      <c r="V2049" s="404"/>
      <c r="W2049" s="316"/>
      <c r="X2049" s="316"/>
      <c r="Y2049" s="316"/>
      <c r="Z2049" s="316"/>
      <c r="AA2049" s="404"/>
      <c r="AB2049" s="404"/>
      <c r="AC2049" s="404"/>
      <c r="AD2049" s="404"/>
      <c r="AE2049" s="316"/>
      <c r="AF2049" s="316"/>
      <c r="AG2049" s="404"/>
      <c r="AH2049" s="316"/>
      <c r="AI2049" s="316"/>
      <c r="AJ2049" s="316"/>
      <c r="AK2049" s="316"/>
      <c r="AL2049" s="316"/>
      <c r="AM2049" s="416"/>
      <c r="AR2049" s="333"/>
      <c r="AS2049" s="333"/>
      <c r="AT2049" s="333"/>
      <c r="AU2049" s="333"/>
      <c r="AV2049" s="333"/>
    </row>
    <row r="2050" spans="2:48" s="330" customFormat="1" ht="28.15" customHeight="1" x14ac:dyDescent="0.25">
      <c r="B2050" s="331"/>
      <c r="C2050" s="332"/>
      <c r="D2050" s="332"/>
      <c r="E2050" s="333"/>
      <c r="F2050" s="333"/>
      <c r="R2050" s="316"/>
      <c r="S2050" s="404"/>
      <c r="T2050" s="404"/>
      <c r="U2050" s="404"/>
      <c r="V2050" s="404"/>
      <c r="W2050" s="316"/>
      <c r="X2050" s="316"/>
      <c r="Y2050" s="316"/>
      <c r="Z2050" s="316"/>
      <c r="AA2050" s="404"/>
      <c r="AB2050" s="404"/>
      <c r="AC2050" s="404"/>
      <c r="AD2050" s="404"/>
      <c r="AE2050" s="316"/>
      <c r="AF2050" s="316"/>
      <c r="AG2050" s="404"/>
      <c r="AH2050" s="316"/>
      <c r="AI2050" s="316"/>
      <c r="AJ2050" s="316"/>
      <c r="AK2050" s="316"/>
      <c r="AL2050" s="316"/>
      <c r="AM2050" s="416"/>
      <c r="AR2050" s="333"/>
      <c r="AS2050" s="333"/>
      <c r="AT2050" s="333"/>
      <c r="AU2050" s="333"/>
      <c r="AV2050" s="333"/>
    </row>
    <row r="2051" spans="2:48" s="330" customFormat="1" ht="28.15" customHeight="1" x14ac:dyDescent="0.25">
      <c r="B2051" s="331"/>
      <c r="C2051" s="332"/>
      <c r="D2051" s="332"/>
      <c r="E2051" s="333"/>
      <c r="F2051" s="333"/>
      <c r="R2051" s="316"/>
      <c r="S2051" s="404"/>
      <c r="T2051" s="404"/>
      <c r="U2051" s="404"/>
      <c r="V2051" s="404"/>
      <c r="W2051" s="316"/>
      <c r="X2051" s="316"/>
      <c r="Y2051" s="316"/>
      <c r="Z2051" s="316"/>
      <c r="AA2051" s="404"/>
      <c r="AB2051" s="404"/>
      <c r="AC2051" s="404"/>
      <c r="AD2051" s="404"/>
      <c r="AE2051" s="316"/>
      <c r="AF2051" s="316"/>
      <c r="AG2051" s="404"/>
      <c r="AH2051" s="316"/>
      <c r="AI2051" s="316"/>
      <c r="AJ2051" s="316"/>
      <c r="AK2051" s="316"/>
      <c r="AL2051" s="316"/>
      <c r="AM2051" s="416"/>
      <c r="AR2051" s="333"/>
      <c r="AS2051" s="333"/>
      <c r="AT2051" s="333"/>
      <c r="AU2051" s="333"/>
      <c r="AV2051" s="333"/>
    </row>
    <row r="2052" spans="2:48" s="330" customFormat="1" ht="28.15" customHeight="1" x14ac:dyDescent="0.25">
      <c r="B2052" s="331"/>
      <c r="C2052" s="332"/>
      <c r="D2052" s="332"/>
      <c r="E2052" s="333"/>
      <c r="F2052" s="333"/>
      <c r="R2052" s="316"/>
      <c r="S2052" s="404"/>
      <c r="T2052" s="404"/>
      <c r="U2052" s="404"/>
      <c r="V2052" s="404"/>
      <c r="W2052" s="316"/>
      <c r="X2052" s="316"/>
      <c r="Y2052" s="316"/>
      <c r="Z2052" s="316"/>
      <c r="AA2052" s="404"/>
      <c r="AB2052" s="404"/>
      <c r="AC2052" s="404"/>
      <c r="AD2052" s="404"/>
      <c r="AE2052" s="316"/>
      <c r="AF2052" s="316"/>
      <c r="AG2052" s="404"/>
      <c r="AH2052" s="316"/>
      <c r="AI2052" s="316"/>
      <c r="AJ2052" s="316"/>
      <c r="AK2052" s="316"/>
      <c r="AL2052" s="316"/>
      <c r="AM2052" s="416"/>
      <c r="AR2052" s="333"/>
      <c r="AS2052" s="333"/>
      <c r="AT2052" s="333"/>
      <c r="AU2052" s="333"/>
      <c r="AV2052" s="333"/>
    </row>
    <row r="2053" spans="2:48" s="330" customFormat="1" ht="28.15" customHeight="1" x14ac:dyDescent="0.25">
      <c r="B2053" s="331"/>
      <c r="C2053" s="332"/>
      <c r="D2053" s="332"/>
      <c r="E2053" s="333"/>
      <c r="F2053" s="333"/>
      <c r="R2053" s="316"/>
      <c r="S2053" s="404"/>
      <c r="T2053" s="404"/>
      <c r="U2053" s="404"/>
      <c r="V2053" s="404"/>
      <c r="W2053" s="316"/>
      <c r="X2053" s="316"/>
      <c r="Y2053" s="316"/>
      <c r="Z2053" s="316"/>
      <c r="AA2053" s="404"/>
      <c r="AB2053" s="404"/>
      <c r="AC2053" s="404"/>
      <c r="AD2053" s="404"/>
      <c r="AE2053" s="316"/>
      <c r="AF2053" s="316"/>
      <c r="AG2053" s="404"/>
      <c r="AH2053" s="316"/>
      <c r="AI2053" s="316"/>
      <c r="AJ2053" s="316"/>
      <c r="AK2053" s="316"/>
      <c r="AL2053" s="316"/>
      <c r="AM2053" s="416"/>
      <c r="AR2053" s="333"/>
      <c r="AS2053" s="333"/>
      <c r="AT2053" s="333"/>
      <c r="AU2053" s="333"/>
      <c r="AV2053" s="333"/>
    </row>
    <row r="2054" spans="2:48" s="330" customFormat="1" ht="28.15" customHeight="1" x14ac:dyDescent="0.25">
      <c r="B2054" s="331"/>
      <c r="C2054" s="332"/>
      <c r="D2054" s="332"/>
      <c r="E2054" s="333"/>
      <c r="F2054" s="333"/>
      <c r="R2054" s="316"/>
      <c r="S2054" s="404"/>
      <c r="T2054" s="404"/>
      <c r="U2054" s="404"/>
      <c r="V2054" s="404"/>
      <c r="W2054" s="316"/>
      <c r="X2054" s="316"/>
      <c r="Y2054" s="316"/>
      <c r="Z2054" s="316"/>
      <c r="AA2054" s="404"/>
      <c r="AB2054" s="404"/>
      <c r="AC2054" s="404"/>
      <c r="AD2054" s="404"/>
      <c r="AE2054" s="316"/>
      <c r="AF2054" s="316"/>
      <c r="AG2054" s="404"/>
      <c r="AH2054" s="316"/>
      <c r="AI2054" s="316"/>
      <c r="AJ2054" s="316"/>
      <c r="AK2054" s="316"/>
      <c r="AL2054" s="316"/>
      <c r="AM2054" s="416"/>
      <c r="AR2054" s="333"/>
      <c r="AS2054" s="333"/>
      <c r="AT2054" s="333"/>
      <c r="AU2054" s="333"/>
      <c r="AV2054" s="333"/>
    </row>
    <row r="2055" spans="2:48" s="330" customFormat="1" ht="28.15" customHeight="1" x14ac:dyDescent="0.25">
      <c r="B2055" s="331"/>
      <c r="C2055" s="332"/>
      <c r="D2055" s="332"/>
      <c r="E2055" s="333"/>
      <c r="F2055" s="333"/>
      <c r="R2055" s="316"/>
      <c r="S2055" s="404"/>
      <c r="T2055" s="404"/>
      <c r="U2055" s="404"/>
      <c r="V2055" s="404"/>
      <c r="W2055" s="316"/>
      <c r="X2055" s="316"/>
      <c r="Y2055" s="316"/>
      <c r="Z2055" s="316"/>
      <c r="AA2055" s="404"/>
      <c r="AB2055" s="404"/>
      <c r="AC2055" s="404"/>
      <c r="AD2055" s="404"/>
      <c r="AE2055" s="316"/>
      <c r="AF2055" s="316"/>
      <c r="AG2055" s="404"/>
      <c r="AH2055" s="316"/>
      <c r="AI2055" s="316"/>
      <c r="AJ2055" s="316"/>
      <c r="AK2055" s="316"/>
      <c r="AL2055" s="316"/>
      <c r="AM2055" s="416"/>
      <c r="AR2055" s="333"/>
      <c r="AS2055" s="333"/>
      <c r="AT2055" s="333"/>
      <c r="AU2055" s="333"/>
      <c r="AV2055" s="333"/>
    </row>
    <row r="2056" spans="2:48" s="330" customFormat="1" ht="28.15" customHeight="1" x14ac:dyDescent="0.25">
      <c r="B2056" s="331"/>
      <c r="C2056" s="332"/>
      <c r="D2056" s="332"/>
      <c r="E2056" s="333"/>
      <c r="F2056" s="333"/>
      <c r="R2056" s="316"/>
      <c r="S2056" s="404"/>
      <c r="T2056" s="404"/>
      <c r="U2056" s="404"/>
      <c r="V2056" s="404"/>
      <c r="W2056" s="316"/>
      <c r="X2056" s="316"/>
      <c r="Y2056" s="316"/>
      <c r="Z2056" s="316"/>
      <c r="AA2056" s="404"/>
      <c r="AB2056" s="404"/>
      <c r="AC2056" s="404"/>
      <c r="AD2056" s="404"/>
      <c r="AE2056" s="316"/>
      <c r="AF2056" s="316"/>
      <c r="AG2056" s="404"/>
      <c r="AH2056" s="316"/>
      <c r="AI2056" s="316"/>
      <c r="AJ2056" s="316"/>
      <c r="AK2056" s="316"/>
      <c r="AL2056" s="316"/>
      <c r="AM2056" s="416"/>
      <c r="AR2056" s="333"/>
      <c r="AS2056" s="333"/>
      <c r="AT2056" s="333"/>
      <c r="AU2056" s="333"/>
      <c r="AV2056" s="333"/>
    </row>
    <row r="2057" spans="2:48" s="330" customFormat="1" ht="28.15" customHeight="1" x14ac:dyDescent="0.25">
      <c r="B2057" s="331"/>
      <c r="C2057" s="332"/>
      <c r="D2057" s="332"/>
      <c r="E2057" s="333"/>
      <c r="F2057" s="333"/>
      <c r="R2057" s="316"/>
      <c r="S2057" s="404"/>
      <c r="T2057" s="404"/>
      <c r="U2057" s="404"/>
      <c r="V2057" s="404"/>
      <c r="W2057" s="316"/>
      <c r="X2057" s="316"/>
      <c r="Y2057" s="316"/>
      <c r="Z2057" s="316"/>
      <c r="AA2057" s="404"/>
      <c r="AB2057" s="404"/>
      <c r="AC2057" s="404"/>
      <c r="AD2057" s="404"/>
      <c r="AE2057" s="316"/>
      <c r="AF2057" s="316"/>
      <c r="AG2057" s="404"/>
      <c r="AH2057" s="316"/>
      <c r="AI2057" s="316"/>
      <c r="AJ2057" s="316"/>
      <c r="AK2057" s="316"/>
      <c r="AL2057" s="316"/>
      <c r="AM2057" s="416"/>
      <c r="AR2057" s="333"/>
      <c r="AS2057" s="333"/>
      <c r="AT2057" s="333"/>
      <c r="AU2057" s="333"/>
      <c r="AV2057" s="333"/>
    </row>
    <row r="2058" spans="2:48" s="330" customFormat="1" ht="28.15" customHeight="1" x14ac:dyDescent="0.25">
      <c r="B2058" s="331"/>
      <c r="C2058" s="332"/>
      <c r="D2058" s="332"/>
      <c r="E2058" s="333"/>
      <c r="F2058" s="333"/>
      <c r="R2058" s="316"/>
      <c r="S2058" s="404"/>
      <c r="T2058" s="404"/>
      <c r="U2058" s="404"/>
      <c r="V2058" s="404"/>
      <c r="W2058" s="316"/>
      <c r="X2058" s="316"/>
      <c r="Y2058" s="316"/>
      <c r="Z2058" s="316"/>
      <c r="AA2058" s="404"/>
      <c r="AB2058" s="404"/>
      <c r="AC2058" s="404"/>
      <c r="AD2058" s="404"/>
      <c r="AE2058" s="316"/>
      <c r="AF2058" s="316"/>
      <c r="AG2058" s="404"/>
      <c r="AH2058" s="316"/>
      <c r="AI2058" s="316"/>
      <c r="AJ2058" s="316"/>
      <c r="AK2058" s="316"/>
      <c r="AL2058" s="316"/>
      <c r="AM2058" s="416"/>
      <c r="AR2058" s="333"/>
      <c r="AS2058" s="333"/>
      <c r="AT2058" s="333"/>
      <c r="AU2058" s="333"/>
      <c r="AV2058" s="333"/>
    </row>
    <row r="2059" spans="2:48" s="330" customFormat="1" ht="28.15" customHeight="1" x14ac:dyDescent="0.25">
      <c r="B2059" s="331"/>
      <c r="C2059" s="332"/>
      <c r="D2059" s="332"/>
      <c r="E2059" s="333"/>
      <c r="F2059" s="333"/>
      <c r="R2059" s="316"/>
      <c r="S2059" s="404"/>
      <c r="T2059" s="404"/>
      <c r="U2059" s="404"/>
      <c r="V2059" s="404"/>
      <c r="W2059" s="316"/>
      <c r="X2059" s="316"/>
      <c r="Y2059" s="316"/>
      <c r="Z2059" s="316"/>
      <c r="AA2059" s="404"/>
      <c r="AB2059" s="404"/>
      <c r="AC2059" s="404"/>
      <c r="AD2059" s="404"/>
      <c r="AE2059" s="316"/>
      <c r="AF2059" s="316"/>
      <c r="AG2059" s="404"/>
      <c r="AH2059" s="316"/>
      <c r="AI2059" s="316"/>
      <c r="AJ2059" s="316"/>
      <c r="AK2059" s="316"/>
      <c r="AL2059" s="316"/>
      <c r="AM2059" s="416"/>
      <c r="AR2059" s="333"/>
      <c r="AS2059" s="333"/>
      <c r="AT2059" s="333"/>
      <c r="AU2059" s="333"/>
      <c r="AV2059" s="333"/>
    </row>
    <row r="2060" spans="2:48" s="330" customFormat="1" ht="28.15" customHeight="1" x14ac:dyDescent="0.25">
      <c r="B2060" s="331"/>
      <c r="C2060" s="332"/>
      <c r="D2060" s="332"/>
      <c r="E2060" s="333"/>
      <c r="F2060" s="333"/>
      <c r="R2060" s="316"/>
      <c r="S2060" s="404"/>
      <c r="T2060" s="404"/>
      <c r="U2060" s="404"/>
      <c r="V2060" s="404"/>
      <c r="W2060" s="316"/>
      <c r="X2060" s="316"/>
      <c r="Y2060" s="316"/>
      <c r="Z2060" s="316"/>
      <c r="AA2060" s="404"/>
      <c r="AB2060" s="404"/>
      <c r="AC2060" s="404"/>
      <c r="AD2060" s="404"/>
      <c r="AE2060" s="316"/>
      <c r="AF2060" s="316"/>
      <c r="AG2060" s="404"/>
      <c r="AH2060" s="316"/>
      <c r="AI2060" s="316"/>
      <c r="AJ2060" s="316"/>
      <c r="AK2060" s="316"/>
      <c r="AL2060" s="316"/>
      <c r="AM2060" s="416"/>
      <c r="AR2060" s="333"/>
      <c r="AS2060" s="333"/>
      <c r="AT2060" s="333"/>
      <c r="AU2060" s="333"/>
      <c r="AV2060" s="333"/>
    </row>
    <row r="2061" spans="2:48" s="330" customFormat="1" ht="28.15" customHeight="1" x14ac:dyDescent="0.25">
      <c r="B2061" s="331"/>
      <c r="C2061" s="332"/>
      <c r="D2061" s="332"/>
      <c r="E2061" s="333"/>
      <c r="F2061" s="333"/>
      <c r="R2061" s="316"/>
      <c r="S2061" s="404"/>
      <c r="T2061" s="404"/>
      <c r="U2061" s="404"/>
      <c r="V2061" s="404"/>
      <c r="W2061" s="316"/>
      <c r="X2061" s="316"/>
      <c r="Y2061" s="316"/>
      <c r="Z2061" s="316"/>
      <c r="AA2061" s="404"/>
      <c r="AB2061" s="404"/>
      <c r="AC2061" s="404"/>
      <c r="AD2061" s="404"/>
      <c r="AE2061" s="316"/>
      <c r="AF2061" s="316"/>
      <c r="AG2061" s="404"/>
      <c r="AH2061" s="316"/>
      <c r="AI2061" s="316"/>
      <c r="AJ2061" s="316"/>
      <c r="AK2061" s="316"/>
      <c r="AL2061" s="316"/>
      <c r="AM2061" s="416"/>
      <c r="AR2061" s="333"/>
      <c r="AS2061" s="333"/>
      <c r="AT2061" s="333"/>
      <c r="AU2061" s="333"/>
      <c r="AV2061" s="333"/>
    </row>
    <row r="2062" spans="2:48" s="330" customFormat="1" ht="28.15" customHeight="1" x14ac:dyDescent="0.25">
      <c r="B2062" s="331"/>
      <c r="C2062" s="332"/>
      <c r="D2062" s="332"/>
      <c r="E2062" s="333"/>
      <c r="F2062" s="333"/>
      <c r="R2062" s="316"/>
      <c r="S2062" s="404"/>
      <c r="T2062" s="404"/>
      <c r="U2062" s="404"/>
      <c r="V2062" s="404"/>
      <c r="W2062" s="316"/>
      <c r="X2062" s="316"/>
      <c r="Y2062" s="316"/>
      <c r="Z2062" s="316"/>
      <c r="AA2062" s="404"/>
      <c r="AB2062" s="404"/>
      <c r="AC2062" s="404"/>
      <c r="AD2062" s="404"/>
      <c r="AE2062" s="316"/>
      <c r="AF2062" s="316"/>
      <c r="AG2062" s="404"/>
      <c r="AH2062" s="316"/>
      <c r="AI2062" s="316"/>
      <c r="AJ2062" s="316"/>
      <c r="AK2062" s="316"/>
      <c r="AL2062" s="316"/>
      <c r="AM2062" s="416"/>
      <c r="AR2062" s="333"/>
      <c r="AS2062" s="333"/>
      <c r="AT2062" s="333"/>
      <c r="AU2062" s="333"/>
      <c r="AV2062" s="333"/>
    </row>
    <row r="2063" spans="2:48" s="330" customFormat="1" ht="28.15" customHeight="1" x14ac:dyDescent="0.25">
      <c r="B2063" s="331"/>
      <c r="C2063" s="332"/>
      <c r="D2063" s="332"/>
      <c r="E2063" s="333"/>
      <c r="F2063" s="333"/>
      <c r="R2063" s="316"/>
      <c r="S2063" s="404"/>
      <c r="T2063" s="404"/>
      <c r="U2063" s="404"/>
      <c r="V2063" s="404"/>
      <c r="W2063" s="316"/>
      <c r="X2063" s="316"/>
      <c r="Y2063" s="316"/>
      <c r="Z2063" s="316"/>
      <c r="AA2063" s="404"/>
      <c r="AB2063" s="404"/>
      <c r="AC2063" s="404"/>
      <c r="AD2063" s="404"/>
      <c r="AE2063" s="316"/>
      <c r="AF2063" s="316"/>
      <c r="AG2063" s="404"/>
      <c r="AH2063" s="316"/>
      <c r="AI2063" s="316"/>
      <c r="AJ2063" s="316"/>
      <c r="AK2063" s="316"/>
      <c r="AL2063" s="316"/>
      <c r="AM2063" s="416"/>
      <c r="AR2063" s="333"/>
      <c r="AS2063" s="333"/>
      <c r="AT2063" s="333"/>
      <c r="AU2063" s="333"/>
      <c r="AV2063" s="333"/>
    </row>
    <row r="2064" spans="2:48" s="330" customFormat="1" ht="28.15" customHeight="1" x14ac:dyDescent="0.25">
      <c r="B2064" s="331"/>
      <c r="C2064" s="332"/>
      <c r="D2064" s="332"/>
      <c r="E2064" s="333"/>
      <c r="F2064" s="333"/>
      <c r="R2064" s="316"/>
      <c r="S2064" s="404"/>
      <c r="T2064" s="404"/>
      <c r="U2064" s="404"/>
      <c r="V2064" s="404"/>
      <c r="W2064" s="316"/>
      <c r="X2064" s="316"/>
      <c r="Y2064" s="316"/>
      <c r="Z2064" s="316"/>
      <c r="AA2064" s="404"/>
      <c r="AB2064" s="404"/>
      <c r="AC2064" s="404"/>
      <c r="AD2064" s="404"/>
      <c r="AE2064" s="316"/>
      <c r="AF2064" s="316"/>
      <c r="AG2064" s="404"/>
      <c r="AH2064" s="316"/>
      <c r="AI2064" s="316"/>
      <c r="AJ2064" s="316"/>
      <c r="AK2064" s="316"/>
      <c r="AL2064" s="316"/>
      <c r="AM2064" s="416"/>
      <c r="AR2064" s="333"/>
      <c r="AS2064" s="333"/>
      <c r="AT2064" s="333"/>
      <c r="AU2064" s="333"/>
      <c r="AV2064" s="333"/>
    </row>
    <row r="2065" spans="2:48" s="330" customFormat="1" ht="28.15" customHeight="1" x14ac:dyDescent="0.25">
      <c r="B2065" s="331"/>
      <c r="C2065" s="332"/>
      <c r="D2065" s="332"/>
      <c r="E2065" s="333"/>
      <c r="F2065" s="333"/>
      <c r="R2065" s="316"/>
      <c r="S2065" s="404"/>
      <c r="T2065" s="404"/>
      <c r="U2065" s="404"/>
      <c r="V2065" s="404"/>
      <c r="W2065" s="316"/>
      <c r="X2065" s="316"/>
      <c r="Y2065" s="316"/>
      <c r="Z2065" s="316"/>
      <c r="AA2065" s="404"/>
      <c r="AB2065" s="404"/>
      <c r="AC2065" s="404"/>
      <c r="AD2065" s="404"/>
      <c r="AE2065" s="316"/>
      <c r="AF2065" s="316"/>
      <c r="AG2065" s="404"/>
      <c r="AH2065" s="316"/>
      <c r="AI2065" s="316"/>
      <c r="AJ2065" s="316"/>
      <c r="AK2065" s="316"/>
      <c r="AL2065" s="316"/>
      <c r="AM2065" s="416"/>
      <c r="AR2065" s="333"/>
      <c r="AS2065" s="333"/>
      <c r="AT2065" s="333"/>
      <c r="AU2065" s="333"/>
      <c r="AV2065" s="333"/>
    </row>
    <row r="2066" spans="2:48" s="330" customFormat="1" ht="28.15" customHeight="1" x14ac:dyDescent="0.25">
      <c r="B2066" s="331"/>
      <c r="C2066" s="332"/>
      <c r="D2066" s="332"/>
      <c r="E2066" s="333"/>
      <c r="F2066" s="333"/>
      <c r="R2066" s="316"/>
      <c r="S2066" s="404"/>
      <c r="T2066" s="404"/>
      <c r="U2066" s="404"/>
      <c r="V2066" s="404"/>
      <c r="W2066" s="316"/>
      <c r="X2066" s="316"/>
      <c r="Y2066" s="316"/>
      <c r="Z2066" s="316"/>
      <c r="AA2066" s="404"/>
      <c r="AB2066" s="404"/>
      <c r="AC2066" s="404"/>
      <c r="AD2066" s="404"/>
      <c r="AE2066" s="316"/>
      <c r="AF2066" s="316"/>
      <c r="AG2066" s="404"/>
      <c r="AH2066" s="316"/>
      <c r="AI2066" s="316"/>
      <c r="AJ2066" s="316"/>
      <c r="AK2066" s="316"/>
      <c r="AL2066" s="316"/>
      <c r="AM2066" s="416"/>
      <c r="AR2066" s="333"/>
      <c r="AS2066" s="333"/>
      <c r="AT2066" s="333"/>
      <c r="AU2066" s="333"/>
      <c r="AV2066" s="333"/>
    </row>
    <row r="2067" spans="2:48" s="330" customFormat="1" ht="28.15" customHeight="1" x14ac:dyDescent="0.25">
      <c r="B2067" s="331"/>
      <c r="C2067" s="332"/>
      <c r="D2067" s="332"/>
      <c r="E2067" s="333"/>
      <c r="F2067" s="333"/>
      <c r="R2067" s="316"/>
      <c r="S2067" s="404"/>
      <c r="T2067" s="404"/>
      <c r="U2067" s="404"/>
      <c r="V2067" s="404"/>
      <c r="W2067" s="316"/>
      <c r="X2067" s="316"/>
      <c r="Y2067" s="316"/>
      <c r="Z2067" s="316"/>
      <c r="AA2067" s="404"/>
      <c r="AB2067" s="404"/>
      <c r="AC2067" s="404"/>
      <c r="AD2067" s="404"/>
      <c r="AE2067" s="316"/>
      <c r="AF2067" s="316"/>
      <c r="AG2067" s="404"/>
      <c r="AH2067" s="316"/>
      <c r="AI2067" s="316"/>
      <c r="AJ2067" s="316"/>
      <c r="AK2067" s="316"/>
      <c r="AL2067" s="316"/>
      <c r="AM2067" s="416"/>
      <c r="AR2067" s="333"/>
      <c r="AS2067" s="333"/>
      <c r="AT2067" s="333"/>
      <c r="AU2067" s="333"/>
      <c r="AV2067" s="333"/>
    </row>
    <row r="2068" spans="2:48" s="330" customFormat="1" ht="28.15" customHeight="1" x14ac:dyDescent="0.25">
      <c r="B2068" s="331"/>
      <c r="C2068" s="332"/>
      <c r="D2068" s="332"/>
      <c r="E2068" s="333"/>
      <c r="F2068" s="333"/>
      <c r="R2068" s="316"/>
      <c r="S2068" s="404"/>
      <c r="T2068" s="404"/>
      <c r="U2068" s="404"/>
      <c r="V2068" s="404"/>
      <c r="W2068" s="316"/>
      <c r="X2068" s="316"/>
      <c r="Y2068" s="316"/>
      <c r="Z2068" s="316"/>
      <c r="AA2068" s="404"/>
      <c r="AB2068" s="404"/>
      <c r="AC2068" s="404"/>
      <c r="AD2068" s="404"/>
      <c r="AE2068" s="316"/>
      <c r="AF2068" s="316"/>
      <c r="AG2068" s="404"/>
      <c r="AH2068" s="316"/>
      <c r="AI2068" s="316"/>
      <c r="AJ2068" s="316"/>
      <c r="AK2068" s="316"/>
      <c r="AL2068" s="316"/>
      <c r="AM2068" s="416"/>
      <c r="AR2068" s="333"/>
      <c r="AS2068" s="333"/>
      <c r="AT2068" s="333"/>
      <c r="AU2068" s="333"/>
      <c r="AV2068" s="333"/>
    </row>
    <row r="2069" spans="2:48" s="330" customFormat="1" ht="28.15" customHeight="1" x14ac:dyDescent="0.25">
      <c r="B2069" s="331"/>
      <c r="C2069" s="332"/>
      <c r="D2069" s="332"/>
      <c r="E2069" s="333"/>
      <c r="F2069" s="333"/>
      <c r="R2069" s="316"/>
      <c r="S2069" s="404"/>
      <c r="T2069" s="404"/>
      <c r="U2069" s="404"/>
      <c r="V2069" s="404"/>
      <c r="W2069" s="316"/>
      <c r="X2069" s="316"/>
      <c r="Y2069" s="316"/>
      <c r="Z2069" s="316"/>
      <c r="AA2069" s="404"/>
      <c r="AB2069" s="404"/>
      <c r="AC2069" s="404"/>
      <c r="AD2069" s="404"/>
      <c r="AE2069" s="316"/>
      <c r="AF2069" s="316"/>
      <c r="AG2069" s="404"/>
      <c r="AH2069" s="316"/>
      <c r="AI2069" s="316"/>
      <c r="AJ2069" s="316"/>
      <c r="AK2069" s="316"/>
      <c r="AL2069" s="316"/>
      <c r="AM2069" s="416"/>
      <c r="AR2069" s="333"/>
      <c r="AS2069" s="333"/>
      <c r="AT2069" s="333"/>
      <c r="AU2069" s="333"/>
      <c r="AV2069" s="333"/>
    </row>
    <row r="2070" spans="2:48" s="330" customFormat="1" ht="28.15" customHeight="1" x14ac:dyDescent="0.25">
      <c r="B2070" s="331"/>
      <c r="C2070" s="332"/>
      <c r="D2070" s="332"/>
      <c r="E2070" s="333"/>
      <c r="F2070" s="333"/>
      <c r="R2070" s="316"/>
      <c r="S2070" s="404"/>
      <c r="T2070" s="404"/>
      <c r="U2070" s="404"/>
      <c r="V2070" s="404"/>
      <c r="W2070" s="316"/>
      <c r="X2070" s="316"/>
      <c r="Y2070" s="316"/>
      <c r="Z2070" s="316"/>
      <c r="AA2070" s="404"/>
      <c r="AB2070" s="404"/>
      <c r="AC2070" s="404"/>
      <c r="AD2070" s="404"/>
      <c r="AE2070" s="316"/>
      <c r="AF2070" s="316"/>
      <c r="AG2070" s="404"/>
      <c r="AH2070" s="316"/>
      <c r="AI2070" s="316"/>
      <c r="AJ2070" s="316"/>
      <c r="AK2070" s="316"/>
      <c r="AL2070" s="316"/>
      <c r="AM2070" s="416"/>
      <c r="AR2070" s="333"/>
      <c r="AS2070" s="333"/>
      <c r="AT2070" s="333"/>
      <c r="AU2070" s="333"/>
      <c r="AV2070" s="333"/>
    </row>
    <row r="2071" spans="2:48" s="330" customFormat="1" ht="28.15" customHeight="1" x14ac:dyDescent="0.25">
      <c r="B2071" s="331"/>
      <c r="C2071" s="332"/>
      <c r="D2071" s="332"/>
      <c r="E2071" s="333"/>
      <c r="F2071" s="333"/>
      <c r="R2071" s="316"/>
      <c r="S2071" s="404"/>
      <c r="T2071" s="404"/>
      <c r="U2071" s="404"/>
      <c r="V2071" s="404"/>
      <c r="W2071" s="316"/>
      <c r="X2071" s="316"/>
      <c r="Y2071" s="316"/>
      <c r="Z2071" s="316"/>
      <c r="AA2071" s="404"/>
      <c r="AB2071" s="404"/>
      <c r="AC2071" s="404"/>
      <c r="AD2071" s="404"/>
      <c r="AE2071" s="316"/>
      <c r="AF2071" s="316"/>
      <c r="AG2071" s="404"/>
      <c r="AH2071" s="316"/>
      <c r="AI2071" s="316"/>
      <c r="AJ2071" s="316"/>
      <c r="AK2071" s="316"/>
      <c r="AL2071" s="316"/>
      <c r="AM2071" s="416"/>
      <c r="AR2071" s="333"/>
      <c r="AS2071" s="333"/>
      <c r="AT2071" s="333"/>
      <c r="AU2071" s="333"/>
      <c r="AV2071" s="333"/>
    </row>
    <row r="2072" spans="2:48" s="330" customFormat="1" ht="28.15" customHeight="1" x14ac:dyDescent="0.25">
      <c r="B2072" s="331"/>
      <c r="C2072" s="332"/>
      <c r="D2072" s="332"/>
      <c r="E2072" s="333"/>
      <c r="F2072" s="333"/>
      <c r="R2072" s="316"/>
      <c r="S2072" s="404"/>
      <c r="T2072" s="404"/>
      <c r="U2072" s="404"/>
      <c r="V2072" s="404"/>
      <c r="W2072" s="316"/>
      <c r="X2072" s="316"/>
      <c r="Y2072" s="316"/>
      <c r="Z2072" s="316"/>
      <c r="AA2072" s="404"/>
      <c r="AB2072" s="404"/>
      <c r="AC2072" s="404"/>
      <c r="AD2072" s="404"/>
      <c r="AE2072" s="316"/>
      <c r="AF2072" s="316"/>
      <c r="AG2072" s="404"/>
      <c r="AH2072" s="316"/>
      <c r="AI2072" s="316"/>
      <c r="AJ2072" s="316"/>
      <c r="AK2072" s="316"/>
      <c r="AL2072" s="316"/>
      <c r="AM2072" s="416"/>
      <c r="AR2072" s="333"/>
      <c r="AS2072" s="333"/>
      <c r="AT2072" s="333"/>
      <c r="AU2072" s="333"/>
      <c r="AV2072" s="333"/>
    </row>
    <row r="2073" spans="2:48" s="330" customFormat="1" ht="28.15" customHeight="1" x14ac:dyDescent="0.25">
      <c r="B2073" s="331"/>
      <c r="C2073" s="332"/>
      <c r="D2073" s="332"/>
      <c r="E2073" s="333"/>
      <c r="F2073" s="333"/>
      <c r="R2073" s="316"/>
      <c r="S2073" s="404"/>
      <c r="T2073" s="404"/>
      <c r="U2073" s="404"/>
      <c r="V2073" s="404"/>
      <c r="W2073" s="316"/>
      <c r="X2073" s="316"/>
      <c r="Y2073" s="316"/>
      <c r="Z2073" s="316"/>
      <c r="AA2073" s="404"/>
      <c r="AB2073" s="404"/>
      <c r="AC2073" s="404"/>
      <c r="AD2073" s="404"/>
      <c r="AE2073" s="316"/>
      <c r="AF2073" s="316"/>
      <c r="AG2073" s="404"/>
      <c r="AH2073" s="316"/>
      <c r="AI2073" s="316"/>
      <c r="AJ2073" s="316"/>
      <c r="AK2073" s="316"/>
      <c r="AL2073" s="316"/>
      <c r="AM2073" s="416"/>
      <c r="AR2073" s="333"/>
      <c r="AS2073" s="333"/>
      <c r="AT2073" s="333"/>
      <c r="AU2073" s="333"/>
      <c r="AV2073" s="333"/>
    </row>
    <row r="2074" spans="2:48" s="330" customFormat="1" ht="28.15" customHeight="1" x14ac:dyDescent="0.25">
      <c r="B2074" s="331"/>
      <c r="C2074" s="332"/>
      <c r="D2074" s="332"/>
      <c r="E2074" s="333"/>
      <c r="F2074" s="333"/>
      <c r="R2074" s="316"/>
      <c r="S2074" s="404"/>
      <c r="T2074" s="404"/>
      <c r="U2074" s="404"/>
      <c r="V2074" s="404"/>
      <c r="W2074" s="316"/>
      <c r="X2074" s="316"/>
      <c r="Y2074" s="316"/>
      <c r="Z2074" s="316"/>
      <c r="AA2074" s="404"/>
      <c r="AB2074" s="404"/>
      <c r="AC2074" s="404"/>
      <c r="AD2074" s="404"/>
      <c r="AE2074" s="316"/>
      <c r="AF2074" s="316"/>
      <c r="AG2074" s="404"/>
      <c r="AH2074" s="316"/>
      <c r="AI2074" s="316"/>
      <c r="AJ2074" s="316"/>
      <c r="AK2074" s="316"/>
      <c r="AL2074" s="316"/>
      <c r="AM2074" s="416"/>
      <c r="AR2074" s="333"/>
      <c r="AS2074" s="333"/>
      <c r="AT2074" s="333"/>
      <c r="AU2074" s="333"/>
      <c r="AV2074" s="333"/>
    </row>
    <row r="2075" spans="2:48" s="330" customFormat="1" ht="28.15" customHeight="1" x14ac:dyDescent="0.25">
      <c r="B2075" s="331"/>
      <c r="C2075" s="332"/>
      <c r="D2075" s="332"/>
      <c r="E2075" s="333"/>
      <c r="F2075" s="333"/>
      <c r="R2075" s="316"/>
      <c r="S2075" s="404"/>
      <c r="T2075" s="404"/>
      <c r="U2075" s="404"/>
      <c r="V2075" s="404"/>
      <c r="W2075" s="316"/>
      <c r="X2075" s="316"/>
      <c r="Y2075" s="316"/>
      <c r="Z2075" s="316"/>
      <c r="AA2075" s="404"/>
      <c r="AB2075" s="404"/>
      <c r="AC2075" s="404"/>
      <c r="AD2075" s="404"/>
      <c r="AE2075" s="316"/>
      <c r="AF2075" s="316"/>
      <c r="AG2075" s="404"/>
      <c r="AH2075" s="316"/>
      <c r="AI2075" s="316"/>
      <c r="AJ2075" s="316"/>
      <c r="AK2075" s="316"/>
      <c r="AL2075" s="316"/>
      <c r="AM2075" s="416"/>
      <c r="AR2075" s="333"/>
      <c r="AS2075" s="333"/>
      <c r="AT2075" s="333"/>
      <c r="AU2075" s="333"/>
      <c r="AV2075" s="333"/>
    </row>
    <row r="2076" spans="2:48" s="330" customFormat="1" ht="28.15" customHeight="1" x14ac:dyDescent="0.25">
      <c r="B2076" s="331"/>
      <c r="C2076" s="332"/>
      <c r="D2076" s="332"/>
      <c r="E2076" s="333"/>
      <c r="F2076" s="333"/>
      <c r="R2076" s="316"/>
      <c r="S2076" s="404"/>
      <c r="T2076" s="404"/>
      <c r="U2076" s="404"/>
      <c r="V2076" s="404"/>
      <c r="W2076" s="316"/>
      <c r="X2076" s="316"/>
      <c r="Y2076" s="316"/>
      <c r="Z2076" s="316"/>
      <c r="AA2076" s="404"/>
      <c r="AB2076" s="404"/>
      <c r="AC2076" s="404"/>
      <c r="AD2076" s="404"/>
      <c r="AE2076" s="316"/>
      <c r="AF2076" s="316"/>
      <c r="AG2076" s="404"/>
      <c r="AH2076" s="316"/>
      <c r="AI2076" s="316"/>
      <c r="AJ2076" s="316"/>
      <c r="AK2076" s="316"/>
      <c r="AL2076" s="316"/>
      <c r="AM2076" s="416"/>
      <c r="AR2076" s="333"/>
      <c r="AS2076" s="333"/>
      <c r="AT2076" s="333"/>
      <c r="AU2076" s="333"/>
      <c r="AV2076" s="333"/>
    </row>
    <row r="2077" spans="2:48" s="330" customFormat="1" ht="28.15" customHeight="1" x14ac:dyDescent="0.25">
      <c r="B2077" s="331"/>
      <c r="C2077" s="332"/>
      <c r="D2077" s="332"/>
      <c r="E2077" s="333"/>
      <c r="F2077" s="333"/>
      <c r="R2077" s="316"/>
      <c r="S2077" s="404"/>
      <c r="T2077" s="404"/>
      <c r="U2077" s="404"/>
      <c r="V2077" s="404"/>
      <c r="W2077" s="316"/>
      <c r="X2077" s="316"/>
      <c r="Y2077" s="316"/>
      <c r="Z2077" s="316"/>
      <c r="AA2077" s="404"/>
      <c r="AB2077" s="404"/>
      <c r="AC2077" s="404"/>
      <c r="AD2077" s="404"/>
      <c r="AE2077" s="316"/>
      <c r="AF2077" s="316"/>
      <c r="AG2077" s="404"/>
      <c r="AH2077" s="316"/>
      <c r="AI2077" s="316"/>
      <c r="AJ2077" s="316"/>
      <c r="AK2077" s="316"/>
      <c r="AL2077" s="316"/>
      <c r="AM2077" s="416"/>
      <c r="AR2077" s="333"/>
      <c r="AS2077" s="333"/>
      <c r="AT2077" s="333"/>
      <c r="AU2077" s="333"/>
      <c r="AV2077" s="333"/>
    </row>
    <row r="2078" spans="2:48" s="330" customFormat="1" ht="28.15" customHeight="1" x14ac:dyDescent="0.25">
      <c r="B2078" s="331"/>
      <c r="C2078" s="332"/>
      <c r="D2078" s="332"/>
      <c r="E2078" s="333"/>
      <c r="F2078" s="333"/>
      <c r="R2078" s="316"/>
      <c r="S2078" s="404"/>
      <c r="T2078" s="404"/>
      <c r="U2078" s="404"/>
      <c r="V2078" s="404"/>
      <c r="W2078" s="316"/>
      <c r="X2078" s="316"/>
      <c r="Y2078" s="316"/>
      <c r="Z2078" s="316"/>
      <c r="AA2078" s="404"/>
      <c r="AB2078" s="404"/>
      <c r="AC2078" s="404"/>
      <c r="AD2078" s="404"/>
      <c r="AE2078" s="316"/>
      <c r="AF2078" s="316"/>
      <c r="AG2078" s="404"/>
      <c r="AH2078" s="316"/>
      <c r="AI2078" s="316"/>
      <c r="AJ2078" s="316"/>
      <c r="AK2078" s="316"/>
      <c r="AL2078" s="316"/>
      <c r="AM2078" s="416"/>
      <c r="AR2078" s="333"/>
      <c r="AS2078" s="333"/>
      <c r="AT2078" s="333"/>
      <c r="AU2078" s="333"/>
      <c r="AV2078" s="333"/>
    </row>
    <row r="2079" spans="2:48" s="330" customFormat="1" ht="28.15" customHeight="1" x14ac:dyDescent="0.25">
      <c r="B2079" s="331"/>
      <c r="C2079" s="332"/>
      <c r="D2079" s="332"/>
      <c r="E2079" s="333"/>
      <c r="F2079" s="333"/>
      <c r="R2079" s="316"/>
      <c r="S2079" s="404"/>
      <c r="T2079" s="404"/>
      <c r="U2079" s="404"/>
      <c r="V2079" s="404"/>
      <c r="W2079" s="316"/>
      <c r="X2079" s="316"/>
      <c r="Y2079" s="316"/>
      <c r="Z2079" s="316"/>
      <c r="AA2079" s="404"/>
      <c r="AB2079" s="404"/>
      <c r="AC2079" s="404"/>
      <c r="AD2079" s="404"/>
      <c r="AE2079" s="316"/>
      <c r="AF2079" s="316"/>
      <c r="AG2079" s="404"/>
      <c r="AH2079" s="316"/>
      <c r="AI2079" s="316"/>
      <c r="AJ2079" s="316"/>
      <c r="AK2079" s="316"/>
      <c r="AL2079" s="316"/>
      <c r="AM2079" s="416"/>
      <c r="AR2079" s="333"/>
      <c r="AS2079" s="333"/>
      <c r="AT2079" s="333"/>
      <c r="AU2079" s="333"/>
      <c r="AV2079" s="333"/>
    </row>
    <row r="2080" spans="2:48" s="330" customFormat="1" ht="28.15" customHeight="1" x14ac:dyDescent="0.25">
      <c r="B2080" s="331"/>
      <c r="C2080" s="332"/>
      <c r="D2080" s="332"/>
      <c r="E2080" s="333"/>
      <c r="F2080" s="333"/>
      <c r="R2080" s="316"/>
      <c r="S2080" s="404"/>
      <c r="T2080" s="404"/>
      <c r="U2080" s="404"/>
      <c r="V2080" s="404"/>
      <c r="W2080" s="316"/>
      <c r="X2080" s="316"/>
      <c r="Y2080" s="316"/>
      <c r="Z2080" s="316"/>
      <c r="AA2080" s="404"/>
      <c r="AB2080" s="404"/>
      <c r="AC2080" s="404"/>
      <c r="AD2080" s="404"/>
      <c r="AE2080" s="316"/>
      <c r="AF2080" s="316"/>
      <c r="AG2080" s="404"/>
      <c r="AH2080" s="316"/>
      <c r="AI2080" s="316"/>
      <c r="AJ2080" s="316"/>
      <c r="AK2080" s="316"/>
      <c r="AL2080" s="316"/>
      <c r="AM2080" s="416"/>
      <c r="AR2080" s="333"/>
      <c r="AS2080" s="333"/>
      <c r="AT2080" s="333"/>
      <c r="AU2080" s="333"/>
      <c r="AV2080" s="333"/>
    </row>
    <row r="2081" spans="2:48" s="330" customFormat="1" ht="28.15" customHeight="1" x14ac:dyDescent="0.25">
      <c r="B2081" s="331"/>
      <c r="C2081" s="332"/>
      <c r="D2081" s="332"/>
      <c r="E2081" s="333"/>
      <c r="F2081" s="333"/>
      <c r="R2081" s="316"/>
      <c r="S2081" s="404"/>
      <c r="T2081" s="404"/>
      <c r="U2081" s="404"/>
      <c r="V2081" s="404"/>
      <c r="W2081" s="316"/>
      <c r="X2081" s="316"/>
      <c r="Y2081" s="316"/>
      <c r="Z2081" s="316"/>
      <c r="AA2081" s="404"/>
      <c r="AB2081" s="404"/>
      <c r="AC2081" s="404"/>
      <c r="AD2081" s="404"/>
      <c r="AE2081" s="316"/>
      <c r="AF2081" s="316"/>
      <c r="AG2081" s="404"/>
      <c r="AH2081" s="316"/>
      <c r="AI2081" s="316"/>
      <c r="AJ2081" s="316"/>
      <c r="AK2081" s="316"/>
      <c r="AL2081" s="316"/>
      <c r="AM2081" s="416"/>
      <c r="AR2081" s="333"/>
      <c r="AS2081" s="333"/>
      <c r="AT2081" s="333"/>
      <c r="AU2081" s="333"/>
      <c r="AV2081" s="333"/>
    </row>
    <row r="2082" spans="2:48" s="330" customFormat="1" ht="28.15" customHeight="1" x14ac:dyDescent="0.25">
      <c r="B2082" s="331"/>
      <c r="C2082" s="332"/>
      <c r="D2082" s="332"/>
      <c r="E2082" s="333"/>
      <c r="F2082" s="333"/>
      <c r="R2082" s="316"/>
      <c r="S2082" s="404"/>
      <c r="T2082" s="404"/>
      <c r="U2082" s="404"/>
      <c r="V2082" s="404"/>
      <c r="W2082" s="316"/>
      <c r="X2082" s="316"/>
      <c r="Y2082" s="316"/>
      <c r="Z2082" s="316"/>
      <c r="AA2082" s="404"/>
      <c r="AB2082" s="404"/>
      <c r="AC2082" s="404"/>
      <c r="AD2082" s="404"/>
      <c r="AE2082" s="316"/>
      <c r="AF2082" s="316"/>
      <c r="AG2082" s="404"/>
      <c r="AH2082" s="316"/>
      <c r="AI2082" s="316"/>
      <c r="AJ2082" s="316"/>
      <c r="AK2082" s="316"/>
      <c r="AL2082" s="316"/>
      <c r="AM2082" s="416"/>
      <c r="AR2082" s="333"/>
      <c r="AS2082" s="333"/>
      <c r="AT2082" s="333"/>
      <c r="AU2082" s="333"/>
      <c r="AV2082" s="333"/>
    </row>
    <row r="2083" spans="2:48" s="330" customFormat="1" ht="28.15" customHeight="1" x14ac:dyDescent="0.25">
      <c r="B2083" s="331"/>
      <c r="C2083" s="332"/>
      <c r="D2083" s="332"/>
      <c r="E2083" s="333"/>
      <c r="F2083" s="333"/>
      <c r="R2083" s="316"/>
      <c r="S2083" s="404"/>
      <c r="T2083" s="404"/>
      <c r="U2083" s="404"/>
      <c r="V2083" s="404"/>
      <c r="W2083" s="316"/>
      <c r="X2083" s="316"/>
      <c r="Y2083" s="316"/>
      <c r="Z2083" s="316"/>
      <c r="AA2083" s="404"/>
      <c r="AB2083" s="404"/>
      <c r="AC2083" s="404"/>
      <c r="AD2083" s="404"/>
      <c r="AE2083" s="316"/>
      <c r="AF2083" s="316"/>
      <c r="AG2083" s="404"/>
      <c r="AH2083" s="316"/>
      <c r="AI2083" s="316"/>
      <c r="AJ2083" s="316"/>
      <c r="AK2083" s="316"/>
      <c r="AL2083" s="316"/>
      <c r="AM2083" s="416"/>
      <c r="AR2083" s="333"/>
      <c r="AS2083" s="333"/>
      <c r="AT2083" s="333"/>
      <c r="AU2083" s="333"/>
      <c r="AV2083" s="333"/>
    </row>
    <row r="2084" spans="2:48" s="330" customFormat="1" ht="28.15" customHeight="1" x14ac:dyDescent="0.25">
      <c r="B2084" s="331"/>
      <c r="C2084" s="332"/>
      <c r="D2084" s="332"/>
      <c r="E2084" s="333"/>
      <c r="F2084" s="333"/>
      <c r="R2084" s="316"/>
      <c r="S2084" s="404"/>
      <c r="T2084" s="404"/>
      <c r="U2084" s="404"/>
      <c r="V2084" s="404"/>
      <c r="W2084" s="316"/>
      <c r="X2084" s="316"/>
      <c r="Y2084" s="316"/>
      <c r="Z2084" s="316"/>
      <c r="AA2084" s="404"/>
      <c r="AB2084" s="404"/>
      <c r="AC2084" s="404"/>
      <c r="AD2084" s="404"/>
      <c r="AE2084" s="316"/>
      <c r="AF2084" s="316"/>
      <c r="AG2084" s="404"/>
      <c r="AH2084" s="316"/>
      <c r="AI2084" s="316"/>
      <c r="AJ2084" s="316"/>
      <c r="AK2084" s="316"/>
      <c r="AL2084" s="316"/>
      <c r="AM2084" s="416"/>
      <c r="AR2084" s="333"/>
      <c r="AS2084" s="333"/>
      <c r="AT2084" s="333"/>
      <c r="AU2084" s="333"/>
      <c r="AV2084" s="333"/>
    </row>
    <row r="2085" spans="2:48" s="330" customFormat="1" ht="28.15" customHeight="1" x14ac:dyDescent="0.25">
      <c r="B2085" s="331"/>
      <c r="C2085" s="332"/>
      <c r="D2085" s="332"/>
      <c r="E2085" s="333"/>
      <c r="F2085" s="333"/>
      <c r="R2085" s="316"/>
      <c r="S2085" s="404"/>
      <c r="T2085" s="404"/>
      <c r="U2085" s="404"/>
      <c r="V2085" s="404"/>
      <c r="W2085" s="316"/>
      <c r="X2085" s="316"/>
      <c r="Y2085" s="316"/>
      <c r="Z2085" s="316"/>
      <c r="AA2085" s="404"/>
      <c r="AB2085" s="404"/>
      <c r="AC2085" s="404"/>
      <c r="AD2085" s="404"/>
      <c r="AE2085" s="316"/>
      <c r="AF2085" s="316"/>
      <c r="AG2085" s="404"/>
      <c r="AH2085" s="316"/>
      <c r="AI2085" s="316"/>
      <c r="AJ2085" s="316"/>
      <c r="AK2085" s="316"/>
      <c r="AL2085" s="316"/>
      <c r="AM2085" s="416"/>
      <c r="AR2085" s="333"/>
      <c r="AS2085" s="333"/>
      <c r="AT2085" s="333"/>
      <c r="AU2085" s="333"/>
      <c r="AV2085" s="333"/>
    </row>
    <row r="2086" spans="2:48" s="330" customFormat="1" ht="28.15" customHeight="1" x14ac:dyDescent="0.25">
      <c r="B2086" s="331"/>
      <c r="C2086" s="332"/>
      <c r="D2086" s="332"/>
      <c r="E2086" s="333"/>
      <c r="F2086" s="333"/>
      <c r="R2086" s="316"/>
      <c r="S2086" s="404"/>
      <c r="T2086" s="404"/>
      <c r="U2086" s="404"/>
      <c r="V2086" s="404"/>
      <c r="W2086" s="316"/>
      <c r="X2086" s="316"/>
      <c r="Y2086" s="316"/>
      <c r="Z2086" s="316"/>
      <c r="AA2086" s="404"/>
      <c r="AB2086" s="404"/>
      <c r="AC2086" s="404"/>
      <c r="AD2086" s="404"/>
      <c r="AE2086" s="316"/>
      <c r="AF2086" s="316"/>
      <c r="AG2086" s="404"/>
      <c r="AH2086" s="316"/>
      <c r="AI2086" s="316"/>
      <c r="AJ2086" s="316"/>
      <c r="AK2086" s="316"/>
      <c r="AL2086" s="316"/>
      <c r="AM2086" s="416"/>
      <c r="AR2086" s="333"/>
      <c r="AS2086" s="333"/>
      <c r="AT2086" s="333"/>
      <c r="AU2086" s="333"/>
      <c r="AV2086" s="333"/>
    </row>
    <row r="2087" spans="2:48" s="330" customFormat="1" ht="28.15" customHeight="1" x14ac:dyDescent="0.25">
      <c r="B2087" s="331"/>
      <c r="C2087" s="332"/>
      <c r="D2087" s="332"/>
      <c r="E2087" s="333"/>
      <c r="F2087" s="333"/>
      <c r="R2087" s="316"/>
      <c r="S2087" s="404"/>
      <c r="T2087" s="404"/>
      <c r="U2087" s="404"/>
      <c r="V2087" s="404"/>
      <c r="W2087" s="316"/>
      <c r="X2087" s="316"/>
      <c r="Y2087" s="316"/>
      <c r="Z2087" s="316"/>
      <c r="AA2087" s="404"/>
      <c r="AB2087" s="404"/>
      <c r="AC2087" s="404"/>
      <c r="AD2087" s="404"/>
      <c r="AE2087" s="316"/>
      <c r="AF2087" s="316"/>
      <c r="AG2087" s="404"/>
      <c r="AH2087" s="316"/>
      <c r="AI2087" s="316"/>
      <c r="AJ2087" s="316"/>
      <c r="AK2087" s="316"/>
      <c r="AL2087" s="316"/>
      <c r="AM2087" s="416"/>
      <c r="AR2087" s="333"/>
      <c r="AS2087" s="333"/>
      <c r="AT2087" s="333"/>
      <c r="AU2087" s="333"/>
      <c r="AV2087" s="333"/>
    </row>
    <row r="2088" spans="2:48" s="330" customFormat="1" ht="28.15" customHeight="1" x14ac:dyDescent="0.25">
      <c r="B2088" s="331"/>
      <c r="C2088" s="332"/>
      <c r="D2088" s="332"/>
      <c r="E2088" s="333"/>
      <c r="F2088" s="333"/>
      <c r="R2088" s="316"/>
      <c r="S2088" s="404"/>
      <c r="T2088" s="404"/>
      <c r="U2088" s="404"/>
      <c r="V2088" s="404"/>
      <c r="W2088" s="316"/>
      <c r="X2088" s="316"/>
      <c r="Y2088" s="316"/>
      <c r="Z2088" s="316"/>
      <c r="AA2088" s="404"/>
      <c r="AB2088" s="404"/>
      <c r="AC2088" s="404"/>
      <c r="AD2088" s="404"/>
      <c r="AE2088" s="316"/>
      <c r="AF2088" s="316"/>
      <c r="AG2088" s="404"/>
      <c r="AH2088" s="316"/>
      <c r="AI2088" s="316"/>
      <c r="AJ2088" s="316"/>
      <c r="AK2088" s="316"/>
      <c r="AL2088" s="316"/>
      <c r="AM2088" s="416"/>
      <c r="AR2088" s="333"/>
      <c r="AS2088" s="333"/>
      <c r="AT2088" s="333"/>
      <c r="AU2088" s="333"/>
      <c r="AV2088" s="333"/>
    </row>
    <row r="2089" spans="2:48" s="330" customFormat="1" ht="28.15" customHeight="1" x14ac:dyDescent="0.25">
      <c r="B2089" s="331"/>
      <c r="C2089" s="332"/>
      <c r="D2089" s="332"/>
      <c r="E2089" s="333"/>
      <c r="F2089" s="333"/>
      <c r="R2089" s="316"/>
      <c r="S2089" s="404"/>
      <c r="T2089" s="404"/>
      <c r="U2089" s="404"/>
      <c r="V2089" s="404"/>
      <c r="W2089" s="316"/>
      <c r="X2089" s="316"/>
      <c r="Y2089" s="316"/>
      <c r="Z2089" s="316"/>
      <c r="AA2089" s="404"/>
      <c r="AB2089" s="404"/>
      <c r="AC2089" s="404"/>
      <c r="AD2089" s="404"/>
      <c r="AE2089" s="316"/>
      <c r="AF2089" s="316"/>
      <c r="AG2089" s="404"/>
      <c r="AH2089" s="316"/>
      <c r="AI2089" s="316"/>
      <c r="AJ2089" s="316"/>
      <c r="AK2089" s="316"/>
      <c r="AL2089" s="316"/>
      <c r="AM2089" s="416"/>
      <c r="AR2089" s="333"/>
      <c r="AS2089" s="333"/>
      <c r="AT2089" s="333"/>
      <c r="AU2089" s="333"/>
      <c r="AV2089" s="333"/>
    </row>
    <row r="2090" spans="2:48" s="330" customFormat="1" ht="28.15" customHeight="1" x14ac:dyDescent="0.25">
      <c r="B2090" s="331"/>
      <c r="C2090" s="332"/>
      <c r="D2090" s="332"/>
      <c r="E2090" s="333"/>
      <c r="F2090" s="333"/>
      <c r="R2090" s="316"/>
      <c r="S2090" s="404"/>
      <c r="T2090" s="404"/>
      <c r="U2090" s="404"/>
      <c r="V2090" s="404"/>
      <c r="W2090" s="316"/>
      <c r="X2090" s="316"/>
      <c r="Y2090" s="316"/>
      <c r="Z2090" s="316"/>
      <c r="AA2090" s="404"/>
      <c r="AB2090" s="404"/>
      <c r="AC2090" s="404"/>
      <c r="AD2090" s="404"/>
      <c r="AE2090" s="316"/>
      <c r="AF2090" s="316"/>
      <c r="AG2090" s="404"/>
      <c r="AH2090" s="316"/>
      <c r="AI2090" s="316"/>
      <c r="AJ2090" s="316"/>
      <c r="AK2090" s="316"/>
      <c r="AL2090" s="316"/>
      <c r="AM2090" s="416"/>
      <c r="AR2090" s="333"/>
      <c r="AS2090" s="333"/>
      <c r="AT2090" s="333"/>
      <c r="AU2090" s="333"/>
      <c r="AV2090" s="333"/>
    </row>
    <row r="2091" spans="2:48" s="330" customFormat="1" ht="28.15" customHeight="1" x14ac:dyDescent="0.25">
      <c r="B2091" s="331"/>
      <c r="C2091" s="332"/>
      <c r="D2091" s="332"/>
      <c r="E2091" s="333"/>
      <c r="F2091" s="333"/>
      <c r="R2091" s="316"/>
      <c r="S2091" s="404"/>
      <c r="T2091" s="404"/>
      <c r="U2091" s="404"/>
      <c r="V2091" s="404"/>
      <c r="W2091" s="316"/>
      <c r="X2091" s="316"/>
      <c r="Y2091" s="316"/>
      <c r="Z2091" s="316"/>
      <c r="AA2091" s="404"/>
      <c r="AB2091" s="404"/>
      <c r="AC2091" s="404"/>
      <c r="AD2091" s="404"/>
      <c r="AE2091" s="316"/>
      <c r="AF2091" s="316"/>
      <c r="AG2091" s="404"/>
      <c r="AH2091" s="316"/>
      <c r="AI2091" s="316"/>
      <c r="AJ2091" s="316"/>
      <c r="AK2091" s="316"/>
      <c r="AL2091" s="316"/>
      <c r="AM2091" s="416"/>
      <c r="AR2091" s="333"/>
      <c r="AS2091" s="333"/>
      <c r="AT2091" s="333"/>
      <c r="AU2091" s="333"/>
      <c r="AV2091" s="333"/>
    </row>
    <row r="2092" spans="2:48" s="330" customFormat="1" ht="28.15" customHeight="1" x14ac:dyDescent="0.25">
      <c r="B2092" s="331"/>
      <c r="C2092" s="332"/>
      <c r="D2092" s="332"/>
      <c r="E2092" s="333"/>
      <c r="F2092" s="333"/>
      <c r="R2092" s="316"/>
      <c r="S2092" s="404"/>
      <c r="T2092" s="404"/>
      <c r="U2092" s="404"/>
      <c r="V2092" s="404"/>
      <c r="W2092" s="316"/>
      <c r="X2092" s="316"/>
      <c r="Y2092" s="316"/>
      <c r="Z2092" s="316"/>
      <c r="AA2092" s="404"/>
      <c r="AB2092" s="404"/>
      <c r="AC2092" s="404"/>
      <c r="AD2092" s="404"/>
      <c r="AE2092" s="316"/>
      <c r="AF2092" s="316"/>
      <c r="AG2092" s="404"/>
      <c r="AH2092" s="316"/>
      <c r="AI2092" s="316"/>
      <c r="AJ2092" s="316"/>
      <c r="AK2092" s="316"/>
      <c r="AL2092" s="316"/>
      <c r="AM2092" s="416"/>
      <c r="AR2092" s="333"/>
      <c r="AS2092" s="333"/>
      <c r="AT2092" s="333"/>
      <c r="AU2092" s="333"/>
      <c r="AV2092" s="333"/>
    </row>
    <row r="2093" spans="2:48" s="330" customFormat="1" ht="28.15" customHeight="1" x14ac:dyDescent="0.25">
      <c r="B2093" s="331"/>
      <c r="C2093" s="332"/>
      <c r="D2093" s="332"/>
      <c r="E2093" s="333"/>
      <c r="F2093" s="333"/>
      <c r="R2093" s="316"/>
      <c r="S2093" s="404"/>
      <c r="T2093" s="404"/>
      <c r="U2093" s="404"/>
      <c r="V2093" s="404"/>
      <c r="W2093" s="316"/>
      <c r="X2093" s="316"/>
      <c r="Y2093" s="316"/>
      <c r="Z2093" s="316"/>
      <c r="AA2093" s="404"/>
      <c r="AB2093" s="404"/>
      <c r="AC2093" s="404"/>
      <c r="AD2093" s="404"/>
      <c r="AE2093" s="316"/>
      <c r="AF2093" s="316"/>
      <c r="AG2093" s="404"/>
      <c r="AH2093" s="316"/>
      <c r="AI2093" s="316"/>
      <c r="AJ2093" s="316"/>
      <c r="AK2093" s="316"/>
      <c r="AL2093" s="316"/>
      <c r="AM2093" s="416"/>
      <c r="AR2093" s="333"/>
      <c r="AS2093" s="333"/>
      <c r="AT2093" s="333"/>
      <c r="AU2093" s="333"/>
      <c r="AV2093" s="333"/>
    </row>
    <row r="2094" spans="2:48" s="330" customFormat="1" ht="28.15" customHeight="1" x14ac:dyDescent="0.25">
      <c r="B2094" s="331"/>
      <c r="C2094" s="332"/>
      <c r="D2094" s="332"/>
      <c r="E2094" s="333"/>
      <c r="F2094" s="333"/>
      <c r="R2094" s="316"/>
      <c r="S2094" s="404"/>
      <c r="T2094" s="404"/>
      <c r="U2094" s="404"/>
      <c r="V2094" s="404"/>
      <c r="W2094" s="316"/>
      <c r="X2094" s="316"/>
      <c r="Y2094" s="316"/>
      <c r="Z2094" s="316"/>
      <c r="AA2094" s="404"/>
      <c r="AB2094" s="404"/>
      <c r="AC2094" s="404"/>
      <c r="AD2094" s="404"/>
      <c r="AE2094" s="316"/>
      <c r="AF2094" s="316"/>
      <c r="AG2094" s="404"/>
      <c r="AH2094" s="316"/>
      <c r="AI2094" s="316"/>
      <c r="AJ2094" s="316"/>
      <c r="AK2094" s="316"/>
      <c r="AL2094" s="316"/>
      <c r="AM2094" s="416"/>
      <c r="AR2094" s="333"/>
      <c r="AS2094" s="333"/>
      <c r="AT2094" s="333"/>
      <c r="AU2094" s="333"/>
      <c r="AV2094" s="333"/>
    </row>
    <row r="2095" spans="2:48" s="330" customFormat="1" ht="28.15" customHeight="1" x14ac:dyDescent="0.25">
      <c r="B2095" s="331"/>
      <c r="C2095" s="332"/>
      <c r="D2095" s="332"/>
      <c r="E2095" s="333"/>
      <c r="F2095" s="333"/>
      <c r="R2095" s="316"/>
      <c r="S2095" s="404"/>
      <c r="T2095" s="404"/>
      <c r="U2095" s="404"/>
      <c r="V2095" s="404"/>
      <c r="W2095" s="316"/>
      <c r="X2095" s="316"/>
      <c r="Y2095" s="316"/>
      <c r="Z2095" s="316"/>
      <c r="AA2095" s="404"/>
      <c r="AB2095" s="404"/>
      <c r="AC2095" s="404"/>
      <c r="AD2095" s="404"/>
      <c r="AE2095" s="316"/>
      <c r="AF2095" s="316"/>
      <c r="AG2095" s="404"/>
      <c r="AH2095" s="316"/>
      <c r="AI2095" s="316"/>
      <c r="AJ2095" s="316"/>
      <c r="AK2095" s="316"/>
      <c r="AL2095" s="316"/>
      <c r="AM2095" s="416"/>
      <c r="AR2095" s="333"/>
      <c r="AS2095" s="333"/>
      <c r="AT2095" s="333"/>
      <c r="AU2095" s="333"/>
      <c r="AV2095" s="333"/>
    </row>
    <row r="2096" spans="2:48" s="330" customFormat="1" ht="28.15" customHeight="1" x14ac:dyDescent="0.25">
      <c r="B2096" s="331"/>
      <c r="C2096" s="332"/>
      <c r="D2096" s="332"/>
      <c r="E2096" s="333"/>
      <c r="F2096" s="333"/>
      <c r="R2096" s="316"/>
      <c r="S2096" s="404"/>
      <c r="T2096" s="404"/>
      <c r="U2096" s="404"/>
      <c r="V2096" s="404"/>
      <c r="W2096" s="316"/>
      <c r="X2096" s="316"/>
      <c r="Y2096" s="316"/>
      <c r="Z2096" s="316"/>
      <c r="AA2096" s="404"/>
      <c r="AB2096" s="404"/>
      <c r="AC2096" s="404"/>
      <c r="AD2096" s="404"/>
      <c r="AE2096" s="316"/>
      <c r="AF2096" s="316"/>
      <c r="AG2096" s="404"/>
      <c r="AH2096" s="316"/>
      <c r="AI2096" s="316"/>
      <c r="AJ2096" s="316"/>
      <c r="AK2096" s="316"/>
      <c r="AL2096" s="316"/>
      <c r="AM2096" s="416"/>
      <c r="AR2096" s="333"/>
      <c r="AS2096" s="333"/>
      <c r="AT2096" s="333"/>
      <c r="AU2096" s="333"/>
      <c r="AV2096" s="333"/>
    </row>
    <row r="2097" spans="2:48" s="330" customFormat="1" ht="28.15" customHeight="1" x14ac:dyDescent="0.25">
      <c r="B2097" s="331"/>
      <c r="C2097" s="332"/>
      <c r="D2097" s="332"/>
      <c r="E2097" s="333"/>
      <c r="F2097" s="333"/>
      <c r="R2097" s="316"/>
      <c r="S2097" s="404"/>
      <c r="T2097" s="404"/>
      <c r="U2097" s="404"/>
      <c r="V2097" s="404"/>
      <c r="W2097" s="316"/>
      <c r="X2097" s="316"/>
      <c r="Y2097" s="316"/>
      <c r="Z2097" s="316"/>
      <c r="AA2097" s="404"/>
      <c r="AB2097" s="404"/>
      <c r="AC2097" s="404"/>
      <c r="AD2097" s="404"/>
      <c r="AE2097" s="316"/>
      <c r="AF2097" s="316"/>
      <c r="AG2097" s="404"/>
      <c r="AH2097" s="316"/>
      <c r="AI2097" s="316"/>
      <c r="AJ2097" s="316"/>
      <c r="AK2097" s="316"/>
      <c r="AL2097" s="316"/>
      <c r="AM2097" s="416"/>
      <c r="AR2097" s="333"/>
      <c r="AS2097" s="333"/>
      <c r="AT2097" s="333"/>
      <c r="AU2097" s="333"/>
      <c r="AV2097" s="333"/>
    </row>
    <row r="2098" spans="2:48" s="330" customFormat="1" ht="28.15" customHeight="1" x14ac:dyDescent="0.25">
      <c r="B2098" s="331"/>
      <c r="C2098" s="332"/>
      <c r="D2098" s="332"/>
      <c r="E2098" s="333"/>
      <c r="F2098" s="333"/>
      <c r="R2098" s="316"/>
      <c r="S2098" s="404"/>
      <c r="T2098" s="404"/>
      <c r="U2098" s="404"/>
      <c r="V2098" s="404"/>
      <c r="W2098" s="316"/>
      <c r="X2098" s="316"/>
      <c r="Y2098" s="316"/>
      <c r="Z2098" s="316"/>
      <c r="AA2098" s="404"/>
      <c r="AB2098" s="404"/>
      <c r="AC2098" s="404"/>
      <c r="AD2098" s="404"/>
      <c r="AE2098" s="316"/>
      <c r="AF2098" s="316"/>
      <c r="AG2098" s="404"/>
      <c r="AH2098" s="316"/>
      <c r="AI2098" s="316"/>
      <c r="AJ2098" s="316"/>
      <c r="AK2098" s="316"/>
      <c r="AL2098" s="316"/>
      <c r="AM2098" s="416"/>
      <c r="AR2098" s="333"/>
      <c r="AS2098" s="333"/>
      <c r="AT2098" s="333"/>
      <c r="AU2098" s="333"/>
      <c r="AV2098" s="333"/>
    </row>
    <row r="2099" spans="2:48" s="330" customFormat="1" ht="28.15" customHeight="1" x14ac:dyDescent="0.25">
      <c r="B2099" s="331"/>
      <c r="C2099" s="332"/>
      <c r="D2099" s="332"/>
      <c r="E2099" s="333"/>
      <c r="F2099" s="333"/>
      <c r="R2099" s="316"/>
      <c r="S2099" s="404"/>
      <c r="T2099" s="404"/>
      <c r="U2099" s="404"/>
      <c r="V2099" s="404"/>
      <c r="W2099" s="316"/>
      <c r="X2099" s="316"/>
      <c r="Y2099" s="316"/>
      <c r="Z2099" s="316"/>
      <c r="AA2099" s="404"/>
      <c r="AB2099" s="404"/>
      <c r="AC2099" s="404"/>
      <c r="AD2099" s="404"/>
      <c r="AE2099" s="316"/>
      <c r="AF2099" s="316"/>
      <c r="AG2099" s="404"/>
      <c r="AH2099" s="316"/>
      <c r="AI2099" s="316"/>
      <c r="AJ2099" s="316"/>
      <c r="AK2099" s="316"/>
      <c r="AL2099" s="316"/>
      <c r="AM2099" s="416"/>
      <c r="AR2099" s="333"/>
      <c r="AS2099" s="333"/>
      <c r="AT2099" s="333"/>
      <c r="AU2099" s="333"/>
      <c r="AV2099" s="333"/>
    </row>
    <row r="2100" spans="2:48" s="330" customFormat="1" ht="28.15" customHeight="1" x14ac:dyDescent="0.25">
      <c r="B2100" s="331"/>
      <c r="C2100" s="332"/>
      <c r="D2100" s="332"/>
      <c r="E2100" s="333"/>
      <c r="F2100" s="333"/>
      <c r="R2100" s="316"/>
      <c r="S2100" s="404"/>
      <c r="T2100" s="404"/>
      <c r="U2100" s="404"/>
      <c r="V2100" s="404"/>
      <c r="W2100" s="316"/>
      <c r="X2100" s="316"/>
      <c r="Y2100" s="316"/>
      <c r="Z2100" s="316"/>
      <c r="AA2100" s="404"/>
      <c r="AB2100" s="404"/>
      <c r="AC2100" s="404"/>
      <c r="AD2100" s="404"/>
      <c r="AE2100" s="316"/>
      <c r="AF2100" s="316"/>
      <c r="AG2100" s="404"/>
      <c r="AH2100" s="316"/>
      <c r="AI2100" s="316"/>
      <c r="AJ2100" s="316"/>
      <c r="AK2100" s="316"/>
      <c r="AL2100" s="316"/>
      <c r="AM2100" s="416"/>
      <c r="AR2100" s="333"/>
      <c r="AS2100" s="333"/>
      <c r="AT2100" s="333"/>
      <c r="AU2100" s="333"/>
      <c r="AV2100" s="333"/>
    </row>
    <row r="2101" spans="2:48" s="330" customFormat="1" ht="28.15" customHeight="1" x14ac:dyDescent="0.25">
      <c r="B2101" s="331"/>
      <c r="C2101" s="332"/>
      <c r="D2101" s="332"/>
      <c r="E2101" s="333"/>
      <c r="F2101" s="333"/>
      <c r="R2101" s="316"/>
      <c r="S2101" s="404"/>
      <c r="T2101" s="404"/>
      <c r="U2101" s="404"/>
      <c r="V2101" s="404"/>
      <c r="W2101" s="316"/>
      <c r="X2101" s="316"/>
      <c r="Y2101" s="316"/>
      <c r="Z2101" s="316"/>
      <c r="AA2101" s="404"/>
      <c r="AB2101" s="404"/>
      <c r="AC2101" s="404"/>
      <c r="AD2101" s="404"/>
      <c r="AE2101" s="316"/>
      <c r="AF2101" s="316"/>
      <c r="AG2101" s="404"/>
      <c r="AH2101" s="316"/>
      <c r="AI2101" s="316"/>
      <c r="AJ2101" s="316"/>
      <c r="AK2101" s="316"/>
      <c r="AL2101" s="316"/>
      <c r="AM2101" s="416"/>
      <c r="AR2101" s="333"/>
      <c r="AS2101" s="333"/>
      <c r="AT2101" s="333"/>
      <c r="AU2101" s="333"/>
      <c r="AV2101" s="333"/>
    </row>
    <row r="2102" spans="2:48" s="330" customFormat="1" ht="28.15" customHeight="1" x14ac:dyDescent="0.25">
      <c r="B2102" s="331"/>
      <c r="C2102" s="332"/>
      <c r="D2102" s="332"/>
      <c r="E2102" s="333"/>
      <c r="F2102" s="333"/>
      <c r="R2102" s="316"/>
      <c r="S2102" s="404"/>
      <c r="T2102" s="404"/>
      <c r="U2102" s="404"/>
      <c r="V2102" s="404"/>
      <c r="W2102" s="316"/>
      <c r="X2102" s="316"/>
      <c r="Y2102" s="316"/>
      <c r="Z2102" s="316"/>
      <c r="AA2102" s="404"/>
      <c r="AB2102" s="404"/>
      <c r="AC2102" s="404"/>
      <c r="AD2102" s="404"/>
      <c r="AE2102" s="316"/>
      <c r="AF2102" s="316"/>
      <c r="AG2102" s="404"/>
      <c r="AH2102" s="316"/>
      <c r="AI2102" s="316"/>
      <c r="AJ2102" s="316"/>
      <c r="AK2102" s="316"/>
      <c r="AL2102" s="316"/>
      <c r="AM2102" s="416"/>
      <c r="AR2102" s="333"/>
      <c r="AS2102" s="333"/>
      <c r="AT2102" s="333"/>
      <c r="AU2102" s="333"/>
      <c r="AV2102" s="333"/>
    </row>
    <row r="2103" spans="2:48" s="330" customFormat="1" ht="28.15" customHeight="1" x14ac:dyDescent="0.25">
      <c r="B2103" s="331"/>
      <c r="C2103" s="332"/>
      <c r="D2103" s="332"/>
      <c r="E2103" s="333"/>
      <c r="F2103" s="333"/>
      <c r="R2103" s="316"/>
      <c r="S2103" s="404"/>
      <c r="T2103" s="404"/>
      <c r="U2103" s="404"/>
      <c r="V2103" s="404"/>
      <c r="W2103" s="316"/>
      <c r="X2103" s="316"/>
      <c r="Y2103" s="316"/>
      <c r="Z2103" s="316"/>
      <c r="AA2103" s="404"/>
      <c r="AB2103" s="404"/>
      <c r="AC2103" s="404"/>
      <c r="AD2103" s="404"/>
      <c r="AE2103" s="316"/>
      <c r="AF2103" s="316"/>
      <c r="AG2103" s="404"/>
      <c r="AH2103" s="316"/>
      <c r="AI2103" s="316"/>
      <c r="AJ2103" s="316"/>
      <c r="AK2103" s="316"/>
      <c r="AL2103" s="316"/>
      <c r="AM2103" s="416"/>
      <c r="AR2103" s="333"/>
      <c r="AS2103" s="333"/>
      <c r="AT2103" s="333"/>
      <c r="AU2103" s="333"/>
      <c r="AV2103" s="333"/>
    </row>
    <row r="2104" spans="2:48" s="330" customFormat="1" ht="28.15" customHeight="1" x14ac:dyDescent="0.25">
      <c r="B2104" s="331"/>
      <c r="C2104" s="332"/>
      <c r="D2104" s="332"/>
      <c r="E2104" s="333"/>
      <c r="F2104" s="333"/>
      <c r="R2104" s="316"/>
      <c r="S2104" s="404"/>
      <c r="T2104" s="404"/>
      <c r="U2104" s="404"/>
      <c r="V2104" s="404"/>
      <c r="W2104" s="316"/>
      <c r="X2104" s="316"/>
      <c r="Y2104" s="316"/>
      <c r="Z2104" s="316"/>
      <c r="AA2104" s="404"/>
      <c r="AB2104" s="404"/>
      <c r="AC2104" s="404"/>
      <c r="AD2104" s="404"/>
      <c r="AE2104" s="316"/>
      <c r="AF2104" s="316"/>
      <c r="AG2104" s="404"/>
      <c r="AH2104" s="316"/>
      <c r="AI2104" s="316"/>
      <c r="AJ2104" s="316"/>
      <c r="AK2104" s="316"/>
      <c r="AL2104" s="316"/>
      <c r="AM2104" s="416"/>
      <c r="AR2104" s="333"/>
      <c r="AS2104" s="333"/>
      <c r="AT2104" s="333"/>
      <c r="AU2104" s="333"/>
      <c r="AV2104" s="333"/>
    </row>
    <row r="2105" spans="2:48" s="330" customFormat="1" ht="28.15" customHeight="1" x14ac:dyDescent="0.25">
      <c r="B2105" s="331"/>
      <c r="C2105" s="332"/>
      <c r="D2105" s="332"/>
      <c r="E2105" s="333"/>
      <c r="F2105" s="333"/>
      <c r="R2105" s="316"/>
      <c r="S2105" s="404"/>
      <c r="T2105" s="404"/>
      <c r="U2105" s="404"/>
      <c r="V2105" s="404"/>
      <c r="W2105" s="316"/>
      <c r="X2105" s="316"/>
      <c r="Y2105" s="316"/>
      <c r="Z2105" s="316"/>
      <c r="AA2105" s="404"/>
      <c r="AB2105" s="404"/>
      <c r="AC2105" s="404"/>
      <c r="AD2105" s="404"/>
      <c r="AE2105" s="316"/>
      <c r="AF2105" s="316"/>
      <c r="AG2105" s="404"/>
      <c r="AH2105" s="316"/>
      <c r="AI2105" s="316"/>
      <c r="AJ2105" s="316"/>
      <c r="AK2105" s="316"/>
      <c r="AL2105" s="316"/>
      <c r="AM2105" s="416"/>
      <c r="AR2105" s="333"/>
      <c r="AS2105" s="333"/>
      <c r="AT2105" s="333"/>
      <c r="AU2105" s="333"/>
      <c r="AV2105" s="333"/>
    </row>
    <row r="2106" spans="2:48" s="330" customFormat="1" ht="28.15" customHeight="1" x14ac:dyDescent="0.25">
      <c r="B2106" s="331"/>
      <c r="C2106" s="332"/>
      <c r="D2106" s="332"/>
      <c r="E2106" s="333"/>
      <c r="F2106" s="333"/>
      <c r="R2106" s="316"/>
      <c r="S2106" s="404"/>
      <c r="T2106" s="404"/>
      <c r="U2106" s="404"/>
      <c r="V2106" s="404"/>
      <c r="W2106" s="316"/>
      <c r="X2106" s="316"/>
      <c r="Y2106" s="316"/>
      <c r="Z2106" s="316"/>
      <c r="AA2106" s="404"/>
      <c r="AB2106" s="404"/>
      <c r="AC2106" s="404"/>
      <c r="AD2106" s="404"/>
      <c r="AE2106" s="316"/>
      <c r="AF2106" s="316"/>
      <c r="AG2106" s="404"/>
      <c r="AH2106" s="316"/>
      <c r="AI2106" s="316"/>
      <c r="AJ2106" s="316"/>
      <c r="AK2106" s="316"/>
      <c r="AL2106" s="316"/>
      <c r="AM2106" s="416"/>
      <c r="AR2106" s="333"/>
      <c r="AS2106" s="333"/>
      <c r="AT2106" s="333"/>
      <c r="AU2106" s="333"/>
      <c r="AV2106" s="333"/>
    </row>
    <row r="2107" spans="2:48" s="330" customFormat="1" ht="28.15" customHeight="1" x14ac:dyDescent="0.25">
      <c r="B2107" s="331"/>
      <c r="C2107" s="332"/>
      <c r="D2107" s="332"/>
      <c r="E2107" s="333"/>
      <c r="F2107" s="333"/>
      <c r="R2107" s="316"/>
      <c r="S2107" s="404"/>
      <c r="T2107" s="404"/>
      <c r="U2107" s="404"/>
      <c r="V2107" s="404"/>
      <c r="W2107" s="316"/>
      <c r="X2107" s="316"/>
      <c r="Y2107" s="316"/>
      <c r="Z2107" s="316"/>
      <c r="AA2107" s="404"/>
      <c r="AB2107" s="404"/>
      <c r="AC2107" s="404"/>
      <c r="AD2107" s="404"/>
      <c r="AE2107" s="316"/>
      <c r="AF2107" s="316"/>
      <c r="AG2107" s="404"/>
      <c r="AH2107" s="316"/>
      <c r="AI2107" s="316"/>
      <c r="AJ2107" s="316"/>
      <c r="AK2107" s="316"/>
      <c r="AL2107" s="316"/>
      <c r="AM2107" s="416"/>
      <c r="AR2107" s="333"/>
      <c r="AS2107" s="333"/>
      <c r="AT2107" s="333"/>
      <c r="AU2107" s="333"/>
      <c r="AV2107" s="333"/>
    </row>
    <row r="2108" spans="2:48" s="330" customFormat="1" ht="28.15" customHeight="1" x14ac:dyDescent="0.25">
      <c r="B2108" s="331"/>
      <c r="C2108" s="332"/>
      <c r="D2108" s="332"/>
      <c r="E2108" s="333"/>
      <c r="F2108" s="333"/>
      <c r="R2108" s="316"/>
      <c r="S2108" s="404"/>
      <c r="T2108" s="404"/>
      <c r="U2108" s="404"/>
      <c r="V2108" s="404"/>
      <c r="W2108" s="316"/>
      <c r="X2108" s="316"/>
      <c r="Y2108" s="316"/>
      <c r="Z2108" s="316"/>
      <c r="AA2108" s="404"/>
      <c r="AB2108" s="404"/>
      <c r="AC2108" s="404"/>
      <c r="AD2108" s="404"/>
      <c r="AE2108" s="316"/>
      <c r="AF2108" s="316"/>
      <c r="AG2108" s="404"/>
      <c r="AH2108" s="316"/>
      <c r="AI2108" s="316"/>
      <c r="AJ2108" s="316"/>
      <c r="AK2108" s="316"/>
      <c r="AL2108" s="316"/>
      <c r="AM2108" s="416"/>
      <c r="AR2108" s="333"/>
      <c r="AS2108" s="333"/>
      <c r="AT2108" s="333"/>
      <c r="AU2108" s="333"/>
      <c r="AV2108" s="333"/>
    </row>
    <row r="2109" spans="2:48" s="330" customFormat="1" ht="28.15" customHeight="1" x14ac:dyDescent="0.25">
      <c r="B2109" s="331"/>
      <c r="C2109" s="332"/>
      <c r="D2109" s="332"/>
      <c r="E2109" s="333"/>
      <c r="F2109" s="333"/>
      <c r="R2109" s="316"/>
      <c r="S2109" s="404"/>
      <c r="T2109" s="404"/>
      <c r="U2109" s="404"/>
      <c r="V2109" s="404"/>
      <c r="W2109" s="316"/>
      <c r="X2109" s="316"/>
      <c r="Y2109" s="316"/>
      <c r="Z2109" s="316"/>
      <c r="AA2109" s="404"/>
      <c r="AB2109" s="404"/>
      <c r="AC2109" s="404"/>
      <c r="AD2109" s="404"/>
      <c r="AE2109" s="316"/>
      <c r="AF2109" s="316"/>
      <c r="AG2109" s="404"/>
      <c r="AH2109" s="316"/>
      <c r="AI2109" s="316"/>
      <c r="AJ2109" s="316"/>
      <c r="AK2109" s="316"/>
      <c r="AL2109" s="316"/>
      <c r="AM2109" s="416"/>
      <c r="AR2109" s="333"/>
      <c r="AS2109" s="333"/>
      <c r="AT2109" s="333"/>
      <c r="AU2109" s="333"/>
      <c r="AV2109" s="333"/>
    </row>
    <row r="2110" spans="2:48" s="330" customFormat="1" ht="28.15" customHeight="1" x14ac:dyDescent="0.25">
      <c r="B2110" s="331"/>
      <c r="C2110" s="332"/>
      <c r="D2110" s="332"/>
      <c r="E2110" s="333"/>
      <c r="F2110" s="333"/>
      <c r="R2110" s="316"/>
      <c r="S2110" s="404"/>
      <c r="T2110" s="404"/>
      <c r="U2110" s="404"/>
      <c r="V2110" s="404"/>
      <c r="W2110" s="316"/>
      <c r="X2110" s="316"/>
      <c r="Y2110" s="316"/>
      <c r="Z2110" s="316"/>
      <c r="AA2110" s="404"/>
      <c r="AB2110" s="404"/>
      <c r="AC2110" s="404"/>
      <c r="AD2110" s="404"/>
      <c r="AE2110" s="316"/>
      <c r="AF2110" s="316"/>
      <c r="AG2110" s="404"/>
      <c r="AH2110" s="316"/>
      <c r="AI2110" s="316"/>
      <c r="AJ2110" s="316"/>
      <c r="AK2110" s="316"/>
      <c r="AL2110" s="316"/>
      <c r="AM2110" s="416"/>
      <c r="AR2110" s="333"/>
      <c r="AS2110" s="333"/>
      <c r="AT2110" s="333"/>
      <c r="AU2110" s="333"/>
      <c r="AV2110" s="333"/>
    </row>
    <row r="2111" spans="2:48" s="330" customFormat="1" ht="28.15" customHeight="1" x14ac:dyDescent="0.25">
      <c r="B2111" s="331"/>
      <c r="C2111" s="332"/>
      <c r="D2111" s="332"/>
      <c r="E2111" s="333"/>
      <c r="F2111" s="333"/>
      <c r="R2111" s="316"/>
      <c r="S2111" s="404"/>
      <c r="T2111" s="404"/>
      <c r="U2111" s="404"/>
      <c r="V2111" s="404"/>
      <c r="W2111" s="316"/>
      <c r="X2111" s="316"/>
      <c r="Y2111" s="316"/>
      <c r="Z2111" s="316"/>
      <c r="AA2111" s="404"/>
      <c r="AB2111" s="404"/>
      <c r="AC2111" s="404"/>
      <c r="AD2111" s="404"/>
      <c r="AE2111" s="316"/>
      <c r="AF2111" s="316"/>
      <c r="AG2111" s="404"/>
      <c r="AH2111" s="316"/>
      <c r="AI2111" s="316"/>
      <c r="AJ2111" s="316"/>
      <c r="AK2111" s="316"/>
      <c r="AL2111" s="316"/>
      <c r="AM2111" s="416"/>
      <c r="AR2111" s="333"/>
      <c r="AS2111" s="333"/>
      <c r="AT2111" s="333"/>
      <c r="AU2111" s="333"/>
      <c r="AV2111" s="333"/>
    </row>
    <row r="2112" spans="2:48" s="330" customFormat="1" ht="28.15" customHeight="1" x14ac:dyDescent="0.25">
      <c r="B2112" s="331"/>
      <c r="C2112" s="332"/>
      <c r="D2112" s="332"/>
      <c r="E2112" s="333"/>
      <c r="F2112" s="333"/>
      <c r="R2112" s="316"/>
      <c r="S2112" s="404"/>
      <c r="T2112" s="404"/>
      <c r="U2112" s="404"/>
      <c r="V2112" s="404"/>
      <c r="W2112" s="316"/>
      <c r="X2112" s="316"/>
      <c r="Y2112" s="316"/>
      <c r="Z2112" s="316"/>
      <c r="AA2112" s="404"/>
      <c r="AB2112" s="404"/>
      <c r="AC2112" s="404"/>
      <c r="AD2112" s="404"/>
      <c r="AE2112" s="316"/>
      <c r="AF2112" s="316"/>
      <c r="AG2112" s="404"/>
      <c r="AH2112" s="316"/>
      <c r="AI2112" s="316"/>
      <c r="AJ2112" s="316"/>
      <c r="AK2112" s="316"/>
      <c r="AL2112" s="316"/>
      <c r="AM2112" s="416"/>
      <c r="AR2112" s="333"/>
      <c r="AS2112" s="333"/>
      <c r="AT2112" s="333"/>
      <c r="AU2112" s="333"/>
      <c r="AV2112" s="333"/>
    </row>
    <row r="2113" spans="2:48" s="330" customFormat="1" ht="28.15" customHeight="1" x14ac:dyDescent="0.25">
      <c r="B2113" s="331"/>
      <c r="C2113" s="332"/>
      <c r="D2113" s="332"/>
      <c r="E2113" s="333"/>
      <c r="F2113" s="333"/>
      <c r="R2113" s="316"/>
      <c r="S2113" s="404"/>
      <c r="T2113" s="404"/>
      <c r="U2113" s="404"/>
      <c r="V2113" s="404"/>
      <c r="W2113" s="316"/>
      <c r="X2113" s="316"/>
      <c r="Y2113" s="316"/>
      <c r="Z2113" s="316"/>
      <c r="AA2113" s="404"/>
      <c r="AB2113" s="404"/>
      <c r="AC2113" s="404"/>
      <c r="AD2113" s="404"/>
      <c r="AE2113" s="316"/>
      <c r="AF2113" s="316"/>
      <c r="AG2113" s="404"/>
      <c r="AH2113" s="316"/>
      <c r="AI2113" s="316"/>
      <c r="AJ2113" s="316"/>
      <c r="AK2113" s="316"/>
      <c r="AL2113" s="316"/>
      <c r="AM2113" s="416"/>
      <c r="AR2113" s="333"/>
      <c r="AS2113" s="333"/>
      <c r="AT2113" s="333"/>
      <c r="AU2113" s="333"/>
      <c r="AV2113" s="333"/>
    </row>
    <row r="2114" spans="2:48" s="330" customFormat="1" ht="28.15" customHeight="1" x14ac:dyDescent="0.25">
      <c r="B2114" s="331"/>
      <c r="C2114" s="332"/>
      <c r="D2114" s="332"/>
      <c r="E2114" s="333"/>
      <c r="F2114" s="333"/>
      <c r="R2114" s="316"/>
      <c r="S2114" s="404"/>
      <c r="T2114" s="404"/>
      <c r="U2114" s="404"/>
      <c r="V2114" s="404"/>
      <c r="W2114" s="316"/>
      <c r="X2114" s="316"/>
      <c r="Y2114" s="316"/>
      <c r="Z2114" s="316"/>
      <c r="AA2114" s="404"/>
      <c r="AB2114" s="404"/>
      <c r="AC2114" s="404"/>
      <c r="AD2114" s="404"/>
      <c r="AE2114" s="316"/>
      <c r="AF2114" s="316"/>
      <c r="AG2114" s="404"/>
      <c r="AH2114" s="316"/>
      <c r="AI2114" s="316"/>
      <c r="AJ2114" s="316"/>
      <c r="AK2114" s="316"/>
      <c r="AL2114" s="316"/>
      <c r="AM2114" s="416"/>
      <c r="AR2114" s="333"/>
      <c r="AS2114" s="333"/>
      <c r="AT2114" s="333"/>
      <c r="AU2114" s="333"/>
      <c r="AV2114" s="333"/>
    </row>
    <row r="2115" spans="2:48" s="330" customFormat="1" ht="28.15" customHeight="1" x14ac:dyDescent="0.25">
      <c r="B2115" s="331"/>
      <c r="C2115" s="332"/>
      <c r="D2115" s="332"/>
      <c r="E2115" s="333"/>
      <c r="F2115" s="333"/>
      <c r="R2115" s="316"/>
      <c r="S2115" s="404"/>
      <c r="T2115" s="404"/>
      <c r="U2115" s="404"/>
      <c r="V2115" s="404"/>
      <c r="W2115" s="316"/>
      <c r="X2115" s="316"/>
      <c r="Y2115" s="316"/>
      <c r="Z2115" s="316"/>
      <c r="AA2115" s="404"/>
      <c r="AB2115" s="404"/>
      <c r="AC2115" s="404"/>
      <c r="AD2115" s="404"/>
      <c r="AE2115" s="316"/>
      <c r="AF2115" s="316"/>
      <c r="AG2115" s="404"/>
      <c r="AH2115" s="316"/>
      <c r="AI2115" s="316"/>
      <c r="AJ2115" s="316"/>
      <c r="AK2115" s="316"/>
      <c r="AL2115" s="316"/>
      <c r="AM2115" s="416"/>
      <c r="AR2115" s="333"/>
      <c r="AS2115" s="333"/>
      <c r="AT2115" s="333"/>
      <c r="AU2115" s="333"/>
      <c r="AV2115" s="333"/>
    </row>
    <row r="2116" spans="2:48" s="330" customFormat="1" ht="28.15" customHeight="1" x14ac:dyDescent="0.25">
      <c r="B2116" s="331"/>
      <c r="C2116" s="332"/>
      <c r="D2116" s="332"/>
      <c r="E2116" s="333"/>
      <c r="F2116" s="333"/>
      <c r="R2116" s="316"/>
      <c r="S2116" s="404"/>
      <c r="T2116" s="404"/>
      <c r="U2116" s="404"/>
      <c r="V2116" s="404"/>
      <c r="W2116" s="316"/>
      <c r="X2116" s="316"/>
      <c r="Y2116" s="316"/>
      <c r="Z2116" s="316"/>
      <c r="AA2116" s="404"/>
      <c r="AB2116" s="404"/>
      <c r="AC2116" s="404"/>
      <c r="AD2116" s="404"/>
      <c r="AE2116" s="316"/>
      <c r="AF2116" s="316"/>
      <c r="AG2116" s="404"/>
      <c r="AH2116" s="316"/>
      <c r="AI2116" s="316"/>
      <c r="AJ2116" s="316"/>
      <c r="AK2116" s="316"/>
      <c r="AL2116" s="316"/>
      <c r="AM2116" s="416"/>
      <c r="AR2116" s="333"/>
      <c r="AS2116" s="333"/>
      <c r="AT2116" s="333"/>
      <c r="AU2116" s="333"/>
      <c r="AV2116" s="333"/>
    </row>
    <row r="2117" spans="2:48" s="330" customFormat="1" ht="28.15" customHeight="1" x14ac:dyDescent="0.25">
      <c r="B2117" s="331"/>
      <c r="C2117" s="332"/>
      <c r="D2117" s="332"/>
      <c r="E2117" s="333"/>
      <c r="F2117" s="333"/>
      <c r="R2117" s="316"/>
      <c r="S2117" s="404"/>
      <c r="T2117" s="404"/>
      <c r="U2117" s="404"/>
      <c r="V2117" s="404"/>
      <c r="W2117" s="316"/>
      <c r="X2117" s="316"/>
      <c r="Y2117" s="316"/>
      <c r="Z2117" s="316"/>
      <c r="AA2117" s="404"/>
      <c r="AB2117" s="404"/>
      <c r="AC2117" s="404"/>
      <c r="AD2117" s="404"/>
      <c r="AE2117" s="316"/>
      <c r="AF2117" s="316"/>
      <c r="AG2117" s="404"/>
      <c r="AH2117" s="316"/>
      <c r="AI2117" s="316"/>
      <c r="AJ2117" s="316"/>
      <c r="AK2117" s="316"/>
      <c r="AL2117" s="316"/>
      <c r="AM2117" s="416"/>
      <c r="AR2117" s="333"/>
      <c r="AS2117" s="333"/>
      <c r="AT2117" s="333"/>
      <c r="AU2117" s="333"/>
      <c r="AV2117" s="333"/>
    </row>
    <row r="2118" spans="2:48" s="330" customFormat="1" ht="28.15" customHeight="1" x14ac:dyDescent="0.25">
      <c r="B2118" s="331"/>
      <c r="C2118" s="332"/>
      <c r="D2118" s="332"/>
      <c r="E2118" s="333"/>
      <c r="F2118" s="333"/>
      <c r="R2118" s="316"/>
      <c r="S2118" s="404"/>
      <c r="T2118" s="404"/>
      <c r="U2118" s="404"/>
      <c r="V2118" s="404"/>
      <c r="W2118" s="316"/>
      <c r="X2118" s="316"/>
      <c r="Y2118" s="316"/>
      <c r="Z2118" s="316"/>
      <c r="AA2118" s="404"/>
      <c r="AB2118" s="404"/>
      <c r="AC2118" s="404"/>
      <c r="AD2118" s="404"/>
      <c r="AE2118" s="316"/>
      <c r="AF2118" s="316"/>
      <c r="AG2118" s="404"/>
      <c r="AH2118" s="316"/>
      <c r="AI2118" s="316"/>
      <c r="AJ2118" s="316"/>
      <c r="AK2118" s="316"/>
      <c r="AL2118" s="316"/>
      <c r="AM2118" s="416"/>
      <c r="AR2118" s="333"/>
      <c r="AS2118" s="333"/>
      <c r="AT2118" s="333"/>
      <c r="AU2118" s="333"/>
      <c r="AV2118" s="333"/>
    </row>
    <row r="2119" spans="2:48" s="330" customFormat="1" ht="28.15" customHeight="1" x14ac:dyDescent="0.25">
      <c r="B2119" s="331"/>
      <c r="C2119" s="332"/>
      <c r="D2119" s="332"/>
      <c r="E2119" s="333"/>
      <c r="F2119" s="333"/>
      <c r="R2119" s="316"/>
      <c r="S2119" s="404"/>
      <c r="T2119" s="404"/>
      <c r="U2119" s="404"/>
      <c r="V2119" s="404"/>
      <c r="W2119" s="316"/>
      <c r="X2119" s="316"/>
      <c r="Y2119" s="316"/>
      <c r="Z2119" s="316"/>
      <c r="AA2119" s="404"/>
      <c r="AB2119" s="404"/>
      <c r="AC2119" s="404"/>
      <c r="AD2119" s="404"/>
      <c r="AE2119" s="316"/>
      <c r="AF2119" s="316"/>
      <c r="AG2119" s="404"/>
      <c r="AH2119" s="316"/>
      <c r="AI2119" s="316"/>
      <c r="AJ2119" s="316"/>
      <c r="AK2119" s="316"/>
      <c r="AL2119" s="316"/>
      <c r="AM2119" s="416"/>
      <c r="AR2119" s="333"/>
      <c r="AS2119" s="333"/>
      <c r="AT2119" s="333"/>
      <c r="AU2119" s="333"/>
      <c r="AV2119" s="333"/>
    </row>
    <row r="2120" spans="2:48" s="330" customFormat="1" ht="28.15" customHeight="1" x14ac:dyDescent="0.25">
      <c r="B2120" s="331"/>
      <c r="C2120" s="332"/>
      <c r="D2120" s="332"/>
      <c r="E2120" s="333"/>
      <c r="F2120" s="333"/>
      <c r="R2120" s="316"/>
      <c r="S2120" s="404"/>
      <c r="T2120" s="404"/>
      <c r="U2120" s="404"/>
      <c r="V2120" s="404"/>
      <c r="W2120" s="316"/>
      <c r="X2120" s="316"/>
      <c r="Y2120" s="316"/>
      <c r="Z2120" s="316"/>
      <c r="AA2120" s="404"/>
      <c r="AB2120" s="404"/>
      <c r="AC2120" s="404"/>
      <c r="AD2120" s="404"/>
      <c r="AE2120" s="316"/>
      <c r="AF2120" s="316"/>
      <c r="AG2120" s="404"/>
      <c r="AH2120" s="316"/>
      <c r="AI2120" s="316"/>
      <c r="AJ2120" s="316"/>
      <c r="AK2120" s="316"/>
      <c r="AL2120" s="316"/>
      <c r="AM2120" s="416"/>
      <c r="AR2120" s="333"/>
      <c r="AS2120" s="333"/>
      <c r="AT2120" s="333"/>
      <c r="AU2120" s="333"/>
      <c r="AV2120" s="333"/>
    </row>
    <row r="2121" spans="2:48" s="330" customFormat="1" ht="28.15" customHeight="1" x14ac:dyDescent="0.25">
      <c r="B2121" s="331"/>
      <c r="C2121" s="332"/>
      <c r="D2121" s="332"/>
      <c r="E2121" s="333"/>
      <c r="F2121" s="333"/>
      <c r="R2121" s="316"/>
      <c r="S2121" s="404"/>
      <c r="T2121" s="404"/>
      <c r="U2121" s="404"/>
      <c r="V2121" s="404"/>
      <c r="W2121" s="316"/>
      <c r="X2121" s="316"/>
      <c r="Y2121" s="316"/>
      <c r="Z2121" s="316"/>
      <c r="AA2121" s="404"/>
      <c r="AB2121" s="404"/>
      <c r="AC2121" s="404"/>
      <c r="AD2121" s="404"/>
      <c r="AE2121" s="316"/>
      <c r="AF2121" s="316"/>
      <c r="AG2121" s="404"/>
      <c r="AH2121" s="316"/>
      <c r="AI2121" s="316"/>
      <c r="AJ2121" s="316"/>
      <c r="AK2121" s="316"/>
      <c r="AL2121" s="316"/>
      <c r="AM2121" s="416"/>
      <c r="AR2121" s="333"/>
      <c r="AS2121" s="333"/>
      <c r="AT2121" s="333"/>
      <c r="AU2121" s="333"/>
      <c r="AV2121" s="333"/>
    </row>
    <row r="2122" spans="2:48" s="330" customFormat="1" ht="28.15" customHeight="1" x14ac:dyDescent="0.25">
      <c r="B2122" s="331"/>
      <c r="C2122" s="332"/>
      <c r="D2122" s="332"/>
      <c r="E2122" s="333"/>
      <c r="F2122" s="333"/>
      <c r="R2122" s="316"/>
      <c r="S2122" s="404"/>
      <c r="T2122" s="404"/>
      <c r="U2122" s="404"/>
      <c r="V2122" s="404"/>
      <c r="W2122" s="316"/>
      <c r="X2122" s="316"/>
      <c r="Y2122" s="316"/>
      <c r="Z2122" s="316"/>
      <c r="AA2122" s="404"/>
      <c r="AB2122" s="404"/>
      <c r="AC2122" s="404"/>
      <c r="AD2122" s="404"/>
      <c r="AE2122" s="316"/>
      <c r="AF2122" s="316"/>
      <c r="AG2122" s="404"/>
      <c r="AH2122" s="316"/>
      <c r="AI2122" s="316"/>
      <c r="AJ2122" s="316"/>
      <c r="AK2122" s="316"/>
      <c r="AL2122" s="316"/>
      <c r="AM2122" s="416"/>
      <c r="AR2122" s="333"/>
      <c r="AS2122" s="333"/>
      <c r="AT2122" s="333"/>
      <c r="AU2122" s="333"/>
      <c r="AV2122" s="333"/>
    </row>
    <row r="2123" spans="2:48" s="330" customFormat="1" ht="28.15" customHeight="1" x14ac:dyDescent="0.25">
      <c r="B2123" s="331"/>
      <c r="C2123" s="332"/>
      <c r="D2123" s="332"/>
      <c r="E2123" s="333"/>
      <c r="F2123" s="333"/>
      <c r="R2123" s="316"/>
      <c r="S2123" s="404"/>
      <c r="T2123" s="404"/>
      <c r="U2123" s="404"/>
      <c r="V2123" s="404"/>
      <c r="W2123" s="316"/>
      <c r="X2123" s="316"/>
      <c r="Y2123" s="316"/>
      <c r="Z2123" s="316"/>
      <c r="AA2123" s="404"/>
      <c r="AB2123" s="404"/>
      <c r="AC2123" s="404"/>
      <c r="AD2123" s="404"/>
      <c r="AE2123" s="316"/>
      <c r="AF2123" s="316"/>
      <c r="AG2123" s="404"/>
      <c r="AH2123" s="316"/>
      <c r="AI2123" s="316"/>
      <c r="AJ2123" s="316"/>
      <c r="AK2123" s="316"/>
      <c r="AL2123" s="316"/>
      <c r="AM2123" s="416"/>
      <c r="AR2123" s="333"/>
      <c r="AS2123" s="333"/>
      <c r="AT2123" s="333"/>
      <c r="AU2123" s="333"/>
      <c r="AV2123" s="333"/>
    </row>
    <row r="2124" spans="2:48" s="330" customFormat="1" ht="28.15" customHeight="1" x14ac:dyDescent="0.25">
      <c r="B2124" s="331"/>
      <c r="C2124" s="332"/>
      <c r="D2124" s="332"/>
      <c r="E2124" s="333"/>
      <c r="F2124" s="333"/>
      <c r="R2124" s="316"/>
      <c r="S2124" s="404"/>
      <c r="T2124" s="404"/>
      <c r="U2124" s="404"/>
      <c r="V2124" s="404"/>
      <c r="W2124" s="316"/>
      <c r="X2124" s="316"/>
      <c r="Y2124" s="316"/>
      <c r="Z2124" s="316"/>
      <c r="AA2124" s="404"/>
      <c r="AB2124" s="404"/>
      <c r="AC2124" s="404"/>
      <c r="AD2124" s="404"/>
      <c r="AE2124" s="316"/>
      <c r="AF2124" s="316"/>
      <c r="AG2124" s="404"/>
      <c r="AH2124" s="316"/>
      <c r="AI2124" s="316"/>
      <c r="AJ2124" s="316"/>
      <c r="AK2124" s="316"/>
      <c r="AL2124" s="316"/>
      <c r="AM2124" s="416"/>
      <c r="AR2124" s="333"/>
      <c r="AS2124" s="333"/>
      <c r="AT2124" s="333"/>
      <c r="AU2124" s="333"/>
      <c r="AV2124" s="333"/>
    </row>
    <row r="2125" spans="2:48" s="330" customFormat="1" ht="28.15" customHeight="1" x14ac:dyDescent="0.25">
      <c r="B2125" s="331"/>
      <c r="C2125" s="332"/>
      <c r="D2125" s="332"/>
      <c r="E2125" s="333"/>
      <c r="F2125" s="333"/>
      <c r="R2125" s="316"/>
      <c r="S2125" s="404"/>
      <c r="T2125" s="404"/>
      <c r="U2125" s="404"/>
      <c r="V2125" s="404"/>
      <c r="W2125" s="316"/>
      <c r="X2125" s="316"/>
      <c r="Y2125" s="316"/>
      <c r="Z2125" s="316"/>
      <c r="AA2125" s="404"/>
      <c r="AB2125" s="404"/>
      <c r="AC2125" s="404"/>
      <c r="AD2125" s="404"/>
      <c r="AE2125" s="316"/>
      <c r="AF2125" s="316"/>
      <c r="AG2125" s="404"/>
      <c r="AH2125" s="316"/>
      <c r="AI2125" s="316"/>
      <c r="AJ2125" s="316"/>
      <c r="AK2125" s="316"/>
      <c r="AL2125" s="316"/>
      <c r="AM2125" s="416"/>
      <c r="AR2125" s="333"/>
      <c r="AS2125" s="333"/>
      <c r="AT2125" s="333"/>
      <c r="AU2125" s="333"/>
      <c r="AV2125" s="333"/>
    </row>
    <row r="2126" spans="2:48" s="330" customFormat="1" ht="28.15" customHeight="1" x14ac:dyDescent="0.25">
      <c r="B2126" s="331"/>
      <c r="C2126" s="332"/>
      <c r="D2126" s="332"/>
      <c r="E2126" s="333"/>
      <c r="F2126" s="333"/>
      <c r="R2126" s="316"/>
      <c r="S2126" s="404"/>
      <c r="T2126" s="404"/>
      <c r="U2126" s="404"/>
      <c r="V2126" s="404"/>
      <c r="W2126" s="316"/>
      <c r="X2126" s="316"/>
      <c r="Y2126" s="316"/>
      <c r="Z2126" s="316"/>
      <c r="AA2126" s="404"/>
      <c r="AB2126" s="404"/>
      <c r="AC2126" s="404"/>
      <c r="AD2126" s="404"/>
      <c r="AE2126" s="316"/>
      <c r="AF2126" s="316"/>
      <c r="AG2126" s="404"/>
      <c r="AH2126" s="316"/>
      <c r="AI2126" s="316"/>
      <c r="AJ2126" s="316"/>
      <c r="AK2126" s="316"/>
      <c r="AL2126" s="316"/>
      <c r="AM2126" s="416"/>
      <c r="AR2126" s="333"/>
      <c r="AS2126" s="333"/>
      <c r="AT2126" s="333"/>
      <c r="AU2126" s="333"/>
      <c r="AV2126" s="333"/>
    </row>
    <row r="2127" spans="2:48" s="330" customFormat="1" ht="28.15" customHeight="1" x14ac:dyDescent="0.25">
      <c r="B2127" s="331"/>
      <c r="C2127" s="332"/>
      <c r="D2127" s="332"/>
      <c r="E2127" s="333"/>
      <c r="F2127" s="333"/>
      <c r="R2127" s="316"/>
      <c r="S2127" s="404"/>
      <c r="T2127" s="404"/>
      <c r="U2127" s="404"/>
      <c r="V2127" s="404"/>
      <c r="W2127" s="316"/>
      <c r="X2127" s="316"/>
      <c r="Y2127" s="316"/>
      <c r="Z2127" s="316"/>
      <c r="AA2127" s="404"/>
      <c r="AB2127" s="404"/>
      <c r="AC2127" s="404"/>
      <c r="AD2127" s="404"/>
      <c r="AE2127" s="316"/>
      <c r="AF2127" s="316"/>
      <c r="AG2127" s="404"/>
      <c r="AH2127" s="316"/>
      <c r="AI2127" s="316"/>
      <c r="AJ2127" s="316"/>
      <c r="AK2127" s="316"/>
      <c r="AL2127" s="316"/>
      <c r="AM2127" s="416"/>
      <c r="AR2127" s="333"/>
      <c r="AS2127" s="333"/>
      <c r="AT2127" s="333"/>
      <c r="AU2127" s="333"/>
      <c r="AV2127" s="333"/>
    </row>
    <row r="2128" spans="2:48" s="330" customFormat="1" ht="28.15" customHeight="1" x14ac:dyDescent="0.25">
      <c r="B2128" s="331"/>
      <c r="C2128" s="332"/>
      <c r="D2128" s="332"/>
      <c r="E2128" s="333"/>
      <c r="F2128" s="333"/>
      <c r="R2128" s="316"/>
      <c r="S2128" s="404"/>
      <c r="T2128" s="404"/>
      <c r="U2128" s="404"/>
      <c r="V2128" s="404"/>
      <c r="W2128" s="316"/>
      <c r="X2128" s="316"/>
      <c r="Y2128" s="316"/>
      <c r="Z2128" s="316"/>
      <c r="AA2128" s="404"/>
      <c r="AB2128" s="404"/>
      <c r="AC2128" s="404"/>
      <c r="AD2128" s="404"/>
      <c r="AE2128" s="316"/>
      <c r="AF2128" s="316"/>
      <c r="AG2128" s="404"/>
      <c r="AH2128" s="316"/>
      <c r="AI2128" s="316"/>
      <c r="AJ2128" s="316"/>
      <c r="AK2128" s="316"/>
      <c r="AL2128" s="316"/>
      <c r="AM2128" s="416"/>
      <c r="AR2128" s="333"/>
      <c r="AS2128" s="333"/>
      <c r="AT2128" s="333"/>
      <c r="AU2128" s="333"/>
      <c r="AV2128" s="333"/>
    </row>
    <row r="2129" spans="2:48" s="330" customFormat="1" ht="28.15" customHeight="1" x14ac:dyDescent="0.25">
      <c r="B2129" s="331"/>
      <c r="C2129" s="332"/>
      <c r="D2129" s="332"/>
      <c r="E2129" s="333"/>
      <c r="F2129" s="333"/>
      <c r="R2129" s="316"/>
      <c r="S2129" s="404"/>
      <c r="T2129" s="404"/>
      <c r="U2129" s="404"/>
      <c r="V2129" s="404"/>
      <c r="W2129" s="316"/>
      <c r="X2129" s="316"/>
      <c r="Y2129" s="316"/>
      <c r="Z2129" s="316"/>
      <c r="AA2129" s="404"/>
      <c r="AB2129" s="404"/>
      <c r="AC2129" s="404"/>
      <c r="AD2129" s="404"/>
      <c r="AE2129" s="316"/>
      <c r="AF2129" s="316"/>
      <c r="AG2129" s="404"/>
      <c r="AH2129" s="316"/>
      <c r="AI2129" s="316"/>
      <c r="AJ2129" s="316"/>
      <c r="AK2129" s="316"/>
      <c r="AL2129" s="316"/>
      <c r="AM2129" s="416"/>
      <c r="AR2129" s="333"/>
      <c r="AS2129" s="333"/>
      <c r="AT2129" s="333"/>
      <c r="AU2129" s="333"/>
      <c r="AV2129" s="333"/>
    </row>
    <row r="2130" spans="2:48" s="330" customFormat="1" ht="28.15" customHeight="1" x14ac:dyDescent="0.25">
      <c r="B2130" s="331"/>
      <c r="C2130" s="332"/>
      <c r="D2130" s="332"/>
      <c r="E2130" s="333"/>
      <c r="F2130" s="333"/>
      <c r="R2130" s="316"/>
      <c r="S2130" s="404"/>
      <c r="T2130" s="404"/>
      <c r="U2130" s="404"/>
      <c r="V2130" s="404"/>
      <c r="W2130" s="316"/>
      <c r="X2130" s="316"/>
      <c r="Y2130" s="316"/>
      <c r="Z2130" s="316"/>
      <c r="AA2130" s="404"/>
      <c r="AB2130" s="404"/>
      <c r="AC2130" s="404"/>
      <c r="AD2130" s="404"/>
      <c r="AE2130" s="316"/>
      <c r="AF2130" s="316"/>
      <c r="AG2130" s="404"/>
      <c r="AH2130" s="316"/>
      <c r="AI2130" s="316"/>
      <c r="AJ2130" s="316"/>
      <c r="AK2130" s="316"/>
      <c r="AL2130" s="316"/>
      <c r="AM2130" s="416"/>
      <c r="AR2130" s="333"/>
      <c r="AS2130" s="333"/>
      <c r="AT2130" s="333"/>
      <c r="AU2130" s="333"/>
      <c r="AV2130" s="333"/>
    </row>
    <row r="2131" spans="2:48" s="330" customFormat="1" ht="28.15" customHeight="1" x14ac:dyDescent="0.25">
      <c r="B2131" s="331"/>
      <c r="C2131" s="332"/>
      <c r="D2131" s="332"/>
      <c r="E2131" s="333"/>
      <c r="F2131" s="333"/>
      <c r="R2131" s="316"/>
      <c r="S2131" s="404"/>
      <c r="T2131" s="404"/>
      <c r="U2131" s="404"/>
      <c r="V2131" s="404"/>
      <c r="W2131" s="316"/>
      <c r="X2131" s="316"/>
      <c r="Y2131" s="316"/>
      <c r="Z2131" s="316"/>
      <c r="AA2131" s="404"/>
      <c r="AB2131" s="404"/>
      <c r="AC2131" s="404"/>
      <c r="AD2131" s="404"/>
      <c r="AE2131" s="316"/>
      <c r="AF2131" s="316"/>
      <c r="AG2131" s="404"/>
      <c r="AH2131" s="316"/>
      <c r="AI2131" s="316"/>
      <c r="AJ2131" s="316"/>
      <c r="AK2131" s="316"/>
      <c r="AL2131" s="316"/>
      <c r="AM2131" s="416"/>
      <c r="AR2131" s="333"/>
      <c r="AS2131" s="333"/>
      <c r="AT2131" s="333"/>
      <c r="AU2131" s="333"/>
      <c r="AV2131" s="333"/>
    </row>
    <row r="2132" spans="2:48" s="330" customFormat="1" ht="28.15" customHeight="1" x14ac:dyDescent="0.25">
      <c r="B2132" s="331"/>
      <c r="C2132" s="332"/>
      <c r="D2132" s="332"/>
      <c r="E2132" s="333"/>
      <c r="F2132" s="333"/>
      <c r="R2132" s="316"/>
      <c r="S2132" s="404"/>
      <c r="T2132" s="404"/>
      <c r="U2132" s="404"/>
      <c r="V2132" s="404"/>
      <c r="W2132" s="316"/>
      <c r="X2132" s="316"/>
      <c r="Y2132" s="316"/>
      <c r="Z2132" s="316"/>
      <c r="AA2132" s="404"/>
      <c r="AB2132" s="404"/>
      <c r="AC2132" s="404"/>
      <c r="AD2132" s="404"/>
      <c r="AE2132" s="316"/>
      <c r="AF2132" s="316"/>
      <c r="AG2132" s="404"/>
      <c r="AH2132" s="316"/>
      <c r="AI2132" s="316"/>
      <c r="AJ2132" s="316"/>
      <c r="AK2132" s="316"/>
      <c r="AL2132" s="316"/>
      <c r="AM2132" s="416"/>
      <c r="AR2132" s="333"/>
      <c r="AS2132" s="333"/>
      <c r="AT2132" s="333"/>
      <c r="AU2132" s="333"/>
      <c r="AV2132" s="333"/>
    </row>
    <row r="2133" spans="2:48" s="330" customFormat="1" ht="28.15" customHeight="1" x14ac:dyDescent="0.25">
      <c r="B2133" s="331"/>
      <c r="C2133" s="332"/>
      <c r="D2133" s="332"/>
      <c r="E2133" s="333"/>
      <c r="F2133" s="333"/>
      <c r="R2133" s="316"/>
      <c r="S2133" s="404"/>
      <c r="T2133" s="404"/>
      <c r="U2133" s="404"/>
      <c r="V2133" s="404"/>
      <c r="W2133" s="316"/>
      <c r="X2133" s="316"/>
      <c r="Y2133" s="316"/>
      <c r="Z2133" s="316"/>
      <c r="AA2133" s="404"/>
      <c r="AB2133" s="404"/>
      <c r="AC2133" s="404"/>
      <c r="AD2133" s="404"/>
      <c r="AE2133" s="316"/>
      <c r="AF2133" s="316"/>
      <c r="AG2133" s="404"/>
      <c r="AH2133" s="316"/>
      <c r="AI2133" s="316"/>
      <c r="AJ2133" s="316"/>
      <c r="AK2133" s="316"/>
      <c r="AL2133" s="316"/>
      <c r="AM2133" s="416"/>
      <c r="AR2133" s="333"/>
      <c r="AS2133" s="333"/>
      <c r="AT2133" s="333"/>
      <c r="AU2133" s="333"/>
      <c r="AV2133" s="333"/>
    </row>
    <row r="2134" spans="2:48" s="330" customFormat="1" ht="28.15" customHeight="1" x14ac:dyDescent="0.25">
      <c r="B2134" s="331"/>
      <c r="C2134" s="332"/>
      <c r="D2134" s="332"/>
      <c r="E2134" s="333"/>
      <c r="F2134" s="333"/>
      <c r="R2134" s="316"/>
      <c r="S2134" s="404"/>
      <c r="T2134" s="404"/>
      <c r="U2134" s="404"/>
      <c r="V2134" s="404"/>
      <c r="W2134" s="316"/>
      <c r="X2134" s="316"/>
      <c r="Y2134" s="316"/>
      <c r="Z2134" s="316"/>
      <c r="AA2134" s="404"/>
      <c r="AB2134" s="404"/>
      <c r="AC2134" s="404"/>
      <c r="AD2134" s="404"/>
      <c r="AE2134" s="316"/>
      <c r="AF2134" s="316"/>
      <c r="AG2134" s="404"/>
      <c r="AH2134" s="316"/>
      <c r="AI2134" s="316"/>
      <c r="AJ2134" s="316"/>
      <c r="AK2134" s="316"/>
      <c r="AL2134" s="316"/>
      <c r="AM2134" s="416"/>
      <c r="AR2134" s="333"/>
      <c r="AS2134" s="333"/>
      <c r="AT2134" s="333"/>
      <c r="AU2134" s="333"/>
      <c r="AV2134" s="333"/>
    </row>
    <row r="2135" spans="2:48" s="330" customFormat="1" ht="28.15" customHeight="1" x14ac:dyDescent="0.25">
      <c r="B2135" s="331"/>
      <c r="C2135" s="332"/>
      <c r="D2135" s="332"/>
      <c r="E2135" s="333"/>
      <c r="F2135" s="333"/>
      <c r="R2135" s="316"/>
      <c r="S2135" s="404"/>
      <c r="T2135" s="404"/>
      <c r="U2135" s="404"/>
      <c r="V2135" s="404"/>
      <c r="W2135" s="316"/>
      <c r="X2135" s="316"/>
      <c r="Y2135" s="316"/>
      <c r="Z2135" s="316"/>
      <c r="AA2135" s="404"/>
      <c r="AB2135" s="404"/>
      <c r="AC2135" s="404"/>
      <c r="AD2135" s="404"/>
      <c r="AE2135" s="316"/>
      <c r="AF2135" s="316"/>
      <c r="AG2135" s="404"/>
      <c r="AH2135" s="316"/>
      <c r="AI2135" s="316"/>
      <c r="AJ2135" s="316"/>
      <c r="AK2135" s="316"/>
      <c r="AL2135" s="316"/>
      <c r="AM2135" s="416"/>
      <c r="AR2135" s="333"/>
      <c r="AS2135" s="333"/>
      <c r="AT2135" s="333"/>
      <c r="AU2135" s="333"/>
      <c r="AV2135" s="333"/>
    </row>
    <row r="2136" spans="2:48" s="330" customFormat="1" ht="28.15" customHeight="1" x14ac:dyDescent="0.25">
      <c r="B2136" s="331"/>
      <c r="C2136" s="332"/>
      <c r="D2136" s="332"/>
      <c r="E2136" s="333"/>
      <c r="F2136" s="333"/>
      <c r="R2136" s="316"/>
      <c r="S2136" s="404"/>
      <c r="T2136" s="404"/>
      <c r="U2136" s="404"/>
      <c r="V2136" s="404"/>
      <c r="W2136" s="316"/>
      <c r="X2136" s="316"/>
      <c r="Y2136" s="316"/>
      <c r="Z2136" s="316"/>
      <c r="AA2136" s="404"/>
      <c r="AB2136" s="404"/>
      <c r="AC2136" s="404"/>
      <c r="AD2136" s="404"/>
      <c r="AE2136" s="316"/>
      <c r="AF2136" s="316"/>
      <c r="AG2136" s="404"/>
      <c r="AH2136" s="316"/>
      <c r="AI2136" s="316"/>
      <c r="AJ2136" s="316"/>
      <c r="AK2136" s="316"/>
      <c r="AL2136" s="316"/>
      <c r="AM2136" s="416"/>
      <c r="AR2136" s="333"/>
      <c r="AS2136" s="333"/>
      <c r="AT2136" s="333"/>
      <c r="AU2136" s="333"/>
      <c r="AV2136" s="333"/>
    </row>
    <row r="2137" spans="2:48" s="330" customFormat="1" ht="28.15" customHeight="1" x14ac:dyDescent="0.25">
      <c r="B2137" s="331"/>
      <c r="C2137" s="332"/>
      <c r="D2137" s="332"/>
      <c r="E2137" s="333"/>
      <c r="F2137" s="333"/>
      <c r="R2137" s="316"/>
      <c r="S2137" s="404"/>
      <c r="T2137" s="404"/>
      <c r="U2137" s="404"/>
      <c r="V2137" s="404"/>
      <c r="W2137" s="316"/>
      <c r="X2137" s="316"/>
      <c r="Y2137" s="316"/>
      <c r="Z2137" s="316"/>
      <c r="AA2137" s="404"/>
      <c r="AB2137" s="404"/>
      <c r="AC2137" s="404"/>
      <c r="AD2137" s="404"/>
      <c r="AE2137" s="316"/>
      <c r="AF2137" s="316"/>
      <c r="AG2137" s="404"/>
      <c r="AH2137" s="316"/>
      <c r="AI2137" s="316"/>
      <c r="AJ2137" s="316"/>
      <c r="AK2137" s="316"/>
      <c r="AL2137" s="316"/>
      <c r="AM2137" s="416"/>
      <c r="AR2137" s="333"/>
      <c r="AS2137" s="333"/>
      <c r="AT2137" s="333"/>
      <c r="AU2137" s="333"/>
      <c r="AV2137" s="333"/>
    </row>
    <row r="2138" spans="2:48" s="330" customFormat="1" ht="28.15" customHeight="1" x14ac:dyDescent="0.25">
      <c r="B2138" s="331"/>
      <c r="C2138" s="332"/>
      <c r="D2138" s="332"/>
      <c r="E2138" s="333"/>
      <c r="F2138" s="333"/>
      <c r="R2138" s="316"/>
      <c r="S2138" s="404"/>
      <c r="T2138" s="404"/>
      <c r="U2138" s="404"/>
      <c r="V2138" s="404"/>
      <c r="W2138" s="316"/>
      <c r="X2138" s="316"/>
      <c r="Y2138" s="316"/>
      <c r="Z2138" s="316"/>
      <c r="AA2138" s="404"/>
      <c r="AB2138" s="404"/>
      <c r="AC2138" s="404"/>
      <c r="AD2138" s="404"/>
      <c r="AE2138" s="316"/>
      <c r="AF2138" s="316"/>
      <c r="AG2138" s="404"/>
      <c r="AH2138" s="316"/>
      <c r="AI2138" s="316"/>
      <c r="AJ2138" s="316"/>
      <c r="AK2138" s="316"/>
      <c r="AL2138" s="316"/>
      <c r="AM2138" s="416"/>
      <c r="AR2138" s="333"/>
      <c r="AS2138" s="333"/>
      <c r="AT2138" s="333"/>
      <c r="AU2138" s="333"/>
      <c r="AV2138" s="333"/>
    </row>
    <row r="2139" spans="2:48" s="330" customFormat="1" ht="28.15" customHeight="1" x14ac:dyDescent="0.25">
      <c r="B2139" s="331"/>
      <c r="C2139" s="332"/>
      <c r="D2139" s="332"/>
      <c r="E2139" s="333"/>
      <c r="F2139" s="333"/>
      <c r="R2139" s="316"/>
      <c r="S2139" s="404"/>
      <c r="T2139" s="404"/>
      <c r="U2139" s="404"/>
      <c r="V2139" s="404"/>
      <c r="W2139" s="316"/>
      <c r="X2139" s="316"/>
      <c r="Y2139" s="316"/>
      <c r="Z2139" s="316"/>
      <c r="AA2139" s="404"/>
      <c r="AB2139" s="404"/>
      <c r="AC2139" s="404"/>
      <c r="AD2139" s="404"/>
      <c r="AE2139" s="316"/>
      <c r="AF2139" s="316"/>
      <c r="AG2139" s="404"/>
      <c r="AH2139" s="316"/>
      <c r="AI2139" s="316"/>
      <c r="AJ2139" s="316"/>
      <c r="AK2139" s="316"/>
      <c r="AL2139" s="316"/>
      <c r="AM2139" s="416"/>
      <c r="AR2139" s="333"/>
      <c r="AS2139" s="333"/>
      <c r="AT2139" s="333"/>
      <c r="AU2139" s="333"/>
      <c r="AV2139" s="333"/>
    </row>
    <row r="2140" spans="2:48" s="330" customFormat="1" ht="28.15" customHeight="1" x14ac:dyDescent="0.25">
      <c r="B2140" s="331"/>
      <c r="C2140" s="332"/>
      <c r="D2140" s="332"/>
      <c r="E2140" s="333"/>
      <c r="F2140" s="333"/>
      <c r="R2140" s="316"/>
      <c r="S2140" s="404"/>
      <c r="T2140" s="404"/>
      <c r="U2140" s="404"/>
      <c r="V2140" s="404"/>
      <c r="W2140" s="316"/>
      <c r="X2140" s="316"/>
      <c r="Y2140" s="316"/>
      <c r="Z2140" s="316"/>
      <c r="AA2140" s="404"/>
      <c r="AB2140" s="404"/>
      <c r="AC2140" s="404"/>
      <c r="AD2140" s="404"/>
      <c r="AE2140" s="316"/>
      <c r="AF2140" s="316"/>
      <c r="AG2140" s="404"/>
      <c r="AH2140" s="316"/>
      <c r="AI2140" s="316"/>
      <c r="AJ2140" s="316"/>
      <c r="AK2140" s="316"/>
      <c r="AL2140" s="316"/>
      <c r="AM2140" s="416"/>
      <c r="AR2140" s="333"/>
      <c r="AS2140" s="333"/>
      <c r="AT2140" s="333"/>
      <c r="AU2140" s="333"/>
      <c r="AV2140" s="333"/>
    </row>
    <row r="2141" spans="2:48" s="330" customFormat="1" ht="28.15" customHeight="1" x14ac:dyDescent="0.25">
      <c r="B2141" s="331"/>
      <c r="C2141" s="332"/>
      <c r="D2141" s="332"/>
      <c r="E2141" s="333"/>
      <c r="F2141" s="333"/>
      <c r="R2141" s="316"/>
      <c r="S2141" s="404"/>
      <c r="T2141" s="404"/>
      <c r="U2141" s="404"/>
      <c r="V2141" s="404"/>
      <c r="W2141" s="316"/>
      <c r="X2141" s="316"/>
      <c r="Y2141" s="316"/>
      <c r="Z2141" s="316"/>
      <c r="AA2141" s="404"/>
      <c r="AB2141" s="404"/>
      <c r="AC2141" s="404"/>
      <c r="AD2141" s="404"/>
      <c r="AE2141" s="316"/>
      <c r="AF2141" s="316"/>
      <c r="AG2141" s="404"/>
      <c r="AH2141" s="316"/>
      <c r="AI2141" s="316"/>
      <c r="AJ2141" s="316"/>
      <c r="AK2141" s="316"/>
      <c r="AL2141" s="316"/>
      <c r="AM2141" s="416"/>
      <c r="AR2141" s="333"/>
      <c r="AS2141" s="333"/>
      <c r="AT2141" s="333"/>
      <c r="AU2141" s="333"/>
      <c r="AV2141" s="333"/>
    </row>
    <row r="2142" spans="2:48" s="330" customFormat="1" ht="28.15" customHeight="1" x14ac:dyDescent="0.25">
      <c r="B2142" s="331"/>
      <c r="C2142" s="332"/>
      <c r="D2142" s="332"/>
      <c r="E2142" s="333"/>
      <c r="F2142" s="333"/>
      <c r="R2142" s="316"/>
      <c r="S2142" s="404"/>
      <c r="T2142" s="404"/>
      <c r="U2142" s="404"/>
      <c r="V2142" s="404"/>
      <c r="W2142" s="316"/>
      <c r="X2142" s="316"/>
      <c r="Y2142" s="316"/>
      <c r="Z2142" s="316"/>
      <c r="AA2142" s="404"/>
      <c r="AB2142" s="404"/>
      <c r="AC2142" s="404"/>
      <c r="AD2142" s="404"/>
      <c r="AE2142" s="316"/>
      <c r="AF2142" s="316"/>
      <c r="AG2142" s="404"/>
      <c r="AH2142" s="316"/>
      <c r="AI2142" s="316"/>
      <c r="AJ2142" s="316"/>
      <c r="AK2142" s="316"/>
      <c r="AL2142" s="316"/>
      <c r="AM2142" s="416"/>
      <c r="AR2142" s="333"/>
      <c r="AS2142" s="333"/>
      <c r="AT2142" s="333"/>
      <c r="AU2142" s="333"/>
      <c r="AV2142" s="333"/>
    </row>
    <row r="2143" spans="2:48" s="330" customFormat="1" ht="28.15" customHeight="1" x14ac:dyDescent="0.25">
      <c r="B2143" s="331"/>
      <c r="C2143" s="332"/>
      <c r="D2143" s="332"/>
      <c r="E2143" s="333"/>
      <c r="F2143" s="333"/>
      <c r="R2143" s="316"/>
      <c r="S2143" s="404"/>
      <c r="T2143" s="404"/>
      <c r="U2143" s="404"/>
      <c r="V2143" s="404"/>
      <c r="W2143" s="316"/>
      <c r="X2143" s="316"/>
      <c r="Y2143" s="316"/>
      <c r="Z2143" s="316"/>
      <c r="AA2143" s="404"/>
      <c r="AB2143" s="404"/>
      <c r="AC2143" s="404"/>
      <c r="AD2143" s="404"/>
      <c r="AE2143" s="316"/>
      <c r="AF2143" s="316"/>
      <c r="AG2143" s="404"/>
      <c r="AH2143" s="316"/>
      <c r="AI2143" s="316"/>
      <c r="AJ2143" s="316"/>
      <c r="AK2143" s="316"/>
      <c r="AL2143" s="316"/>
      <c r="AM2143" s="416"/>
      <c r="AR2143" s="333"/>
      <c r="AS2143" s="333"/>
      <c r="AT2143" s="333"/>
      <c r="AU2143" s="333"/>
      <c r="AV2143" s="333"/>
    </row>
    <row r="2144" spans="2:48" s="330" customFormat="1" ht="28.15" customHeight="1" x14ac:dyDescent="0.25">
      <c r="B2144" s="331"/>
      <c r="C2144" s="332"/>
      <c r="D2144" s="332"/>
      <c r="E2144" s="333"/>
      <c r="F2144" s="333"/>
      <c r="R2144" s="316"/>
      <c r="S2144" s="404"/>
      <c r="T2144" s="404"/>
      <c r="U2144" s="404"/>
      <c r="V2144" s="404"/>
      <c r="W2144" s="316"/>
      <c r="X2144" s="316"/>
      <c r="Y2144" s="316"/>
      <c r="Z2144" s="316"/>
      <c r="AA2144" s="404"/>
      <c r="AB2144" s="404"/>
      <c r="AC2144" s="404"/>
      <c r="AD2144" s="404"/>
      <c r="AE2144" s="316"/>
      <c r="AF2144" s="316"/>
      <c r="AG2144" s="404"/>
      <c r="AH2144" s="316"/>
      <c r="AI2144" s="316"/>
      <c r="AJ2144" s="316"/>
      <c r="AK2144" s="316"/>
      <c r="AL2144" s="316"/>
      <c r="AM2144" s="416"/>
      <c r="AR2144" s="333"/>
      <c r="AS2144" s="333"/>
      <c r="AT2144" s="333"/>
      <c r="AU2144" s="333"/>
      <c r="AV2144" s="333"/>
    </row>
    <row r="2145" spans="2:48" s="330" customFormat="1" ht="28.15" customHeight="1" x14ac:dyDescent="0.25">
      <c r="B2145" s="331"/>
      <c r="C2145" s="332"/>
      <c r="D2145" s="332"/>
      <c r="E2145" s="333"/>
      <c r="F2145" s="333"/>
      <c r="R2145" s="316"/>
      <c r="S2145" s="404"/>
      <c r="T2145" s="404"/>
      <c r="U2145" s="404"/>
      <c r="V2145" s="404"/>
      <c r="W2145" s="316"/>
      <c r="X2145" s="316"/>
      <c r="Y2145" s="316"/>
      <c r="Z2145" s="316"/>
      <c r="AA2145" s="404"/>
      <c r="AB2145" s="404"/>
      <c r="AC2145" s="404"/>
      <c r="AD2145" s="404"/>
      <c r="AE2145" s="316"/>
      <c r="AF2145" s="316"/>
      <c r="AG2145" s="404"/>
      <c r="AH2145" s="316"/>
      <c r="AI2145" s="316"/>
      <c r="AJ2145" s="316"/>
      <c r="AK2145" s="316"/>
      <c r="AL2145" s="316"/>
      <c r="AM2145" s="416"/>
      <c r="AR2145" s="333"/>
      <c r="AS2145" s="333"/>
      <c r="AT2145" s="333"/>
      <c r="AU2145" s="333"/>
      <c r="AV2145" s="333"/>
    </row>
    <row r="2146" spans="2:48" s="330" customFormat="1" ht="28.15" customHeight="1" x14ac:dyDescent="0.25">
      <c r="B2146" s="331"/>
      <c r="C2146" s="332"/>
      <c r="D2146" s="332"/>
      <c r="E2146" s="333"/>
      <c r="F2146" s="333"/>
      <c r="R2146" s="316"/>
      <c r="S2146" s="404"/>
      <c r="T2146" s="404"/>
      <c r="U2146" s="404"/>
      <c r="V2146" s="404"/>
      <c r="W2146" s="316"/>
      <c r="X2146" s="316"/>
      <c r="Y2146" s="316"/>
      <c r="Z2146" s="316"/>
      <c r="AA2146" s="404"/>
      <c r="AB2146" s="404"/>
      <c r="AC2146" s="404"/>
      <c r="AD2146" s="404"/>
      <c r="AE2146" s="316"/>
      <c r="AF2146" s="316"/>
      <c r="AG2146" s="404"/>
      <c r="AH2146" s="316"/>
      <c r="AI2146" s="316"/>
      <c r="AJ2146" s="316"/>
      <c r="AK2146" s="316"/>
      <c r="AL2146" s="316"/>
      <c r="AM2146" s="416"/>
      <c r="AR2146" s="333"/>
      <c r="AS2146" s="333"/>
      <c r="AT2146" s="333"/>
      <c r="AU2146" s="333"/>
      <c r="AV2146" s="333"/>
    </row>
    <row r="2147" spans="2:48" s="330" customFormat="1" ht="28.15" customHeight="1" x14ac:dyDescent="0.25">
      <c r="B2147" s="331"/>
      <c r="C2147" s="332"/>
      <c r="D2147" s="332"/>
      <c r="E2147" s="333"/>
      <c r="F2147" s="333"/>
      <c r="R2147" s="316"/>
      <c r="S2147" s="404"/>
      <c r="T2147" s="404"/>
      <c r="U2147" s="404"/>
      <c r="V2147" s="404"/>
      <c r="W2147" s="316"/>
      <c r="X2147" s="316"/>
      <c r="Y2147" s="316"/>
      <c r="Z2147" s="316"/>
      <c r="AA2147" s="404"/>
      <c r="AB2147" s="404"/>
      <c r="AC2147" s="404"/>
      <c r="AD2147" s="404"/>
      <c r="AE2147" s="316"/>
      <c r="AF2147" s="316"/>
      <c r="AG2147" s="404"/>
      <c r="AH2147" s="316"/>
      <c r="AI2147" s="316"/>
      <c r="AJ2147" s="316"/>
      <c r="AK2147" s="316"/>
      <c r="AL2147" s="316"/>
      <c r="AM2147" s="416"/>
      <c r="AR2147" s="333"/>
      <c r="AS2147" s="333"/>
      <c r="AT2147" s="333"/>
      <c r="AU2147" s="333"/>
      <c r="AV2147" s="333"/>
    </row>
    <row r="2148" spans="2:48" s="330" customFormat="1" ht="28.15" customHeight="1" x14ac:dyDescent="0.25">
      <c r="B2148" s="331"/>
      <c r="C2148" s="332"/>
      <c r="D2148" s="332"/>
      <c r="E2148" s="333"/>
      <c r="F2148" s="333"/>
      <c r="R2148" s="316"/>
      <c r="S2148" s="404"/>
      <c r="T2148" s="404"/>
      <c r="U2148" s="404"/>
      <c r="V2148" s="404"/>
      <c r="W2148" s="316"/>
      <c r="X2148" s="316"/>
      <c r="Y2148" s="316"/>
      <c r="Z2148" s="316"/>
      <c r="AA2148" s="404"/>
      <c r="AB2148" s="404"/>
      <c r="AC2148" s="404"/>
      <c r="AD2148" s="404"/>
      <c r="AE2148" s="316"/>
      <c r="AF2148" s="316"/>
      <c r="AG2148" s="404"/>
      <c r="AH2148" s="316"/>
      <c r="AI2148" s="316"/>
      <c r="AJ2148" s="316"/>
      <c r="AK2148" s="316"/>
      <c r="AL2148" s="316"/>
      <c r="AM2148" s="416"/>
      <c r="AR2148" s="333"/>
      <c r="AS2148" s="333"/>
      <c r="AT2148" s="333"/>
      <c r="AU2148" s="333"/>
      <c r="AV2148" s="333"/>
    </row>
    <row r="2149" spans="2:48" s="330" customFormat="1" ht="28.15" customHeight="1" x14ac:dyDescent="0.25">
      <c r="B2149" s="331"/>
      <c r="C2149" s="332"/>
      <c r="D2149" s="332"/>
      <c r="E2149" s="333"/>
      <c r="F2149" s="333"/>
      <c r="R2149" s="316"/>
      <c r="S2149" s="404"/>
      <c r="T2149" s="404"/>
      <c r="U2149" s="404"/>
      <c r="V2149" s="404"/>
      <c r="W2149" s="316"/>
      <c r="X2149" s="316"/>
      <c r="Y2149" s="316"/>
      <c r="Z2149" s="316"/>
      <c r="AA2149" s="404"/>
      <c r="AB2149" s="404"/>
      <c r="AC2149" s="404"/>
      <c r="AD2149" s="404"/>
      <c r="AE2149" s="316"/>
      <c r="AF2149" s="316"/>
      <c r="AG2149" s="404"/>
      <c r="AH2149" s="316"/>
      <c r="AI2149" s="316"/>
      <c r="AJ2149" s="316"/>
      <c r="AK2149" s="316"/>
      <c r="AL2149" s="316"/>
      <c r="AM2149" s="416"/>
      <c r="AR2149" s="333"/>
      <c r="AS2149" s="333"/>
      <c r="AT2149" s="333"/>
      <c r="AU2149" s="333"/>
      <c r="AV2149" s="333"/>
    </row>
    <row r="2150" spans="2:48" s="330" customFormat="1" ht="28.15" customHeight="1" x14ac:dyDescent="0.25">
      <c r="B2150" s="331"/>
      <c r="C2150" s="332"/>
      <c r="D2150" s="332"/>
      <c r="E2150" s="333"/>
      <c r="F2150" s="333"/>
      <c r="R2150" s="316"/>
      <c r="S2150" s="404"/>
      <c r="T2150" s="404"/>
      <c r="U2150" s="404"/>
      <c r="V2150" s="404"/>
      <c r="W2150" s="316"/>
      <c r="X2150" s="316"/>
      <c r="Y2150" s="316"/>
      <c r="Z2150" s="316"/>
      <c r="AA2150" s="404"/>
      <c r="AB2150" s="404"/>
      <c r="AC2150" s="404"/>
      <c r="AD2150" s="404"/>
      <c r="AE2150" s="316"/>
      <c r="AF2150" s="316"/>
      <c r="AG2150" s="404"/>
      <c r="AH2150" s="316"/>
      <c r="AI2150" s="316"/>
      <c r="AJ2150" s="316"/>
      <c r="AK2150" s="316"/>
      <c r="AL2150" s="316"/>
      <c r="AM2150" s="416"/>
      <c r="AR2150" s="333"/>
      <c r="AS2150" s="333"/>
      <c r="AT2150" s="333"/>
      <c r="AU2150" s="333"/>
      <c r="AV2150" s="333"/>
    </row>
    <row r="2151" spans="2:48" s="330" customFormat="1" ht="28.15" customHeight="1" x14ac:dyDescent="0.25">
      <c r="B2151" s="331"/>
      <c r="C2151" s="332"/>
      <c r="D2151" s="332"/>
      <c r="E2151" s="333"/>
      <c r="F2151" s="333"/>
      <c r="R2151" s="316"/>
      <c r="S2151" s="404"/>
      <c r="T2151" s="404"/>
      <c r="U2151" s="404"/>
      <c r="V2151" s="404"/>
      <c r="W2151" s="316"/>
      <c r="X2151" s="316"/>
      <c r="Y2151" s="316"/>
      <c r="Z2151" s="316"/>
      <c r="AA2151" s="404"/>
      <c r="AB2151" s="404"/>
      <c r="AC2151" s="404"/>
      <c r="AD2151" s="404"/>
      <c r="AE2151" s="316"/>
      <c r="AF2151" s="316"/>
      <c r="AG2151" s="404"/>
      <c r="AH2151" s="316"/>
      <c r="AI2151" s="316"/>
      <c r="AJ2151" s="316"/>
      <c r="AK2151" s="316"/>
      <c r="AL2151" s="316"/>
      <c r="AM2151" s="416"/>
      <c r="AR2151" s="333"/>
      <c r="AS2151" s="333"/>
      <c r="AT2151" s="333"/>
      <c r="AU2151" s="333"/>
      <c r="AV2151" s="333"/>
    </row>
    <row r="2152" spans="2:48" s="330" customFormat="1" ht="28.15" customHeight="1" x14ac:dyDescent="0.25">
      <c r="B2152" s="331"/>
      <c r="C2152" s="332"/>
      <c r="D2152" s="332"/>
      <c r="E2152" s="333"/>
      <c r="F2152" s="333"/>
      <c r="R2152" s="316"/>
      <c r="S2152" s="404"/>
      <c r="T2152" s="404"/>
      <c r="U2152" s="404"/>
      <c r="V2152" s="404"/>
      <c r="W2152" s="316"/>
      <c r="X2152" s="316"/>
      <c r="Y2152" s="316"/>
      <c r="Z2152" s="316"/>
      <c r="AA2152" s="404"/>
      <c r="AB2152" s="404"/>
      <c r="AC2152" s="404"/>
      <c r="AD2152" s="404"/>
      <c r="AE2152" s="316"/>
      <c r="AF2152" s="316"/>
      <c r="AG2152" s="404"/>
      <c r="AH2152" s="316"/>
      <c r="AI2152" s="316"/>
      <c r="AJ2152" s="316"/>
      <c r="AK2152" s="316"/>
      <c r="AL2152" s="316"/>
      <c r="AM2152" s="416"/>
      <c r="AR2152" s="333"/>
      <c r="AS2152" s="333"/>
      <c r="AT2152" s="333"/>
      <c r="AU2152" s="333"/>
      <c r="AV2152" s="333"/>
    </row>
    <row r="2153" spans="2:48" s="330" customFormat="1" ht="28.15" customHeight="1" x14ac:dyDescent="0.25">
      <c r="B2153" s="331"/>
      <c r="C2153" s="332"/>
      <c r="D2153" s="332"/>
      <c r="E2153" s="333"/>
      <c r="F2153" s="333"/>
      <c r="R2153" s="316"/>
      <c r="S2153" s="404"/>
      <c r="T2153" s="404"/>
      <c r="U2153" s="404"/>
      <c r="V2153" s="404"/>
      <c r="W2153" s="316"/>
      <c r="X2153" s="316"/>
      <c r="Y2153" s="316"/>
      <c r="Z2153" s="316"/>
      <c r="AA2153" s="404"/>
      <c r="AB2153" s="404"/>
      <c r="AC2153" s="404"/>
      <c r="AD2153" s="404"/>
      <c r="AE2153" s="316"/>
      <c r="AF2153" s="316"/>
      <c r="AG2153" s="404"/>
      <c r="AH2153" s="316"/>
      <c r="AI2153" s="316"/>
      <c r="AJ2153" s="316"/>
      <c r="AK2153" s="316"/>
      <c r="AL2153" s="316"/>
      <c r="AM2153" s="416"/>
      <c r="AR2153" s="333"/>
      <c r="AS2153" s="333"/>
      <c r="AT2153" s="333"/>
      <c r="AU2153" s="333"/>
      <c r="AV2153" s="333"/>
    </row>
    <row r="2154" spans="2:48" s="330" customFormat="1" ht="28.15" customHeight="1" x14ac:dyDescent="0.25">
      <c r="B2154" s="331"/>
      <c r="C2154" s="332"/>
      <c r="D2154" s="332"/>
      <c r="E2154" s="333"/>
      <c r="F2154" s="333"/>
      <c r="R2154" s="316"/>
      <c r="S2154" s="404"/>
      <c r="T2154" s="404"/>
      <c r="U2154" s="404"/>
      <c r="V2154" s="404"/>
      <c r="W2154" s="316"/>
      <c r="X2154" s="316"/>
      <c r="Y2154" s="316"/>
      <c r="Z2154" s="316"/>
      <c r="AA2154" s="404"/>
      <c r="AB2154" s="404"/>
      <c r="AC2154" s="404"/>
      <c r="AD2154" s="404"/>
      <c r="AE2154" s="316"/>
      <c r="AF2154" s="316"/>
      <c r="AG2154" s="404"/>
      <c r="AH2154" s="316"/>
      <c r="AI2154" s="316"/>
      <c r="AJ2154" s="316"/>
      <c r="AK2154" s="316"/>
      <c r="AL2154" s="316"/>
      <c r="AM2154" s="416"/>
      <c r="AR2154" s="333"/>
      <c r="AS2154" s="333"/>
      <c r="AT2154" s="333"/>
      <c r="AU2154" s="333"/>
      <c r="AV2154" s="333"/>
    </row>
    <row r="2155" spans="2:48" s="330" customFormat="1" ht="28.15" customHeight="1" x14ac:dyDescent="0.25">
      <c r="B2155" s="331"/>
      <c r="C2155" s="332"/>
      <c r="D2155" s="332"/>
      <c r="E2155" s="333"/>
      <c r="F2155" s="333"/>
      <c r="R2155" s="316"/>
      <c r="S2155" s="404"/>
      <c r="T2155" s="404"/>
      <c r="U2155" s="404"/>
      <c r="V2155" s="404"/>
      <c r="W2155" s="316"/>
      <c r="X2155" s="316"/>
      <c r="Y2155" s="316"/>
      <c r="Z2155" s="316"/>
      <c r="AA2155" s="404"/>
      <c r="AB2155" s="404"/>
      <c r="AC2155" s="404"/>
      <c r="AD2155" s="404"/>
      <c r="AE2155" s="316"/>
      <c r="AF2155" s="316"/>
      <c r="AG2155" s="404"/>
      <c r="AH2155" s="316"/>
      <c r="AI2155" s="316"/>
      <c r="AJ2155" s="316"/>
      <c r="AK2155" s="316"/>
      <c r="AL2155" s="316"/>
      <c r="AM2155" s="416"/>
      <c r="AR2155" s="333"/>
      <c r="AS2155" s="333"/>
      <c r="AT2155" s="333"/>
      <c r="AU2155" s="333"/>
      <c r="AV2155" s="333"/>
    </row>
    <row r="2156" spans="2:48" s="330" customFormat="1" ht="28.15" customHeight="1" x14ac:dyDescent="0.25">
      <c r="B2156" s="331"/>
      <c r="C2156" s="332"/>
      <c r="D2156" s="332"/>
      <c r="E2156" s="333"/>
      <c r="F2156" s="333"/>
      <c r="R2156" s="316"/>
      <c r="S2156" s="404"/>
      <c r="T2156" s="404"/>
      <c r="U2156" s="404"/>
      <c r="V2156" s="404"/>
      <c r="W2156" s="316"/>
      <c r="X2156" s="316"/>
      <c r="Y2156" s="316"/>
      <c r="Z2156" s="316"/>
      <c r="AA2156" s="404"/>
      <c r="AB2156" s="404"/>
      <c r="AC2156" s="404"/>
      <c r="AD2156" s="404"/>
      <c r="AE2156" s="316"/>
      <c r="AF2156" s="316"/>
      <c r="AG2156" s="404"/>
      <c r="AH2156" s="316"/>
      <c r="AI2156" s="316"/>
      <c r="AJ2156" s="316"/>
      <c r="AK2156" s="316"/>
      <c r="AL2156" s="316"/>
      <c r="AM2156" s="416"/>
      <c r="AR2156" s="333"/>
      <c r="AS2156" s="333"/>
      <c r="AT2156" s="333"/>
      <c r="AU2156" s="333"/>
      <c r="AV2156" s="333"/>
    </row>
    <row r="2157" spans="2:48" s="330" customFormat="1" ht="28.15" customHeight="1" x14ac:dyDescent="0.25">
      <c r="B2157" s="331"/>
      <c r="C2157" s="332"/>
      <c r="D2157" s="332"/>
      <c r="E2157" s="333"/>
      <c r="F2157" s="333"/>
      <c r="R2157" s="316"/>
      <c r="S2157" s="404"/>
      <c r="T2157" s="404"/>
      <c r="U2157" s="404"/>
      <c r="V2157" s="404"/>
      <c r="W2157" s="316"/>
      <c r="X2157" s="316"/>
      <c r="Y2157" s="316"/>
      <c r="Z2157" s="316"/>
      <c r="AA2157" s="404"/>
      <c r="AB2157" s="404"/>
      <c r="AC2157" s="404"/>
      <c r="AD2157" s="404"/>
      <c r="AE2157" s="316"/>
      <c r="AF2157" s="316"/>
      <c r="AG2157" s="404"/>
      <c r="AH2157" s="316"/>
      <c r="AI2157" s="316"/>
      <c r="AJ2157" s="316"/>
      <c r="AK2157" s="316"/>
      <c r="AL2157" s="316"/>
      <c r="AM2157" s="416"/>
      <c r="AR2157" s="333"/>
      <c r="AS2157" s="333"/>
      <c r="AT2157" s="333"/>
      <c r="AU2157" s="333"/>
      <c r="AV2157" s="333"/>
    </row>
    <row r="2158" spans="2:48" s="330" customFormat="1" ht="28.15" customHeight="1" x14ac:dyDescent="0.25">
      <c r="B2158" s="331"/>
      <c r="C2158" s="332"/>
      <c r="D2158" s="332"/>
      <c r="E2158" s="333"/>
      <c r="F2158" s="333"/>
      <c r="R2158" s="316"/>
      <c r="S2158" s="404"/>
      <c r="T2158" s="404"/>
      <c r="U2158" s="404"/>
      <c r="V2158" s="404"/>
      <c r="W2158" s="316"/>
      <c r="X2158" s="316"/>
      <c r="Y2158" s="316"/>
      <c r="Z2158" s="316"/>
      <c r="AA2158" s="404"/>
      <c r="AB2158" s="404"/>
      <c r="AC2158" s="404"/>
      <c r="AD2158" s="404"/>
      <c r="AE2158" s="316"/>
      <c r="AF2158" s="316"/>
      <c r="AG2158" s="404"/>
      <c r="AH2158" s="316"/>
      <c r="AI2158" s="316"/>
      <c r="AJ2158" s="316"/>
      <c r="AK2158" s="316"/>
      <c r="AL2158" s="316"/>
      <c r="AM2158" s="416"/>
      <c r="AR2158" s="333"/>
      <c r="AS2158" s="333"/>
      <c r="AT2158" s="333"/>
      <c r="AU2158" s="333"/>
      <c r="AV2158" s="333"/>
    </row>
    <row r="2159" spans="2:48" s="330" customFormat="1" ht="28.15" customHeight="1" x14ac:dyDescent="0.25">
      <c r="B2159" s="331"/>
      <c r="C2159" s="332"/>
      <c r="D2159" s="332"/>
      <c r="E2159" s="333"/>
      <c r="F2159" s="333"/>
      <c r="R2159" s="316"/>
      <c r="S2159" s="404"/>
      <c r="T2159" s="404"/>
      <c r="U2159" s="404"/>
      <c r="V2159" s="404"/>
      <c r="W2159" s="316"/>
      <c r="X2159" s="316"/>
      <c r="Y2159" s="316"/>
      <c r="Z2159" s="316"/>
      <c r="AA2159" s="404"/>
      <c r="AB2159" s="404"/>
      <c r="AC2159" s="404"/>
      <c r="AD2159" s="404"/>
      <c r="AE2159" s="316"/>
      <c r="AF2159" s="316"/>
      <c r="AG2159" s="404"/>
      <c r="AH2159" s="316"/>
      <c r="AI2159" s="316"/>
      <c r="AJ2159" s="316"/>
      <c r="AK2159" s="316"/>
      <c r="AL2159" s="316"/>
      <c r="AM2159" s="416"/>
      <c r="AR2159" s="333"/>
      <c r="AS2159" s="333"/>
      <c r="AT2159" s="333"/>
      <c r="AU2159" s="333"/>
      <c r="AV2159" s="333"/>
    </row>
    <row r="2160" spans="2:48" s="330" customFormat="1" ht="28.15" customHeight="1" x14ac:dyDescent="0.25">
      <c r="B2160" s="331"/>
      <c r="C2160" s="332"/>
      <c r="D2160" s="332"/>
      <c r="E2160" s="333"/>
      <c r="F2160" s="333"/>
      <c r="R2160" s="316"/>
      <c r="S2160" s="404"/>
      <c r="T2160" s="404"/>
      <c r="U2160" s="404"/>
      <c r="V2160" s="404"/>
      <c r="W2160" s="316"/>
      <c r="X2160" s="316"/>
      <c r="Y2160" s="316"/>
      <c r="Z2160" s="316"/>
      <c r="AA2160" s="404"/>
      <c r="AB2160" s="404"/>
      <c r="AC2160" s="404"/>
      <c r="AD2160" s="404"/>
      <c r="AE2160" s="316"/>
      <c r="AF2160" s="316"/>
      <c r="AG2160" s="404"/>
      <c r="AH2160" s="316"/>
      <c r="AI2160" s="316"/>
      <c r="AJ2160" s="316"/>
      <c r="AK2160" s="316"/>
      <c r="AL2160" s="316"/>
      <c r="AM2160" s="416"/>
      <c r="AR2160" s="333"/>
      <c r="AS2160" s="333"/>
      <c r="AT2160" s="333"/>
      <c r="AU2160" s="333"/>
      <c r="AV2160" s="333"/>
    </row>
    <row r="2161" spans="2:48" s="330" customFormat="1" ht="28.15" customHeight="1" x14ac:dyDescent="0.25">
      <c r="B2161" s="331"/>
      <c r="C2161" s="332"/>
      <c r="D2161" s="332"/>
      <c r="E2161" s="333"/>
      <c r="F2161" s="333"/>
      <c r="R2161" s="316"/>
      <c r="S2161" s="404"/>
      <c r="T2161" s="404"/>
      <c r="U2161" s="404"/>
      <c r="V2161" s="404"/>
      <c r="W2161" s="316"/>
      <c r="X2161" s="316"/>
      <c r="Y2161" s="316"/>
      <c r="Z2161" s="316"/>
      <c r="AA2161" s="404"/>
      <c r="AB2161" s="404"/>
      <c r="AC2161" s="404"/>
      <c r="AD2161" s="404"/>
      <c r="AE2161" s="316"/>
      <c r="AF2161" s="316"/>
      <c r="AG2161" s="404"/>
      <c r="AH2161" s="316"/>
      <c r="AI2161" s="316"/>
      <c r="AJ2161" s="316"/>
      <c r="AK2161" s="316"/>
      <c r="AL2161" s="316"/>
      <c r="AM2161" s="416"/>
      <c r="AR2161" s="333"/>
      <c r="AS2161" s="333"/>
      <c r="AT2161" s="333"/>
      <c r="AU2161" s="333"/>
      <c r="AV2161" s="333"/>
    </row>
    <row r="2162" spans="2:48" s="330" customFormat="1" ht="28.15" customHeight="1" x14ac:dyDescent="0.25">
      <c r="B2162" s="331"/>
      <c r="C2162" s="332"/>
      <c r="D2162" s="332"/>
      <c r="E2162" s="333"/>
      <c r="F2162" s="333"/>
      <c r="R2162" s="316"/>
      <c r="S2162" s="404"/>
      <c r="T2162" s="404"/>
      <c r="U2162" s="404"/>
      <c r="V2162" s="404"/>
      <c r="W2162" s="316"/>
      <c r="X2162" s="316"/>
      <c r="Y2162" s="316"/>
      <c r="Z2162" s="316"/>
      <c r="AA2162" s="404"/>
      <c r="AB2162" s="404"/>
      <c r="AC2162" s="404"/>
      <c r="AD2162" s="404"/>
      <c r="AE2162" s="316"/>
      <c r="AF2162" s="316"/>
      <c r="AG2162" s="404"/>
      <c r="AH2162" s="316"/>
      <c r="AI2162" s="316"/>
      <c r="AJ2162" s="316"/>
      <c r="AK2162" s="316"/>
      <c r="AL2162" s="316"/>
      <c r="AM2162" s="416"/>
      <c r="AR2162" s="333"/>
      <c r="AS2162" s="333"/>
      <c r="AT2162" s="333"/>
      <c r="AU2162" s="333"/>
      <c r="AV2162" s="333"/>
    </row>
    <row r="2163" spans="2:48" s="330" customFormat="1" ht="28.15" customHeight="1" x14ac:dyDescent="0.25">
      <c r="B2163" s="331"/>
      <c r="C2163" s="332"/>
      <c r="D2163" s="332"/>
      <c r="E2163" s="333"/>
      <c r="F2163" s="333"/>
      <c r="R2163" s="316"/>
      <c r="S2163" s="404"/>
      <c r="T2163" s="404"/>
      <c r="U2163" s="404"/>
      <c r="V2163" s="404"/>
      <c r="W2163" s="316"/>
      <c r="X2163" s="316"/>
      <c r="Y2163" s="316"/>
      <c r="Z2163" s="316"/>
      <c r="AA2163" s="404"/>
      <c r="AB2163" s="404"/>
      <c r="AC2163" s="404"/>
      <c r="AD2163" s="404"/>
      <c r="AE2163" s="316"/>
      <c r="AF2163" s="316"/>
      <c r="AG2163" s="404"/>
      <c r="AH2163" s="316"/>
      <c r="AI2163" s="316"/>
      <c r="AJ2163" s="316"/>
      <c r="AK2163" s="316"/>
      <c r="AL2163" s="316"/>
      <c r="AM2163" s="416"/>
      <c r="AR2163" s="333"/>
      <c r="AS2163" s="333"/>
      <c r="AT2163" s="333"/>
      <c r="AU2163" s="333"/>
      <c r="AV2163" s="333"/>
    </row>
    <row r="2164" spans="2:48" s="330" customFormat="1" ht="28.15" customHeight="1" x14ac:dyDescent="0.25">
      <c r="B2164" s="331"/>
      <c r="C2164" s="332"/>
      <c r="D2164" s="332"/>
      <c r="E2164" s="333"/>
      <c r="F2164" s="333"/>
      <c r="R2164" s="316"/>
      <c r="S2164" s="404"/>
      <c r="T2164" s="404"/>
      <c r="U2164" s="404"/>
      <c r="V2164" s="404"/>
      <c r="W2164" s="316"/>
      <c r="X2164" s="316"/>
      <c r="Y2164" s="316"/>
      <c r="Z2164" s="316"/>
      <c r="AA2164" s="404"/>
      <c r="AB2164" s="404"/>
      <c r="AC2164" s="404"/>
      <c r="AD2164" s="404"/>
      <c r="AE2164" s="316"/>
      <c r="AF2164" s="316"/>
      <c r="AG2164" s="404"/>
      <c r="AH2164" s="316"/>
      <c r="AI2164" s="316"/>
      <c r="AJ2164" s="316"/>
      <c r="AK2164" s="316"/>
      <c r="AL2164" s="316"/>
      <c r="AM2164" s="416"/>
      <c r="AR2164" s="333"/>
      <c r="AS2164" s="333"/>
      <c r="AT2164" s="333"/>
      <c r="AU2164" s="333"/>
      <c r="AV2164" s="333"/>
    </row>
    <row r="2165" spans="2:48" s="330" customFormat="1" ht="28.15" customHeight="1" x14ac:dyDescent="0.25">
      <c r="B2165" s="331"/>
      <c r="C2165" s="332"/>
      <c r="D2165" s="332"/>
      <c r="E2165" s="333"/>
      <c r="F2165" s="333"/>
      <c r="R2165" s="316"/>
      <c r="S2165" s="404"/>
      <c r="T2165" s="404"/>
      <c r="U2165" s="404"/>
      <c r="V2165" s="404"/>
      <c r="W2165" s="316"/>
      <c r="X2165" s="316"/>
      <c r="Y2165" s="316"/>
      <c r="Z2165" s="316"/>
      <c r="AA2165" s="404"/>
      <c r="AB2165" s="404"/>
      <c r="AC2165" s="404"/>
      <c r="AD2165" s="404"/>
      <c r="AE2165" s="316"/>
      <c r="AF2165" s="316"/>
      <c r="AG2165" s="404"/>
      <c r="AH2165" s="316"/>
      <c r="AI2165" s="316"/>
      <c r="AJ2165" s="316"/>
      <c r="AK2165" s="316"/>
      <c r="AL2165" s="316"/>
      <c r="AM2165" s="416"/>
      <c r="AR2165" s="333"/>
      <c r="AS2165" s="333"/>
      <c r="AT2165" s="333"/>
      <c r="AU2165" s="333"/>
      <c r="AV2165" s="333"/>
    </row>
    <row r="2166" spans="2:48" s="330" customFormat="1" ht="28.15" customHeight="1" x14ac:dyDescent="0.25">
      <c r="B2166" s="331"/>
      <c r="C2166" s="332"/>
      <c r="D2166" s="332"/>
      <c r="E2166" s="333"/>
      <c r="F2166" s="333"/>
      <c r="R2166" s="316"/>
      <c r="S2166" s="404"/>
      <c r="T2166" s="404"/>
      <c r="U2166" s="404"/>
      <c r="V2166" s="404"/>
      <c r="W2166" s="316"/>
      <c r="X2166" s="316"/>
      <c r="Y2166" s="316"/>
      <c r="Z2166" s="316"/>
      <c r="AA2166" s="404"/>
      <c r="AB2166" s="404"/>
      <c r="AC2166" s="404"/>
      <c r="AD2166" s="404"/>
      <c r="AE2166" s="316"/>
      <c r="AF2166" s="316"/>
      <c r="AG2166" s="404"/>
      <c r="AH2166" s="316"/>
      <c r="AI2166" s="316"/>
      <c r="AJ2166" s="316"/>
      <c r="AK2166" s="316"/>
      <c r="AL2166" s="316"/>
      <c r="AM2166" s="416"/>
      <c r="AR2166" s="333"/>
      <c r="AS2166" s="333"/>
      <c r="AT2166" s="333"/>
      <c r="AU2166" s="333"/>
      <c r="AV2166" s="333"/>
    </row>
    <row r="2167" spans="2:48" s="330" customFormat="1" ht="28.15" customHeight="1" x14ac:dyDescent="0.25">
      <c r="B2167" s="331"/>
      <c r="C2167" s="332"/>
      <c r="D2167" s="332"/>
      <c r="E2167" s="333"/>
      <c r="F2167" s="333"/>
      <c r="R2167" s="316"/>
      <c r="S2167" s="404"/>
      <c r="T2167" s="404"/>
      <c r="U2167" s="404"/>
      <c r="V2167" s="404"/>
      <c r="W2167" s="316"/>
      <c r="X2167" s="316"/>
      <c r="Y2167" s="316"/>
      <c r="Z2167" s="316"/>
      <c r="AA2167" s="404"/>
      <c r="AB2167" s="404"/>
      <c r="AC2167" s="404"/>
      <c r="AD2167" s="404"/>
      <c r="AE2167" s="316"/>
      <c r="AF2167" s="316"/>
      <c r="AG2167" s="404"/>
      <c r="AH2167" s="316"/>
      <c r="AI2167" s="316"/>
      <c r="AJ2167" s="316"/>
      <c r="AK2167" s="316"/>
      <c r="AL2167" s="316"/>
      <c r="AM2167" s="416"/>
      <c r="AR2167" s="333"/>
      <c r="AS2167" s="333"/>
      <c r="AT2167" s="333"/>
      <c r="AU2167" s="333"/>
      <c r="AV2167" s="333"/>
    </row>
    <row r="2168" spans="2:48" s="330" customFormat="1" ht="28.15" customHeight="1" x14ac:dyDescent="0.25">
      <c r="B2168" s="331"/>
      <c r="C2168" s="332"/>
      <c r="D2168" s="332"/>
      <c r="E2168" s="333"/>
      <c r="F2168" s="333"/>
      <c r="R2168" s="316"/>
      <c r="S2168" s="404"/>
      <c r="T2168" s="404"/>
      <c r="U2168" s="404"/>
      <c r="V2168" s="404"/>
      <c r="W2168" s="316"/>
      <c r="X2168" s="316"/>
      <c r="Y2168" s="316"/>
      <c r="Z2168" s="316"/>
      <c r="AA2168" s="404"/>
      <c r="AB2168" s="404"/>
      <c r="AC2168" s="404"/>
      <c r="AD2168" s="404"/>
      <c r="AE2168" s="316"/>
      <c r="AF2168" s="316"/>
      <c r="AG2168" s="404"/>
      <c r="AH2168" s="316"/>
      <c r="AI2168" s="316"/>
      <c r="AJ2168" s="316"/>
      <c r="AK2168" s="316"/>
      <c r="AL2168" s="316"/>
      <c r="AM2168" s="416"/>
      <c r="AR2168" s="333"/>
      <c r="AS2168" s="333"/>
      <c r="AT2168" s="333"/>
      <c r="AU2168" s="333"/>
      <c r="AV2168" s="333"/>
    </row>
    <row r="2169" spans="2:48" s="330" customFormat="1" ht="28.15" customHeight="1" x14ac:dyDescent="0.25">
      <c r="B2169" s="331"/>
      <c r="C2169" s="332"/>
      <c r="D2169" s="332"/>
      <c r="E2169" s="333"/>
      <c r="F2169" s="333"/>
      <c r="R2169" s="316"/>
      <c r="S2169" s="404"/>
      <c r="T2169" s="404"/>
      <c r="U2169" s="404"/>
      <c r="V2169" s="404"/>
      <c r="W2169" s="316"/>
      <c r="X2169" s="316"/>
      <c r="Y2169" s="316"/>
      <c r="Z2169" s="316"/>
      <c r="AA2169" s="404"/>
      <c r="AB2169" s="404"/>
      <c r="AC2169" s="404"/>
      <c r="AD2169" s="404"/>
      <c r="AE2169" s="316"/>
      <c r="AF2169" s="316"/>
      <c r="AG2169" s="404"/>
      <c r="AH2169" s="316"/>
      <c r="AI2169" s="316"/>
      <c r="AJ2169" s="316"/>
      <c r="AK2169" s="316"/>
      <c r="AL2169" s="316"/>
      <c r="AM2169" s="416"/>
      <c r="AR2169" s="333"/>
      <c r="AS2169" s="333"/>
      <c r="AT2169" s="333"/>
      <c r="AU2169" s="333"/>
      <c r="AV2169" s="333"/>
    </row>
    <row r="2170" spans="2:48" s="330" customFormat="1" ht="28.15" customHeight="1" x14ac:dyDescent="0.25">
      <c r="B2170" s="331"/>
      <c r="C2170" s="332"/>
      <c r="D2170" s="332"/>
      <c r="E2170" s="333"/>
      <c r="F2170" s="333"/>
      <c r="R2170" s="316"/>
      <c r="S2170" s="404"/>
      <c r="T2170" s="404"/>
      <c r="U2170" s="404"/>
      <c r="V2170" s="404"/>
      <c r="W2170" s="316"/>
      <c r="X2170" s="316"/>
      <c r="Y2170" s="316"/>
      <c r="Z2170" s="316"/>
      <c r="AA2170" s="404"/>
      <c r="AB2170" s="404"/>
      <c r="AC2170" s="404"/>
      <c r="AD2170" s="404"/>
      <c r="AE2170" s="316"/>
      <c r="AF2170" s="316"/>
      <c r="AG2170" s="404"/>
      <c r="AH2170" s="316"/>
      <c r="AI2170" s="316"/>
      <c r="AJ2170" s="316"/>
      <c r="AK2170" s="316"/>
      <c r="AL2170" s="316"/>
      <c r="AM2170" s="416"/>
      <c r="AR2170" s="333"/>
      <c r="AS2170" s="333"/>
      <c r="AT2170" s="333"/>
      <c r="AU2170" s="333"/>
      <c r="AV2170" s="333"/>
    </row>
    <row r="2171" spans="2:48" s="330" customFormat="1" ht="28.15" customHeight="1" x14ac:dyDescent="0.25">
      <c r="B2171" s="331"/>
      <c r="C2171" s="332"/>
      <c r="D2171" s="332"/>
      <c r="E2171" s="333"/>
      <c r="F2171" s="333"/>
      <c r="R2171" s="316"/>
      <c r="S2171" s="404"/>
      <c r="T2171" s="404"/>
      <c r="U2171" s="404"/>
      <c r="V2171" s="404"/>
      <c r="W2171" s="316"/>
      <c r="X2171" s="316"/>
      <c r="Y2171" s="316"/>
      <c r="Z2171" s="316"/>
      <c r="AA2171" s="404"/>
      <c r="AB2171" s="404"/>
      <c r="AC2171" s="404"/>
      <c r="AD2171" s="404"/>
      <c r="AE2171" s="316"/>
      <c r="AF2171" s="316"/>
      <c r="AG2171" s="404"/>
      <c r="AH2171" s="316"/>
      <c r="AI2171" s="316"/>
      <c r="AJ2171" s="316"/>
      <c r="AK2171" s="316"/>
      <c r="AL2171" s="316"/>
      <c r="AM2171" s="416"/>
      <c r="AR2171" s="333"/>
      <c r="AS2171" s="333"/>
      <c r="AT2171" s="333"/>
      <c r="AU2171" s="333"/>
      <c r="AV2171" s="333"/>
    </row>
    <row r="2172" spans="2:48" s="330" customFormat="1" ht="28.15" customHeight="1" x14ac:dyDescent="0.25">
      <c r="B2172" s="331"/>
      <c r="C2172" s="332"/>
      <c r="D2172" s="332"/>
      <c r="E2172" s="333"/>
      <c r="F2172" s="333"/>
      <c r="R2172" s="316"/>
      <c r="S2172" s="404"/>
      <c r="T2172" s="404"/>
      <c r="U2172" s="404"/>
      <c r="V2172" s="404"/>
      <c r="W2172" s="316"/>
      <c r="X2172" s="316"/>
      <c r="Y2172" s="316"/>
      <c r="Z2172" s="316"/>
      <c r="AA2172" s="404"/>
      <c r="AB2172" s="404"/>
      <c r="AC2172" s="404"/>
      <c r="AD2172" s="404"/>
      <c r="AE2172" s="316"/>
      <c r="AF2172" s="316"/>
      <c r="AG2172" s="404"/>
      <c r="AH2172" s="316"/>
      <c r="AI2172" s="316"/>
      <c r="AJ2172" s="316"/>
      <c r="AK2172" s="316"/>
      <c r="AL2172" s="316"/>
      <c r="AM2172" s="416"/>
      <c r="AR2172" s="333"/>
      <c r="AS2172" s="333"/>
      <c r="AT2172" s="333"/>
      <c r="AU2172" s="333"/>
      <c r="AV2172" s="333"/>
    </row>
    <row r="2173" spans="2:48" s="330" customFormat="1" ht="28.15" customHeight="1" x14ac:dyDescent="0.25">
      <c r="B2173" s="331"/>
      <c r="C2173" s="332"/>
      <c r="D2173" s="332"/>
      <c r="E2173" s="333"/>
      <c r="F2173" s="333"/>
      <c r="R2173" s="316"/>
      <c r="S2173" s="404"/>
      <c r="T2173" s="404"/>
      <c r="U2173" s="404"/>
      <c r="V2173" s="404"/>
      <c r="W2173" s="316"/>
      <c r="X2173" s="316"/>
      <c r="Y2173" s="316"/>
      <c r="Z2173" s="316"/>
      <c r="AA2173" s="404"/>
      <c r="AB2173" s="404"/>
      <c r="AC2173" s="404"/>
      <c r="AD2173" s="404"/>
      <c r="AE2173" s="316"/>
      <c r="AF2173" s="316"/>
      <c r="AG2173" s="404"/>
      <c r="AH2173" s="316"/>
      <c r="AI2173" s="316"/>
      <c r="AJ2173" s="316"/>
      <c r="AK2173" s="316"/>
      <c r="AL2173" s="316"/>
      <c r="AM2173" s="416"/>
      <c r="AR2173" s="333"/>
      <c r="AS2173" s="333"/>
      <c r="AT2173" s="333"/>
      <c r="AU2173" s="333"/>
      <c r="AV2173" s="333"/>
    </row>
    <row r="2174" spans="2:48" s="330" customFormat="1" ht="28.15" customHeight="1" x14ac:dyDescent="0.25">
      <c r="B2174" s="331"/>
      <c r="C2174" s="332"/>
      <c r="D2174" s="332"/>
      <c r="E2174" s="333"/>
      <c r="F2174" s="333"/>
      <c r="R2174" s="316"/>
      <c r="S2174" s="404"/>
      <c r="T2174" s="404"/>
      <c r="U2174" s="404"/>
      <c r="V2174" s="404"/>
      <c r="W2174" s="316"/>
      <c r="X2174" s="316"/>
      <c r="Y2174" s="316"/>
      <c r="Z2174" s="316"/>
      <c r="AA2174" s="404"/>
      <c r="AB2174" s="404"/>
      <c r="AC2174" s="404"/>
      <c r="AD2174" s="404"/>
      <c r="AE2174" s="316"/>
      <c r="AF2174" s="316"/>
      <c r="AG2174" s="404"/>
      <c r="AH2174" s="316"/>
      <c r="AI2174" s="316"/>
      <c r="AJ2174" s="316"/>
      <c r="AK2174" s="316"/>
      <c r="AL2174" s="316"/>
      <c r="AM2174" s="416"/>
      <c r="AR2174" s="333"/>
      <c r="AS2174" s="333"/>
      <c r="AT2174" s="333"/>
      <c r="AU2174" s="333"/>
      <c r="AV2174" s="333"/>
    </row>
    <row r="2175" spans="2:48" s="330" customFormat="1" ht="28.15" customHeight="1" x14ac:dyDescent="0.25">
      <c r="B2175" s="331"/>
      <c r="C2175" s="332"/>
      <c r="D2175" s="332"/>
      <c r="E2175" s="333"/>
      <c r="F2175" s="333"/>
      <c r="R2175" s="316"/>
      <c r="S2175" s="404"/>
      <c r="T2175" s="404"/>
      <c r="U2175" s="404"/>
      <c r="V2175" s="404"/>
      <c r="W2175" s="316"/>
      <c r="X2175" s="316"/>
      <c r="Y2175" s="316"/>
      <c r="Z2175" s="316"/>
      <c r="AA2175" s="404"/>
      <c r="AB2175" s="404"/>
      <c r="AC2175" s="404"/>
      <c r="AD2175" s="404"/>
      <c r="AE2175" s="316"/>
      <c r="AF2175" s="316"/>
      <c r="AG2175" s="404"/>
      <c r="AH2175" s="316"/>
      <c r="AI2175" s="316"/>
      <c r="AJ2175" s="316"/>
      <c r="AK2175" s="316"/>
      <c r="AL2175" s="316"/>
      <c r="AM2175" s="416"/>
      <c r="AR2175" s="333"/>
      <c r="AS2175" s="333"/>
      <c r="AT2175" s="333"/>
      <c r="AU2175" s="333"/>
      <c r="AV2175" s="333"/>
    </row>
    <row r="2176" spans="2:48" s="330" customFormat="1" ht="28.15" customHeight="1" x14ac:dyDescent="0.25">
      <c r="B2176" s="331"/>
      <c r="C2176" s="332"/>
      <c r="D2176" s="332"/>
      <c r="E2176" s="333"/>
      <c r="F2176" s="333"/>
      <c r="R2176" s="316"/>
      <c r="S2176" s="404"/>
      <c r="T2176" s="404"/>
      <c r="U2176" s="404"/>
      <c r="V2176" s="404"/>
      <c r="W2176" s="316"/>
      <c r="X2176" s="316"/>
      <c r="Y2176" s="316"/>
      <c r="Z2176" s="316"/>
      <c r="AA2176" s="404"/>
      <c r="AB2176" s="404"/>
      <c r="AC2176" s="404"/>
      <c r="AD2176" s="404"/>
      <c r="AE2176" s="316"/>
      <c r="AF2176" s="316"/>
      <c r="AG2176" s="404"/>
      <c r="AH2176" s="316"/>
      <c r="AI2176" s="316"/>
      <c r="AJ2176" s="316"/>
      <c r="AK2176" s="316"/>
      <c r="AL2176" s="316"/>
      <c r="AM2176" s="416"/>
      <c r="AR2176" s="333"/>
      <c r="AS2176" s="333"/>
      <c r="AT2176" s="333"/>
      <c r="AU2176" s="333"/>
      <c r="AV2176" s="333"/>
    </row>
    <row r="2177" spans="2:48" s="330" customFormat="1" ht="28.15" customHeight="1" x14ac:dyDescent="0.25">
      <c r="B2177" s="331"/>
      <c r="C2177" s="332"/>
      <c r="D2177" s="332"/>
      <c r="E2177" s="333"/>
      <c r="F2177" s="333"/>
      <c r="R2177" s="316"/>
      <c r="S2177" s="404"/>
      <c r="T2177" s="404"/>
      <c r="U2177" s="404"/>
      <c r="V2177" s="404"/>
      <c r="W2177" s="316"/>
      <c r="X2177" s="316"/>
      <c r="Y2177" s="316"/>
      <c r="Z2177" s="316"/>
      <c r="AA2177" s="404"/>
      <c r="AB2177" s="404"/>
      <c r="AC2177" s="404"/>
      <c r="AD2177" s="404"/>
      <c r="AE2177" s="316"/>
      <c r="AF2177" s="316"/>
      <c r="AG2177" s="404"/>
      <c r="AH2177" s="316"/>
      <c r="AI2177" s="316"/>
      <c r="AJ2177" s="316"/>
      <c r="AK2177" s="316"/>
      <c r="AL2177" s="316"/>
      <c r="AM2177" s="416"/>
      <c r="AR2177" s="333"/>
      <c r="AS2177" s="333"/>
      <c r="AT2177" s="333"/>
      <c r="AU2177" s="333"/>
      <c r="AV2177" s="333"/>
    </row>
    <row r="2178" spans="2:48" s="330" customFormat="1" ht="28.15" customHeight="1" x14ac:dyDescent="0.25">
      <c r="B2178" s="331"/>
      <c r="C2178" s="332"/>
      <c r="D2178" s="332"/>
      <c r="E2178" s="333"/>
      <c r="F2178" s="333"/>
      <c r="R2178" s="316"/>
      <c r="S2178" s="404"/>
      <c r="T2178" s="404"/>
      <c r="U2178" s="404"/>
      <c r="V2178" s="404"/>
      <c r="W2178" s="316"/>
      <c r="X2178" s="316"/>
      <c r="Y2178" s="316"/>
      <c r="Z2178" s="316"/>
      <c r="AA2178" s="404"/>
      <c r="AB2178" s="404"/>
      <c r="AC2178" s="404"/>
      <c r="AD2178" s="404"/>
      <c r="AE2178" s="316"/>
      <c r="AF2178" s="316"/>
      <c r="AG2178" s="404"/>
      <c r="AH2178" s="316"/>
      <c r="AI2178" s="316"/>
      <c r="AJ2178" s="316"/>
      <c r="AK2178" s="316"/>
      <c r="AL2178" s="316"/>
      <c r="AM2178" s="416"/>
      <c r="AR2178" s="333"/>
      <c r="AS2178" s="333"/>
      <c r="AT2178" s="333"/>
      <c r="AU2178" s="333"/>
      <c r="AV2178" s="333"/>
    </row>
    <row r="2179" spans="2:48" s="330" customFormat="1" ht="28.15" customHeight="1" x14ac:dyDescent="0.25">
      <c r="B2179" s="331"/>
      <c r="C2179" s="332"/>
      <c r="D2179" s="332"/>
      <c r="E2179" s="333"/>
      <c r="F2179" s="333"/>
      <c r="R2179" s="316"/>
      <c r="S2179" s="404"/>
      <c r="T2179" s="404"/>
      <c r="U2179" s="404"/>
      <c r="V2179" s="404"/>
      <c r="W2179" s="316"/>
      <c r="X2179" s="316"/>
      <c r="Y2179" s="316"/>
      <c r="Z2179" s="316"/>
      <c r="AA2179" s="404"/>
      <c r="AB2179" s="404"/>
      <c r="AC2179" s="404"/>
      <c r="AD2179" s="404"/>
      <c r="AE2179" s="316"/>
      <c r="AF2179" s="316"/>
      <c r="AG2179" s="404"/>
      <c r="AH2179" s="316"/>
      <c r="AI2179" s="316"/>
      <c r="AJ2179" s="316"/>
      <c r="AK2179" s="316"/>
      <c r="AL2179" s="316"/>
      <c r="AM2179" s="416"/>
      <c r="AR2179" s="333"/>
      <c r="AS2179" s="333"/>
      <c r="AT2179" s="333"/>
      <c r="AU2179" s="333"/>
      <c r="AV2179" s="333"/>
    </row>
    <row r="2180" spans="2:48" s="330" customFormat="1" ht="28.15" customHeight="1" x14ac:dyDescent="0.25">
      <c r="B2180" s="331"/>
      <c r="C2180" s="332"/>
      <c r="D2180" s="332"/>
      <c r="E2180" s="333"/>
      <c r="F2180" s="333"/>
      <c r="R2180" s="316"/>
      <c r="S2180" s="404"/>
      <c r="T2180" s="404"/>
      <c r="U2180" s="404"/>
      <c r="V2180" s="404"/>
      <c r="W2180" s="316"/>
      <c r="X2180" s="316"/>
      <c r="Y2180" s="316"/>
      <c r="Z2180" s="316"/>
      <c r="AA2180" s="404"/>
      <c r="AB2180" s="404"/>
      <c r="AC2180" s="404"/>
      <c r="AD2180" s="404"/>
      <c r="AE2180" s="316"/>
      <c r="AF2180" s="316"/>
      <c r="AG2180" s="404"/>
      <c r="AH2180" s="316"/>
      <c r="AI2180" s="316"/>
      <c r="AJ2180" s="316"/>
      <c r="AK2180" s="316"/>
      <c r="AL2180" s="316"/>
      <c r="AM2180" s="416"/>
      <c r="AR2180" s="333"/>
      <c r="AS2180" s="333"/>
      <c r="AT2180" s="333"/>
      <c r="AU2180" s="333"/>
      <c r="AV2180" s="333"/>
    </row>
    <row r="2181" spans="2:48" s="330" customFormat="1" ht="28.15" customHeight="1" x14ac:dyDescent="0.25">
      <c r="B2181" s="331"/>
      <c r="C2181" s="332"/>
      <c r="D2181" s="332"/>
      <c r="E2181" s="333"/>
      <c r="F2181" s="333"/>
      <c r="R2181" s="316"/>
      <c r="S2181" s="404"/>
      <c r="T2181" s="404"/>
      <c r="U2181" s="404"/>
      <c r="V2181" s="404"/>
      <c r="W2181" s="316"/>
      <c r="X2181" s="316"/>
      <c r="Y2181" s="316"/>
      <c r="Z2181" s="316"/>
      <c r="AA2181" s="404"/>
      <c r="AB2181" s="404"/>
      <c r="AC2181" s="404"/>
      <c r="AD2181" s="404"/>
      <c r="AE2181" s="316"/>
      <c r="AF2181" s="316"/>
      <c r="AG2181" s="404"/>
      <c r="AH2181" s="316"/>
      <c r="AI2181" s="316"/>
      <c r="AJ2181" s="316"/>
      <c r="AK2181" s="316"/>
      <c r="AL2181" s="316"/>
      <c r="AM2181" s="416"/>
      <c r="AR2181" s="333"/>
      <c r="AS2181" s="333"/>
      <c r="AT2181" s="333"/>
      <c r="AU2181" s="333"/>
      <c r="AV2181" s="333"/>
    </row>
    <row r="2182" spans="2:48" s="330" customFormat="1" ht="28.15" customHeight="1" x14ac:dyDescent="0.25">
      <c r="B2182" s="331"/>
      <c r="C2182" s="332"/>
      <c r="D2182" s="332"/>
      <c r="E2182" s="333"/>
      <c r="F2182" s="333"/>
      <c r="R2182" s="316"/>
      <c r="S2182" s="404"/>
      <c r="T2182" s="404"/>
      <c r="U2182" s="404"/>
      <c r="V2182" s="404"/>
      <c r="W2182" s="316"/>
      <c r="X2182" s="316"/>
      <c r="Y2182" s="316"/>
      <c r="Z2182" s="316"/>
      <c r="AA2182" s="404"/>
      <c r="AB2182" s="404"/>
      <c r="AC2182" s="404"/>
      <c r="AD2182" s="404"/>
      <c r="AE2182" s="316"/>
      <c r="AF2182" s="316"/>
      <c r="AG2182" s="404"/>
      <c r="AH2182" s="316"/>
      <c r="AI2182" s="316"/>
      <c r="AJ2182" s="316"/>
      <c r="AK2182" s="316"/>
      <c r="AL2182" s="316"/>
      <c r="AM2182" s="416"/>
      <c r="AR2182" s="333"/>
      <c r="AS2182" s="333"/>
      <c r="AT2182" s="333"/>
      <c r="AU2182" s="333"/>
      <c r="AV2182" s="333"/>
    </row>
    <row r="2183" spans="2:48" s="330" customFormat="1" ht="28.15" customHeight="1" x14ac:dyDescent="0.25">
      <c r="B2183" s="331"/>
      <c r="C2183" s="332"/>
      <c r="D2183" s="332"/>
      <c r="E2183" s="333"/>
      <c r="F2183" s="333"/>
      <c r="R2183" s="316"/>
      <c r="S2183" s="404"/>
      <c r="T2183" s="404"/>
      <c r="U2183" s="404"/>
      <c r="V2183" s="404"/>
      <c r="W2183" s="316"/>
      <c r="X2183" s="316"/>
      <c r="Y2183" s="316"/>
      <c r="Z2183" s="316"/>
      <c r="AA2183" s="404"/>
      <c r="AB2183" s="404"/>
      <c r="AC2183" s="404"/>
      <c r="AD2183" s="404"/>
      <c r="AE2183" s="316"/>
      <c r="AF2183" s="316"/>
      <c r="AG2183" s="404"/>
      <c r="AH2183" s="316"/>
      <c r="AI2183" s="316"/>
      <c r="AJ2183" s="316"/>
      <c r="AK2183" s="316"/>
      <c r="AL2183" s="316"/>
      <c r="AM2183" s="416"/>
      <c r="AR2183" s="333"/>
      <c r="AS2183" s="333"/>
      <c r="AT2183" s="333"/>
      <c r="AU2183" s="333"/>
      <c r="AV2183" s="333"/>
    </row>
    <row r="2184" spans="2:48" s="330" customFormat="1" ht="28.15" customHeight="1" x14ac:dyDescent="0.25">
      <c r="B2184" s="331"/>
      <c r="C2184" s="332"/>
      <c r="D2184" s="332"/>
      <c r="E2184" s="333"/>
      <c r="F2184" s="333"/>
      <c r="R2184" s="316"/>
      <c r="S2184" s="404"/>
      <c r="T2184" s="404"/>
      <c r="U2184" s="404"/>
      <c r="V2184" s="404"/>
      <c r="W2184" s="316"/>
      <c r="X2184" s="316"/>
      <c r="Y2184" s="316"/>
      <c r="Z2184" s="316"/>
      <c r="AA2184" s="404"/>
      <c r="AB2184" s="404"/>
      <c r="AC2184" s="404"/>
      <c r="AD2184" s="404"/>
      <c r="AE2184" s="316"/>
      <c r="AF2184" s="316"/>
      <c r="AG2184" s="404"/>
      <c r="AH2184" s="316"/>
      <c r="AI2184" s="316"/>
      <c r="AJ2184" s="316"/>
      <c r="AK2184" s="316"/>
      <c r="AL2184" s="316"/>
      <c r="AM2184" s="416"/>
      <c r="AR2184" s="333"/>
      <c r="AS2184" s="333"/>
      <c r="AT2184" s="333"/>
      <c r="AU2184" s="333"/>
      <c r="AV2184" s="333"/>
    </row>
    <row r="2185" spans="2:48" s="330" customFormat="1" ht="28.15" customHeight="1" x14ac:dyDescent="0.25">
      <c r="B2185" s="331"/>
      <c r="C2185" s="332"/>
      <c r="D2185" s="332"/>
      <c r="E2185" s="333"/>
      <c r="F2185" s="333"/>
      <c r="R2185" s="316"/>
      <c r="S2185" s="404"/>
      <c r="T2185" s="404"/>
      <c r="U2185" s="404"/>
      <c r="V2185" s="404"/>
      <c r="W2185" s="316"/>
      <c r="X2185" s="316"/>
      <c r="Y2185" s="316"/>
      <c r="Z2185" s="316"/>
      <c r="AA2185" s="404"/>
      <c r="AB2185" s="404"/>
      <c r="AC2185" s="404"/>
      <c r="AD2185" s="404"/>
      <c r="AE2185" s="316"/>
      <c r="AF2185" s="316"/>
      <c r="AG2185" s="404"/>
      <c r="AH2185" s="316"/>
      <c r="AI2185" s="316"/>
      <c r="AJ2185" s="316"/>
      <c r="AK2185" s="316"/>
      <c r="AL2185" s="316"/>
      <c r="AM2185" s="416"/>
      <c r="AR2185" s="333"/>
      <c r="AS2185" s="333"/>
      <c r="AT2185" s="333"/>
      <c r="AU2185" s="333"/>
      <c r="AV2185" s="333"/>
    </row>
    <row r="2186" spans="2:48" s="330" customFormat="1" ht="28.15" customHeight="1" x14ac:dyDescent="0.25">
      <c r="B2186" s="331"/>
      <c r="C2186" s="332"/>
      <c r="D2186" s="332"/>
      <c r="E2186" s="333"/>
      <c r="F2186" s="333"/>
      <c r="R2186" s="316"/>
      <c r="S2186" s="404"/>
      <c r="T2186" s="404"/>
      <c r="U2186" s="404"/>
      <c r="V2186" s="404"/>
      <c r="W2186" s="316"/>
      <c r="X2186" s="316"/>
      <c r="Y2186" s="316"/>
      <c r="Z2186" s="316"/>
      <c r="AA2186" s="404"/>
      <c r="AB2186" s="404"/>
      <c r="AC2186" s="404"/>
      <c r="AD2186" s="404"/>
      <c r="AE2186" s="316"/>
      <c r="AF2186" s="316"/>
      <c r="AG2186" s="404"/>
      <c r="AH2186" s="316"/>
      <c r="AI2186" s="316"/>
      <c r="AJ2186" s="316"/>
      <c r="AK2186" s="316"/>
      <c r="AL2186" s="316"/>
      <c r="AM2186" s="416"/>
      <c r="AR2186" s="333"/>
      <c r="AS2186" s="333"/>
      <c r="AT2186" s="333"/>
      <c r="AU2186" s="333"/>
      <c r="AV2186" s="333"/>
    </row>
    <row r="2187" spans="2:48" s="330" customFormat="1" ht="28.15" customHeight="1" x14ac:dyDescent="0.25">
      <c r="B2187" s="331"/>
      <c r="C2187" s="332"/>
      <c r="D2187" s="332"/>
      <c r="E2187" s="333"/>
      <c r="F2187" s="333"/>
      <c r="R2187" s="316"/>
      <c r="S2187" s="404"/>
      <c r="T2187" s="404"/>
      <c r="U2187" s="404"/>
      <c r="V2187" s="404"/>
      <c r="W2187" s="316"/>
      <c r="X2187" s="316"/>
      <c r="Y2187" s="316"/>
      <c r="Z2187" s="316"/>
      <c r="AA2187" s="404"/>
      <c r="AB2187" s="404"/>
      <c r="AC2187" s="404"/>
      <c r="AD2187" s="404"/>
      <c r="AE2187" s="316"/>
      <c r="AF2187" s="316"/>
      <c r="AG2187" s="404"/>
      <c r="AH2187" s="316"/>
      <c r="AI2187" s="316"/>
      <c r="AJ2187" s="316"/>
      <c r="AK2187" s="316"/>
      <c r="AL2187" s="316"/>
      <c r="AM2187" s="416"/>
      <c r="AR2187" s="333"/>
      <c r="AS2187" s="333"/>
      <c r="AT2187" s="333"/>
      <c r="AU2187" s="333"/>
      <c r="AV2187" s="333"/>
    </row>
    <row r="2188" spans="2:48" s="330" customFormat="1" ht="28.15" customHeight="1" x14ac:dyDescent="0.25">
      <c r="B2188" s="331"/>
      <c r="C2188" s="332"/>
      <c r="D2188" s="332"/>
      <c r="E2188" s="333"/>
      <c r="F2188" s="333"/>
      <c r="R2188" s="316"/>
      <c r="S2188" s="404"/>
      <c r="T2188" s="404"/>
      <c r="U2188" s="404"/>
      <c r="V2188" s="404"/>
      <c r="W2188" s="316"/>
      <c r="X2188" s="316"/>
      <c r="Y2188" s="316"/>
      <c r="Z2188" s="316"/>
      <c r="AA2188" s="404"/>
      <c r="AB2188" s="404"/>
      <c r="AC2188" s="404"/>
      <c r="AD2188" s="404"/>
      <c r="AE2188" s="316"/>
      <c r="AF2188" s="316"/>
      <c r="AG2188" s="404"/>
      <c r="AH2188" s="316"/>
      <c r="AI2188" s="316"/>
      <c r="AJ2188" s="316"/>
      <c r="AK2188" s="316"/>
      <c r="AL2188" s="316"/>
      <c r="AM2188" s="416"/>
      <c r="AR2188" s="333"/>
      <c r="AS2188" s="333"/>
      <c r="AT2188" s="333"/>
      <c r="AU2188" s="333"/>
      <c r="AV2188" s="333"/>
    </row>
    <row r="2189" spans="2:48" s="330" customFormat="1" ht="28.15" customHeight="1" x14ac:dyDescent="0.25">
      <c r="B2189" s="331"/>
      <c r="C2189" s="332"/>
      <c r="D2189" s="332"/>
      <c r="E2189" s="333"/>
      <c r="F2189" s="333"/>
      <c r="R2189" s="316"/>
      <c r="S2189" s="404"/>
      <c r="T2189" s="404"/>
      <c r="U2189" s="404"/>
      <c r="V2189" s="404"/>
      <c r="W2189" s="316"/>
      <c r="X2189" s="316"/>
      <c r="Y2189" s="316"/>
      <c r="Z2189" s="316"/>
      <c r="AA2189" s="404"/>
      <c r="AB2189" s="404"/>
      <c r="AC2189" s="404"/>
      <c r="AD2189" s="404"/>
      <c r="AE2189" s="316"/>
      <c r="AF2189" s="316"/>
      <c r="AG2189" s="404"/>
      <c r="AH2189" s="316"/>
      <c r="AI2189" s="316"/>
      <c r="AJ2189" s="316"/>
      <c r="AK2189" s="316"/>
      <c r="AL2189" s="316"/>
      <c r="AM2189" s="416"/>
      <c r="AR2189" s="333"/>
      <c r="AS2189" s="333"/>
      <c r="AT2189" s="333"/>
      <c r="AU2189" s="333"/>
      <c r="AV2189" s="333"/>
    </row>
    <row r="2190" spans="2:48" s="330" customFormat="1" ht="28.15" customHeight="1" x14ac:dyDescent="0.25">
      <c r="B2190" s="331"/>
      <c r="C2190" s="332"/>
      <c r="D2190" s="332"/>
      <c r="E2190" s="333"/>
      <c r="F2190" s="333"/>
      <c r="R2190" s="316"/>
      <c r="S2190" s="404"/>
      <c r="T2190" s="404"/>
      <c r="U2190" s="404"/>
      <c r="V2190" s="404"/>
      <c r="W2190" s="316"/>
      <c r="X2190" s="316"/>
      <c r="Y2190" s="316"/>
      <c r="Z2190" s="316"/>
      <c r="AA2190" s="404"/>
      <c r="AB2190" s="404"/>
      <c r="AC2190" s="404"/>
      <c r="AD2190" s="404"/>
      <c r="AE2190" s="316"/>
      <c r="AF2190" s="316"/>
      <c r="AG2190" s="404"/>
      <c r="AH2190" s="316"/>
      <c r="AI2190" s="316"/>
      <c r="AJ2190" s="316"/>
      <c r="AK2190" s="316"/>
      <c r="AL2190" s="316"/>
      <c r="AM2190" s="416"/>
      <c r="AR2190" s="333"/>
      <c r="AS2190" s="333"/>
      <c r="AT2190" s="333"/>
      <c r="AU2190" s="333"/>
      <c r="AV2190" s="333"/>
    </row>
    <row r="2191" spans="2:48" s="330" customFormat="1" ht="28.15" customHeight="1" x14ac:dyDescent="0.25">
      <c r="B2191" s="331"/>
      <c r="C2191" s="332"/>
      <c r="D2191" s="332"/>
      <c r="E2191" s="333"/>
      <c r="F2191" s="333"/>
      <c r="R2191" s="316"/>
      <c r="S2191" s="404"/>
      <c r="T2191" s="404"/>
      <c r="U2191" s="404"/>
      <c r="V2191" s="404"/>
      <c r="W2191" s="316"/>
      <c r="X2191" s="316"/>
      <c r="Y2191" s="316"/>
      <c r="Z2191" s="316"/>
      <c r="AA2191" s="404"/>
      <c r="AB2191" s="404"/>
      <c r="AC2191" s="404"/>
      <c r="AD2191" s="404"/>
      <c r="AE2191" s="316"/>
      <c r="AF2191" s="316"/>
      <c r="AG2191" s="404"/>
      <c r="AH2191" s="316"/>
      <c r="AI2191" s="316"/>
      <c r="AJ2191" s="316"/>
      <c r="AK2191" s="316"/>
      <c r="AL2191" s="316"/>
      <c r="AM2191" s="416"/>
      <c r="AR2191" s="333"/>
      <c r="AS2191" s="333"/>
      <c r="AT2191" s="333"/>
      <c r="AU2191" s="333"/>
      <c r="AV2191" s="333"/>
    </row>
    <row r="2192" spans="2:48" s="330" customFormat="1" ht="28.15" customHeight="1" x14ac:dyDescent="0.25">
      <c r="B2192" s="331"/>
      <c r="C2192" s="332"/>
      <c r="D2192" s="332"/>
      <c r="E2192" s="333"/>
      <c r="F2192" s="333"/>
      <c r="R2192" s="316"/>
      <c r="S2192" s="404"/>
      <c r="T2192" s="404"/>
      <c r="U2192" s="404"/>
      <c r="V2192" s="404"/>
      <c r="W2192" s="316"/>
      <c r="X2192" s="316"/>
      <c r="Y2192" s="316"/>
      <c r="Z2192" s="316"/>
      <c r="AA2192" s="404"/>
      <c r="AB2192" s="404"/>
      <c r="AC2192" s="404"/>
      <c r="AD2192" s="404"/>
      <c r="AE2192" s="316"/>
      <c r="AF2192" s="316"/>
      <c r="AG2192" s="404"/>
      <c r="AH2192" s="316"/>
      <c r="AI2192" s="316"/>
      <c r="AJ2192" s="316"/>
      <c r="AK2192" s="316"/>
      <c r="AL2192" s="316"/>
      <c r="AM2192" s="416"/>
      <c r="AR2192" s="333"/>
      <c r="AS2192" s="333"/>
      <c r="AT2192" s="333"/>
      <c r="AU2192" s="333"/>
      <c r="AV2192" s="333"/>
    </row>
    <row r="2193" spans="2:48" s="330" customFormat="1" ht="28.15" customHeight="1" x14ac:dyDescent="0.25">
      <c r="B2193" s="331"/>
      <c r="C2193" s="332"/>
      <c r="D2193" s="332"/>
      <c r="E2193" s="333"/>
      <c r="F2193" s="333"/>
      <c r="R2193" s="316"/>
      <c r="S2193" s="404"/>
      <c r="T2193" s="404"/>
      <c r="U2193" s="404"/>
      <c r="V2193" s="404"/>
      <c r="W2193" s="316"/>
      <c r="X2193" s="316"/>
      <c r="Y2193" s="316"/>
      <c r="Z2193" s="316"/>
      <c r="AA2193" s="404"/>
      <c r="AB2193" s="404"/>
      <c r="AC2193" s="404"/>
      <c r="AD2193" s="404"/>
      <c r="AE2193" s="316"/>
      <c r="AF2193" s="316"/>
      <c r="AG2193" s="404"/>
      <c r="AH2193" s="316"/>
      <c r="AI2193" s="316"/>
      <c r="AJ2193" s="316"/>
      <c r="AK2193" s="316"/>
      <c r="AL2193" s="316"/>
      <c r="AM2193" s="416"/>
      <c r="AR2193" s="333"/>
      <c r="AS2193" s="333"/>
      <c r="AT2193" s="333"/>
      <c r="AU2193" s="333"/>
      <c r="AV2193" s="333"/>
    </row>
    <row r="2194" spans="2:48" s="330" customFormat="1" ht="28.15" customHeight="1" x14ac:dyDescent="0.25">
      <c r="B2194" s="331"/>
      <c r="C2194" s="332"/>
      <c r="D2194" s="332"/>
      <c r="E2194" s="333"/>
      <c r="F2194" s="333"/>
      <c r="R2194" s="316"/>
      <c r="S2194" s="404"/>
      <c r="T2194" s="404"/>
      <c r="U2194" s="404"/>
      <c r="V2194" s="404"/>
      <c r="W2194" s="316"/>
      <c r="X2194" s="316"/>
      <c r="Y2194" s="316"/>
      <c r="Z2194" s="316"/>
      <c r="AA2194" s="404"/>
      <c r="AB2194" s="404"/>
      <c r="AC2194" s="404"/>
      <c r="AD2194" s="404"/>
      <c r="AE2194" s="316"/>
      <c r="AF2194" s="316"/>
      <c r="AG2194" s="404"/>
      <c r="AH2194" s="316"/>
      <c r="AI2194" s="316"/>
      <c r="AJ2194" s="316"/>
      <c r="AK2194" s="316"/>
      <c r="AL2194" s="316"/>
      <c r="AM2194" s="416"/>
      <c r="AR2194" s="333"/>
      <c r="AS2194" s="333"/>
      <c r="AT2194" s="333"/>
      <c r="AU2194" s="333"/>
      <c r="AV2194" s="333"/>
    </row>
    <row r="2195" spans="2:48" s="330" customFormat="1" ht="28.15" customHeight="1" x14ac:dyDescent="0.25">
      <c r="B2195" s="331"/>
      <c r="C2195" s="332"/>
      <c r="D2195" s="332"/>
      <c r="E2195" s="333"/>
      <c r="F2195" s="333"/>
      <c r="R2195" s="316"/>
      <c r="S2195" s="404"/>
      <c r="T2195" s="404"/>
      <c r="U2195" s="404"/>
      <c r="V2195" s="404"/>
      <c r="W2195" s="316"/>
      <c r="X2195" s="316"/>
      <c r="Y2195" s="316"/>
      <c r="Z2195" s="316"/>
      <c r="AA2195" s="404"/>
      <c r="AB2195" s="404"/>
      <c r="AC2195" s="404"/>
      <c r="AD2195" s="404"/>
      <c r="AE2195" s="316"/>
      <c r="AF2195" s="316"/>
      <c r="AG2195" s="404"/>
      <c r="AH2195" s="316"/>
      <c r="AI2195" s="316"/>
      <c r="AJ2195" s="316"/>
      <c r="AK2195" s="316"/>
      <c r="AL2195" s="316"/>
      <c r="AM2195" s="416"/>
      <c r="AR2195" s="333"/>
      <c r="AS2195" s="333"/>
      <c r="AT2195" s="333"/>
      <c r="AU2195" s="333"/>
      <c r="AV2195" s="333"/>
    </row>
    <row r="2196" spans="2:48" s="330" customFormat="1" ht="28.15" customHeight="1" x14ac:dyDescent="0.25">
      <c r="B2196" s="331"/>
      <c r="C2196" s="332"/>
      <c r="D2196" s="332"/>
      <c r="E2196" s="333"/>
      <c r="F2196" s="333"/>
      <c r="R2196" s="316"/>
      <c r="S2196" s="404"/>
      <c r="T2196" s="404"/>
      <c r="U2196" s="404"/>
      <c r="V2196" s="404"/>
      <c r="W2196" s="316"/>
      <c r="X2196" s="316"/>
      <c r="Y2196" s="316"/>
      <c r="Z2196" s="316"/>
      <c r="AA2196" s="404"/>
      <c r="AB2196" s="404"/>
      <c r="AC2196" s="404"/>
      <c r="AD2196" s="404"/>
      <c r="AE2196" s="316"/>
      <c r="AF2196" s="316"/>
      <c r="AG2196" s="404"/>
      <c r="AH2196" s="316"/>
      <c r="AI2196" s="316"/>
      <c r="AJ2196" s="316"/>
      <c r="AK2196" s="316"/>
      <c r="AL2196" s="316"/>
      <c r="AM2196" s="416"/>
      <c r="AR2196" s="333"/>
      <c r="AS2196" s="333"/>
      <c r="AT2196" s="333"/>
      <c r="AU2196" s="333"/>
      <c r="AV2196" s="333"/>
    </row>
    <row r="2197" spans="2:48" s="330" customFormat="1" ht="28.15" customHeight="1" x14ac:dyDescent="0.25">
      <c r="B2197" s="331"/>
      <c r="C2197" s="332"/>
      <c r="D2197" s="332"/>
      <c r="E2197" s="333"/>
      <c r="F2197" s="333"/>
      <c r="R2197" s="316"/>
      <c r="S2197" s="404"/>
      <c r="T2197" s="404"/>
      <c r="U2197" s="404"/>
      <c r="V2197" s="404"/>
      <c r="W2197" s="316"/>
      <c r="X2197" s="316"/>
      <c r="Y2197" s="316"/>
      <c r="Z2197" s="316"/>
      <c r="AA2197" s="404"/>
      <c r="AB2197" s="404"/>
      <c r="AC2197" s="404"/>
      <c r="AD2197" s="404"/>
      <c r="AE2197" s="316"/>
      <c r="AF2197" s="316"/>
      <c r="AG2197" s="404"/>
      <c r="AH2197" s="316"/>
      <c r="AI2197" s="316"/>
      <c r="AJ2197" s="316"/>
      <c r="AK2197" s="316"/>
      <c r="AL2197" s="316"/>
      <c r="AM2197" s="416"/>
      <c r="AR2197" s="333"/>
      <c r="AS2197" s="333"/>
      <c r="AT2197" s="333"/>
      <c r="AU2197" s="333"/>
      <c r="AV2197" s="333"/>
    </row>
    <row r="2198" spans="2:48" s="330" customFormat="1" ht="28.15" customHeight="1" x14ac:dyDescent="0.25">
      <c r="B2198" s="331"/>
      <c r="C2198" s="332"/>
      <c r="D2198" s="332"/>
      <c r="E2198" s="333"/>
      <c r="F2198" s="333"/>
      <c r="R2198" s="316"/>
      <c r="S2198" s="404"/>
      <c r="T2198" s="404"/>
      <c r="U2198" s="404"/>
      <c r="V2198" s="404"/>
      <c r="W2198" s="316"/>
      <c r="X2198" s="316"/>
      <c r="Y2198" s="316"/>
      <c r="Z2198" s="316"/>
      <c r="AA2198" s="404"/>
      <c r="AB2198" s="404"/>
      <c r="AC2198" s="404"/>
      <c r="AD2198" s="404"/>
      <c r="AE2198" s="316"/>
      <c r="AF2198" s="316"/>
      <c r="AG2198" s="404"/>
      <c r="AH2198" s="316"/>
      <c r="AI2198" s="316"/>
      <c r="AJ2198" s="316"/>
      <c r="AK2198" s="316"/>
      <c r="AL2198" s="316"/>
      <c r="AM2198" s="416"/>
      <c r="AR2198" s="333"/>
      <c r="AS2198" s="333"/>
      <c r="AT2198" s="333"/>
      <c r="AU2198" s="333"/>
      <c r="AV2198" s="333"/>
    </row>
    <row r="2199" spans="2:48" s="330" customFormat="1" ht="28.15" customHeight="1" x14ac:dyDescent="0.25">
      <c r="B2199" s="331"/>
      <c r="C2199" s="332"/>
      <c r="D2199" s="332"/>
      <c r="E2199" s="333"/>
      <c r="F2199" s="333"/>
      <c r="R2199" s="316"/>
      <c r="S2199" s="404"/>
      <c r="T2199" s="404"/>
      <c r="U2199" s="404"/>
      <c r="V2199" s="404"/>
      <c r="W2199" s="316"/>
      <c r="X2199" s="316"/>
      <c r="Y2199" s="316"/>
      <c r="Z2199" s="316"/>
      <c r="AA2199" s="404"/>
      <c r="AB2199" s="404"/>
      <c r="AC2199" s="404"/>
      <c r="AD2199" s="404"/>
      <c r="AE2199" s="316"/>
      <c r="AF2199" s="316"/>
      <c r="AG2199" s="404"/>
      <c r="AH2199" s="316"/>
      <c r="AI2199" s="316"/>
      <c r="AJ2199" s="316"/>
      <c r="AK2199" s="316"/>
      <c r="AL2199" s="316"/>
      <c r="AM2199" s="416"/>
      <c r="AR2199" s="333"/>
      <c r="AS2199" s="333"/>
      <c r="AT2199" s="333"/>
      <c r="AU2199" s="333"/>
      <c r="AV2199" s="333"/>
    </row>
    <row r="2200" spans="2:48" s="330" customFormat="1" ht="28.15" customHeight="1" x14ac:dyDescent="0.25">
      <c r="B2200" s="331"/>
      <c r="C2200" s="332"/>
      <c r="D2200" s="332"/>
      <c r="E2200" s="333"/>
      <c r="F2200" s="333"/>
      <c r="R2200" s="316"/>
      <c r="S2200" s="404"/>
      <c r="T2200" s="404"/>
      <c r="U2200" s="404"/>
      <c r="V2200" s="404"/>
      <c r="W2200" s="316"/>
      <c r="X2200" s="316"/>
      <c r="Y2200" s="316"/>
      <c r="Z2200" s="316"/>
      <c r="AA2200" s="404"/>
      <c r="AB2200" s="404"/>
      <c r="AC2200" s="404"/>
      <c r="AD2200" s="404"/>
      <c r="AE2200" s="316"/>
      <c r="AF2200" s="316"/>
      <c r="AG2200" s="404"/>
      <c r="AH2200" s="316"/>
      <c r="AI2200" s="316"/>
      <c r="AJ2200" s="316"/>
      <c r="AK2200" s="316"/>
      <c r="AL2200" s="316"/>
      <c r="AM2200" s="416"/>
      <c r="AR2200" s="333"/>
      <c r="AS2200" s="333"/>
      <c r="AT2200" s="333"/>
      <c r="AU2200" s="333"/>
      <c r="AV2200" s="333"/>
    </row>
    <row r="2201" spans="2:48" s="330" customFormat="1" ht="28.15" customHeight="1" x14ac:dyDescent="0.25">
      <c r="B2201" s="331"/>
      <c r="C2201" s="332"/>
      <c r="D2201" s="332"/>
      <c r="E2201" s="333"/>
      <c r="F2201" s="333"/>
      <c r="R2201" s="316"/>
      <c r="S2201" s="404"/>
      <c r="T2201" s="404"/>
      <c r="U2201" s="404"/>
      <c r="V2201" s="404"/>
      <c r="W2201" s="316"/>
      <c r="X2201" s="316"/>
      <c r="Y2201" s="316"/>
      <c r="Z2201" s="316"/>
      <c r="AA2201" s="404"/>
      <c r="AB2201" s="404"/>
      <c r="AC2201" s="404"/>
      <c r="AD2201" s="404"/>
      <c r="AE2201" s="316"/>
      <c r="AF2201" s="316"/>
      <c r="AG2201" s="404"/>
      <c r="AH2201" s="316"/>
      <c r="AI2201" s="316"/>
      <c r="AJ2201" s="316"/>
      <c r="AK2201" s="316"/>
      <c r="AL2201" s="316"/>
      <c r="AM2201" s="416"/>
      <c r="AR2201" s="333"/>
      <c r="AS2201" s="333"/>
      <c r="AT2201" s="333"/>
      <c r="AU2201" s="333"/>
      <c r="AV2201" s="333"/>
    </row>
    <row r="2202" spans="2:48" s="330" customFormat="1" ht="28.15" customHeight="1" x14ac:dyDescent="0.25">
      <c r="B2202" s="331"/>
      <c r="C2202" s="332"/>
      <c r="D2202" s="332"/>
      <c r="E2202" s="333"/>
      <c r="F2202" s="333"/>
      <c r="R2202" s="316"/>
      <c r="S2202" s="404"/>
      <c r="T2202" s="404"/>
      <c r="U2202" s="404"/>
      <c r="V2202" s="404"/>
      <c r="W2202" s="316"/>
      <c r="X2202" s="316"/>
      <c r="Y2202" s="316"/>
      <c r="Z2202" s="316"/>
      <c r="AA2202" s="404"/>
      <c r="AB2202" s="404"/>
      <c r="AC2202" s="404"/>
      <c r="AD2202" s="404"/>
      <c r="AE2202" s="316"/>
      <c r="AF2202" s="316"/>
      <c r="AG2202" s="404"/>
      <c r="AH2202" s="316"/>
      <c r="AI2202" s="316"/>
      <c r="AJ2202" s="316"/>
      <c r="AK2202" s="316"/>
      <c r="AL2202" s="316"/>
      <c r="AM2202" s="416"/>
      <c r="AR2202" s="333"/>
      <c r="AS2202" s="333"/>
      <c r="AT2202" s="333"/>
      <c r="AU2202" s="333"/>
      <c r="AV2202" s="333"/>
    </row>
    <row r="2203" spans="2:48" s="330" customFormat="1" ht="28.15" customHeight="1" x14ac:dyDescent="0.25">
      <c r="B2203" s="331"/>
      <c r="C2203" s="332"/>
      <c r="D2203" s="332"/>
      <c r="E2203" s="333"/>
      <c r="F2203" s="333"/>
      <c r="R2203" s="316"/>
      <c r="S2203" s="404"/>
      <c r="T2203" s="404"/>
      <c r="U2203" s="404"/>
      <c r="V2203" s="404"/>
      <c r="W2203" s="316"/>
      <c r="X2203" s="316"/>
      <c r="Y2203" s="316"/>
      <c r="Z2203" s="316"/>
      <c r="AA2203" s="404"/>
      <c r="AB2203" s="404"/>
      <c r="AC2203" s="404"/>
      <c r="AD2203" s="404"/>
      <c r="AE2203" s="316"/>
      <c r="AF2203" s="316"/>
      <c r="AG2203" s="404"/>
      <c r="AH2203" s="316"/>
      <c r="AI2203" s="316"/>
      <c r="AJ2203" s="316"/>
      <c r="AK2203" s="316"/>
      <c r="AL2203" s="316"/>
      <c r="AM2203" s="416"/>
      <c r="AR2203" s="333"/>
      <c r="AS2203" s="333"/>
      <c r="AT2203" s="333"/>
      <c r="AU2203" s="333"/>
      <c r="AV2203" s="333"/>
    </row>
    <row r="2204" spans="2:48" s="330" customFormat="1" ht="28.15" customHeight="1" x14ac:dyDescent="0.25">
      <c r="B2204" s="331"/>
      <c r="C2204" s="332"/>
      <c r="D2204" s="332"/>
      <c r="E2204" s="333"/>
      <c r="F2204" s="333"/>
      <c r="R2204" s="316"/>
      <c r="S2204" s="404"/>
      <c r="T2204" s="404"/>
      <c r="U2204" s="404"/>
      <c r="V2204" s="404"/>
      <c r="W2204" s="316"/>
      <c r="X2204" s="316"/>
      <c r="Y2204" s="316"/>
      <c r="Z2204" s="316"/>
      <c r="AA2204" s="404"/>
      <c r="AB2204" s="404"/>
      <c r="AC2204" s="404"/>
      <c r="AD2204" s="404"/>
      <c r="AE2204" s="316"/>
      <c r="AF2204" s="316"/>
      <c r="AG2204" s="404"/>
      <c r="AH2204" s="316"/>
      <c r="AI2204" s="316"/>
      <c r="AJ2204" s="316"/>
      <c r="AK2204" s="316"/>
      <c r="AL2204" s="316"/>
      <c r="AM2204" s="416"/>
      <c r="AR2204" s="333"/>
      <c r="AS2204" s="333"/>
      <c r="AT2204" s="333"/>
      <c r="AU2204" s="333"/>
      <c r="AV2204" s="333"/>
    </row>
    <row r="2205" spans="2:48" s="330" customFormat="1" ht="28.15" customHeight="1" x14ac:dyDescent="0.25">
      <c r="B2205" s="331"/>
      <c r="C2205" s="332"/>
      <c r="D2205" s="332"/>
      <c r="E2205" s="333"/>
      <c r="F2205" s="333"/>
      <c r="R2205" s="316"/>
      <c r="S2205" s="404"/>
      <c r="T2205" s="404"/>
      <c r="U2205" s="404"/>
      <c r="V2205" s="404"/>
      <c r="W2205" s="316"/>
      <c r="X2205" s="316"/>
      <c r="Y2205" s="316"/>
      <c r="Z2205" s="316"/>
      <c r="AA2205" s="404"/>
      <c r="AB2205" s="404"/>
      <c r="AC2205" s="404"/>
      <c r="AD2205" s="404"/>
      <c r="AE2205" s="316"/>
      <c r="AF2205" s="316"/>
      <c r="AG2205" s="404"/>
      <c r="AH2205" s="316"/>
      <c r="AI2205" s="316"/>
      <c r="AJ2205" s="316"/>
      <c r="AK2205" s="316"/>
      <c r="AL2205" s="316"/>
      <c r="AM2205" s="416"/>
      <c r="AR2205" s="333"/>
      <c r="AS2205" s="333"/>
      <c r="AT2205" s="333"/>
      <c r="AU2205" s="333"/>
      <c r="AV2205" s="333"/>
    </row>
    <row r="2206" spans="2:48" s="330" customFormat="1" ht="28.15" customHeight="1" x14ac:dyDescent="0.25">
      <c r="B2206" s="331"/>
      <c r="C2206" s="332"/>
      <c r="D2206" s="332"/>
      <c r="E2206" s="333"/>
      <c r="F2206" s="333"/>
      <c r="R2206" s="316"/>
      <c r="S2206" s="404"/>
      <c r="T2206" s="404"/>
      <c r="U2206" s="404"/>
      <c r="V2206" s="404"/>
      <c r="W2206" s="316"/>
      <c r="X2206" s="316"/>
      <c r="Y2206" s="316"/>
      <c r="Z2206" s="316"/>
      <c r="AA2206" s="404"/>
      <c r="AB2206" s="404"/>
      <c r="AC2206" s="404"/>
      <c r="AD2206" s="404"/>
      <c r="AE2206" s="316"/>
      <c r="AF2206" s="316"/>
      <c r="AG2206" s="404"/>
      <c r="AH2206" s="316"/>
      <c r="AI2206" s="316"/>
      <c r="AJ2206" s="316"/>
      <c r="AK2206" s="316"/>
      <c r="AL2206" s="316"/>
      <c r="AM2206" s="416"/>
      <c r="AR2206" s="333"/>
      <c r="AS2206" s="333"/>
      <c r="AT2206" s="333"/>
      <c r="AU2206" s="333"/>
      <c r="AV2206" s="333"/>
    </row>
    <row r="2207" spans="2:48" s="330" customFormat="1" ht="28.15" customHeight="1" x14ac:dyDescent="0.25">
      <c r="B2207" s="331"/>
      <c r="C2207" s="332"/>
      <c r="D2207" s="332"/>
      <c r="E2207" s="333"/>
      <c r="F2207" s="333"/>
      <c r="R2207" s="316"/>
      <c r="S2207" s="404"/>
      <c r="T2207" s="404"/>
      <c r="U2207" s="404"/>
      <c r="V2207" s="404"/>
      <c r="W2207" s="316"/>
      <c r="X2207" s="316"/>
      <c r="Y2207" s="316"/>
      <c r="Z2207" s="316"/>
      <c r="AA2207" s="404"/>
      <c r="AB2207" s="404"/>
      <c r="AC2207" s="404"/>
      <c r="AD2207" s="404"/>
      <c r="AE2207" s="316"/>
      <c r="AF2207" s="316"/>
      <c r="AG2207" s="404"/>
      <c r="AH2207" s="316"/>
      <c r="AI2207" s="316"/>
      <c r="AJ2207" s="316"/>
      <c r="AK2207" s="316"/>
      <c r="AL2207" s="316"/>
      <c r="AM2207" s="416"/>
      <c r="AR2207" s="333"/>
      <c r="AS2207" s="333"/>
      <c r="AT2207" s="333"/>
      <c r="AU2207" s="333"/>
      <c r="AV2207" s="333"/>
    </row>
    <row r="2208" spans="2:48" s="330" customFormat="1" ht="28.15" customHeight="1" x14ac:dyDescent="0.25">
      <c r="B2208" s="331"/>
      <c r="C2208" s="332"/>
      <c r="D2208" s="332"/>
      <c r="E2208" s="333"/>
      <c r="F2208" s="333"/>
      <c r="R2208" s="316"/>
      <c r="S2208" s="404"/>
      <c r="T2208" s="404"/>
      <c r="U2208" s="404"/>
      <c r="V2208" s="404"/>
      <c r="W2208" s="316"/>
      <c r="X2208" s="316"/>
      <c r="Y2208" s="316"/>
      <c r="Z2208" s="316"/>
      <c r="AA2208" s="404"/>
      <c r="AB2208" s="404"/>
      <c r="AC2208" s="404"/>
      <c r="AD2208" s="404"/>
      <c r="AE2208" s="316"/>
      <c r="AF2208" s="316"/>
      <c r="AG2208" s="404"/>
      <c r="AH2208" s="316"/>
      <c r="AI2208" s="316"/>
      <c r="AJ2208" s="316"/>
      <c r="AK2208" s="316"/>
      <c r="AL2208" s="316"/>
      <c r="AM2208" s="416"/>
      <c r="AR2208" s="333"/>
      <c r="AS2208" s="333"/>
      <c r="AT2208" s="333"/>
      <c r="AU2208" s="333"/>
      <c r="AV2208" s="333"/>
    </row>
    <row r="2209" spans="2:48" s="330" customFormat="1" ht="28.15" customHeight="1" x14ac:dyDescent="0.25">
      <c r="B2209" s="331"/>
      <c r="C2209" s="332"/>
      <c r="D2209" s="332"/>
      <c r="E2209" s="333"/>
      <c r="F2209" s="333"/>
      <c r="R2209" s="316"/>
      <c r="S2209" s="404"/>
      <c r="T2209" s="404"/>
      <c r="U2209" s="404"/>
      <c r="V2209" s="404"/>
      <c r="W2209" s="316"/>
      <c r="X2209" s="316"/>
      <c r="Y2209" s="316"/>
      <c r="Z2209" s="316"/>
      <c r="AA2209" s="404"/>
      <c r="AB2209" s="404"/>
      <c r="AC2209" s="404"/>
      <c r="AD2209" s="404"/>
      <c r="AE2209" s="316"/>
      <c r="AF2209" s="316"/>
      <c r="AG2209" s="404"/>
      <c r="AH2209" s="316"/>
      <c r="AI2209" s="316"/>
      <c r="AJ2209" s="316"/>
      <c r="AK2209" s="316"/>
      <c r="AL2209" s="316"/>
      <c r="AM2209" s="416"/>
      <c r="AR2209" s="333"/>
      <c r="AS2209" s="333"/>
      <c r="AT2209" s="333"/>
      <c r="AU2209" s="333"/>
      <c r="AV2209" s="333"/>
    </row>
    <row r="2210" spans="2:48" s="330" customFormat="1" ht="28.15" customHeight="1" x14ac:dyDescent="0.25">
      <c r="B2210" s="331"/>
      <c r="C2210" s="332"/>
      <c r="D2210" s="332"/>
      <c r="E2210" s="333"/>
      <c r="F2210" s="333"/>
      <c r="R2210" s="316"/>
      <c r="S2210" s="404"/>
      <c r="T2210" s="404"/>
      <c r="U2210" s="404"/>
      <c r="V2210" s="404"/>
      <c r="W2210" s="316"/>
      <c r="X2210" s="316"/>
      <c r="Y2210" s="316"/>
      <c r="Z2210" s="316"/>
      <c r="AA2210" s="404"/>
      <c r="AB2210" s="404"/>
      <c r="AC2210" s="404"/>
      <c r="AD2210" s="404"/>
      <c r="AE2210" s="316"/>
      <c r="AF2210" s="316"/>
      <c r="AG2210" s="404"/>
      <c r="AH2210" s="316"/>
      <c r="AI2210" s="316"/>
      <c r="AJ2210" s="316"/>
      <c r="AK2210" s="316"/>
      <c r="AL2210" s="316"/>
      <c r="AM2210" s="416"/>
      <c r="AR2210" s="333"/>
      <c r="AS2210" s="333"/>
      <c r="AT2210" s="333"/>
      <c r="AU2210" s="333"/>
      <c r="AV2210" s="333"/>
    </row>
    <row r="2211" spans="2:48" s="330" customFormat="1" ht="28.15" customHeight="1" x14ac:dyDescent="0.25">
      <c r="B2211" s="331"/>
      <c r="C2211" s="332"/>
      <c r="D2211" s="332"/>
      <c r="E2211" s="333"/>
      <c r="F2211" s="333"/>
      <c r="R2211" s="316"/>
      <c r="S2211" s="404"/>
      <c r="T2211" s="404"/>
      <c r="U2211" s="404"/>
      <c r="V2211" s="404"/>
      <c r="W2211" s="316"/>
      <c r="X2211" s="316"/>
      <c r="Y2211" s="316"/>
      <c r="Z2211" s="316"/>
      <c r="AA2211" s="404"/>
      <c r="AB2211" s="404"/>
      <c r="AC2211" s="404"/>
      <c r="AD2211" s="404"/>
      <c r="AE2211" s="316"/>
      <c r="AF2211" s="316"/>
      <c r="AG2211" s="404"/>
      <c r="AH2211" s="316"/>
      <c r="AI2211" s="316"/>
      <c r="AJ2211" s="316"/>
      <c r="AK2211" s="316"/>
      <c r="AL2211" s="316"/>
      <c r="AM2211" s="416"/>
      <c r="AR2211" s="333"/>
      <c r="AS2211" s="333"/>
      <c r="AT2211" s="333"/>
      <c r="AU2211" s="333"/>
      <c r="AV2211" s="333"/>
    </row>
    <row r="2212" spans="2:48" s="330" customFormat="1" ht="28.15" customHeight="1" x14ac:dyDescent="0.25">
      <c r="B2212" s="331"/>
      <c r="C2212" s="332"/>
      <c r="D2212" s="332"/>
      <c r="E2212" s="333"/>
      <c r="F2212" s="333"/>
      <c r="R2212" s="316"/>
      <c r="S2212" s="404"/>
      <c r="T2212" s="404"/>
      <c r="U2212" s="404"/>
      <c r="V2212" s="404"/>
      <c r="W2212" s="316"/>
      <c r="X2212" s="316"/>
      <c r="Y2212" s="316"/>
      <c r="Z2212" s="316"/>
      <c r="AA2212" s="404"/>
      <c r="AB2212" s="404"/>
      <c r="AC2212" s="404"/>
      <c r="AD2212" s="404"/>
      <c r="AE2212" s="316"/>
      <c r="AF2212" s="316"/>
      <c r="AG2212" s="404"/>
      <c r="AH2212" s="316"/>
      <c r="AI2212" s="316"/>
      <c r="AJ2212" s="316"/>
      <c r="AK2212" s="316"/>
      <c r="AL2212" s="316"/>
      <c r="AM2212" s="416"/>
      <c r="AR2212" s="333"/>
      <c r="AS2212" s="333"/>
      <c r="AT2212" s="333"/>
      <c r="AU2212" s="333"/>
      <c r="AV2212" s="333"/>
    </row>
    <row r="2213" spans="2:48" s="330" customFormat="1" ht="28.15" customHeight="1" x14ac:dyDescent="0.25">
      <c r="B2213" s="331"/>
      <c r="C2213" s="332"/>
      <c r="D2213" s="332"/>
      <c r="E2213" s="333"/>
      <c r="F2213" s="333"/>
      <c r="R2213" s="316"/>
      <c r="S2213" s="404"/>
      <c r="T2213" s="404"/>
      <c r="U2213" s="404"/>
      <c r="V2213" s="404"/>
      <c r="W2213" s="316"/>
      <c r="X2213" s="316"/>
      <c r="Y2213" s="316"/>
      <c r="Z2213" s="316"/>
      <c r="AA2213" s="404"/>
      <c r="AB2213" s="404"/>
      <c r="AC2213" s="404"/>
      <c r="AD2213" s="404"/>
      <c r="AE2213" s="316"/>
      <c r="AF2213" s="316"/>
      <c r="AG2213" s="404"/>
      <c r="AH2213" s="316"/>
      <c r="AI2213" s="316"/>
      <c r="AJ2213" s="316"/>
      <c r="AK2213" s="316"/>
      <c r="AL2213" s="316"/>
      <c r="AM2213" s="416"/>
      <c r="AR2213" s="333"/>
      <c r="AS2213" s="333"/>
      <c r="AT2213" s="333"/>
      <c r="AU2213" s="333"/>
      <c r="AV2213" s="333"/>
    </row>
    <row r="2214" spans="2:48" s="330" customFormat="1" ht="28.15" customHeight="1" x14ac:dyDescent="0.25">
      <c r="B2214" s="331"/>
      <c r="C2214" s="332"/>
      <c r="D2214" s="332"/>
      <c r="E2214" s="333"/>
      <c r="F2214" s="333"/>
      <c r="R2214" s="316"/>
      <c r="S2214" s="404"/>
      <c r="T2214" s="404"/>
      <c r="U2214" s="404"/>
      <c r="V2214" s="404"/>
      <c r="W2214" s="316"/>
      <c r="X2214" s="316"/>
      <c r="Y2214" s="316"/>
      <c r="Z2214" s="316"/>
      <c r="AA2214" s="404"/>
      <c r="AB2214" s="404"/>
      <c r="AC2214" s="404"/>
      <c r="AD2214" s="404"/>
      <c r="AE2214" s="316"/>
      <c r="AF2214" s="316"/>
      <c r="AG2214" s="404"/>
      <c r="AH2214" s="316"/>
      <c r="AI2214" s="316"/>
      <c r="AJ2214" s="316"/>
      <c r="AK2214" s="316"/>
      <c r="AL2214" s="316"/>
      <c r="AM2214" s="416"/>
      <c r="AR2214" s="333"/>
      <c r="AS2214" s="333"/>
      <c r="AT2214" s="333"/>
      <c r="AU2214" s="333"/>
      <c r="AV2214" s="333"/>
    </row>
    <row r="2215" spans="2:48" s="330" customFormat="1" ht="28.15" customHeight="1" x14ac:dyDescent="0.25">
      <c r="B2215" s="331"/>
      <c r="C2215" s="332"/>
      <c r="D2215" s="332"/>
      <c r="E2215" s="333"/>
      <c r="F2215" s="333"/>
      <c r="R2215" s="316"/>
      <c r="S2215" s="404"/>
      <c r="T2215" s="404"/>
      <c r="U2215" s="404"/>
      <c r="V2215" s="404"/>
      <c r="W2215" s="316"/>
      <c r="X2215" s="316"/>
      <c r="Y2215" s="316"/>
      <c r="Z2215" s="316"/>
      <c r="AA2215" s="404"/>
      <c r="AB2215" s="404"/>
      <c r="AC2215" s="404"/>
      <c r="AD2215" s="404"/>
      <c r="AE2215" s="316"/>
      <c r="AF2215" s="316"/>
      <c r="AG2215" s="404"/>
      <c r="AH2215" s="316"/>
      <c r="AI2215" s="316"/>
      <c r="AJ2215" s="316"/>
      <c r="AK2215" s="316"/>
      <c r="AL2215" s="316"/>
      <c r="AM2215" s="416"/>
      <c r="AR2215" s="333"/>
      <c r="AS2215" s="333"/>
      <c r="AT2215" s="333"/>
      <c r="AU2215" s="333"/>
      <c r="AV2215" s="333"/>
    </row>
    <row r="2216" spans="2:48" s="330" customFormat="1" ht="28.15" customHeight="1" x14ac:dyDescent="0.25">
      <c r="B2216" s="331"/>
      <c r="C2216" s="332"/>
      <c r="D2216" s="332"/>
      <c r="E2216" s="333"/>
      <c r="F2216" s="333"/>
      <c r="R2216" s="316"/>
      <c r="S2216" s="404"/>
      <c r="T2216" s="404"/>
      <c r="U2216" s="404"/>
      <c r="V2216" s="404"/>
      <c r="W2216" s="316"/>
      <c r="X2216" s="316"/>
      <c r="Y2216" s="316"/>
      <c r="Z2216" s="316"/>
      <c r="AA2216" s="404"/>
      <c r="AB2216" s="404"/>
      <c r="AC2216" s="404"/>
      <c r="AD2216" s="404"/>
      <c r="AE2216" s="316"/>
      <c r="AF2216" s="316"/>
      <c r="AG2216" s="404"/>
      <c r="AH2216" s="316"/>
      <c r="AI2216" s="316"/>
      <c r="AJ2216" s="316"/>
      <c r="AK2216" s="316"/>
      <c r="AL2216" s="316"/>
      <c r="AM2216" s="416"/>
      <c r="AR2216" s="333"/>
      <c r="AS2216" s="333"/>
      <c r="AT2216" s="333"/>
      <c r="AU2216" s="333"/>
      <c r="AV2216" s="333"/>
    </row>
    <row r="2217" spans="2:48" s="330" customFormat="1" ht="28.15" customHeight="1" x14ac:dyDescent="0.25">
      <c r="B2217" s="331"/>
      <c r="C2217" s="332"/>
      <c r="D2217" s="332"/>
      <c r="E2217" s="333"/>
      <c r="F2217" s="333"/>
      <c r="R2217" s="316"/>
      <c r="S2217" s="404"/>
      <c r="T2217" s="404"/>
      <c r="U2217" s="404"/>
      <c r="V2217" s="404"/>
      <c r="W2217" s="316"/>
      <c r="X2217" s="316"/>
      <c r="Y2217" s="316"/>
      <c r="Z2217" s="316"/>
      <c r="AA2217" s="404"/>
      <c r="AB2217" s="404"/>
      <c r="AC2217" s="404"/>
      <c r="AD2217" s="404"/>
      <c r="AE2217" s="316"/>
      <c r="AF2217" s="316"/>
      <c r="AG2217" s="404"/>
      <c r="AH2217" s="316"/>
      <c r="AI2217" s="316"/>
      <c r="AJ2217" s="316"/>
      <c r="AK2217" s="316"/>
      <c r="AL2217" s="316"/>
      <c r="AM2217" s="416"/>
      <c r="AR2217" s="333"/>
      <c r="AS2217" s="333"/>
      <c r="AT2217" s="333"/>
      <c r="AU2217" s="333"/>
      <c r="AV2217" s="333"/>
    </row>
    <row r="2218" spans="2:48" s="330" customFormat="1" ht="28.15" customHeight="1" x14ac:dyDescent="0.25">
      <c r="B2218" s="331"/>
      <c r="C2218" s="332"/>
      <c r="D2218" s="332"/>
      <c r="E2218" s="333"/>
      <c r="F2218" s="333"/>
      <c r="R2218" s="316"/>
      <c r="S2218" s="404"/>
      <c r="T2218" s="404"/>
      <c r="U2218" s="404"/>
      <c r="V2218" s="404"/>
      <c r="W2218" s="316"/>
      <c r="X2218" s="316"/>
      <c r="Y2218" s="316"/>
      <c r="Z2218" s="316"/>
      <c r="AA2218" s="404"/>
      <c r="AB2218" s="404"/>
      <c r="AC2218" s="404"/>
      <c r="AD2218" s="404"/>
      <c r="AE2218" s="316"/>
      <c r="AF2218" s="316"/>
      <c r="AG2218" s="404"/>
      <c r="AH2218" s="316"/>
      <c r="AI2218" s="316"/>
      <c r="AJ2218" s="316"/>
      <c r="AK2218" s="316"/>
      <c r="AL2218" s="316"/>
      <c r="AM2218" s="416"/>
      <c r="AR2218" s="333"/>
      <c r="AS2218" s="333"/>
      <c r="AT2218" s="333"/>
      <c r="AU2218" s="333"/>
      <c r="AV2218" s="333"/>
    </row>
    <row r="2219" spans="2:48" s="330" customFormat="1" ht="28.15" customHeight="1" x14ac:dyDescent="0.25">
      <c r="B2219" s="331"/>
      <c r="C2219" s="332"/>
      <c r="D2219" s="332"/>
      <c r="E2219" s="333"/>
      <c r="F2219" s="333"/>
      <c r="R2219" s="316"/>
      <c r="S2219" s="404"/>
      <c r="T2219" s="404"/>
      <c r="U2219" s="404"/>
      <c r="V2219" s="404"/>
      <c r="W2219" s="316"/>
      <c r="X2219" s="316"/>
      <c r="Y2219" s="316"/>
      <c r="Z2219" s="316"/>
      <c r="AA2219" s="404"/>
      <c r="AB2219" s="404"/>
      <c r="AC2219" s="404"/>
      <c r="AD2219" s="404"/>
      <c r="AE2219" s="316"/>
      <c r="AF2219" s="316"/>
      <c r="AG2219" s="404"/>
      <c r="AH2219" s="316"/>
      <c r="AI2219" s="316"/>
      <c r="AJ2219" s="316"/>
      <c r="AK2219" s="316"/>
      <c r="AL2219" s="316"/>
      <c r="AM2219" s="416"/>
      <c r="AR2219" s="333"/>
      <c r="AS2219" s="333"/>
      <c r="AT2219" s="333"/>
      <c r="AU2219" s="333"/>
      <c r="AV2219" s="333"/>
    </row>
    <row r="2220" spans="2:48" s="330" customFormat="1" ht="28.15" customHeight="1" x14ac:dyDescent="0.25">
      <c r="B2220" s="331"/>
      <c r="C2220" s="332"/>
      <c r="D2220" s="332"/>
      <c r="E2220" s="333"/>
      <c r="F2220" s="333"/>
      <c r="R2220" s="316"/>
      <c r="S2220" s="404"/>
      <c r="T2220" s="404"/>
      <c r="U2220" s="404"/>
      <c r="V2220" s="404"/>
      <c r="W2220" s="316"/>
      <c r="X2220" s="316"/>
      <c r="Y2220" s="316"/>
      <c r="Z2220" s="316"/>
      <c r="AA2220" s="404"/>
      <c r="AB2220" s="404"/>
      <c r="AC2220" s="404"/>
      <c r="AD2220" s="404"/>
      <c r="AE2220" s="316"/>
      <c r="AF2220" s="316"/>
      <c r="AG2220" s="404"/>
      <c r="AH2220" s="316"/>
      <c r="AI2220" s="316"/>
      <c r="AJ2220" s="316"/>
      <c r="AK2220" s="316"/>
      <c r="AL2220" s="316"/>
      <c r="AM2220" s="416"/>
      <c r="AR2220" s="333"/>
      <c r="AS2220" s="333"/>
      <c r="AT2220" s="333"/>
      <c r="AU2220" s="333"/>
      <c r="AV2220" s="333"/>
    </row>
    <row r="2221" spans="2:48" s="330" customFormat="1" ht="28.15" customHeight="1" x14ac:dyDescent="0.25">
      <c r="B2221" s="331"/>
      <c r="C2221" s="332"/>
      <c r="D2221" s="332"/>
      <c r="E2221" s="333"/>
      <c r="F2221" s="333"/>
      <c r="R2221" s="316"/>
      <c r="S2221" s="404"/>
      <c r="T2221" s="404"/>
      <c r="U2221" s="404"/>
      <c r="V2221" s="404"/>
      <c r="W2221" s="316"/>
      <c r="X2221" s="316"/>
      <c r="Y2221" s="316"/>
      <c r="Z2221" s="316"/>
      <c r="AA2221" s="404"/>
      <c r="AB2221" s="404"/>
      <c r="AC2221" s="404"/>
      <c r="AD2221" s="404"/>
      <c r="AE2221" s="316"/>
      <c r="AF2221" s="316"/>
      <c r="AG2221" s="404"/>
      <c r="AH2221" s="316"/>
      <c r="AI2221" s="316"/>
      <c r="AJ2221" s="316"/>
      <c r="AK2221" s="316"/>
      <c r="AL2221" s="316"/>
      <c r="AM2221" s="416"/>
      <c r="AR2221" s="333"/>
      <c r="AS2221" s="333"/>
      <c r="AT2221" s="333"/>
      <c r="AU2221" s="333"/>
      <c r="AV2221" s="333"/>
    </row>
    <row r="2222" spans="2:48" s="330" customFormat="1" ht="28.15" customHeight="1" x14ac:dyDescent="0.25">
      <c r="B2222" s="331"/>
      <c r="C2222" s="332"/>
      <c r="D2222" s="332"/>
      <c r="E2222" s="333"/>
      <c r="F2222" s="333"/>
      <c r="R2222" s="316"/>
      <c r="S2222" s="404"/>
      <c r="T2222" s="404"/>
      <c r="U2222" s="404"/>
      <c r="V2222" s="404"/>
      <c r="W2222" s="316"/>
      <c r="X2222" s="316"/>
      <c r="Y2222" s="316"/>
      <c r="Z2222" s="316"/>
      <c r="AA2222" s="404"/>
      <c r="AB2222" s="404"/>
      <c r="AC2222" s="404"/>
      <c r="AD2222" s="404"/>
      <c r="AE2222" s="316"/>
      <c r="AF2222" s="316"/>
      <c r="AG2222" s="404"/>
      <c r="AH2222" s="316"/>
      <c r="AI2222" s="316"/>
      <c r="AJ2222" s="316"/>
      <c r="AK2222" s="316"/>
      <c r="AL2222" s="316"/>
      <c r="AM2222" s="416"/>
      <c r="AR2222" s="333"/>
      <c r="AS2222" s="333"/>
      <c r="AT2222" s="333"/>
      <c r="AU2222" s="333"/>
      <c r="AV2222" s="333"/>
    </row>
    <row r="2223" spans="2:48" s="330" customFormat="1" ht="28.15" customHeight="1" x14ac:dyDescent="0.25">
      <c r="B2223" s="331"/>
      <c r="C2223" s="332"/>
      <c r="D2223" s="332"/>
      <c r="E2223" s="333"/>
      <c r="F2223" s="333"/>
      <c r="R2223" s="316"/>
      <c r="S2223" s="404"/>
      <c r="T2223" s="404"/>
      <c r="U2223" s="404"/>
      <c r="V2223" s="404"/>
      <c r="W2223" s="316"/>
      <c r="X2223" s="316"/>
      <c r="Y2223" s="316"/>
      <c r="Z2223" s="316"/>
      <c r="AA2223" s="404"/>
      <c r="AB2223" s="404"/>
      <c r="AC2223" s="404"/>
      <c r="AD2223" s="404"/>
      <c r="AE2223" s="316"/>
      <c r="AF2223" s="316"/>
      <c r="AG2223" s="404"/>
      <c r="AH2223" s="316"/>
      <c r="AI2223" s="316"/>
      <c r="AJ2223" s="316"/>
      <c r="AK2223" s="316"/>
      <c r="AL2223" s="316"/>
      <c r="AM2223" s="416"/>
      <c r="AR2223" s="333"/>
      <c r="AS2223" s="333"/>
      <c r="AT2223" s="333"/>
      <c r="AU2223" s="333"/>
      <c r="AV2223" s="333"/>
    </row>
    <row r="2224" spans="2:48" s="330" customFormat="1" ht="28.15" customHeight="1" x14ac:dyDescent="0.25">
      <c r="B2224" s="331"/>
      <c r="C2224" s="332"/>
      <c r="D2224" s="332"/>
      <c r="E2224" s="333"/>
      <c r="F2224" s="333"/>
      <c r="R2224" s="316"/>
      <c r="S2224" s="404"/>
      <c r="T2224" s="404"/>
      <c r="U2224" s="404"/>
      <c r="V2224" s="404"/>
      <c r="W2224" s="316"/>
      <c r="X2224" s="316"/>
      <c r="Y2224" s="316"/>
      <c r="Z2224" s="316"/>
      <c r="AA2224" s="404"/>
      <c r="AB2224" s="404"/>
      <c r="AC2224" s="404"/>
      <c r="AD2224" s="404"/>
      <c r="AE2224" s="316"/>
      <c r="AF2224" s="316"/>
      <c r="AG2224" s="404"/>
      <c r="AH2224" s="316"/>
      <c r="AI2224" s="316"/>
      <c r="AJ2224" s="316"/>
      <c r="AK2224" s="316"/>
      <c r="AL2224" s="316"/>
      <c r="AM2224" s="416"/>
      <c r="AR2224" s="333"/>
      <c r="AS2224" s="333"/>
      <c r="AT2224" s="333"/>
      <c r="AU2224" s="333"/>
      <c r="AV2224" s="333"/>
    </row>
    <row r="2225" spans="2:48" s="330" customFormat="1" ht="28.15" customHeight="1" x14ac:dyDescent="0.25">
      <c r="B2225" s="331"/>
      <c r="C2225" s="332"/>
      <c r="D2225" s="332"/>
      <c r="E2225" s="333"/>
      <c r="F2225" s="333"/>
      <c r="R2225" s="316"/>
      <c r="S2225" s="404"/>
      <c r="T2225" s="404"/>
      <c r="U2225" s="404"/>
      <c r="V2225" s="404"/>
      <c r="W2225" s="316"/>
      <c r="X2225" s="316"/>
      <c r="Y2225" s="316"/>
      <c r="Z2225" s="316"/>
      <c r="AA2225" s="404"/>
      <c r="AB2225" s="404"/>
      <c r="AC2225" s="404"/>
      <c r="AD2225" s="404"/>
      <c r="AE2225" s="316"/>
      <c r="AF2225" s="316"/>
      <c r="AG2225" s="404"/>
      <c r="AH2225" s="316"/>
      <c r="AI2225" s="316"/>
      <c r="AJ2225" s="316"/>
      <c r="AK2225" s="316"/>
      <c r="AL2225" s="316"/>
      <c r="AM2225" s="416"/>
      <c r="AR2225" s="333"/>
      <c r="AS2225" s="333"/>
      <c r="AT2225" s="333"/>
      <c r="AU2225" s="333"/>
      <c r="AV2225" s="333"/>
    </row>
    <row r="2226" spans="2:48" s="330" customFormat="1" ht="28.15" customHeight="1" x14ac:dyDescent="0.25">
      <c r="B2226" s="331"/>
      <c r="C2226" s="332"/>
      <c r="D2226" s="332"/>
      <c r="E2226" s="333"/>
      <c r="F2226" s="333"/>
      <c r="R2226" s="316"/>
      <c r="S2226" s="404"/>
      <c r="T2226" s="404"/>
      <c r="U2226" s="404"/>
      <c r="V2226" s="404"/>
      <c r="W2226" s="316"/>
      <c r="X2226" s="316"/>
      <c r="Y2226" s="316"/>
      <c r="Z2226" s="316"/>
      <c r="AA2226" s="404"/>
      <c r="AB2226" s="404"/>
      <c r="AC2226" s="404"/>
      <c r="AD2226" s="404"/>
      <c r="AE2226" s="316"/>
      <c r="AF2226" s="316"/>
      <c r="AG2226" s="404"/>
      <c r="AH2226" s="316"/>
      <c r="AI2226" s="316"/>
      <c r="AJ2226" s="316"/>
      <c r="AK2226" s="316"/>
      <c r="AL2226" s="316"/>
      <c r="AM2226" s="416"/>
      <c r="AR2226" s="333"/>
      <c r="AS2226" s="333"/>
      <c r="AT2226" s="333"/>
      <c r="AU2226" s="333"/>
      <c r="AV2226" s="333"/>
    </row>
    <row r="2227" spans="2:48" s="330" customFormat="1" ht="28.15" customHeight="1" x14ac:dyDescent="0.25">
      <c r="B2227" s="331"/>
      <c r="C2227" s="332"/>
      <c r="D2227" s="332"/>
      <c r="E2227" s="333"/>
      <c r="F2227" s="333"/>
      <c r="R2227" s="316"/>
      <c r="S2227" s="404"/>
      <c r="T2227" s="404"/>
      <c r="U2227" s="404"/>
      <c r="V2227" s="404"/>
      <c r="W2227" s="316"/>
      <c r="X2227" s="316"/>
      <c r="Y2227" s="316"/>
      <c r="Z2227" s="316"/>
      <c r="AA2227" s="404"/>
      <c r="AB2227" s="404"/>
      <c r="AC2227" s="404"/>
      <c r="AD2227" s="404"/>
      <c r="AE2227" s="316"/>
      <c r="AF2227" s="316"/>
      <c r="AG2227" s="404"/>
      <c r="AH2227" s="316"/>
      <c r="AI2227" s="316"/>
      <c r="AJ2227" s="316"/>
      <c r="AK2227" s="316"/>
      <c r="AL2227" s="316"/>
      <c r="AM2227" s="416"/>
      <c r="AR2227" s="333"/>
      <c r="AS2227" s="333"/>
      <c r="AT2227" s="333"/>
      <c r="AU2227" s="333"/>
      <c r="AV2227" s="333"/>
    </row>
    <row r="2228" spans="2:48" s="330" customFormat="1" ht="28.15" customHeight="1" x14ac:dyDescent="0.25">
      <c r="B2228" s="331"/>
      <c r="C2228" s="332"/>
      <c r="D2228" s="332"/>
      <c r="E2228" s="333"/>
      <c r="F2228" s="333"/>
      <c r="R2228" s="316"/>
      <c r="S2228" s="404"/>
      <c r="T2228" s="404"/>
      <c r="U2228" s="404"/>
      <c r="V2228" s="404"/>
      <c r="W2228" s="316"/>
      <c r="X2228" s="316"/>
      <c r="Y2228" s="316"/>
      <c r="Z2228" s="316"/>
      <c r="AA2228" s="404"/>
      <c r="AB2228" s="404"/>
      <c r="AC2228" s="404"/>
      <c r="AD2228" s="404"/>
      <c r="AE2228" s="316"/>
      <c r="AF2228" s="316"/>
      <c r="AG2228" s="404"/>
      <c r="AH2228" s="316"/>
      <c r="AI2228" s="316"/>
      <c r="AJ2228" s="316"/>
      <c r="AK2228" s="316"/>
      <c r="AL2228" s="316"/>
      <c r="AM2228" s="416"/>
      <c r="AR2228" s="333"/>
      <c r="AS2228" s="333"/>
      <c r="AT2228" s="333"/>
      <c r="AU2228" s="333"/>
      <c r="AV2228" s="333"/>
    </row>
    <row r="2229" spans="2:48" s="330" customFormat="1" ht="28.15" customHeight="1" x14ac:dyDescent="0.25">
      <c r="B2229" s="331"/>
      <c r="C2229" s="332"/>
      <c r="D2229" s="332"/>
      <c r="E2229" s="333"/>
      <c r="F2229" s="333"/>
      <c r="R2229" s="316"/>
      <c r="S2229" s="404"/>
      <c r="T2229" s="404"/>
      <c r="U2229" s="404"/>
      <c r="V2229" s="404"/>
      <c r="W2229" s="316"/>
      <c r="X2229" s="316"/>
      <c r="Y2229" s="316"/>
      <c r="Z2229" s="316"/>
      <c r="AA2229" s="404"/>
      <c r="AB2229" s="404"/>
      <c r="AC2229" s="404"/>
      <c r="AD2229" s="404"/>
      <c r="AE2229" s="316"/>
      <c r="AF2229" s="316"/>
      <c r="AG2229" s="404"/>
      <c r="AH2229" s="316"/>
      <c r="AI2229" s="316"/>
      <c r="AJ2229" s="316"/>
      <c r="AK2229" s="316"/>
      <c r="AL2229" s="316"/>
      <c r="AM2229" s="416"/>
      <c r="AR2229" s="333"/>
      <c r="AS2229" s="333"/>
      <c r="AT2229" s="333"/>
      <c r="AU2229" s="333"/>
      <c r="AV2229" s="333"/>
    </row>
    <row r="2230" spans="2:48" s="330" customFormat="1" ht="28.15" customHeight="1" x14ac:dyDescent="0.25">
      <c r="B2230" s="331"/>
      <c r="C2230" s="332"/>
      <c r="D2230" s="332"/>
      <c r="E2230" s="333"/>
      <c r="F2230" s="333"/>
      <c r="R2230" s="316"/>
      <c r="S2230" s="404"/>
      <c r="T2230" s="404"/>
      <c r="U2230" s="404"/>
      <c r="V2230" s="404"/>
      <c r="W2230" s="316"/>
      <c r="X2230" s="316"/>
      <c r="Y2230" s="316"/>
      <c r="Z2230" s="316"/>
      <c r="AA2230" s="404"/>
      <c r="AB2230" s="404"/>
      <c r="AC2230" s="404"/>
      <c r="AD2230" s="404"/>
      <c r="AE2230" s="316"/>
      <c r="AF2230" s="316"/>
      <c r="AG2230" s="404"/>
      <c r="AH2230" s="316"/>
      <c r="AI2230" s="316"/>
      <c r="AJ2230" s="316"/>
      <c r="AK2230" s="316"/>
      <c r="AL2230" s="316"/>
      <c r="AM2230" s="416"/>
      <c r="AR2230" s="333"/>
      <c r="AS2230" s="333"/>
      <c r="AT2230" s="333"/>
      <c r="AU2230" s="333"/>
      <c r="AV2230" s="333"/>
    </row>
    <row r="2231" spans="2:48" s="330" customFormat="1" ht="28.15" customHeight="1" x14ac:dyDescent="0.25">
      <c r="B2231" s="331"/>
      <c r="C2231" s="332"/>
      <c r="D2231" s="332"/>
      <c r="E2231" s="333"/>
      <c r="F2231" s="333"/>
      <c r="R2231" s="316"/>
      <c r="S2231" s="404"/>
      <c r="T2231" s="404"/>
      <c r="U2231" s="404"/>
      <c r="V2231" s="404"/>
      <c r="W2231" s="316"/>
      <c r="X2231" s="316"/>
      <c r="Y2231" s="316"/>
      <c r="Z2231" s="316"/>
      <c r="AA2231" s="404"/>
      <c r="AB2231" s="404"/>
      <c r="AC2231" s="404"/>
      <c r="AD2231" s="404"/>
      <c r="AE2231" s="316"/>
      <c r="AF2231" s="316"/>
      <c r="AG2231" s="404"/>
      <c r="AH2231" s="316"/>
      <c r="AI2231" s="316"/>
      <c r="AJ2231" s="316"/>
      <c r="AK2231" s="316"/>
      <c r="AL2231" s="316"/>
      <c r="AM2231" s="416"/>
      <c r="AR2231" s="333"/>
      <c r="AS2231" s="333"/>
      <c r="AT2231" s="333"/>
      <c r="AU2231" s="333"/>
      <c r="AV2231" s="333"/>
    </row>
    <row r="2232" spans="2:48" s="330" customFormat="1" ht="28.15" customHeight="1" x14ac:dyDescent="0.25">
      <c r="B2232" s="331"/>
      <c r="C2232" s="332"/>
      <c r="D2232" s="332"/>
      <c r="E2232" s="333"/>
      <c r="F2232" s="333"/>
      <c r="R2232" s="316"/>
      <c r="S2232" s="404"/>
      <c r="T2232" s="404"/>
      <c r="U2232" s="404"/>
      <c r="V2232" s="404"/>
      <c r="W2232" s="316"/>
      <c r="X2232" s="316"/>
      <c r="Y2232" s="316"/>
      <c r="Z2232" s="316"/>
      <c r="AA2232" s="404"/>
      <c r="AB2232" s="404"/>
      <c r="AC2232" s="404"/>
      <c r="AD2232" s="404"/>
      <c r="AE2232" s="316"/>
      <c r="AF2232" s="316"/>
      <c r="AG2232" s="404"/>
      <c r="AH2232" s="316"/>
      <c r="AI2232" s="316"/>
      <c r="AJ2232" s="316"/>
      <c r="AK2232" s="316"/>
      <c r="AL2232" s="316"/>
      <c r="AM2232" s="416"/>
      <c r="AR2232" s="333"/>
      <c r="AS2232" s="333"/>
      <c r="AT2232" s="333"/>
      <c r="AU2232" s="333"/>
      <c r="AV2232" s="333"/>
    </row>
    <row r="2233" spans="2:48" s="330" customFormat="1" ht="28.15" customHeight="1" x14ac:dyDescent="0.25">
      <c r="B2233" s="331"/>
      <c r="C2233" s="332"/>
      <c r="D2233" s="332"/>
      <c r="E2233" s="333"/>
      <c r="F2233" s="333"/>
      <c r="R2233" s="316"/>
      <c r="S2233" s="404"/>
      <c r="T2233" s="404"/>
      <c r="U2233" s="404"/>
      <c r="V2233" s="404"/>
      <c r="W2233" s="316"/>
      <c r="X2233" s="316"/>
      <c r="Y2233" s="316"/>
      <c r="Z2233" s="316"/>
      <c r="AA2233" s="404"/>
      <c r="AB2233" s="404"/>
      <c r="AC2233" s="404"/>
      <c r="AD2233" s="404"/>
      <c r="AE2233" s="316"/>
      <c r="AF2233" s="316"/>
      <c r="AG2233" s="404"/>
      <c r="AH2233" s="316"/>
      <c r="AI2233" s="316"/>
      <c r="AJ2233" s="316"/>
      <c r="AK2233" s="316"/>
      <c r="AL2233" s="316"/>
      <c r="AM2233" s="416"/>
      <c r="AR2233" s="333"/>
      <c r="AS2233" s="333"/>
      <c r="AT2233" s="333"/>
      <c r="AU2233" s="333"/>
      <c r="AV2233" s="333"/>
    </row>
    <row r="2234" spans="2:48" s="330" customFormat="1" ht="28.15" customHeight="1" x14ac:dyDescent="0.25">
      <c r="B2234" s="331"/>
      <c r="C2234" s="332"/>
      <c r="D2234" s="332"/>
      <c r="E2234" s="333"/>
      <c r="F2234" s="333"/>
      <c r="R2234" s="316"/>
      <c r="S2234" s="404"/>
      <c r="T2234" s="404"/>
      <c r="U2234" s="404"/>
      <c r="V2234" s="404"/>
      <c r="W2234" s="316"/>
      <c r="X2234" s="316"/>
      <c r="Y2234" s="316"/>
      <c r="Z2234" s="316"/>
      <c r="AA2234" s="404"/>
      <c r="AB2234" s="404"/>
      <c r="AC2234" s="404"/>
      <c r="AD2234" s="404"/>
      <c r="AE2234" s="316"/>
      <c r="AF2234" s="316"/>
      <c r="AG2234" s="404"/>
      <c r="AH2234" s="316"/>
      <c r="AI2234" s="316"/>
      <c r="AJ2234" s="316"/>
      <c r="AK2234" s="316"/>
      <c r="AL2234" s="316"/>
      <c r="AM2234" s="416"/>
      <c r="AR2234" s="333"/>
      <c r="AS2234" s="333"/>
      <c r="AT2234" s="333"/>
      <c r="AU2234" s="333"/>
      <c r="AV2234" s="333"/>
    </row>
    <row r="2235" spans="2:48" s="330" customFormat="1" ht="28.15" customHeight="1" x14ac:dyDescent="0.25">
      <c r="B2235" s="331"/>
      <c r="C2235" s="332"/>
      <c r="D2235" s="332"/>
      <c r="E2235" s="333"/>
      <c r="F2235" s="333"/>
      <c r="R2235" s="316"/>
      <c r="S2235" s="404"/>
      <c r="T2235" s="404"/>
      <c r="U2235" s="404"/>
      <c r="V2235" s="404"/>
      <c r="W2235" s="316"/>
      <c r="X2235" s="316"/>
      <c r="Y2235" s="316"/>
      <c r="Z2235" s="316"/>
      <c r="AA2235" s="404"/>
      <c r="AB2235" s="404"/>
      <c r="AC2235" s="404"/>
      <c r="AD2235" s="404"/>
      <c r="AE2235" s="316"/>
      <c r="AF2235" s="316"/>
      <c r="AG2235" s="404"/>
      <c r="AH2235" s="316"/>
      <c r="AI2235" s="316"/>
      <c r="AJ2235" s="316"/>
      <c r="AK2235" s="316"/>
      <c r="AL2235" s="316"/>
      <c r="AM2235" s="416"/>
      <c r="AR2235" s="333"/>
      <c r="AS2235" s="333"/>
      <c r="AT2235" s="333"/>
      <c r="AU2235" s="333"/>
      <c r="AV2235" s="333"/>
    </row>
    <row r="2236" spans="2:48" s="330" customFormat="1" ht="28.15" customHeight="1" x14ac:dyDescent="0.25">
      <c r="B2236" s="331"/>
      <c r="C2236" s="332"/>
      <c r="D2236" s="332"/>
      <c r="E2236" s="333"/>
      <c r="F2236" s="333"/>
      <c r="R2236" s="316"/>
      <c r="S2236" s="404"/>
      <c r="T2236" s="404"/>
      <c r="U2236" s="404"/>
      <c r="V2236" s="404"/>
      <c r="W2236" s="316"/>
      <c r="X2236" s="316"/>
      <c r="Y2236" s="316"/>
      <c r="Z2236" s="316"/>
      <c r="AA2236" s="404"/>
      <c r="AB2236" s="404"/>
      <c r="AC2236" s="404"/>
      <c r="AD2236" s="404"/>
      <c r="AE2236" s="316"/>
      <c r="AF2236" s="316"/>
      <c r="AG2236" s="404"/>
      <c r="AH2236" s="316"/>
      <c r="AI2236" s="316"/>
      <c r="AJ2236" s="316"/>
      <c r="AK2236" s="316"/>
      <c r="AL2236" s="316"/>
      <c r="AM2236" s="416"/>
      <c r="AR2236" s="333"/>
      <c r="AS2236" s="333"/>
      <c r="AT2236" s="333"/>
      <c r="AU2236" s="333"/>
      <c r="AV2236" s="333"/>
    </row>
    <row r="2237" spans="2:48" s="330" customFormat="1" ht="28.15" customHeight="1" x14ac:dyDescent="0.25">
      <c r="B2237" s="331"/>
      <c r="C2237" s="332"/>
      <c r="D2237" s="332"/>
      <c r="E2237" s="333"/>
      <c r="F2237" s="333"/>
      <c r="R2237" s="316"/>
      <c r="S2237" s="404"/>
      <c r="T2237" s="404"/>
      <c r="U2237" s="404"/>
      <c r="V2237" s="404"/>
      <c r="W2237" s="316"/>
      <c r="X2237" s="316"/>
      <c r="Y2237" s="316"/>
      <c r="Z2237" s="316"/>
      <c r="AA2237" s="404"/>
      <c r="AB2237" s="404"/>
      <c r="AC2237" s="404"/>
      <c r="AD2237" s="404"/>
      <c r="AE2237" s="316"/>
      <c r="AF2237" s="316"/>
      <c r="AG2237" s="404"/>
      <c r="AH2237" s="316"/>
      <c r="AI2237" s="316"/>
      <c r="AJ2237" s="316"/>
      <c r="AK2237" s="316"/>
      <c r="AL2237" s="316"/>
      <c r="AM2237" s="416"/>
      <c r="AR2237" s="333"/>
      <c r="AS2237" s="333"/>
      <c r="AT2237" s="333"/>
      <c r="AU2237" s="333"/>
      <c r="AV2237" s="333"/>
    </row>
    <row r="2238" spans="2:48" s="330" customFormat="1" ht="28.15" customHeight="1" x14ac:dyDescent="0.25">
      <c r="B2238" s="331"/>
      <c r="C2238" s="332"/>
      <c r="D2238" s="332"/>
      <c r="E2238" s="333"/>
      <c r="F2238" s="333"/>
      <c r="R2238" s="316"/>
      <c r="S2238" s="404"/>
      <c r="T2238" s="404"/>
      <c r="U2238" s="404"/>
      <c r="V2238" s="404"/>
      <c r="W2238" s="316"/>
      <c r="X2238" s="316"/>
      <c r="Y2238" s="316"/>
      <c r="Z2238" s="316"/>
      <c r="AA2238" s="404"/>
      <c r="AB2238" s="404"/>
      <c r="AC2238" s="404"/>
      <c r="AD2238" s="404"/>
      <c r="AE2238" s="316"/>
      <c r="AF2238" s="316"/>
      <c r="AG2238" s="404"/>
      <c r="AH2238" s="316"/>
      <c r="AI2238" s="316"/>
      <c r="AJ2238" s="316"/>
      <c r="AK2238" s="316"/>
      <c r="AL2238" s="316"/>
      <c r="AM2238" s="416"/>
      <c r="AR2238" s="333"/>
      <c r="AS2238" s="333"/>
      <c r="AT2238" s="333"/>
      <c r="AU2238" s="333"/>
      <c r="AV2238" s="333"/>
    </row>
    <row r="2239" spans="2:48" s="330" customFormat="1" ht="28.15" customHeight="1" x14ac:dyDescent="0.25">
      <c r="B2239" s="331"/>
      <c r="C2239" s="332"/>
      <c r="D2239" s="332"/>
      <c r="E2239" s="333"/>
      <c r="F2239" s="333"/>
      <c r="R2239" s="316"/>
      <c r="S2239" s="404"/>
      <c r="T2239" s="404"/>
      <c r="U2239" s="404"/>
      <c r="V2239" s="404"/>
      <c r="W2239" s="316"/>
      <c r="X2239" s="316"/>
      <c r="Y2239" s="316"/>
      <c r="Z2239" s="316"/>
      <c r="AA2239" s="404"/>
      <c r="AB2239" s="404"/>
      <c r="AC2239" s="404"/>
      <c r="AD2239" s="404"/>
      <c r="AE2239" s="316"/>
      <c r="AF2239" s="316"/>
      <c r="AG2239" s="404"/>
      <c r="AH2239" s="316"/>
      <c r="AI2239" s="316"/>
      <c r="AJ2239" s="316"/>
      <c r="AK2239" s="316"/>
      <c r="AL2239" s="316"/>
      <c r="AM2239" s="416"/>
      <c r="AR2239" s="333"/>
      <c r="AS2239" s="333"/>
      <c r="AT2239" s="333"/>
      <c r="AU2239" s="333"/>
      <c r="AV2239" s="333"/>
    </row>
    <row r="2240" spans="2:48" s="330" customFormat="1" ht="28.15" customHeight="1" x14ac:dyDescent="0.25">
      <c r="B2240" s="331"/>
      <c r="C2240" s="332"/>
      <c r="D2240" s="332"/>
      <c r="E2240" s="333"/>
      <c r="F2240" s="333"/>
      <c r="R2240" s="316"/>
      <c r="S2240" s="404"/>
      <c r="T2240" s="404"/>
      <c r="U2240" s="404"/>
      <c r="V2240" s="404"/>
      <c r="W2240" s="316"/>
      <c r="X2240" s="316"/>
      <c r="Y2240" s="316"/>
      <c r="Z2240" s="316"/>
      <c r="AA2240" s="404"/>
      <c r="AB2240" s="404"/>
      <c r="AC2240" s="404"/>
      <c r="AD2240" s="404"/>
      <c r="AE2240" s="316"/>
      <c r="AF2240" s="316"/>
      <c r="AG2240" s="404"/>
      <c r="AH2240" s="316"/>
      <c r="AI2240" s="316"/>
      <c r="AJ2240" s="316"/>
      <c r="AK2240" s="316"/>
      <c r="AL2240" s="316"/>
      <c r="AM2240" s="416"/>
      <c r="AR2240" s="333"/>
      <c r="AS2240" s="333"/>
      <c r="AT2240" s="333"/>
      <c r="AU2240" s="333"/>
      <c r="AV2240" s="333"/>
    </row>
    <row r="2241" spans="2:48" s="330" customFormat="1" ht="28.15" customHeight="1" x14ac:dyDescent="0.25">
      <c r="B2241" s="331"/>
      <c r="C2241" s="332"/>
      <c r="D2241" s="332"/>
      <c r="E2241" s="333"/>
      <c r="F2241" s="333"/>
      <c r="R2241" s="316"/>
      <c r="S2241" s="404"/>
      <c r="T2241" s="404"/>
      <c r="U2241" s="404"/>
      <c r="V2241" s="404"/>
      <c r="W2241" s="316"/>
      <c r="X2241" s="316"/>
      <c r="Y2241" s="316"/>
      <c r="Z2241" s="316"/>
      <c r="AA2241" s="404"/>
      <c r="AB2241" s="404"/>
      <c r="AC2241" s="404"/>
      <c r="AD2241" s="404"/>
      <c r="AE2241" s="316"/>
      <c r="AF2241" s="316"/>
      <c r="AG2241" s="404"/>
      <c r="AH2241" s="316"/>
      <c r="AI2241" s="316"/>
      <c r="AJ2241" s="316"/>
      <c r="AK2241" s="316"/>
      <c r="AL2241" s="316"/>
      <c r="AM2241" s="416"/>
      <c r="AR2241" s="333"/>
      <c r="AS2241" s="333"/>
      <c r="AT2241" s="333"/>
      <c r="AU2241" s="333"/>
      <c r="AV2241" s="333"/>
    </row>
    <row r="2242" spans="2:48" s="330" customFormat="1" ht="28.15" customHeight="1" x14ac:dyDescent="0.25">
      <c r="B2242" s="331"/>
      <c r="C2242" s="332"/>
      <c r="D2242" s="332"/>
      <c r="E2242" s="333"/>
      <c r="F2242" s="333"/>
      <c r="R2242" s="316"/>
      <c r="S2242" s="404"/>
      <c r="T2242" s="404"/>
      <c r="U2242" s="404"/>
      <c r="V2242" s="404"/>
      <c r="W2242" s="316"/>
      <c r="X2242" s="316"/>
      <c r="Y2242" s="316"/>
      <c r="Z2242" s="316"/>
      <c r="AA2242" s="404"/>
      <c r="AB2242" s="404"/>
      <c r="AC2242" s="404"/>
      <c r="AD2242" s="404"/>
      <c r="AE2242" s="316"/>
      <c r="AF2242" s="316"/>
      <c r="AG2242" s="404"/>
      <c r="AH2242" s="316"/>
      <c r="AI2242" s="316"/>
      <c r="AJ2242" s="316"/>
      <c r="AK2242" s="316"/>
      <c r="AL2242" s="316"/>
      <c r="AM2242" s="416"/>
      <c r="AR2242" s="333"/>
      <c r="AS2242" s="333"/>
      <c r="AT2242" s="333"/>
      <c r="AU2242" s="333"/>
      <c r="AV2242" s="333"/>
    </row>
    <row r="2243" spans="2:48" s="330" customFormat="1" ht="28.15" customHeight="1" x14ac:dyDescent="0.25">
      <c r="B2243" s="331"/>
      <c r="C2243" s="332"/>
      <c r="D2243" s="332"/>
      <c r="E2243" s="333"/>
      <c r="F2243" s="333"/>
      <c r="R2243" s="316"/>
      <c r="S2243" s="404"/>
      <c r="T2243" s="404"/>
      <c r="U2243" s="404"/>
      <c r="V2243" s="404"/>
      <c r="W2243" s="316"/>
      <c r="X2243" s="316"/>
      <c r="Y2243" s="316"/>
      <c r="Z2243" s="316"/>
      <c r="AA2243" s="404"/>
      <c r="AB2243" s="404"/>
      <c r="AC2243" s="404"/>
      <c r="AD2243" s="404"/>
      <c r="AE2243" s="316"/>
      <c r="AF2243" s="316"/>
      <c r="AG2243" s="404"/>
      <c r="AH2243" s="316"/>
      <c r="AI2243" s="316"/>
      <c r="AJ2243" s="316"/>
      <c r="AK2243" s="316"/>
      <c r="AL2243" s="316"/>
      <c r="AM2243" s="416"/>
      <c r="AR2243" s="333"/>
      <c r="AS2243" s="333"/>
      <c r="AT2243" s="333"/>
      <c r="AU2243" s="333"/>
      <c r="AV2243" s="333"/>
    </row>
    <row r="2244" spans="2:48" s="330" customFormat="1" ht="28.15" customHeight="1" x14ac:dyDescent="0.25">
      <c r="B2244" s="331"/>
      <c r="C2244" s="332"/>
      <c r="D2244" s="332"/>
      <c r="E2244" s="333"/>
      <c r="F2244" s="333"/>
      <c r="R2244" s="316"/>
      <c r="S2244" s="404"/>
      <c r="T2244" s="404"/>
      <c r="U2244" s="404"/>
      <c r="V2244" s="404"/>
      <c r="W2244" s="316"/>
      <c r="X2244" s="316"/>
      <c r="Y2244" s="316"/>
      <c r="Z2244" s="316"/>
      <c r="AA2244" s="404"/>
      <c r="AB2244" s="404"/>
      <c r="AC2244" s="404"/>
      <c r="AD2244" s="404"/>
      <c r="AE2244" s="316"/>
      <c r="AF2244" s="316"/>
      <c r="AG2244" s="404"/>
      <c r="AH2244" s="316"/>
      <c r="AI2244" s="316"/>
      <c r="AJ2244" s="316"/>
      <c r="AK2244" s="316"/>
      <c r="AL2244" s="316"/>
      <c r="AM2244" s="416"/>
      <c r="AR2244" s="333"/>
      <c r="AS2244" s="333"/>
      <c r="AT2244" s="333"/>
      <c r="AU2244" s="333"/>
      <c r="AV2244" s="333"/>
    </row>
    <row r="2245" spans="2:48" s="330" customFormat="1" ht="28.15" customHeight="1" x14ac:dyDescent="0.25">
      <c r="B2245" s="331"/>
      <c r="C2245" s="332"/>
      <c r="D2245" s="332"/>
      <c r="E2245" s="333"/>
      <c r="F2245" s="333"/>
      <c r="R2245" s="316"/>
      <c r="S2245" s="404"/>
      <c r="T2245" s="404"/>
      <c r="U2245" s="404"/>
      <c r="V2245" s="404"/>
      <c r="W2245" s="316"/>
      <c r="X2245" s="316"/>
      <c r="Y2245" s="316"/>
      <c r="Z2245" s="316"/>
      <c r="AA2245" s="404"/>
      <c r="AB2245" s="404"/>
      <c r="AC2245" s="404"/>
      <c r="AD2245" s="404"/>
      <c r="AE2245" s="316"/>
      <c r="AF2245" s="316"/>
      <c r="AG2245" s="404"/>
      <c r="AH2245" s="316"/>
      <c r="AI2245" s="316"/>
      <c r="AJ2245" s="316"/>
      <c r="AK2245" s="316"/>
      <c r="AL2245" s="316"/>
      <c r="AM2245" s="416"/>
      <c r="AR2245" s="333"/>
      <c r="AS2245" s="333"/>
      <c r="AT2245" s="333"/>
      <c r="AU2245" s="333"/>
      <c r="AV2245" s="333"/>
    </row>
    <row r="2246" spans="2:48" s="330" customFormat="1" ht="28.15" customHeight="1" x14ac:dyDescent="0.25">
      <c r="B2246" s="331"/>
      <c r="C2246" s="332"/>
      <c r="D2246" s="332"/>
      <c r="E2246" s="333"/>
      <c r="F2246" s="333"/>
      <c r="R2246" s="316"/>
      <c r="S2246" s="404"/>
      <c r="T2246" s="404"/>
      <c r="U2246" s="404"/>
      <c r="V2246" s="404"/>
      <c r="W2246" s="316"/>
      <c r="X2246" s="316"/>
      <c r="Y2246" s="316"/>
      <c r="Z2246" s="316"/>
      <c r="AA2246" s="404"/>
      <c r="AB2246" s="404"/>
      <c r="AC2246" s="404"/>
      <c r="AD2246" s="404"/>
      <c r="AE2246" s="316"/>
      <c r="AF2246" s="316"/>
      <c r="AG2246" s="404"/>
      <c r="AH2246" s="316"/>
      <c r="AI2246" s="316"/>
      <c r="AJ2246" s="316"/>
      <c r="AK2246" s="316"/>
      <c r="AL2246" s="316"/>
      <c r="AM2246" s="416"/>
      <c r="AR2246" s="333"/>
      <c r="AS2246" s="333"/>
      <c r="AT2246" s="333"/>
      <c r="AU2246" s="333"/>
      <c r="AV2246" s="333"/>
    </row>
    <row r="2247" spans="2:48" s="330" customFormat="1" ht="28.15" customHeight="1" x14ac:dyDescent="0.25">
      <c r="B2247" s="331"/>
      <c r="C2247" s="332"/>
      <c r="D2247" s="332"/>
      <c r="E2247" s="333"/>
      <c r="F2247" s="333"/>
      <c r="R2247" s="316"/>
      <c r="S2247" s="404"/>
      <c r="T2247" s="404"/>
      <c r="U2247" s="404"/>
      <c r="V2247" s="404"/>
      <c r="W2247" s="316"/>
      <c r="X2247" s="316"/>
      <c r="Y2247" s="316"/>
      <c r="Z2247" s="316"/>
      <c r="AA2247" s="404"/>
      <c r="AB2247" s="404"/>
      <c r="AC2247" s="404"/>
      <c r="AD2247" s="404"/>
      <c r="AE2247" s="316"/>
      <c r="AF2247" s="316"/>
      <c r="AG2247" s="404"/>
      <c r="AH2247" s="316"/>
      <c r="AI2247" s="316"/>
      <c r="AJ2247" s="316"/>
      <c r="AK2247" s="316"/>
      <c r="AL2247" s="316"/>
      <c r="AM2247" s="416"/>
      <c r="AR2247" s="333"/>
      <c r="AS2247" s="333"/>
      <c r="AT2247" s="333"/>
      <c r="AU2247" s="333"/>
      <c r="AV2247" s="333"/>
    </row>
    <row r="2248" spans="2:48" s="330" customFormat="1" ht="28.15" customHeight="1" x14ac:dyDescent="0.25">
      <c r="B2248" s="331"/>
      <c r="C2248" s="332"/>
      <c r="D2248" s="332"/>
      <c r="E2248" s="333"/>
      <c r="F2248" s="333"/>
      <c r="R2248" s="316"/>
      <c r="S2248" s="404"/>
      <c r="T2248" s="404"/>
      <c r="U2248" s="404"/>
      <c r="V2248" s="404"/>
      <c r="W2248" s="316"/>
      <c r="X2248" s="316"/>
      <c r="Y2248" s="316"/>
      <c r="Z2248" s="316"/>
      <c r="AA2248" s="404"/>
      <c r="AB2248" s="404"/>
      <c r="AC2248" s="404"/>
      <c r="AD2248" s="404"/>
      <c r="AE2248" s="316"/>
      <c r="AF2248" s="316"/>
      <c r="AG2248" s="404"/>
      <c r="AH2248" s="316"/>
      <c r="AI2248" s="316"/>
      <c r="AJ2248" s="316"/>
      <c r="AK2248" s="316"/>
      <c r="AL2248" s="316"/>
      <c r="AM2248" s="416"/>
      <c r="AR2248" s="333"/>
      <c r="AS2248" s="333"/>
      <c r="AT2248" s="333"/>
      <c r="AU2248" s="333"/>
      <c r="AV2248" s="333"/>
    </row>
    <row r="2249" spans="2:48" s="330" customFormat="1" ht="28.15" customHeight="1" x14ac:dyDescent="0.25">
      <c r="B2249" s="331"/>
      <c r="C2249" s="332"/>
      <c r="D2249" s="332"/>
      <c r="E2249" s="333"/>
      <c r="F2249" s="333"/>
      <c r="R2249" s="316"/>
      <c r="S2249" s="404"/>
      <c r="T2249" s="404"/>
      <c r="U2249" s="404"/>
      <c r="V2249" s="404"/>
      <c r="W2249" s="316"/>
      <c r="X2249" s="316"/>
      <c r="Y2249" s="316"/>
      <c r="Z2249" s="316"/>
      <c r="AA2249" s="404"/>
      <c r="AB2249" s="404"/>
      <c r="AC2249" s="404"/>
      <c r="AD2249" s="404"/>
      <c r="AE2249" s="316"/>
      <c r="AF2249" s="316"/>
      <c r="AG2249" s="404"/>
      <c r="AH2249" s="316"/>
      <c r="AI2249" s="316"/>
      <c r="AJ2249" s="316"/>
      <c r="AK2249" s="316"/>
      <c r="AL2249" s="316"/>
      <c r="AM2249" s="416"/>
      <c r="AR2249" s="333"/>
      <c r="AS2249" s="333"/>
      <c r="AT2249" s="333"/>
      <c r="AU2249" s="333"/>
      <c r="AV2249" s="333"/>
    </row>
    <row r="2250" spans="2:48" s="330" customFormat="1" ht="28.15" customHeight="1" x14ac:dyDescent="0.25">
      <c r="B2250" s="331"/>
      <c r="C2250" s="332"/>
      <c r="D2250" s="332"/>
      <c r="E2250" s="333"/>
      <c r="F2250" s="333"/>
      <c r="R2250" s="316"/>
      <c r="S2250" s="404"/>
      <c r="T2250" s="404"/>
      <c r="U2250" s="404"/>
      <c r="V2250" s="404"/>
      <c r="W2250" s="316"/>
      <c r="X2250" s="316"/>
      <c r="Y2250" s="316"/>
      <c r="Z2250" s="316"/>
      <c r="AA2250" s="404"/>
      <c r="AB2250" s="404"/>
      <c r="AC2250" s="404"/>
      <c r="AD2250" s="404"/>
      <c r="AE2250" s="316"/>
      <c r="AF2250" s="316"/>
      <c r="AG2250" s="404"/>
      <c r="AH2250" s="316"/>
      <c r="AI2250" s="316"/>
      <c r="AJ2250" s="316"/>
      <c r="AK2250" s="316"/>
      <c r="AL2250" s="316"/>
      <c r="AM2250" s="416"/>
      <c r="AR2250" s="333"/>
      <c r="AS2250" s="333"/>
      <c r="AT2250" s="333"/>
      <c r="AU2250" s="333"/>
      <c r="AV2250" s="333"/>
    </row>
    <row r="2251" spans="2:48" s="330" customFormat="1" ht="28.15" customHeight="1" x14ac:dyDescent="0.25">
      <c r="B2251" s="331"/>
      <c r="C2251" s="332"/>
      <c r="D2251" s="332"/>
      <c r="E2251" s="333"/>
      <c r="F2251" s="333"/>
      <c r="R2251" s="316"/>
      <c r="S2251" s="404"/>
      <c r="T2251" s="404"/>
      <c r="U2251" s="404"/>
      <c r="V2251" s="404"/>
      <c r="W2251" s="316"/>
      <c r="X2251" s="316"/>
      <c r="Y2251" s="316"/>
      <c r="Z2251" s="316"/>
      <c r="AA2251" s="404"/>
      <c r="AB2251" s="404"/>
      <c r="AC2251" s="404"/>
      <c r="AD2251" s="404"/>
      <c r="AE2251" s="316"/>
      <c r="AF2251" s="316"/>
      <c r="AG2251" s="404"/>
      <c r="AH2251" s="316"/>
      <c r="AI2251" s="316"/>
      <c r="AJ2251" s="316"/>
      <c r="AK2251" s="316"/>
      <c r="AL2251" s="316"/>
      <c r="AM2251" s="416"/>
      <c r="AR2251" s="333"/>
      <c r="AS2251" s="333"/>
      <c r="AT2251" s="333"/>
      <c r="AU2251" s="333"/>
      <c r="AV2251" s="333"/>
    </row>
    <row r="2252" spans="2:48" s="330" customFormat="1" ht="28.15" customHeight="1" x14ac:dyDescent="0.25">
      <c r="B2252" s="331"/>
      <c r="C2252" s="332"/>
      <c r="D2252" s="332"/>
      <c r="E2252" s="333"/>
      <c r="F2252" s="333"/>
      <c r="R2252" s="316"/>
      <c r="S2252" s="404"/>
      <c r="T2252" s="404"/>
      <c r="U2252" s="404"/>
      <c r="V2252" s="404"/>
      <c r="W2252" s="316"/>
      <c r="X2252" s="316"/>
      <c r="Y2252" s="316"/>
      <c r="Z2252" s="316"/>
      <c r="AA2252" s="404"/>
      <c r="AB2252" s="404"/>
      <c r="AC2252" s="404"/>
      <c r="AD2252" s="404"/>
      <c r="AE2252" s="316"/>
      <c r="AF2252" s="316"/>
      <c r="AG2252" s="404"/>
      <c r="AH2252" s="316"/>
      <c r="AI2252" s="316"/>
      <c r="AJ2252" s="316"/>
      <c r="AK2252" s="316"/>
      <c r="AL2252" s="316"/>
      <c r="AM2252" s="416"/>
      <c r="AR2252" s="333"/>
      <c r="AS2252" s="333"/>
      <c r="AT2252" s="333"/>
      <c r="AU2252" s="333"/>
      <c r="AV2252" s="333"/>
    </row>
    <row r="2253" spans="2:48" s="330" customFormat="1" ht="28.15" customHeight="1" x14ac:dyDescent="0.25">
      <c r="B2253" s="331"/>
      <c r="C2253" s="332"/>
      <c r="D2253" s="332"/>
      <c r="E2253" s="333"/>
      <c r="F2253" s="333"/>
      <c r="R2253" s="316"/>
      <c r="S2253" s="404"/>
      <c r="T2253" s="404"/>
      <c r="U2253" s="404"/>
      <c r="V2253" s="404"/>
      <c r="W2253" s="316"/>
      <c r="X2253" s="316"/>
      <c r="Y2253" s="316"/>
      <c r="Z2253" s="316"/>
      <c r="AA2253" s="404"/>
      <c r="AB2253" s="404"/>
      <c r="AC2253" s="404"/>
      <c r="AD2253" s="404"/>
      <c r="AE2253" s="316"/>
      <c r="AF2253" s="316"/>
      <c r="AG2253" s="404"/>
      <c r="AH2253" s="316"/>
      <c r="AI2253" s="316"/>
      <c r="AJ2253" s="316"/>
      <c r="AK2253" s="316"/>
      <c r="AL2253" s="316"/>
      <c r="AM2253" s="416"/>
      <c r="AR2253" s="333"/>
      <c r="AS2253" s="333"/>
      <c r="AT2253" s="333"/>
      <c r="AU2253" s="333"/>
      <c r="AV2253" s="333"/>
    </row>
    <row r="2254" spans="2:48" s="330" customFormat="1" ht="28.15" customHeight="1" x14ac:dyDescent="0.25">
      <c r="B2254" s="331"/>
      <c r="C2254" s="332"/>
      <c r="D2254" s="332"/>
      <c r="E2254" s="333"/>
      <c r="F2254" s="333"/>
      <c r="R2254" s="316"/>
      <c r="S2254" s="404"/>
      <c r="T2254" s="404"/>
      <c r="U2254" s="404"/>
      <c r="V2254" s="404"/>
      <c r="W2254" s="316"/>
      <c r="X2254" s="316"/>
      <c r="Y2254" s="316"/>
      <c r="Z2254" s="316"/>
      <c r="AA2254" s="404"/>
      <c r="AB2254" s="404"/>
      <c r="AC2254" s="404"/>
      <c r="AD2254" s="404"/>
      <c r="AE2254" s="316"/>
      <c r="AF2254" s="316"/>
      <c r="AG2254" s="404"/>
      <c r="AH2254" s="316"/>
      <c r="AI2254" s="316"/>
      <c r="AJ2254" s="316"/>
      <c r="AK2254" s="316"/>
      <c r="AL2254" s="316"/>
      <c r="AM2254" s="416"/>
      <c r="AR2254" s="333"/>
      <c r="AS2254" s="333"/>
      <c r="AT2254" s="333"/>
      <c r="AU2254" s="333"/>
      <c r="AV2254" s="333"/>
    </row>
    <row r="2255" spans="2:48" s="330" customFormat="1" ht="28.15" customHeight="1" x14ac:dyDescent="0.25">
      <c r="B2255" s="331"/>
      <c r="C2255" s="332"/>
      <c r="D2255" s="332"/>
      <c r="E2255" s="333"/>
      <c r="F2255" s="333"/>
      <c r="R2255" s="316"/>
      <c r="S2255" s="404"/>
      <c r="T2255" s="404"/>
      <c r="U2255" s="404"/>
      <c r="V2255" s="404"/>
      <c r="W2255" s="316"/>
      <c r="X2255" s="316"/>
      <c r="Y2255" s="316"/>
      <c r="Z2255" s="316"/>
      <c r="AA2255" s="404"/>
      <c r="AB2255" s="404"/>
      <c r="AC2255" s="404"/>
      <c r="AD2255" s="404"/>
      <c r="AE2255" s="316"/>
      <c r="AF2255" s="316"/>
      <c r="AG2255" s="404"/>
      <c r="AH2255" s="316"/>
      <c r="AI2255" s="316"/>
      <c r="AJ2255" s="316"/>
      <c r="AK2255" s="316"/>
      <c r="AL2255" s="316"/>
      <c r="AM2255" s="416"/>
      <c r="AR2255" s="333"/>
      <c r="AS2255" s="333"/>
      <c r="AT2255" s="333"/>
      <c r="AU2255" s="333"/>
      <c r="AV2255" s="333"/>
    </row>
    <row r="2256" spans="2:48" s="330" customFormat="1" ht="28.15" customHeight="1" x14ac:dyDescent="0.25">
      <c r="B2256" s="331"/>
      <c r="C2256" s="332"/>
      <c r="D2256" s="332"/>
      <c r="E2256" s="333"/>
      <c r="F2256" s="333"/>
      <c r="R2256" s="316"/>
      <c r="S2256" s="404"/>
      <c r="T2256" s="404"/>
      <c r="U2256" s="404"/>
      <c r="V2256" s="404"/>
      <c r="W2256" s="316"/>
      <c r="X2256" s="316"/>
      <c r="Y2256" s="316"/>
      <c r="Z2256" s="316"/>
      <c r="AA2256" s="404"/>
      <c r="AB2256" s="404"/>
      <c r="AC2256" s="404"/>
      <c r="AD2256" s="404"/>
      <c r="AE2256" s="316"/>
      <c r="AF2256" s="316"/>
      <c r="AG2256" s="404"/>
      <c r="AH2256" s="316"/>
      <c r="AI2256" s="316"/>
      <c r="AJ2256" s="316"/>
      <c r="AK2256" s="316"/>
      <c r="AL2256" s="316"/>
      <c r="AM2256" s="416"/>
      <c r="AR2256" s="333"/>
      <c r="AS2256" s="333"/>
      <c r="AT2256" s="333"/>
      <c r="AU2256" s="333"/>
      <c r="AV2256" s="333"/>
    </row>
    <row r="2257" spans="2:48" s="330" customFormat="1" ht="28.15" customHeight="1" x14ac:dyDescent="0.25">
      <c r="B2257" s="331"/>
      <c r="C2257" s="332"/>
      <c r="D2257" s="332"/>
      <c r="E2257" s="333"/>
      <c r="F2257" s="333"/>
      <c r="R2257" s="316"/>
      <c r="S2257" s="404"/>
      <c r="T2257" s="404"/>
      <c r="U2257" s="404"/>
      <c r="V2257" s="404"/>
      <c r="W2257" s="316"/>
      <c r="X2257" s="316"/>
      <c r="Y2257" s="316"/>
      <c r="Z2257" s="316"/>
      <c r="AA2257" s="404"/>
      <c r="AB2257" s="404"/>
      <c r="AC2257" s="404"/>
      <c r="AD2257" s="404"/>
      <c r="AE2257" s="316"/>
      <c r="AF2257" s="316"/>
      <c r="AG2257" s="404"/>
      <c r="AH2257" s="316"/>
      <c r="AI2257" s="316"/>
      <c r="AJ2257" s="316"/>
      <c r="AK2257" s="316"/>
      <c r="AL2257" s="316"/>
      <c r="AM2257" s="416"/>
      <c r="AR2257" s="333"/>
      <c r="AS2257" s="333"/>
      <c r="AT2257" s="333"/>
      <c r="AU2257" s="333"/>
      <c r="AV2257" s="333"/>
    </row>
    <row r="2258" spans="2:48" s="330" customFormat="1" ht="28.15" customHeight="1" x14ac:dyDescent="0.25">
      <c r="B2258" s="331"/>
      <c r="C2258" s="332"/>
      <c r="D2258" s="332"/>
      <c r="E2258" s="333"/>
      <c r="F2258" s="333"/>
      <c r="R2258" s="316"/>
      <c r="S2258" s="404"/>
      <c r="T2258" s="404"/>
      <c r="U2258" s="404"/>
      <c r="V2258" s="404"/>
      <c r="W2258" s="316"/>
      <c r="X2258" s="316"/>
      <c r="Y2258" s="316"/>
      <c r="Z2258" s="316"/>
      <c r="AA2258" s="404"/>
      <c r="AB2258" s="404"/>
      <c r="AC2258" s="404"/>
      <c r="AD2258" s="404"/>
      <c r="AE2258" s="316"/>
      <c r="AF2258" s="316"/>
      <c r="AG2258" s="404"/>
      <c r="AH2258" s="316"/>
      <c r="AI2258" s="316"/>
      <c r="AJ2258" s="316"/>
      <c r="AK2258" s="316"/>
      <c r="AL2258" s="316"/>
      <c r="AM2258" s="416"/>
      <c r="AR2258" s="333"/>
      <c r="AS2258" s="333"/>
      <c r="AT2258" s="333"/>
      <c r="AU2258" s="333"/>
      <c r="AV2258" s="333"/>
    </row>
    <row r="2259" spans="2:48" s="330" customFormat="1" ht="28.15" customHeight="1" x14ac:dyDescent="0.25">
      <c r="B2259" s="331"/>
      <c r="C2259" s="332"/>
      <c r="D2259" s="332"/>
      <c r="E2259" s="333"/>
      <c r="F2259" s="333"/>
      <c r="R2259" s="316"/>
      <c r="S2259" s="404"/>
      <c r="T2259" s="404"/>
      <c r="U2259" s="404"/>
      <c r="V2259" s="404"/>
      <c r="W2259" s="316"/>
      <c r="X2259" s="316"/>
      <c r="Y2259" s="316"/>
      <c r="Z2259" s="316"/>
      <c r="AA2259" s="404"/>
      <c r="AB2259" s="404"/>
      <c r="AC2259" s="404"/>
      <c r="AD2259" s="404"/>
      <c r="AE2259" s="316"/>
      <c r="AF2259" s="316"/>
      <c r="AG2259" s="404"/>
      <c r="AH2259" s="316"/>
      <c r="AI2259" s="316"/>
      <c r="AJ2259" s="316"/>
      <c r="AK2259" s="316"/>
      <c r="AL2259" s="316"/>
      <c r="AM2259" s="416"/>
      <c r="AR2259" s="333"/>
      <c r="AS2259" s="333"/>
      <c r="AT2259" s="333"/>
      <c r="AU2259" s="333"/>
      <c r="AV2259" s="333"/>
    </row>
    <row r="2260" spans="2:48" s="330" customFormat="1" ht="28.15" customHeight="1" x14ac:dyDescent="0.25">
      <c r="B2260" s="331"/>
      <c r="C2260" s="332"/>
      <c r="D2260" s="332"/>
      <c r="E2260" s="333"/>
      <c r="F2260" s="333"/>
      <c r="R2260" s="316"/>
      <c r="S2260" s="404"/>
      <c r="T2260" s="404"/>
      <c r="U2260" s="404"/>
      <c r="V2260" s="404"/>
      <c r="W2260" s="316"/>
      <c r="X2260" s="316"/>
      <c r="Y2260" s="316"/>
      <c r="Z2260" s="316"/>
      <c r="AA2260" s="404"/>
      <c r="AB2260" s="404"/>
      <c r="AC2260" s="404"/>
      <c r="AD2260" s="404"/>
      <c r="AE2260" s="316"/>
      <c r="AF2260" s="316"/>
      <c r="AG2260" s="404"/>
      <c r="AH2260" s="316"/>
      <c r="AI2260" s="316"/>
      <c r="AJ2260" s="316"/>
      <c r="AK2260" s="316"/>
      <c r="AL2260" s="316"/>
      <c r="AM2260" s="416"/>
      <c r="AR2260" s="333"/>
      <c r="AS2260" s="333"/>
      <c r="AT2260" s="333"/>
      <c r="AU2260" s="333"/>
      <c r="AV2260" s="333"/>
    </row>
    <row r="2261" spans="2:48" s="330" customFormat="1" ht="28.15" customHeight="1" x14ac:dyDescent="0.25">
      <c r="B2261" s="331"/>
      <c r="C2261" s="332"/>
      <c r="D2261" s="332"/>
      <c r="E2261" s="333"/>
      <c r="F2261" s="333"/>
      <c r="R2261" s="316"/>
      <c r="S2261" s="404"/>
      <c r="T2261" s="404"/>
      <c r="U2261" s="404"/>
      <c r="V2261" s="404"/>
      <c r="W2261" s="316"/>
      <c r="X2261" s="316"/>
      <c r="Y2261" s="316"/>
      <c r="Z2261" s="316"/>
      <c r="AA2261" s="404"/>
      <c r="AB2261" s="404"/>
      <c r="AC2261" s="404"/>
      <c r="AD2261" s="404"/>
      <c r="AE2261" s="316"/>
      <c r="AF2261" s="316"/>
      <c r="AG2261" s="404"/>
      <c r="AH2261" s="316"/>
      <c r="AI2261" s="316"/>
      <c r="AJ2261" s="316"/>
      <c r="AK2261" s="316"/>
      <c r="AL2261" s="316"/>
      <c r="AM2261" s="416"/>
      <c r="AR2261" s="333"/>
      <c r="AS2261" s="333"/>
      <c r="AT2261" s="333"/>
      <c r="AU2261" s="333"/>
      <c r="AV2261" s="333"/>
    </row>
    <row r="2262" spans="2:48" s="330" customFormat="1" ht="28.15" customHeight="1" x14ac:dyDescent="0.25">
      <c r="B2262" s="331"/>
      <c r="C2262" s="332"/>
      <c r="D2262" s="332"/>
      <c r="E2262" s="333"/>
      <c r="F2262" s="333"/>
      <c r="R2262" s="316"/>
      <c r="S2262" s="404"/>
      <c r="T2262" s="404"/>
      <c r="U2262" s="404"/>
      <c r="V2262" s="404"/>
      <c r="W2262" s="316"/>
      <c r="X2262" s="316"/>
      <c r="Y2262" s="316"/>
      <c r="Z2262" s="316"/>
      <c r="AA2262" s="404"/>
      <c r="AB2262" s="404"/>
      <c r="AC2262" s="404"/>
      <c r="AD2262" s="404"/>
      <c r="AE2262" s="316"/>
      <c r="AF2262" s="316"/>
      <c r="AG2262" s="404"/>
      <c r="AH2262" s="316"/>
      <c r="AI2262" s="316"/>
      <c r="AJ2262" s="316"/>
      <c r="AK2262" s="316"/>
      <c r="AL2262" s="316"/>
      <c r="AM2262" s="416"/>
      <c r="AR2262" s="333"/>
      <c r="AS2262" s="333"/>
      <c r="AT2262" s="333"/>
      <c r="AU2262" s="333"/>
      <c r="AV2262" s="333"/>
    </row>
    <row r="2263" spans="2:48" s="330" customFormat="1" ht="28.15" customHeight="1" x14ac:dyDescent="0.25">
      <c r="B2263" s="331"/>
      <c r="C2263" s="332"/>
      <c r="D2263" s="332"/>
      <c r="E2263" s="333"/>
      <c r="F2263" s="333"/>
      <c r="R2263" s="316"/>
      <c r="S2263" s="404"/>
      <c r="T2263" s="404"/>
      <c r="U2263" s="404"/>
      <c r="V2263" s="404"/>
      <c r="W2263" s="316"/>
      <c r="X2263" s="316"/>
      <c r="Y2263" s="316"/>
      <c r="Z2263" s="316"/>
      <c r="AA2263" s="404"/>
      <c r="AB2263" s="404"/>
      <c r="AC2263" s="404"/>
      <c r="AD2263" s="404"/>
      <c r="AE2263" s="316"/>
      <c r="AF2263" s="316"/>
      <c r="AG2263" s="404"/>
      <c r="AH2263" s="316"/>
      <c r="AI2263" s="316"/>
      <c r="AJ2263" s="316"/>
      <c r="AK2263" s="316"/>
      <c r="AL2263" s="316"/>
      <c r="AM2263" s="416"/>
      <c r="AR2263" s="333"/>
      <c r="AS2263" s="333"/>
      <c r="AT2263" s="333"/>
      <c r="AU2263" s="333"/>
      <c r="AV2263" s="333"/>
    </row>
    <row r="2264" spans="2:48" s="330" customFormat="1" ht="28.15" customHeight="1" x14ac:dyDescent="0.25">
      <c r="B2264" s="331"/>
      <c r="C2264" s="332"/>
      <c r="D2264" s="332"/>
      <c r="E2264" s="333"/>
      <c r="F2264" s="333"/>
      <c r="R2264" s="316"/>
      <c r="S2264" s="404"/>
      <c r="T2264" s="404"/>
      <c r="U2264" s="404"/>
      <c r="V2264" s="404"/>
      <c r="W2264" s="316"/>
      <c r="X2264" s="316"/>
      <c r="Y2264" s="316"/>
      <c r="Z2264" s="316"/>
      <c r="AA2264" s="404"/>
      <c r="AB2264" s="404"/>
      <c r="AC2264" s="404"/>
      <c r="AD2264" s="404"/>
      <c r="AE2264" s="316"/>
      <c r="AF2264" s="316"/>
      <c r="AG2264" s="404"/>
      <c r="AH2264" s="316"/>
      <c r="AI2264" s="316"/>
      <c r="AJ2264" s="316"/>
      <c r="AK2264" s="316"/>
      <c r="AL2264" s="316"/>
      <c r="AM2264" s="416"/>
      <c r="AR2264" s="333"/>
      <c r="AS2264" s="333"/>
      <c r="AT2264" s="333"/>
      <c r="AU2264" s="333"/>
      <c r="AV2264" s="333"/>
    </row>
    <row r="2265" spans="2:48" s="330" customFormat="1" ht="28.15" customHeight="1" x14ac:dyDescent="0.25">
      <c r="B2265" s="331"/>
      <c r="C2265" s="332"/>
      <c r="D2265" s="332"/>
      <c r="E2265" s="333"/>
      <c r="F2265" s="333"/>
      <c r="R2265" s="316"/>
      <c r="S2265" s="404"/>
      <c r="T2265" s="404"/>
      <c r="U2265" s="404"/>
      <c r="V2265" s="404"/>
      <c r="W2265" s="316"/>
      <c r="X2265" s="316"/>
      <c r="Y2265" s="316"/>
      <c r="Z2265" s="316"/>
      <c r="AA2265" s="404"/>
      <c r="AB2265" s="404"/>
      <c r="AC2265" s="404"/>
      <c r="AD2265" s="404"/>
      <c r="AE2265" s="316"/>
      <c r="AF2265" s="316"/>
      <c r="AG2265" s="404"/>
      <c r="AH2265" s="316"/>
      <c r="AI2265" s="316"/>
      <c r="AJ2265" s="316"/>
      <c r="AK2265" s="316"/>
      <c r="AL2265" s="316"/>
      <c r="AM2265" s="416"/>
      <c r="AR2265" s="333"/>
      <c r="AS2265" s="333"/>
      <c r="AT2265" s="333"/>
      <c r="AU2265" s="333"/>
      <c r="AV2265" s="333"/>
    </row>
    <row r="2266" spans="2:48" s="330" customFormat="1" ht="28.15" customHeight="1" x14ac:dyDescent="0.25">
      <c r="B2266" s="331"/>
      <c r="C2266" s="332"/>
      <c r="D2266" s="332"/>
      <c r="E2266" s="333"/>
      <c r="F2266" s="333"/>
      <c r="R2266" s="316"/>
      <c r="S2266" s="404"/>
      <c r="T2266" s="404"/>
      <c r="U2266" s="404"/>
      <c r="V2266" s="404"/>
      <c r="W2266" s="316"/>
      <c r="X2266" s="316"/>
      <c r="Y2266" s="316"/>
      <c r="Z2266" s="316"/>
      <c r="AA2266" s="404"/>
      <c r="AB2266" s="404"/>
      <c r="AC2266" s="404"/>
      <c r="AD2266" s="404"/>
      <c r="AE2266" s="316"/>
      <c r="AF2266" s="316"/>
      <c r="AG2266" s="404"/>
      <c r="AH2266" s="316"/>
      <c r="AI2266" s="316"/>
      <c r="AJ2266" s="316"/>
      <c r="AK2266" s="316"/>
      <c r="AL2266" s="316"/>
      <c r="AM2266" s="416"/>
      <c r="AR2266" s="333"/>
      <c r="AS2266" s="333"/>
      <c r="AT2266" s="333"/>
      <c r="AU2266" s="333"/>
      <c r="AV2266" s="333"/>
    </row>
    <row r="2267" spans="2:48" s="330" customFormat="1" ht="28.15" customHeight="1" x14ac:dyDescent="0.25">
      <c r="B2267" s="331"/>
      <c r="C2267" s="332"/>
      <c r="D2267" s="332"/>
      <c r="E2267" s="333"/>
      <c r="F2267" s="333"/>
      <c r="R2267" s="316"/>
      <c r="S2267" s="404"/>
      <c r="T2267" s="404"/>
      <c r="U2267" s="404"/>
      <c r="V2267" s="404"/>
      <c r="W2267" s="316"/>
      <c r="X2267" s="316"/>
      <c r="Y2267" s="316"/>
      <c r="Z2267" s="316"/>
      <c r="AA2267" s="404"/>
      <c r="AB2267" s="404"/>
      <c r="AC2267" s="404"/>
      <c r="AD2267" s="404"/>
      <c r="AE2267" s="316"/>
      <c r="AF2267" s="316"/>
      <c r="AG2267" s="404"/>
      <c r="AH2267" s="316"/>
      <c r="AI2267" s="316"/>
      <c r="AJ2267" s="316"/>
      <c r="AK2267" s="316"/>
      <c r="AL2267" s="316"/>
      <c r="AM2267" s="416"/>
      <c r="AR2267" s="333"/>
      <c r="AS2267" s="333"/>
      <c r="AT2267" s="333"/>
      <c r="AU2267" s="333"/>
      <c r="AV2267" s="333"/>
    </row>
    <row r="2268" spans="2:48" s="330" customFormat="1" ht="28.15" customHeight="1" x14ac:dyDescent="0.25">
      <c r="B2268" s="331"/>
      <c r="C2268" s="332"/>
      <c r="D2268" s="332"/>
      <c r="E2268" s="333"/>
      <c r="F2268" s="333"/>
      <c r="R2268" s="316"/>
      <c r="S2268" s="404"/>
      <c r="T2268" s="404"/>
      <c r="U2268" s="404"/>
      <c r="V2268" s="404"/>
      <c r="W2268" s="316"/>
      <c r="X2268" s="316"/>
      <c r="Y2268" s="316"/>
      <c r="Z2268" s="316"/>
      <c r="AA2268" s="404"/>
      <c r="AB2268" s="404"/>
      <c r="AC2268" s="404"/>
      <c r="AD2268" s="404"/>
      <c r="AE2268" s="316"/>
      <c r="AF2268" s="316"/>
      <c r="AG2268" s="404"/>
      <c r="AH2268" s="316"/>
      <c r="AI2268" s="316"/>
      <c r="AJ2268" s="316"/>
      <c r="AK2268" s="316"/>
      <c r="AL2268" s="316"/>
      <c r="AM2268" s="416"/>
      <c r="AR2268" s="333"/>
      <c r="AS2268" s="333"/>
      <c r="AT2268" s="333"/>
      <c r="AU2268" s="333"/>
      <c r="AV2268" s="333"/>
    </row>
    <row r="2269" spans="2:48" s="330" customFormat="1" ht="28.15" customHeight="1" x14ac:dyDescent="0.25">
      <c r="B2269" s="331"/>
      <c r="C2269" s="332"/>
      <c r="D2269" s="332"/>
      <c r="E2269" s="333"/>
      <c r="F2269" s="333"/>
      <c r="R2269" s="316"/>
      <c r="S2269" s="404"/>
      <c r="T2269" s="404"/>
      <c r="U2269" s="404"/>
      <c r="V2269" s="404"/>
      <c r="W2269" s="316"/>
      <c r="X2269" s="316"/>
      <c r="Y2269" s="316"/>
      <c r="Z2269" s="316"/>
      <c r="AA2269" s="404"/>
      <c r="AB2269" s="404"/>
      <c r="AC2269" s="404"/>
      <c r="AD2269" s="404"/>
      <c r="AE2269" s="316"/>
      <c r="AF2269" s="316"/>
      <c r="AG2269" s="404"/>
      <c r="AH2269" s="316"/>
      <c r="AI2269" s="316"/>
      <c r="AJ2269" s="316"/>
      <c r="AK2269" s="316"/>
      <c r="AL2269" s="316"/>
      <c r="AM2269" s="416"/>
      <c r="AR2269" s="333"/>
      <c r="AS2269" s="333"/>
      <c r="AT2269" s="333"/>
      <c r="AU2269" s="333"/>
      <c r="AV2269" s="333"/>
    </row>
    <row r="2270" spans="2:48" s="330" customFormat="1" ht="28.15" customHeight="1" x14ac:dyDescent="0.25">
      <c r="B2270" s="331"/>
      <c r="C2270" s="332"/>
      <c r="D2270" s="332"/>
      <c r="E2270" s="333"/>
      <c r="F2270" s="333"/>
      <c r="R2270" s="316"/>
      <c r="S2270" s="404"/>
      <c r="T2270" s="404"/>
      <c r="U2270" s="404"/>
      <c r="V2270" s="404"/>
      <c r="W2270" s="316"/>
      <c r="X2270" s="316"/>
      <c r="Y2270" s="316"/>
      <c r="Z2270" s="316"/>
      <c r="AA2270" s="404"/>
      <c r="AB2270" s="404"/>
      <c r="AC2270" s="404"/>
      <c r="AD2270" s="404"/>
      <c r="AE2270" s="316"/>
      <c r="AF2270" s="316"/>
      <c r="AG2270" s="404"/>
      <c r="AH2270" s="316"/>
      <c r="AI2270" s="316"/>
      <c r="AJ2270" s="316"/>
      <c r="AK2270" s="316"/>
      <c r="AL2270" s="316"/>
      <c r="AM2270" s="416"/>
      <c r="AR2270" s="333"/>
      <c r="AS2270" s="333"/>
      <c r="AT2270" s="333"/>
      <c r="AU2270" s="333"/>
      <c r="AV2270" s="333"/>
    </row>
    <row r="2271" spans="2:48" s="330" customFormat="1" ht="28.15" customHeight="1" x14ac:dyDescent="0.25">
      <c r="B2271" s="331"/>
      <c r="C2271" s="332"/>
      <c r="D2271" s="332"/>
      <c r="E2271" s="333"/>
      <c r="F2271" s="333"/>
      <c r="R2271" s="316"/>
      <c r="S2271" s="404"/>
      <c r="T2271" s="404"/>
      <c r="U2271" s="404"/>
      <c r="V2271" s="404"/>
      <c r="W2271" s="316"/>
      <c r="X2271" s="316"/>
      <c r="Y2271" s="316"/>
      <c r="Z2271" s="316"/>
      <c r="AA2271" s="404"/>
      <c r="AB2271" s="404"/>
      <c r="AC2271" s="404"/>
      <c r="AD2271" s="404"/>
      <c r="AE2271" s="316"/>
      <c r="AF2271" s="316"/>
      <c r="AG2271" s="404"/>
      <c r="AH2271" s="316"/>
      <c r="AI2271" s="316"/>
      <c r="AJ2271" s="316"/>
      <c r="AK2271" s="316"/>
      <c r="AL2271" s="316"/>
      <c r="AM2271" s="416"/>
      <c r="AR2271" s="333"/>
      <c r="AS2271" s="333"/>
      <c r="AT2271" s="333"/>
      <c r="AU2271" s="333"/>
      <c r="AV2271" s="333"/>
    </row>
    <row r="2272" spans="2:48" s="330" customFormat="1" ht="28.15" customHeight="1" x14ac:dyDescent="0.25">
      <c r="B2272" s="331"/>
      <c r="C2272" s="332"/>
      <c r="D2272" s="332"/>
      <c r="E2272" s="333"/>
      <c r="F2272" s="333"/>
      <c r="R2272" s="316"/>
      <c r="S2272" s="404"/>
      <c r="T2272" s="404"/>
      <c r="U2272" s="404"/>
      <c r="V2272" s="404"/>
      <c r="W2272" s="316"/>
      <c r="X2272" s="316"/>
      <c r="Y2272" s="316"/>
      <c r="Z2272" s="316"/>
      <c r="AA2272" s="404"/>
      <c r="AB2272" s="404"/>
      <c r="AC2272" s="404"/>
      <c r="AD2272" s="404"/>
      <c r="AE2272" s="316"/>
      <c r="AF2272" s="316"/>
      <c r="AG2272" s="404"/>
      <c r="AH2272" s="316"/>
      <c r="AI2272" s="316"/>
      <c r="AJ2272" s="316"/>
      <c r="AK2272" s="316"/>
      <c r="AL2272" s="316"/>
      <c r="AM2272" s="416"/>
      <c r="AR2272" s="333"/>
      <c r="AS2272" s="333"/>
      <c r="AT2272" s="333"/>
      <c r="AU2272" s="333"/>
      <c r="AV2272" s="333"/>
    </row>
    <row r="2273" spans="2:48" s="330" customFormat="1" ht="28.15" customHeight="1" x14ac:dyDescent="0.25">
      <c r="B2273" s="331"/>
      <c r="C2273" s="332"/>
      <c r="D2273" s="332"/>
      <c r="E2273" s="333"/>
      <c r="F2273" s="333"/>
      <c r="R2273" s="316"/>
      <c r="S2273" s="404"/>
      <c r="T2273" s="404"/>
      <c r="U2273" s="404"/>
      <c r="V2273" s="404"/>
      <c r="W2273" s="316"/>
      <c r="X2273" s="316"/>
      <c r="Y2273" s="316"/>
      <c r="Z2273" s="316"/>
      <c r="AA2273" s="404"/>
      <c r="AB2273" s="404"/>
      <c r="AC2273" s="404"/>
      <c r="AD2273" s="404"/>
      <c r="AE2273" s="316"/>
      <c r="AF2273" s="316"/>
      <c r="AG2273" s="404"/>
      <c r="AH2273" s="316"/>
      <c r="AI2273" s="316"/>
      <c r="AJ2273" s="316"/>
      <c r="AK2273" s="316"/>
      <c r="AL2273" s="316"/>
      <c r="AM2273" s="416"/>
      <c r="AR2273" s="333"/>
      <c r="AS2273" s="333"/>
      <c r="AT2273" s="333"/>
      <c r="AU2273" s="333"/>
      <c r="AV2273" s="333"/>
    </row>
    <row r="2274" spans="2:48" s="330" customFormat="1" ht="28.15" customHeight="1" x14ac:dyDescent="0.25">
      <c r="B2274" s="331"/>
      <c r="C2274" s="332"/>
      <c r="D2274" s="332"/>
      <c r="E2274" s="333"/>
      <c r="F2274" s="333"/>
      <c r="R2274" s="316"/>
      <c r="S2274" s="404"/>
      <c r="T2274" s="404"/>
      <c r="U2274" s="404"/>
      <c r="V2274" s="404"/>
      <c r="W2274" s="316"/>
      <c r="X2274" s="316"/>
      <c r="Y2274" s="316"/>
      <c r="Z2274" s="316"/>
      <c r="AA2274" s="404"/>
      <c r="AB2274" s="404"/>
      <c r="AC2274" s="404"/>
      <c r="AD2274" s="404"/>
      <c r="AE2274" s="316"/>
      <c r="AF2274" s="316"/>
      <c r="AG2274" s="404"/>
      <c r="AH2274" s="316"/>
      <c r="AI2274" s="316"/>
      <c r="AJ2274" s="316"/>
      <c r="AK2274" s="316"/>
      <c r="AL2274" s="316"/>
      <c r="AM2274" s="416"/>
      <c r="AR2274" s="333"/>
      <c r="AS2274" s="333"/>
      <c r="AT2274" s="333"/>
      <c r="AU2274" s="333"/>
      <c r="AV2274" s="333"/>
    </row>
    <row r="2275" spans="2:48" s="330" customFormat="1" ht="28.15" customHeight="1" x14ac:dyDescent="0.25">
      <c r="B2275" s="331"/>
      <c r="C2275" s="332"/>
      <c r="D2275" s="332"/>
      <c r="E2275" s="333"/>
      <c r="F2275" s="333"/>
      <c r="R2275" s="316"/>
      <c r="S2275" s="404"/>
      <c r="T2275" s="404"/>
      <c r="U2275" s="404"/>
      <c r="V2275" s="404"/>
      <c r="W2275" s="316"/>
      <c r="X2275" s="316"/>
      <c r="Y2275" s="316"/>
      <c r="Z2275" s="316"/>
      <c r="AA2275" s="404"/>
      <c r="AB2275" s="404"/>
      <c r="AC2275" s="404"/>
      <c r="AD2275" s="404"/>
      <c r="AE2275" s="316"/>
      <c r="AF2275" s="316"/>
      <c r="AG2275" s="404"/>
      <c r="AH2275" s="316"/>
      <c r="AI2275" s="316"/>
      <c r="AJ2275" s="316"/>
      <c r="AK2275" s="316"/>
      <c r="AL2275" s="316"/>
      <c r="AM2275" s="416"/>
      <c r="AR2275" s="333"/>
      <c r="AS2275" s="333"/>
      <c r="AT2275" s="333"/>
      <c r="AU2275" s="333"/>
      <c r="AV2275" s="333"/>
    </row>
    <row r="2276" spans="2:48" s="330" customFormat="1" ht="28.15" customHeight="1" x14ac:dyDescent="0.25">
      <c r="B2276" s="331"/>
      <c r="C2276" s="332"/>
      <c r="D2276" s="332"/>
      <c r="E2276" s="333"/>
      <c r="F2276" s="333"/>
      <c r="R2276" s="316"/>
      <c r="S2276" s="404"/>
      <c r="T2276" s="404"/>
      <c r="U2276" s="404"/>
      <c r="V2276" s="404"/>
      <c r="W2276" s="316"/>
      <c r="X2276" s="316"/>
      <c r="Y2276" s="316"/>
      <c r="Z2276" s="316"/>
      <c r="AA2276" s="404"/>
      <c r="AB2276" s="404"/>
      <c r="AC2276" s="404"/>
      <c r="AD2276" s="404"/>
      <c r="AE2276" s="316"/>
      <c r="AF2276" s="316"/>
      <c r="AG2276" s="404"/>
      <c r="AH2276" s="316"/>
      <c r="AI2276" s="316"/>
      <c r="AJ2276" s="316"/>
      <c r="AK2276" s="316"/>
      <c r="AL2276" s="316"/>
      <c r="AM2276" s="416"/>
      <c r="AR2276" s="333"/>
      <c r="AS2276" s="333"/>
      <c r="AT2276" s="333"/>
      <c r="AU2276" s="333"/>
      <c r="AV2276" s="333"/>
    </row>
    <row r="2277" spans="2:48" s="330" customFormat="1" ht="28.15" customHeight="1" x14ac:dyDescent="0.25">
      <c r="B2277" s="331"/>
      <c r="C2277" s="332"/>
      <c r="D2277" s="332"/>
      <c r="E2277" s="333"/>
      <c r="F2277" s="333"/>
      <c r="R2277" s="316"/>
      <c r="S2277" s="404"/>
      <c r="T2277" s="404"/>
      <c r="U2277" s="404"/>
      <c r="V2277" s="404"/>
      <c r="W2277" s="316"/>
      <c r="X2277" s="316"/>
      <c r="Y2277" s="316"/>
      <c r="Z2277" s="316"/>
      <c r="AA2277" s="404"/>
      <c r="AB2277" s="404"/>
      <c r="AC2277" s="404"/>
      <c r="AD2277" s="404"/>
      <c r="AE2277" s="316"/>
      <c r="AF2277" s="316"/>
      <c r="AG2277" s="404"/>
      <c r="AH2277" s="316"/>
      <c r="AI2277" s="316"/>
      <c r="AJ2277" s="316"/>
      <c r="AK2277" s="316"/>
      <c r="AL2277" s="316"/>
      <c r="AM2277" s="416"/>
      <c r="AR2277" s="333"/>
      <c r="AS2277" s="333"/>
      <c r="AT2277" s="333"/>
      <c r="AU2277" s="333"/>
      <c r="AV2277" s="333"/>
    </row>
    <row r="2278" spans="2:48" s="330" customFormat="1" ht="28.15" customHeight="1" x14ac:dyDescent="0.25">
      <c r="B2278" s="331"/>
      <c r="C2278" s="332"/>
      <c r="D2278" s="332"/>
      <c r="E2278" s="333"/>
      <c r="F2278" s="333"/>
      <c r="R2278" s="316"/>
      <c r="S2278" s="404"/>
      <c r="T2278" s="404"/>
      <c r="U2278" s="404"/>
      <c r="V2278" s="404"/>
      <c r="W2278" s="316"/>
      <c r="X2278" s="316"/>
      <c r="Y2278" s="316"/>
      <c r="Z2278" s="316"/>
      <c r="AA2278" s="404"/>
      <c r="AB2278" s="404"/>
      <c r="AC2278" s="404"/>
      <c r="AD2278" s="404"/>
      <c r="AE2278" s="316"/>
      <c r="AF2278" s="316"/>
      <c r="AG2278" s="404"/>
      <c r="AH2278" s="316"/>
      <c r="AI2278" s="316"/>
      <c r="AJ2278" s="316"/>
      <c r="AK2278" s="316"/>
      <c r="AL2278" s="316"/>
      <c r="AM2278" s="416"/>
      <c r="AR2278" s="333"/>
      <c r="AS2278" s="333"/>
      <c r="AT2278" s="333"/>
      <c r="AU2278" s="333"/>
      <c r="AV2278" s="333"/>
    </row>
    <row r="2279" spans="2:48" s="330" customFormat="1" ht="28.15" customHeight="1" x14ac:dyDescent="0.25">
      <c r="B2279" s="331"/>
      <c r="C2279" s="332"/>
      <c r="D2279" s="332"/>
      <c r="E2279" s="333"/>
      <c r="F2279" s="333"/>
      <c r="R2279" s="316"/>
      <c r="S2279" s="404"/>
      <c r="T2279" s="404"/>
      <c r="U2279" s="404"/>
      <c r="V2279" s="404"/>
      <c r="W2279" s="316"/>
      <c r="X2279" s="316"/>
      <c r="Y2279" s="316"/>
      <c r="Z2279" s="316"/>
      <c r="AA2279" s="404"/>
      <c r="AB2279" s="404"/>
      <c r="AC2279" s="404"/>
      <c r="AD2279" s="404"/>
      <c r="AE2279" s="316"/>
      <c r="AF2279" s="316"/>
      <c r="AG2279" s="404"/>
      <c r="AH2279" s="316"/>
      <c r="AI2279" s="316"/>
      <c r="AJ2279" s="316"/>
      <c r="AK2279" s="316"/>
      <c r="AL2279" s="316"/>
      <c r="AM2279" s="416"/>
      <c r="AR2279" s="333"/>
      <c r="AS2279" s="333"/>
      <c r="AT2279" s="333"/>
      <c r="AU2279" s="333"/>
      <c r="AV2279" s="333"/>
    </row>
    <row r="2280" spans="2:48" s="330" customFormat="1" ht="28.15" customHeight="1" x14ac:dyDescent="0.25">
      <c r="B2280" s="331"/>
      <c r="C2280" s="332"/>
      <c r="D2280" s="332"/>
      <c r="E2280" s="333"/>
      <c r="F2280" s="333"/>
      <c r="R2280" s="316"/>
      <c r="S2280" s="404"/>
      <c r="T2280" s="404"/>
      <c r="U2280" s="404"/>
      <c r="V2280" s="404"/>
      <c r="W2280" s="316"/>
      <c r="X2280" s="316"/>
      <c r="Y2280" s="316"/>
      <c r="Z2280" s="316"/>
      <c r="AA2280" s="404"/>
      <c r="AB2280" s="404"/>
      <c r="AC2280" s="404"/>
      <c r="AD2280" s="404"/>
      <c r="AE2280" s="316"/>
      <c r="AF2280" s="316"/>
      <c r="AG2280" s="404"/>
      <c r="AH2280" s="316"/>
      <c r="AI2280" s="316"/>
      <c r="AJ2280" s="316"/>
      <c r="AK2280" s="316"/>
      <c r="AL2280" s="316"/>
      <c r="AM2280" s="416"/>
      <c r="AR2280" s="333"/>
      <c r="AS2280" s="333"/>
      <c r="AT2280" s="333"/>
      <c r="AU2280" s="333"/>
      <c r="AV2280" s="333"/>
    </row>
    <row r="2281" spans="2:48" s="330" customFormat="1" ht="28.15" customHeight="1" x14ac:dyDescent="0.25">
      <c r="B2281" s="331"/>
      <c r="C2281" s="332"/>
      <c r="D2281" s="332"/>
      <c r="E2281" s="333"/>
      <c r="F2281" s="333"/>
      <c r="R2281" s="316"/>
      <c r="S2281" s="404"/>
      <c r="T2281" s="404"/>
      <c r="U2281" s="404"/>
      <c r="V2281" s="404"/>
      <c r="W2281" s="316"/>
      <c r="X2281" s="316"/>
      <c r="Y2281" s="316"/>
      <c r="Z2281" s="316"/>
      <c r="AA2281" s="404"/>
      <c r="AB2281" s="404"/>
      <c r="AC2281" s="404"/>
      <c r="AD2281" s="404"/>
      <c r="AE2281" s="316"/>
      <c r="AF2281" s="316"/>
      <c r="AG2281" s="404"/>
      <c r="AH2281" s="316"/>
      <c r="AI2281" s="316"/>
      <c r="AJ2281" s="316"/>
      <c r="AK2281" s="316"/>
      <c r="AL2281" s="316"/>
      <c r="AM2281" s="416"/>
      <c r="AR2281" s="333"/>
      <c r="AS2281" s="333"/>
      <c r="AT2281" s="333"/>
      <c r="AU2281" s="333"/>
      <c r="AV2281" s="333"/>
    </row>
    <row r="2282" spans="2:48" s="330" customFormat="1" ht="28.15" customHeight="1" x14ac:dyDescent="0.25">
      <c r="B2282" s="331"/>
      <c r="C2282" s="332"/>
      <c r="D2282" s="332"/>
      <c r="E2282" s="333"/>
      <c r="F2282" s="333"/>
      <c r="R2282" s="316"/>
      <c r="S2282" s="404"/>
      <c r="T2282" s="404"/>
      <c r="U2282" s="404"/>
      <c r="V2282" s="404"/>
      <c r="W2282" s="316"/>
      <c r="X2282" s="316"/>
      <c r="Y2282" s="316"/>
      <c r="Z2282" s="316"/>
      <c r="AA2282" s="404"/>
      <c r="AB2282" s="404"/>
      <c r="AC2282" s="404"/>
      <c r="AD2282" s="404"/>
      <c r="AE2282" s="316"/>
      <c r="AF2282" s="316"/>
      <c r="AG2282" s="404"/>
      <c r="AH2282" s="316"/>
      <c r="AI2282" s="316"/>
      <c r="AJ2282" s="316"/>
      <c r="AK2282" s="316"/>
      <c r="AL2282" s="316"/>
      <c r="AM2282" s="416"/>
      <c r="AR2282" s="333"/>
      <c r="AS2282" s="333"/>
      <c r="AT2282" s="333"/>
      <c r="AU2282" s="333"/>
      <c r="AV2282" s="333"/>
    </row>
    <row r="2283" spans="2:48" s="330" customFormat="1" ht="28.15" customHeight="1" x14ac:dyDescent="0.25">
      <c r="B2283" s="331"/>
      <c r="C2283" s="332"/>
      <c r="D2283" s="332"/>
      <c r="E2283" s="333"/>
      <c r="F2283" s="333"/>
      <c r="R2283" s="316"/>
      <c r="S2283" s="404"/>
      <c r="T2283" s="404"/>
      <c r="U2283" s="404"/>
      <c r="V2283" s="404"/>
      <c r="W2283" s="316"/>
      <c r="X2283" s="316"/>
      <c r="Y2283" s="316"/>
      <c r="Z2283" s="316"/>
      <c r="AA2283" s="404"/>
      <c r="AB2283" s="404"/>
      <c r="AC2283" s="404"/>
      <c r="AD2283" s="404"/>
      <c r="AE2283" s="316"/>
      <c r="AF2283" s="316"/>
      <c r="AG2283" s="404"/>
      <c r="AH2283" s="316"/>
      <c r="AI2283" s="316"/>
      <c r="AJ2283" s="316"/>
      <c r="AK2283" s="316"/>
      <c r="AL2283" s="316"/>
      <c r="AM2283" s="416"/>
      <c r="AR2283" s="333"/>
      <c r="AS2283" s="333"/>
      <c r="AT2283" s="333"/>
      <c r="AU2283" s="333"/>
      <c r="AV2283" s="333"/>
    </row>
    <row r="2284" spans="2:48" s="330" customFormat="1" ht="28.15" customHeight="1" x14ac:dyDescent="0.25">
      <c r="B2284" s="331"/>
      <c r="C2284" s="332"/>
      <c r="D2284" s="332"/>
      <c r="E2284" s="333"/>
      <c r="F2284" s="333"/>
      <c r="R2284" s="316"/>
      <c r="S2284" s="404"/>
      <c r="T2284" s="404"/>
      <c r="U2284" s="404"/>
      <c r="V2284" s="404"/>
      <c r="W2284" s="316"/>
      <c r="X2284" s="316"/>
      <c r="Y2284" s="316"/>
      <c r="Z2284" s="316"/>
      <c r="AA2284" s="404"/>
      <c r="AB2284" s="404"/>
      <c r="AC2284" s="404"/>
      <c r="AD2284" s="404"/>
      <c r="AE2284" s="316"/>
      <c r="AF2284" s="316"/>
      <c r="AG2284" s="404"/>
      <c r="AH2284" s="316"/>
      <c r="AI2284" s="316"/>
      <c r="AJ2284" s="316"/>
      <c r="AK2284" s="316"/>
      <c r="AL2284" s="316"/>
      <c r="AM2284" s="416"/>
      <c r="AR2284" s="333"/>
      <c r="AS2284" s="333"/>
      <c r="AT2284" s="333"/>
      <c r="AU2284" s="333"/>
      <c r="AV2284" s="333"/>
    </row>
    <row r="2285" spans="2:48" s="330" customFormat="1" ht="28.15" customHeight="1" x14ac:dyDescent="0.25">
      <c r="B2285" s="331"/>
      <c r="C2285" s="332"/>
      <c r="D2285" s="332"/>
      <c r="E2285" s="333"/>
      <c r="F2285" s="333"/>
      <c r="R2285" s="316"/>
      <c r="S2285" s="404"/>
      <c r="T2285" s="404"/>
      <c r="U2285" s="404"/>
      <c r="V2285" s="404"/>
      <c r="W2285" s="316"/>
      <c r="X2285" s="316"/>
      <c r="Y2285" s="316"/>
      <c r="Z2285" s="316"/>
      <c r="AA2285" s="404"/>
      <c r="AB2285" s="404"/>
      <c r="AC2285" s="404"/>
      <c r="AD2285" s="404"/>
      <c r="AE2285" s="316"/>
      <c r="AF2285" s="316"/>
      <c r="AG2285" s="404"/>
      <c r="AH2285" s="316"/>
      <c r="AI2285" s="316"/>
      <c r="AJ2285" s="316"/>
      <c r="AK2285" s="316"/>
      <c r="AL2285" s="316"/>
      <c r="AM2285" s="416"/>
      <c r="AR2285" s="333"/>
      <c r="AS2285" s="333"/>
      <c r="AT2285" s="333"/>
      <c r="AU2285" s="333"/>
      <c r="AV2285" s="333"/>
    </row>
    <row r="2286" spans="2:48" s="330" customFormat="1" ht="28.15" customHeight="1" x14ac:dyDescent="0.25">
      <c r="B2286" s="331"/>
      <c r="C2286" s="332"/>
      <c r="D2286" s="332"/>
      <c r="E2286" s="333"/>
      <c r="F2286" s="333"/>
      <c r="R2286" s="316"/>
      <c r="S2286" s="404"/>
      <c r="T2286" s="404"/>
      <c r="U2286" s="404"/>
      <c r="V2286" s="404"/>
      <c r="W2286" s="316"/>
      <c r="X2286" s="316"/>
      <c r="Y2286" s="316"/>
      <c r="Z2286" s="316"/>
      <c r="AA2286" s="404"/>
      <c r="AB2286" s="404"/>
      <c r="AC2286" s="404"/>
      <c r="AD2286" s="404"/>
      <c r="AE2286" s="316"/>
      <c r="AF2286" s="316"/>
      <c r="AG2286" s="404"/>
      <c r="AH2286" s="316"/>
      <c r="AI2286" s="316"/>
      <c r="AJ2286" s="316"/>
      <c r="AK2286" s="316"/>
      <c r="AL2286" s="316"/>
      <c r="AM2286" s="416"/>
      <c r="AR2286" s="333"/>
      <c r="AS2286" s="333"/>
      <c r="AT2286" s="333"/>
      <c r="AU2286" s="333"/>
      <c r="AV2286" s="333"/>
    </row>
    <row r="2287" spans="2:48" s="330" customFormat="1" ht="28.15" customHeight="1" x14ac:dyDescent="0.25">
      <c r="B2287" s="331"/>
      <c r="C2287" s="332"/>
      <c r="D2287" s="332"/>
      <c r="E2287" s="333"/>
      <c r="F2287" s="333"/>
      <c r="R2287" s="316"/>
      <c r="S2287" s="404"/>
      <c r="T2287" s="404"/>
      <c r="U2287" s="404"/>
      <c r="V2287" s="404"/>
      <c r="W2287" s="316"/>
      <c r="X2287" s="316"/>
      <c r="Y2287" s="316"/>
      <c r="Z2287" s="316"/>
      <c r="AA2287" s="404"/>
      <c r="AB2287" s="404"/>
      <c r="AC2287" s="404"/>
      <c r="AD2287" s="404"/>
      <c r="AE2287" s="316"/>
      <c r="AF2287" s="316"/>
      <c r="AG2287" s="404"/>
      <c r="AH2287" s="316"/>
      <c r="AI2287" s="316"/>
      <c r="AJ2287" s="316"/>
      <c r="AK2287" s="316"/>
      <c r="AL2287" s="316"/>
      <c r="AM2287" s="416"/>
      <c r="AR2287" s="333"/>
      <c r="AS2287" s="333"/>
      <c r="AT2287" s="333"/>
      <c r="AU2287" s="333"/>
      <c r="AV2287" s="333"/>
    </row>
    <row r="2288" spans="2:48" s="330" customFormat="1" ht="28.15" customHeight="1" x14ac:dyDescent="0.25">
      <c r="B2288" s="331"/>
      <c r="C2288" s="332"/>
      <c r="D2288" s="332"/>
      <c r="E2288" s="333"/>
      <c r="F2288" s="333"/>
      <c r="R2288" s="316"/>
      <c r="S2288" s="404"/>
      <c r="T2288" s="404"/>
      <c r="U2288" s="404"/>
      <c r="V2288" s="404"/>
      <c r="W2288" s="316"/>
      <c r="X2288" s="316"/>
      <c r="Y2288" s="316"/>
      <c r="Z2288" s="316"/>
      <c r="AA2288" s="404"/>
      <c r="AB2288" s="404"/>
      <c r="AC2288" s="404"/>
      <c r="AD2288" s="404"/>
      <c r="AE2288" s="316"/>
      <c r="AF2288" s="316"/>
      <c r="AG2288" s="404"/>
      <c r="AH2288" s="316"/>
      <c r="AI2288" s="316"/>
      <c r="AJ2288" s="316"/>
      <c r="AK2288" s="316"/>
      <c r="AL2288" s="316"/>
      <c r="AM2288" s="416"/>
      <c r="AR2288" s="333"/>
      <c r="AS2288" s="333"/>
      <c r="AT2288" s="333"/>
      <c r="AU2288" s="333"/>
      <c r="AV2288" s="333"/>
    </row>
    <row r="2289" spans="2:48" s="330" customFormat="1" ht="28.15" customHeight="1" x14ac:dyDescent="0.25">
      <c r="B2289" s="331"/>
      <c r="C2289" s="332"/>
      <c r="D2289" s="332"/>
      <c r="E2289" s="333"/>
      <c r="F2289" s="333"/>
      <c r="R2289" s="316"/>
      <c r="S2289" s="404"/>
      <c r="T2289" s="404"/>
      <c r="U2289" s="404"/>
      <c r="V2289" s="404"/>
      <c r="W2289" s="316"/>
      <c r="X2289" s="316"/>
      <c r="Y2289" s="316"/>
      <c r="Z2289" s="316"/>
      <c r="AA2289" s="404"/>
      <c r="AB2289" s="404"/>
      <c r="AC2289" s="404"/>
      <c r="AD2289" s="404"/>
      <c r="AE2289" s="316"/>
      <c r="AF2289" s="316"/>
      <c r="AG2289" s="404"/>
      <c r="AH2289" s="316"/>
      <c r="AI2289" s="316"/>
      <c r="AJ2289" s="316"/>
      <c r="AK2289" s="316"/>
      <c r="AL2289" s="316"/>
      <c r="AM2289" s="416"/>
      <c r="AR2289" s="333"/>
      <c r="AS2289" s="333"/>
      <c r="AT2289" s="333"/>
      <c r="AU2289" s="333"/>
      <c r="AV2289" s="333"/>
    </row>
    <row r="2290" spans="2:48" s="330" customFormat="1" ht="28.15" customHeight="1" x14ac:dyDescent="0.25">
      <c r="B2290" s="331"/>
      <c r="C2290" s="332"/>
      <c r="D2290" s="332"/>
      <c r="E2290" s="333"/>
      <c r="F2290" s="333"/>
      <c r="R2290" s="316"/>
      <c r="S2290" s="404"/>
      <c r="T2290" s="404"/>
      <c r="U2290" s="404"/>
      <c r="V2290" s="404"/>
      <c r="W2290" s="316"/>
      <c r="X2290" s="316"/>
      <c r="Y2290" s="316"/>
      <c r="Z2290" s="316"/>
      <c r="AA2290" s="404"/>
      <c r="AB2290" s="404"/>
      <c r="AC2290" s="404"/>
      <c r="AD2290" s="404"/>
      <c r="AE2290" s="316"/>
      <c r="AF2290" s="316"/>
      <c r="AG2290" s="404"/>
      <c r="AH2290" s="316"/>
      <c r="AI2290" s="316"/>
      <c r="AJ2290" s="316"/>
      <c r="AK2290" s="316"/>
      <c r="AL2290" s="316"/>
      <c r="AM2290" s="416"/>
      <c r="AR2290" s="333"/>
      <c r="AS2290" s="333"/>
      <c r="AT2290" s="333"/>
      <c r="AU2290" s="333"/>
      <c r="AV2290" s="333"/>
    </row>
    <row r="2291" spans="2:48" s="330" customFormat="1" ht="28.15" customHeight="1" x14ac:dyDescent="0.25">
      <c r="B2291" s="331"/>
      <c r="C2291" s="332"/>
      <c r="D2291" s="332"/>
      <c r="E2291" s="333"/>
      <c r="F2291" s="333"/>
      <c r="R2291" s="316"/>
      <c r="S2291" s="404"/>
      <c r="T2291" s="404"/>
      <c r="U2291" s="404"/>
      <c r="V2291" s="404"/>
      <c r="W2291" s="316"/>
      <c r="X2291" s="316"/>
      <c r="Y2291" s="316"/>
      <c r="Z2291" s="316"/>
      <c r="AA2291" s="404"/>
      <c r="AB2291" s="404"/>
      <c r="AC2291" s="404"/>
      <c r="AD2291" s="404"/>
      <c r="AE2291" s="316"/>
      <c r="AF2291" s="316"/>
      <c r="AG2291" s="404"/>
      <c r="AH2291" s="316"/>
      <c r="AI2291" s="316"/>
      <c r="AJ2291" s="316"/>
      <c r="AK2291" s="316"/>
      <c r="AL2291" s="316"/>
      <c r="AM2291" s="416"/>
      <c r="AR2291" s="333"/>
      <c r="AS2291" s="333"/>
      <c r="AT2291" s="333"/>
      <c r="AU2291" s="333"/>
      <c r="AV2291" s="333"/>
    </row>
    <row r="2292" spans="2:48" s="330" customFormat="1" ht="28.15" customHeight="1" x14ac:dyDescent="0.25">
      <c r="B2292" s="331"/>
      <c r="C2292" s="332"/>
      <c r="D2292" s="332"/>
      <c r="E2292" s="333"/>
      <c r="F2292" s="333"/>
      <c r="R2292" s="316"/>
      <c r="S2292" s="404"/>
      <c r="T2292" s="404"/>
      <c r="U2292" s="404"/>
      <c r="V2292" s="404"/>
      <c r="W2292" s="316"/>
      <c r="X2292" s="316"/>
      <c r="Y2292" s="316"/>
      <c r="Z2292" s="316"/>
      <c r="AA2292" s="404"/>
      <c r="AB2292" s="404"/>
      <c r="AC2292" s="404"/>
      <c r="AD2292" s="404"/>
      <c r="AE2292" s="316"/>
      <c r="AF2292" s="316"/>
      <c r="AG2292" s="404"/>
      <c r="AH2292" s="316"/>
      <c r="AI2292" s="316"/>
      <c r="AJ2292" s="316"/>
      <c r="AK2292" s="316"/>
      <c r="AL2292" s="316"/>
      <c r="AM2292" s="416"/>
      <c r="AR2292" s="333"/>
      <c r="AS2292" s="333"/>
      <c r="AT2292" s="333"/>
      <c r="AU2292" s="333"/>
      <c r="AV2292" s="333"/>
    </row>
    <row r="2293" spans="2:48" s="330" customFormat="1" ht="28.15" customHeight="1" x14ac:dyDescent="0.25">
      <c r="B2293" s="331"/>
      <c r="C2293" s="332"/>
      <c r="D2293" s="332"/>
      <c r="E2293" s="333"/>
      <c r="F2293" s="333"/>
      <c r="R2293" s="316"/>
      <c r="S2293" s="404"/>
      <c r="T2293" s="404"/>
      <c r="U2293" s="404"/>
      <c r="V2293" s="404"/>
      <c r="W2293" s="316"/>
      <c r="X2293" s="316"/>
      <c r="Y2293" s="316"/>
      <c r="Z2293" s="316"/>
      <c r="AA2293" s="404"/>
      <c r="AB2293" s="404"/>
      <c r="AC2293" s="404"/>
      <c r="AD2293" s="404"/>
      <c r="AE2293" s="316"/>
      <c r="AF2293" s="316"/>
      <c r="AG2293" s="404"/>
      <c r="AH2293" s="316"/>
      <c r="AI2293" s="316"/>
      <c r="AJ2293" s="316"/>
      <c r="AK2293" s="316"/>
      <c r="AL2293" s="316"/>
      <c r="AM2293" s="416"/>
      <c r="AR2293" s="333"/>
      <c r="AS2293" s="333"/>
      <c r="AT2293" s="333"/>
      <c r="AU2293" s="333"/>
      <c r="AV2293" s="333"/>
    </row>
    <row r="2294" spans="2:48" s="330" customFormat="1" ht="28.15" customHeight="1" x14ac:dyDescent="0.25">
      <c r="B2294" s="331"/>
      <c r="C2294" s="332"/>
      <c r="D2294" s="332"/>
      <c r="E2294" s="333"/>
      <c r="F2294" s="333"/>
      <c r="R2294" s="316"/>
      <c r="S2294" s="404"/>
      <c r="T2294" s="404"/>
      <c r="U2294" s="404"/>
      <c r="V2294" s="404"/>
      <c r="W2294" s="316"/>
      <c r="X2294" s="316"/>
      <c r="Y2294" s="316"/>
      <c r="Z2294" s="316"/>
      <c r="AA2294" s="404"/>
      <c r="AB2294" s="404"/>
      <c r="AC2294" s="404"/>
      <c r="AD2294" s="404"/>
      <c r="AE2294" s="316"/>
      <c r="AF2294" s="316"/>
      <c r="AG2294" s="404"/>
      <c r="AH2294" s="316"/>
      <c r="AI2294" s="316"/>
      <c r="AJ2294" s="316"/>
      <c r="AK2294" s="316"/>
      <c r="AL2294" s="316"/>
      <c r="AM2294" s="416"/>
      <c r="AR2294" s="333"/>
      <c r="AS2294" s="333"/>
      <c r="AT2294" s="333"/>
      <c r="AU2294" s="333"/>
      <c r="AV2294" s="333"/>
    </row>
    <row r="2295" spans="2:48" s="330" customFormat="1" ht="28.15" customHeight="1" x14ac:dyDescent="0.25">
      <c r="B2295" s="331"/>
      <c r="C2295" s="332"/>
      <c r="D2295" s="332"/>
      <c r="E2295" s="333"/>
      <c r="F2295" s="333"/>
      <c r="R2295" s="316"/>
      <c r="S2295" s="404"/>
      <c r="T2295" s="404"/>
      <c r="U2295" s="404"/>
      <c r="V2295" s="404"/>
      <c r="W2295" s="316"/>
      <c r="X2295" s="316"/>
      <c r="Y2295" s="316"/>
      <c r="Z2295" s="316"/>
      <c r="AA2295" s="404"/>
      <c r="AB2295" s="404"/>
      <c r="AC2295" s="404"/>
      <c r="AD2295" s="404"/>
      <c r="AE2295" s="316"/>
      <c r="AF2295" s="316"/>
      <c r="AG2295" s="404"/>
      <c r="AH2295" s="316"/>
      <c r="AI2295" s="316"/>
      <c r="AJ2295" s="316"/>
      <c r="AK2295" s="316"/>
      <c r="AL2295" s="316"/>
      <c r="AM2295" s="416"/>
      <c r="AR2295" s="333"/>
      <c r="AS2295" s="333"/>
      <c r="AT2295" s="333"/>
      <c r="AU2295" s="333"/>
      <c r="AV2295" s="333"/>
    </row>
    <row r="2296" spans="2:48" s="330" customFormat="1" ht="28.15" customHeight="1" x14ac:dyDescent="0.25">
      <c r="B2296" s="331"/>
      <c r="C2296" s="332"/>
      <c r="D2296" s="332"/>
      <c r="E2296" s="333"/>
      <c r="F2296" s="333"/>
      <c r="R2296" s="316"/>
      <c r="S2296" s="404"/>
      <c r="T2296" s="404"/>
      <c r="U2296" s="404"/>
      <c r="V2296" s="404"/>
      <c r="W2296" s="316"/>
      <c r="X2296" s="316"/>
      <c r="Y2296" s="316"/>
      <c r="Z2296" s="316"/>
      <c r="AA2296" s="404"/>
      <c r="AB2296" s="404"/>
      <c r="AC2296" s="404"/>
      <c r="AD2296" s="404"/>
      <c r="AE2296" s="316"/>
      <c r="AF2296" s="316"/>
      <c r="AG2296" s="404"/>
      <c r="AH2296" s="316"/>
      <c r="AI2296" s="316"/>
      <c r="AJ2296" s="316"/>
      <c r="AK2296" s="316"/>
      <c r="AL2296" s="316"/>
      <c r="AM2296" s="416"/>
      <c r="AR2296" s="333"/>
      <c r="AS2296" s="333"/>
      <c r="AT2296" s="333"/>
      <c r="AU2296" s="333"/>
      <c r="AV2296" s="333"/>
    </row>
    <row r="2297" spans="2:48" s="330" customFormat="1" ht="28.15" customHeight="1" x14ac:dyDescent="0.25">
      <c r="B2297" s="331"/>
      <c r="C2297" s="332"/>
      <c r="D2297" s="332"/>
      <c r="E2297" s="333"/>
      <c r="F2297" s="333"/>
      <c r="R2297" s="316"/>
      <c r="S2297" s="404"/>
      <c r="T2297" s="404"/>
      <c r="U2297" s="404"/>
      <c r="V2297" s="404"/>
      <c r="W2297" s="316"/>
      <c r="X2297" s="316"/>
      <c r="Y2297" s="316"/>
      <c r="Z2297" s="316"/>
      <c r="AA2297" s="404"/>
      <c r="AB2297" s="404"/>
      <c r="AC2297" s="404"/>
      <c r="AD2297" s="404"/>
      <c r="AE2297" s="316"/>
      <c r="AF2297" s="316"/>
      <c r="AG2297" s="404"/>
      <c r="AH2297" s="316"/>
      <c r="AI2297" s="316"/>
      <c r="AJ2297" s="316"/>
      <c r="AK2297" s="316"/>
      <c r="AL2297" s="316"/>
      <c r="AM2297" s="416"/>
      <c r="AR2297" s="333"/>
      <c r="AS2297" s="333"/>
      <c r="AT2297" s="333"/>
      <c r="AU2297" s="333"/>
      <c r="AV2297" s="333"/>
    </row>
    <row r="2298" spans="2:48" s="330" customFormat="1" ht="28.15" customHeight="1" x14ac:dyDescent="0.25">
      <c r="B2298" s="331"/>
      <c r="C2298" s="332"/>
      <c r="D2298" s="332"/>
      <c r="E2298" s="333"/>
      <c r="F2298" s="333"/>
      <c r="R2298" s="316"/>
      <c r="S2298" s="404"/>
      <c r="T2298" s="404"/>
      <c r="U2298" s="404"/>
      <c r="V2298" s="404"/>
      <c r="W2298" s="316"/>
      <c r="X2298" s="316"/>
      <c r="Y2298" s="316"/>
      <c r="Z2298" s="316"/>
      <c r="AA2298" s="404"/>
      <c r="AB2298" s="404"/>
      <c r="AC2298" s="404"/>
      <c r="AD2298" s="404"/>
      <c r="AE2298" s="316"/>
      <c r="AF2298" s="316"/>
      <c r="AG2298" s="404"/>
      <c r="AH2298" s="316"/>
      <c r="AI2298" s="316"/>
      <c r="AJ2298" s="316"/>
      <c r="AK2298" s="316"/>
      <c r="AL2298" s="316"/>
      <c r="AM2298" s="416"/>
      <c r="AR2298" s="333"/>
      <c r="AS2298" s="333"/>
      <c r="AT2298" s="333"/>
      <c r="AU2298" s="333"/>
      <c r="AV2298" s="333"/>
    </row>
    <row r="2299" spans="2:48" s="330" customFormat="1" ht="28.15" customHeight="1" x14ac:dyDescent="0.25">
      <c r="B2299" s="331"/>
      <c r="C2299" s="332"/>
      <c r="D2299" s="332"/>
      <c r="E2299" s="333"/>
      <c r="F2299" s="333"/>
      <c r="R2299" s="316"/>
      <c r="S2299" s="404"/>
      <c r="T2299" s="404"/>
      <c r="U2299" s="404"/>
      <c r="V2299" s="404"/>
      <c r="W2299" s="316"/>
      <c r="X2299" s="316"/>
      <c r="Y2299" s="316"/>
      <c r="Z2299" s="316"/>
      <c r="AA2299" s="404"/>
      <c r="AB2299" s="404"/>
      <c r="AC2299" s="404"/>
      <c r="AD2299" s="404"/>
      <c r="AE2299" s="316"/>
      <c r="AF2299" s="316"/>
      <c r="AG2299" s="404"/>
      <c r="AH2299" s="316"/>
      <c r="AI2299" s="316"/>
      <c r="AJ2299" s="316"/>
      <c r="AK2299" s="316"/>
      <c r="AL2299" s="316"/>
      <c r="AM2299" s="416"/>
      <c r="AR2299" s="333"/>
      <c r="AS2299" s="333"/>
      <c r="AT2299" s="333"/>
      <c r="AU2299" s="333"/>
      <c r="AV2299" s="333"/>
    </row>
    <row r="2300" spans="2:48" s="330" customFormat="1" ht="28.15" customHeight="1" x14ac:dyDescent="0.25">
      <c r="B2300" s="331"/>
      <c r="C2300" s="332"/>
      <c r="D2300" s="332"/>
      <c r="E2300" s="333"/>
      <c r="F2300" s="333"/>
      <c r="R2300" s="316"/>
      <c r="S2300" s="404"/>
      <c r="T2300" s="404"/>
      <c r="U2300" s="404"/>
      <c r="V2300" s="404"/>
      <c r="W2300" s="316"/>
      <c r="X2300" s="316"/>
      <c r="Y2300" s="316"/>
      <c r="Z2300" s="316"/>
      <c r="AA2300" s="404"/>
      <c r="AB2300" s="404"/>
      <c r="AC2300" s="404"/>
      <c r="AD2300" s="404"/>
      <c r="AE2300" s="316"/>
      <c r="AF2300" s="316"/>
      <c r="AG2300" s="404"/>
      <c r="AH2300" s="316"/>
      <c r="AI2300" s="316"/>
      <c r="AJ2300" s="316"/>
      <c r="AK2300" s="316"/>
      <c r="AL2300" s="316"/>
      <c r="AM2300" s="416"/>
      <c r="AR2300" s="333"/>
      <c r="AS2300" s="333"/>
      <c r="AT2300" s="333"/>
      <c r="AU2300" s="333"/>
      <c r="AV2300" s="333"/>
    </row>
    <row r="2301" spans="2:48" s="330" customFormat="1" ht="28.15" customHeight="1" x14ac:dyDescent="0.25">
      <c r="B2301" s="331"/>
      <c r="C2301" s="332"/>
      <c r="D2301" s="332"/>
      <c r="E2301" s="333"/>
      <c r="F2301" s="333"/>
      <c r="R2301" s="316"/>
      <c r="S2301" s="404"/>
      <c r="T2301" s="404"/>
      <c r="U2301" s="404"/>
      <c r="V2301" s="404"/>
      <c r="W2301" s="316"/>
      <c r="X2301" s="316"/>
      <c r="Y2301" s="316"/>
      <c r="Z2301" s="316"/>
      <c r="AA2301" s="404"/>
      <c r="AB2301" s="404"/>
      <c r="AC2301" s="404"/>
      <c r="AD2301" s="404"/>
      <c r="AE2301" s="316"/>
      <c r="AF2301" s="316"/>
      <c r="AG2301" s="404"/>
      <c r="AH2301" s="316"/>
      <c r="AI2301" s="316"/>
      <c r="AJ2301" s="316"/>
      <c r="AK2301" s="316"/>
      <c r="AL2301" s="316"/>
      <c r="AM2301" s="416"/>
      <c r="AR2301" s="333"/>
      <c r="AS2301" s="333"/>
      <c r="AT2301" s="333"/>
      <c r="AU2301" s="333"/>
      <c r="AV2301" s="333"/>
    </row>
    <row r="2302" spans="2:48" s="330" customFormat="1" ht="28.15" customHeight="1" x14ac:dyDescent="0.25">
      <c r="B2302" s="331"/>
      <c r="C2302" s="332"/>
      <c r="D2302" s="332"/>
      <c r="E2302" s="333"/>
      <c r="F2302" s="333"/>
      <c r="R2302" s="316"/>
      <c r="S2302" s="404"/>
      <c r="T2302" s="404"/>
      <c r="U2302" s="404"/>
      <c r="V2302" s="404"/>
      <c r="W2302" s="316"/>
      <c r="X2302" s="316"/>
      <c r="Y2302" s="316"/>
      <c r="Z2302" s="316"/>
      <c r="AA2302" s="404"/>
      <c r="AB2302" s="404"/>
      <c r="AC2302" s="404"/>
      <c r="AD2302" s="404"/>
      <c r="AE2302" s="316"/>
      <c r="AF2302" s="316"/>
      <c r="AG2302" s="404"/>
      <c r="AH2302" s="316"/>
      <c r="AI2302" s="316"/>
      <c r="AJ2302" s="316"/>
      <c r="AK2302" s="316"/>
      <c r="AL2302" s="316"/>
      <c r="AM2302" s="416"/>
      <c r="AR2302" s="333"/>
      <c r="AS2302" s="333"/>
      <c r="AT2302" s="333"/>
      <c r="AU2302" s="333"/>
      <c r="AV2302" s="333"/>
    </row>
    <row r="2303" spans="2:48" s="330" customFormat="1" ht="28.15" customHeight="1" x14ac:dyDescent="0.25">
      <c r="B2303" s="331"/>
      <c r="C2303" s="332"/>
      <c r="D2303" s="332"/>
      <c r="E2303" s="333"/>
      <c r="F2303" s="333"/>
      <c r="R2303" s="316"/>
      <c r="S2303" s="404"/>
      <c r="T2303" s="404"/>
      <c r="U2303" s="404"/>
      <c r="V2303" s="404"/>
      <c r="W2303" s="316"/>
      <c r="X2303" s="316"/>
      <c r="Y2303" s="316"/>
      <c r="Z2303" s="316"/>
      <c r="AA2303" s="404"/>
      <c r="AB2303" s="404"/>
      <c r="AC2303" s="404"/>
      <c r="AD2303" s="404"/>
      <c r="AE2303" s="316"/>
      <c r="AF2303" s="316"/>
      <c r="AG2303" s="404"/>
      <c r="AH2303" s="316"/>
      <c r="AI2303" s="316"/>
      <c r="AJ2303" s="316"/>
      <c r="AK2303" s="316"/>
      <c r="AL2303" s="316"/>
      <c r="AM2303" s="416"/>
      <c r="AR2303" s="333"/>
      <c r="AS2303" s="333"/>
      <c r="AT2303" s="333"/>
      <c r="AU2303" s="333"/>
      <c r="AV2303" s="333"/>
    </row>
    <row r="2304" spans="2:48" s="330" customFormat="1" ht="28.15" customHeight="1" x14ac:dyDescent="0.25">
      <c r="B2304" s="331"/>
      <c r="C2304" s="332"/>
      <c r="D2304" s="332"/>
      <c r="E2304" s="333"/>
      <c r="F2304" s="333"/>
      <c r="R2304" s="316"/>
      <c r="S2304" s="404"/>
      <c r="T2304" s="404"/>
      <c r="U2304" s="404"/>
      <c r="V2304" s="404"/>
      <c r="W2304" s="316"/>
      <c r="X2304" s="316"/>
      <c r="Y2304" s="316"/>
      <c r="Z2304" s="316"/>
      <c r="AA2304" s="404"/>
      <c r="AB2304" s="404"/>
      <c r="AC2304" s="404"/>
      <c r="AD2304" s="404"/>
      <c r="AE2304" s="316"/>
      <c r="AF2304" s="316"/>
      <c r="AG2304" s="404"/>
      <c r="AH2304" s="316"/>
      <c r="AI2304" s="316"/>
      <c r="AJ2304" s="316"/>
      <c r="AK2304" s="316"/>
      <c r="AL2304" s="316"/>
      <c r="AM2304" s="416"/>
      <c r="AR2304" s="333"/>
      <c r="AS2304" s="333"/>
      <c r="AT2304" s="333"/>
      <c r="AU2304" s="333"/>
      <c r="AV2304" s="333"/>
    </row>
    <row r="2305" spans="2:48" s="330" customFormat="1" ht="28.15" customHeight="1" x14ac:dyDescent="0.25">
      <c r="B2305" s="331"/>
      <c r="C2305" s="332"/>
      <c r="D2305" s="332"/>
      <c r="E2305" s="333"/>
      <c r="F2305" s="333"/>
      <c r="R2305" s="316"/>
      <c r="S2305" s="404"/>
      <c r="T2305" s="404"/>
      <c r="U2305" s="404"/>
      <c r="V2305" s="404"/>
      <c r="W2305" s="316"/>
      <c r="X2305" s="316"/>
      <c r="Y2305" s="316"/>
      <c r="Z2305" s="316"/>
      <c r="AA2305" s="404"/>
      <c r="AB2305" s="404"/>
      <c r="AC2305" s="404"/>
      <c r="AD2305" s="404"/>
      <c r="AE2305" s="316"/>
      <c r="AF2305" s="316"/>
      <c r="AG2305" s="404"/>
      <c r="AH2305" s="316"/>
      <c r="AI2305" s="316"/>
      <c r="AJ2305" s="316"/>
      <c r="AK2305" s="316"/>
      <c r="AL2305" s="316"/>
      <c r="AM2305" s="416"/>
      <c r="AR2305" s="333"/>
      <c r="AS2305" s="333"/>
      <c r="AT2305" s="333"/>
      <c r="AU2305" s="333"/>
      <c r="AV2305" s="333"/>
    </row>
    <row r="2306" spans="2:48" s="330" customFormat="1" ht="28.15" customHeight="1" x14ac:dyDescent="0.25">
      <c r="B2306" s="331"/>
      <c r="C2306" s="332"/>
      <c r="D2306" s="332"/>
      <c r="E2306" s="333"/>
      <c r="F2306" s="333"/>
      <c r="R2306" s="316"/>
      <c r="S2306" s="404"/>
      <c r="T2306" s="404"/>
      <c r="U2306" s="404"/>
      <c r="V2306" s="404"/>
      <c r="W2306" s="316"/>
      <c r="X2306" s="316"/>
      <c r="Y2306" s="316"/>
      <c r="Z2306" s="316"/>
      <c r="AA2306" s="404"/>
      <c r="AB2306" s="404"/>
      <c r="AC2306" s="404"/>
      <c r="AD2306" s="404"/>
      <c r="AE2306" s="316"/>
      <c r="AF2306" s="316"/>
      <c r="AG2306" s="404"/>
      <c r="AH2306" s="316"/>
      <c r="AI2306" s="316"/>
      <c r="AJ2306" s="316"/>
      <c r="AK2306" s="316"/>
      <c r="AL2306" s="316"/>
      <c r="AM2306" s="416"/>
      <c r="AR2306" s="333"/>
      <c r="AS2306" s="333"/>
      <c r="AT2306" s="333"/>
      <c r="AU2306" s="333"/>
      <c r="AV2306" s="333"/>
    </row>
    <row r="2307" spans="2:48" s="330" customFormat="1" ht="28.15" customHeight="1" x14ac:dyDescent="0.25">
      <c r="B2307" s="331"/>
      <c r="C2307" s="332"/>
      <c r="D2307" s="332"/>
      <c r="E2307" s="333"/>
      <c r="F2307" s="333"/>
      <c r="R2307" s="316"/>
      <c r="S2307" s="404"/>
      <c r="T2307" s="404"/>
      <c r="U2307" s="404"/>
      <c r="V2307" s="404"/>
      <c r="W2307" s="316"/>
      <c r="X2307" s="316"/>
      <c r="Y2307" s="316"/>
      <c r="Z2307" s="316"/>
      <c r="AA2307" s="404"/>
      <c r="AB2307" s="404"/>
      <c r="AC2307" s="404"/>
      <c r="AD2307" s="404"/>
      <c r="AE2307" s="316"/>
      <c r="AF2307" s="316"/>
      <c r="AG2307" s="404"/>
      <c r="AH2307" s="316"/>
      <c r="AI2307" s="316"/>
      <c r="AJ2307" s="316"/>
      <c r="AK2307" s="316"/>
      <c r="AL2307" s="316"/>
      <c r="AM2307" s="416"/>
      <c r="AR2307" s="333"/>
      <c r="AS2307" s="333"/>
      <c r="AT2307" s="333"/>
      <c r="AU2307" s="333"/>
      <c r="AV2307" s="333"/>
    </row>
    <row r="2308" spans="2:48" s="330" customFormat="1" ht="28.15" customHeight="1" x14ac:dyDescent="0.25">
      <c r="B2308" s="331"/>
      <c r="C2308" s="332"/>
      <c r="D2308" s="332"/>
      <c r="E2308" s="333"/>
      <c r="F2308" s="333"/>
      <c r="R2308" s="316"/>
      <c r="S2308" s="404"/>
      <c r="T2308" s="404"/>
      <c r="U2308" s="404"/>
      <c r="V2308" s="404"/>
      <c r="W2308" s="316"/>
      <c r="X2308" s="316"/>
      <c r="Y2308" s="316"/>
      <c r="Z2308" s="316"/>
      <c r="AA2308" s="404"/>
      <c r="AB2308" s="404"/>
      <c r="AC2308" s="404"/>
      <c r="AD2308" s="404"/>
      <c r="AE2308" s="316"/>
      <c r="AF2308" s="316"/>
      <c r="AG2308" s="404"/>
      <c r="AH2308" s="316"/>
      <c r="AI2308" s="316"/>
      <c r="AJ2308" s="316"/>
      <c r="AK2308" s="316"/>
      <c r="AL2308" s="316"/>
      <c r="AM2308" s="416"/>
      <c r="AR2308" s="333"/>
      <c r="AS2308" s="333"/>
      <c r="AT2308" s="333"/>
      <c r="AU2308" s="333"/>
      <c r="AV2308" s="333"/>
    </row>
    <row r="2309" spans="2:48" s="330" customFormat="1" ht="28.15" customHeight="1" x14ac:dyDescent="0.25">
      <c r="B2309" s="331"/>
      <c r="C2309" s="332"/>
      <c r="D2309" s="332"/>
      <c r="E2309" s="333"/>
      <c r="F2309" s="333"/>
      <c r="R2309" s="316"/>
      <c r="S2309" s="404"/>
      <c r="T2309" s="404"/>
      <c r="U2309" s="404"/>
      <c r="V2309" s="404"/>
      <c r="W2309" s="316"/>
      <c r="X2309" s="316"/>
      <c r="Y2309" s="316"/>
      <c r="Z2309" s="316"/>
      <c r="AA2309" s="404"/>
      <c r="AB2309" s="404"/>
      <c r="AC2309" s="404"/>
      <c r="AD2309" s="404"/>
      <c r="AE2309" s="316"/>
      <c r="AF2309" s="316"/>
      <c r="AG2309" s="404"/>
      <c r="AH2309" s="316"/>
      <c r="AI2309" s="316"/>
      <c r="AJ2309" s="316"/>
      <c r="AK2309" s="316"/>
      <c r="AL2309" s="316"/>
      <c r="AM2309" s="416"/>
      <c r="AR2309" s="333"/>
      <c r="AS2309" s="333"/>
      <c r="AT2309" s="333"/>
      <c r="AU2309" s="333"/>
      <c r="AV2309" s="333"/>
    </row>
    <row r="2310" spans="2:48" s="330" customFormat="1" ht="28.15" customHeight="1" x14ac:dyDescent="0.25">
      <c r="B2310" s="331"/>
      <c r="C2310" s="332"/>
      <c r="D2310" s="332"/>
      <c r="E2310" s="333"/>
      <c r="F2310" s="333"/>
      <c r="R2310" s="316"/>
      <c r="S2310" s="404"/>
      <c r="T2310" s="404"/>
      <c r="U2310" s="404"/>
      <c r="V2310" s="404"/>
      <c r="W2310" s="316"/>
      <c r="X2310" s="316"/>
      <c r="Y2310" s="316"/>
      <c r="Z2310" s="316"/>
      <c r="AA2310" s="404"/>
      <c r="AB2310" s="404"/>
      <c r="AC2310" s="404"/>
      <c r="AD2310" s="404"/>
      <c r="AE2310" s="316"/>
      <c r="AF2310" s="316"/>
      <c r="AG2310" s="404"/>
      <c r="AH2310" s="316"/>
      <c r="AI2310" s="316"/>
      <c r="AJ2310" s="316"/>
      <c r="AK2310" s="316"/>
      <c r="AL2310" s="316"/>
      <c r="AM2310" s="416"/>
      <c r="AR2310" s="333"/>
      <c r="AS2310" s="333"/>
      <c r="AT2310" s="333"/>
      <c r="AU2310" s="333"/>
      <c r="AV2310" s="333"/>
    </row>
    <row r="2311" spans="2:48" s="330" customFormat="1" ht="28.15" customHeight="1" x14ac:dyDescent="0.25">
      <c r="B2311" s="331"/>
      <c r="C2311" s="332"/>
      <c r="D2311" s="332"/>
      <c r="E2311" s="333"/>
      <c r="F2311" s="333"/>
      <c r="R2311" s="316"/>
      <c r="S2311" s="404"/>
      <c r="T2311" s="404"/>
      <c r="U2311" s="404"/>
      <c r="V2311" s="404"/>
      <c r="W2311" s="316"/>
      <c r="X2311" s="316"/>
      <c r="Y2311" s="316"/>
      <c r="Z2311" s="316"/>
      <c r="AA2311" s="404"/>
      <c r="AB2311" s="404"/>
      <c r="AC2311" s="404"/>
      <c r="AD2311" s="404"/>
      <c r="AE2311" s="316"/>
      <c r="AF2311" s="316"/>
      <c r="AG2311" s="404"/>
      <c r="AH2311" s="316"/>
      <c r="AI2311" s="316"/>
      <c r="AJ2311" s="316"/>
      <c r="AK2311" s="316"/>
      <c r="AL2311" s="316"/>
      <c r="AM2311" s="416"/>
      <c r="AR2311" s="333"/>
      <c r="AS2311" s="333"/>
      <c r="AT2311" s="333"/>
      <c r="AU2311" s="333"/>
      <c r="AV2311" s="333"/>
    </row>
    <row r="2312" spans="2:48" s="330" customFormat="1" ht="28.15" customHeight="1" x14ac:dyDescent="0.25">
      <c r="B2312" s="331"/>
      <c r="C2312" s="332"/>
      <c r="D2312" s="332"/>
      <c r="E2312" s="333"/>
      <c r="F2312" s="333"/>
      <c r="R2312" s="316"/>
      <c r="S2312" s="404"/>
      <c r="T2312" s="404"/>
      <c r="U2312" s="404"/>
      <c r="V2312" s="404"/>
      <c r="W2312" s="316"/>
      <c r="X2312" s="316"/>
      <c r="Y2312" s="316"/>
      <c r="Z2312" s="316"/>
      <c r="AA2312" s="404"/>
      <c r="AB2312" s="404"/>
      <c r="AC2312" s="404"/>
      <c r="AD2312" s="404"/>
      <c r="AE2312" s="316"/>
      <c r="AF2312" s="316"/>
      <c r="AG2312" s="404"/>
      <c r="AH2312" s="316"/>
      <c r="AI2312" s="316"/>
      <c r="AJ2312" s="316"/>
      <c r="AK2312" s="316"/>
      <c r="AL2312" s="316"/>
      <c r="AM2312" s="416"/>
      <c r="AR2312" s="333"/>
      <c r="AS2312" s="333"/>
      <c r="AT2312" s="333"/>
      <c r="AU2312" s="333"/>
      <c r="AV2312" s="333"/>
    </row>
    <row r="2313" spans="2:48" s="330" customFormat="1" ht="28.15" customHeight="1" x14ac:dyDescent="0.25">
      <c r="B2313" s="331"/>
      <c r="C2313" s="332"/>
      <c r="D2313" s="332"/>
      <c r="E2313" s="333"/>
      <c r="F2313" s="333"/>
      <c r="R2313" s="316"/>
      <c r="S2313" s="404"/>
      <c r="T2313" s="404"/>
      <c r="U2313" s="404"/>
      <c r="V2313" s="404"/>
      <c r="W2313" s="316"/>
      <c r="X2313" s="316"/>
      <c r="Y2313" s="316"/>
      <c r="Z2313" s="316"/>
      <c r="AA2313" s="404"/>
      <c r="AB2313" s="404"/>
      <c r="AC2313" s="404"/>
      <c r="AD2313" s="404"/>
      <c r="AE2313" s="316"/>
      <c r="AF2313" s="316"/>
      <c r="AG2313" s="404"/>
      <c r="AH2313" s="316"/>
      <c r="AI2313" s="316"/>
      <c r="AJ2313" s="316"/>
      <c r="AK2313" s="316"/>
      <c r="AL2313" s="316"/>
      <c r="AM2313" s="416"/>
      <c r="AR2313" s="333"/>
      <c r="AS2313" s="333"/>
      <c r="AT2313" s="333"/>
      <c r="AU2313" s="333"/>
      <c r="AV2313" s="333"/>
    </row>
    <row r="2314" spans="2:48" s="330" customFormat="1" ht="28.15" customHeight="1" x14ac:dyDescent="0.25">
      <c r="B2314" s="331"/>
      <c r="C2314" s="332"/>
      <c r="D2314" s="332"/>
      <c r="E2314" s="333"/>
      <c r="F2314" s="333"/>
      <c r="R2314" s="316"/>
      <c r="S2314" s="404"/>
      <c r="T2314" s="404"/>
      <c r="U2314" s="404"/>
      <c r="V2314" s="404"/>
      <c r="W2314" s="316"/>
      <c r="X2314" s="316"/>
      <c r="Y2314" s="316"/>
      <c r="Z2314" s="316"/>
      <c r="AA2314" s="404"/>
      <c r="AB2314" s="404"/>
      <c r="AC2314" s="404"/>
      <c r="AD2314" s="404"/>
      <c r="AE2314" s="316"/>
      <c r="AF2314" s="316"/>
      <c r="AG2314" s="404"/>
      <c r="AH2314" s="316"/>
      <c r="AI2314" s="316"/>
      <c r="AJ2314" s="316"/>
      <c r="AK2314" s="316"/>
      <c r="AL2314" s="316"/>
      <c r="AM2314" s="416"/>
      <c r="AR2314" s="333"/>
      <c r="AS2314" s="333"/>
      <c r="AT2314" s="333"/>
      <c r="AU2314" s="333"/>
      <c r="AV2314" s="333"/>
    </row>
    <row r="2315" spans="2:48" s="330" customFormat="1" ht="28.15" customHeight="1" x14ac:dyDescent="0.25">
      <c r="B2315" s="331"/>
      <c r="C2315" s="332"/>
      <c r="D2315" s="332"/>
      <c r="E2315" s="333"/>
      <c r="F2315" s="333"/>
      <c r="R2315" s="316"/>
      <c r="S2315" s="404"/>
      <c r="T2315" s="404"/>
      <c r="U2315" s="404"/>
      <c r="V2315" s="404"/>
      <c r="W2315" s="316"/>
      <c r="X2315" s="316"/>
      <c r="Y2315" s="316"/>
      <c r="Z2315" s="316"/>
      <c r="AA2315" s="404"/>
      <c r="AB2315" s="404"/>
      <c r="AC2315" s="404"/>
      <c r="AD2315" s="404"/>
      <c r="AE2315" s="316"/>
      <c r="AF2315" s="316"/>
      <c r="AG2315" s="404"/>
      <c r="AH2315" s="316"/>
      <c r="AI2315" s="316"/>
      <c r="AJ2315" s="316"/>
      <c r="AK2315" s="316"/>
      <c r="AL2315" s="316"/>
      <c r="AM2315" s="416"/>
      <c r="AR2315" s="333"/>
      <c r="AS2315" s="333"/>
      <c r="AT2315" s="333"/>
      <c r="AU2315" s="333"/>
      <c r="AV2315" s="333"/>
    </row>
    <row r="2316" spans="2:48" s="330" customFormat="1" ht="28.15" customHeight="1" x14ac:dyDescent="0.25">
      <c r="B2316" s="331"/>
      <c r="C2316" s="332"/>
      <c r="D2316" s="332"/>
      <c r="E2316" s="333"/>
      <c r="F2316" s="333"/>
      <c r="R2316" s="316"/>
      <c r="S2316" s="404"/>
      <c r="T2316" s="404"/>
      <c r="U2316" s="404"/>
      <c r="V2316" s="404"/>
      <c r="W2316" s="316"/>
      <c r="X2316" s="316"/>
      <c r="Y2316" s="316"/>
      <c r="Z2316" s="316"/>
      <c r="AA2316" s="404"/>
      <c r="AB2316" s="404"/>
      <c r="AC2316" s="404"/>
      <c r="AD2316" s="404"/>
      <c r="AE2316" s="316"/>
      <c r="AF2316" s="316"/>
      <c r="AG2316" s="404"/>
      <c r="AH2316" s="316"/>
      <c r="AI2316" s="316"/>
      <c r="AJ2316" s="316"/>
      <c r="AK2316" s="316"/>
      <c r="AL2316" s="316"/>
      <c r="AM2316" s="416"/>
      <c r="AR2316" s="333"/>
      <c r="AS2316" s="333"/>
      <c r="AT2316" s="333"/>
      <c r="AU2316" s="333"/>
      <c r="AV2316" s="333"/>
    </row>
    <row r="2317" spans="2:48" s="330" customFormat="1" ht="28.15" customHeight="1" x14ac:dyDescent="0.25">
      <c r="B2317" s="331"/>
      <c r="C2317" s="332"/>
      <c r="D2317" s="332"/>
      <c r="E2317" s="333"/>
      <c r="F2317" s="333"/>
      <c r="R2317" s="316"/>
      <c r="S2317" s="404"/>
      <c r="T2317" s="404"/>
      <c r="U2317" s="404"/>
      <c r="V2317" s="404"/>
      <c r="W2317" s="316"/>
      <c r="X2317" s="316"/>
      <c r="Y2317" s="316"/>
      <c r="Z2317" s="316"/>
      <c r="AA2317" s="404"/>
      <c r="AB2317" s="404"/>
      <c r="AC2317" s="404"/>
      <c r="AD2317" s="404"/>
      <c r="AE2317" s="316"/>
      <c r="AF2317" s="316"/>
      <c r="AG2317" s="404"/>
      <c r="AH2317" s="316"/>
      <c r="AI2317" s="316"/>
      <c r="AJ2317" s="316"/>
      <c r="AK2317" s="316"/>
      <c r="AL2317" s="316"/>
      <c r="AM2317" s="416"/>
      <c r="AR2317" s="333"/>
      <c r="AS2317" s="333"/>
      <c r="AT2317" s="333"/>
      <c r="AU2317" s="333"/>
      <c r="AV2317" s="333"/>
    </row>
    <row r="2318" spans="2:48" s="330" customFormat="1" ht="28.15" customHeight="1" x14ac:dyDescent="0.25">
      <c r="B2318" s="331"/>
      <c r="C2318" s="332"/>
      <c r="D2318" s="332"/>
      <c r="E2318" s="333"/>
      <c r="F2318" s="333"/>
      <c r="R2318" s="316"/>
      <c r="S2318" s="404"/>
      <c r="T2318" s="404"/>
      <c r="U2318" s="404"/>
      <c r="V2318" s="404"/>
      <c r="W2318" s="316"/>
      <c r="X2318" s="316"/>
      <c r="Y2318" s="316"/>
      <c r="Z2318" s="316"/>
      <c r="AA2318" s="404"/>
      <c r="AB2318" s="404"/>
      <c r="AC2318" s="404"/>
      <c r="AD2318" s="404"/>
      <c r="AE2318" s="316"/>
      <c r="AF2318" s="316"/>
      <c r="AG2318" s="404"/>
      <c r="AH2318" s="316"/>
      <c r="AI2318" s="316"/>
      <c r="AJ2318" s="316"/>
      <c r="AK2318" s="316"/>
      <c r="AL2318" s="316"/>
      <c r="AM2318" s="416"/>
      <c r="AR2318" s="333"/>
      <c r="AS2318" s="333"/>
      <c r="AT2318" s="333"/>
      <c r="AU2318" s="333"/>
      <c r="AV2318" s="333"/>
    </row>
    <row r="2319" spans="2:48" s="330" customFormat="1" ht="28.15" customHeight="1" x14ac:dyDescent="0.25">
      <c r="B2319" s="331"/>
      <c r="C2319" s="332"/>
      <c r="D2319" s="332"/>
      <c r="E2319" s="333"/>
      <c r="F2319" s="333"/>
      <c r="R2319" s="316"/>
      <c r="S2319" s="404"/>
      <c r="T2319" s="404"/>
      <c r="U2319" s="404"/>
      <c r="V2319" s="404"/>
      <c r="W2319" s="316"/>
      <c r="X2319" s="316"/>
      <c r="Y2319" s="316"/>
      <c r="Z2319" s="316"/>
      <c r="AA2319" s="404"/>
      <c r="AB2319" s="404"/>
      <c r="AC2319" s="404"/>
      <c r="AD2319" s="404"/>
      <c r="AE2319" s="316"/>
      <c r="AF2319" s="316"/>
      <c r="AG2319" s="404"/>
      <c r="AH2319" s="316"/>
      <c r="AI2319" s="316"/>
      <c r="AJ2319" s="316"/>
      <c r="AK2319" s="316"/>
      <c r="AL2319" s="316"/>
      <c r="AM2319" s="416"/>
      <c r="AR2319" s="333"/>
      <c r="AS2319" s="333"/>
      <c r="AT2319" s="333"/>
      <c r="AU2319" s="333"/>
      <c r="AV2319" s="333"/>
    </row>
    <row r="2320" spans="2:48" s="330" customFormat="1" ht="28.15" customHeight="1" x14ac:dyDescent="0.25">
      <c r="B2320" s="331"/>
      <c r="C2320" s="332"/>
      <c r="D2320" s="332"/>
      <c r="E2320" s="333"/>
      <c r="F2320" s="333"/>
      <c r="R2320" s="316"/>
      <c r="S2320" s="404"/>
      <c r="T2320" s="404"/>
      <c r="U2320" s="404"/>
      <c r="V2320" s="404"/>
      <c r="W2320" s="316"/>
      <c r="X2320" s="316"/>
      <c r="Y2320" s="316"/>
      <c r="Z2320" s="316"/>
      <c r="AA2320" s="404"/>
      <c r="AB2320" s="404"/>
      <c r="AC2320" s="404"/>
      <c r="AD2320" s="404"/>
      <c r="AE2320" s="316"/>
      <c r="AF2320" s="316"/>
      <c r="AG2320" s="404"/>
      <c r="AH2320" s="316"/>
      <c r="AI2320" s="316"/>
      <c r="AJ2320" s="316"/>
      <c r="AK2320" s="316"/>
      <c r="AL2320" s="316"/>
      <c r="AM2320" s="416"/>
      <c r="AR2320" s="333"/>
      <c r="AS2320" s="333"/>
      <c r="AT2320" s="333"/>
      <c r="AU2320" s="333"/>
      <c r="AV2320" s="333"/>
    </row>
    <row r="2321" spans="2:48" s="330" customFormat="1" ht="28.15" customHeight="1" x14ac:dyDescent="0.25">
      <c r="B2321" s="331"/>
      <c r="C2321" s="332"/>
      <c r="D2321" s="332"/>
      <c r="E2321" s="333"/>
      <c r="F2321" s="333"/>
      <c r="R2321" s="316"/>
      <c r="S2321" s="404"/>
      <c r="T2321" s="404"/>
      <c r="U2321" s="404"/>
      <c r="V2321" s="404"/>
      <c r="W2321" s="316"/>
      <c r="X2321" s="316"/>
      <c r="Y2321" s="316"/>
      <c r="Z2321" s="316"/>
      <c r="AA2321" s="404"/>
      <c r="AB2321" s="404"/>
      <c r="AC2321" s="404"/>
      <c r="AD2321" s="404"/>
      <c r="AE2321" s="316"/>
      <c r="AF2321" s="316"/>
      <c r="AG2321" s="404"/>
      <c r="AH2321" s="316"/>
      <c r="AI2321" s="316"/>
      <c r="AJ2321" s="316"/>
      <c r="AK2321" s="316"/>
      <c r="AL2321" s="316"/>
      <c r="AM2321" s="416"/>
      <c r="AR2321" s="333"/>
      <c r="AS2321" s="333"/>
      <c r="AT2321" s="333"/>
      <c r="AU2321" s="333"/>
      <c r="AV2321" s="333"/>
    </row>
    <row r="2322" spans="2:48" s="330" customFormat="1" ht="28.15" customHeight="1" x14ac:dyDescent="0.25">
      <c r="B2322" s="331"/>
      <c r="C2322" s="332"/>
      <c r="D2322" s="332"/>
      <c r="E2322" s="333"/>
      <c r="F2322" s="333"/>
      <c r="R2322" s="316"/>
      <c r="S2322" s="404"/>
      <c r="T2322" s="404"/>
      <c r="U2322" s="404"/>
      <c r="V2322" s="404"/>
      <c r="W2322" s="316"/>
      <c r="X2322" s="316"/>
      <c r="Y2322" s="316"/>
      <c r="Z2322" s="316"/>
      <c r="AA2322" s="404"/>
      <c r="AB2322" s="404"/>
      <c r="AC2322" s="404"/>
      <c r="AD2322" s="404"/>
      <c r="AE2322" s="316"/>
      <c r="AF2322" s="316"/>
      <c r="AG2322" s="404"/>
      <c r="AH2322" s="316"/>
      <c r="AI2322" s="316"/>
      <c r="AJ2322" s="316"/>
      <c r="AK2322" s="316"/>
      <c r="AL2322" s="316"/>
      <c r="AM2322" s="416"/>
      <c r="AR2322" s="333"/>
      <c r="AS2322" s="333"/>
      <c r="AT2322" s="333"/>
      <c r="AU2322" s="333"/>
      <c r="AV2322" s="333"/>
    </row>
    <row r="2323" spans="2:48" s="330" customFormat="1" ht="28.15" customHeight="1" x14ac:dyDescent="0.25">
      <c r="B2323" s="331"/>
      <c r="C2323" s="332"/>
      <c r="D2323" s="332"/>
      <c r="E2323" s="333"/>
      <c r="F2323" s="333"/>
      <c r="R2323" s="316"/>
      <c r="S2323" s="404"/>
      <c r="T2323" s="404"/>
      <c r="U2323" s="404"/>
      <c r="V2323" s="404"/>
      <c r="W2323" s="316"/>
      <c r="X2323" s="316"/>
      <c r="Y2323" s="316"/>
      <c r="Z2323" s="316"/>
      <c r="AA2323" s="404"/>
      <c r="AB2323" s="404"/>
      <c r="AC2323" s="404"/>
      <c r="AD2323" s="404"/>
      <c r="AE2323" s="316"/>
      <c r="AF2323" s="316"/>
      <c r="AG2323" s="404"/>
      <c r="AH2323" s="316"/>
      <c r="AI2323" s="316"/>
      <c r="AJ2323" s="316"/>
      <c r="AK2323" s="316"/>
      <c r="AL2323" s="316"/>
      <c r="AM2323" s="416"/>
      <c r="AR2323" s="333"/>
      <c r="AS2323" s="333"/>
      <c r="AT2323" s="333"/>
      <c r="AU2323" s="333"/>
      <c r="AV2323" s="333"/>
    </row>
    <row r="2324" spans="2:48" s="330" customFormat="1" ht="28.15" customHeight="1" x14ac:dyDescent="0.25">
      <c r="B2324" s="331"/>
      <c r="C2324" s="332"/>
      <c r="D2324" s="332"/>
      <c r="E2324" s="333"/>
      <c r="F2324" s="333"/>
      <c r="R2324" s="316"/>
      <c r="S2324" s="404"/>
      <c r="T2324" s="404"/>
      <c r="U2324" s="404"/>
      <c r="V2324" s="404"/>
      <c r="W2324" s="316"/>
      <c r="X2324" s="316"/>
      <c r="Y2324" s="316"/>
      <c r="Z2324" s="316"/>
      <c r="AA2324" s="404"/>
      <c r="AB2324" s="404"/>
      <c r="AC2324" s="404"/>
      <c r="AD2324" s="404"/>
      <c r="AE2324" s="316"/>
      <c r="AF2324" s="316"/>
      <c r="AG2324" s="404"/>
      <c r="AH2324" s="316"/>
      <c r="AI2324" s="316"/>
      <c r="AJ2324" s="316"/>
      <c r="AK2324" s="316"/>
      <c r="AL2324" s="316"/>
      <c r="AM2324" s="416"/>
      <c r="AR2324" s="333"/>
      <c r="AS2324" s="333"/>
      <c r="AT2324" s="333"/>
      <c r="AU2324" s="333"/>
      <c r="AV2324" s="333"/>
    </row>
    <row r="2325" spans="2:48" s="330" customFormat="1" ht="28.15" customHeight="1" x14ac:dyDescent="0.25">
      <c r="B2325" s="331"/>
      <c r="C2325" s="332"/>
      <c r="D2325" s="332"/>
      <c r="E2325" s="333"/>
      <c r="F2325" s="333"/>
      <c r="R2325" s="316"/>
      <c r="S2325" s="404"/>
      <c r="T2325" s="404"/>
      <c r="U2325" s="404"/>
      <c r="V2325" s="404"/>
      <c r="W2325" s="316"/>
      <c r="X2325" s="316"/>
      <c r="Y2325" s="316"/>
      <c r="Z2325" s="316"/>
      <c r="AA2325" s="404"/>
      <c r="AB2325" s="404"/>
      <c r="AC2325" s="404"/>
      <c r="AD2325" s="404"/>
      <c r="AE2325" s="316"/>
      <c r="AF2325" s="316"/>
      <c r="AG2325" s="404"/>
      <c r="AH2325" s="316"/>
      <c r="AI2325" s="316"/>
      <c r="AJ2325" s="316"/>
      <c r="AK2325" s="316"/>
      <c r="AL2325" s="316"/>
      <c r="AM2325" s="416"/>
      <c r="AR2325" s="333"/>
      <c r="AS2325" s="333"/>
      <c r="AT2325" s="333"/>
      <c r="AU2325" s="333"/>
      <c r="AV2325" s="333"/>
    </row>
    <row r="2326" spans="2:48" s="330" customFormat="1" ht="28.15" customHeight="1" x14ac:dyDescent="0.25">
      <c r="B2326" s="331"/>
      <c r="C2326" s="332"/>
      <c r="D2326" s="332"/>
      <c r="E2326" s="333"/>
      <c r="F2326" s="333"/>
      <c r="R2326" s="316"/>
      <c r="S2326" s="404"/>
      <c r="T2326" s="404"/>
      <c r="U2326" s="404"/>
      <c r="V2326" s="404"/>
      <c r="W2326" s="316"/>
      <c r="X2326" s="316"/>
      <c r="Y2326" s="316"/>
      <c r="Z2326" s="316"/>
      <c r="AA2326" s="404"/>
      <c r="AB2326" s="404"/>
      <c r="AC2326" s="404"/>
      <c r="AD2326" s="404"/>
      <c r="AE2326" s="316"/>
      <c r="AF2326" s="316"/>
      <c r="AG2326" s="404"/>
      <c r="AH2326" s="316"/>
      <c r="AI2326" s="316"/>
      <c r="AJ2326" s="316"/>
      <c r="AK2326" s="316"/>
      <c r="AL2326" s="316"/>
      <c r="AM2326" s="416"/>
      <c r="AR2326" s="333"/>
      <c r="AS2326" s="333"/>
      <c r="AT2326" s="333"/>
      <c r="AU2326" s="333"/>
      <c r="AV2326" s="333"/>
    </row>
    <row r="2327" spans="2:48" s="330" customFormat="1" ht="28.15" customHeight="1" x14ac:dyDescent="0.25">
      <c r="B2327" s="331"/>
      <c r="C2327" s="332"/>
      <c r="D2327" s="332"/>
      <c r="E2327" s="333"/>
      <c r="F2327" s="333"/>
      <c r="R2327" s="316"/>
      <c r="S2327" s="404"/>
      <c r="T2327" s="404"/>
      <c r="U2327" s="404"/>
      <c r="V2327" s="404"/>
      <c r="W2327" s="316"/>
      <c r="X2327" s="316"/>
      <c r="Y2327" s="316"/>
      <c r="Z2327" s="316"/>
      <c r="AA2327" s="404"/>
      <c r="AB2327" s="404"/>
      <c r="AC2327" s="404"/>
      <c r="AD2327" s="404"/>
      <c r="AE2327" s="316"/>
      <c r="AF2327" s="316"/>
      <c r="AG2327" s="404"/>
      <c r="AH2327" s="316"/>
      <c r="AI2327" s="316"/>
      <c r="AJ2327" s="316"/>
      <c r="AK2327" s="316"/>
      <c r="AL2327" s="316"/>
      <c r="AM2327" s="416"/>
      <c r="AR2327" s="333"/>
      <c r="AS2327" s="333"/>
      <c r="AT2327" s="333"/>
      <c r="AU2327" s="333"/>
      <c r="AV2327" s="333"/>
    </row>
    <row r="2328" spans="2:48" s="330" customFormat="1" ht="28.15" customHeight="1" x14ac:dyDescent="0.25">
      <c r="B2328" s="331"/>
      <c r="C2328" s="332"/>
      <c r="D2328" s="332"/>
      <c r="E2328" s="333"/>
      <c r="F2328" s="333"/>
      <c r="R2328" s="316"/>
      <c r="S2328" s="404"/>
      <c r="T2328" s="404"/>
      <c r="U2328" s="404"/>
      <c r="V2328" s="404"/>
      <c r="W2328" s="316"/>
      <c r="X2328" s="316"/>
      <c r="Y2328" s="316"/>
      <c r="Z2328" s="316"/>
      <c r="AA2328" s="404"/>
      <c r="AB2328" s="404"/>
      <c r="AC2328" s="404"/>
      <c r="AD2328" s="404"/>
      <c r="AE2328" s="316"/>
      <c r="AF2328" s="316"/>
      <c r="AG2328" s="404"/>
      <c r="AH2328" s="316"/>
      <c r="AI2328" s="316"/>
      <c r="AJ2328" s="316"/>
      <c r="AK2328" s="316"/>
      <c r="AL2328" s="316"/>
      <c r="AM2328" s="416"/>
      <c r="AR2328" s="333"/>
      <c r="AS2328" s="333"/>
      <c r="AT2328" s="333"/>
      <c r="AU2328" s="333"/>
      <c r="AV2328" s="333"/>
    </row>
    <row r="2329" spans="2:48" s="330" customFormat="1" ht="28.15" customHeight="1" x14ac:dyDescent="0.25">
      <c r="B2329" s="331"/>
      <c r="C2329" s="332"/>
      <c r="D2329" s="332"/>
      <c r="E2329" s="333"/>
      <c r="F2329" s="333"/>
      <c r="R2329" s="316"/>
      <c r="S2329" s="404"/>
      <c r="T2329" s="404"/>
      <c r="U2329" s="404"/>
      <c r="V2329" s="404"/>
      <c r="W2329" s="316"/>
      <c r="X2329" s="316"/>
      <c r="Y2329" s="316"/>
      <c r="Z2329" s="316"/>
      <c r="AA2329" s="404"/>
      <c r="AB2329" s="404"/>
      <c r="AC2329" s="404"/>
      <c r="AD2329" s="404"/>
      <c r="AE2329" s="316"/>
      <c r="AF2329" s="316"/>
      <c r="AG2329" s="404"/>
      <c r="AH2329" s="316"/>
      <c r="AI2329" s="316"/>
      <c r="AJ2329" s="316"/>
      <c r="AK2329" s="316"/>
      <c r="AL2329" s="316"/>
      <c r="AM2329" s="416"/>
      <c r="AR2329" s="333"/>
      <c r="AS2329" s="333"/>
      <c r="AT2329" s="333"/>
      <c r="AU2329" s="333"/>
      <c r="AV2329" s="333"/>
    </row>
    <row r="2330" spans="2:48" s="330" customFormat="1" ht="28.15" customHeight="1" x14ac:dyDescent="0.25">
      <c r="B2330" s="331"/>
      <c r="C2330" s="332"/>
      <c r="D2330" s="332"/>
      <c r="E2330" s="333"/>
      <c r="F2330" s="333"/>
      <c r="R2330" s="316"/>
      <c r="S2330" s="404"/>
      <c r="T2330" s="404"/>
      <c r="U2330" s="404"/>
      <c r="V2330" s="404"/>
      <c r="W2330" s="316"/>
      <c r="X2330" s="316"/>
      <c r="Y2330" s="316"/>
      <c r="Z2330" s="316"/>
      <c r="AA2330" s="404"/>
      <c r="AB2330" s="404"/>
      <c r="AC2330" s="404"/>
      <c r="AD2330" s="404"/>
      <c r="AE2330" s="316"/>
      <c r="AF2330" s="316"/>
      <c r="AG2330" s="404"/>
      <c r="AH2330" s="316"/>
      <c r="AI2330" s="316"/>
      <c r="AJ2330" s="316"/>
      <c r="AK2330" s="316"/>
      <c r="AL2330" s="316"/>
      <c r="AM2330" s="416"/>
      <c r="AR2330" s="333"/>
      <c r="AS2330" s="333"/>
      <c r="AT2330" s="333"/>
      <c r="AU2330" s="333"/>
      <c r="AV2330" s="333"/>
    </row>
    <row r="2331" spans="2:48" s="330" customFormat="1" ht="28.15" customHeight="1" x14ac:dyDescent="0.25">
      <c r="B2331" s="331"/>
      <c r="C2331" s="332"/>
      <c r="D2331" s="332"/>
      <c r="E2331" s="333"/>
      <c r="F2331" s="333"/>
      <c r="R2331" s="316"/>
      <c r="S2331" s="404"/>
      <c r="T2331" s="404"/>
      <c r="U2331" s="404"/>
      <c r="V2331" s="404"/>
      <c r="W2331" s="316"/>
      <c r="X2331" s="316"/>
      <c r="Y2331" s="316"/>
      <c r="Z2331" s="316"/>
      <c r="AA2331" s="404"/>
      <c r="AB2331" s="404"/>
      <c r="AC2331" s="404"/>
      <c r="AD2331" s="404"/>
      <c r="AE2331" s="316"/>
      <c r="AF2331" s="316"/>
      <c r="AG2331" s="404"/>
      <c r="AH2331" s="316"/>
      <c r="AI2331" s="316"/>
      <c r="AJ2331" s="316"/>
      <c r="AK2331" s="316"/>
      <c r="AL2331" s="316"/>
      <c r="AM2331" s="416"/>
      <c r="AR2331" s="333"/>
      <c r="AS2331" s="333"/>
      <c r="AT2331" s="333"/>
      <c r="AU2331" s="333"/>
      <c r="AV2331" s="333"/>
    </row>
    <row r="2332" spans="2:48" s="330" customFormat="1" ht="28.15" customHeight="1" x14ac:dyDescent="0.25">
      <c r="B2332" s="331"/>
      <c r="C2332" s="332"/>
      <c r="D2332" s="332"/>
      <c r="E2332" s="333"/>
      <c r="F2332" s="333"/>
      <c r="R2332" s="316"/>
      <c r="S2332" s="404"/>
      <c r="T2332" s="404"/>
      <c r="U2332" s="404"/>
      <c r="V2332" s="404"/>
      <c r="W2332" s="316"/>
      <c r="X2332" s="316"/>
      <c r="Y2332" s="316"/>
      <c r="Z2332" s="316"/>
      <c r="AA2332" s="404"/>
      <c r="AB2332" s="404"/>
      <c r="AC2332" s="404"/>
      <c r="AD2332" s="404"/>
      <c r="AE2332" s="316"/>
      <c r="AF2332" s="316"/>
      <c r="AG2332" s="404"/>
      <c r="AH2332" s="316"/>
      <c r="AI2332" s="316"/>
      <c r="AJ2332" s="316"/>
      <c r="AK2332" s="316"/>
      <c r="AL2332" s="316"/>
      <c r="AM2332" s="416"/>
      <c r="AR2332" s="333"/>
      <c r="AS2332" s="333"/>
      <c r="AT2332" s="333"/>
      <c r="AU2332" s="333"/>
      <c r="AV2332" s="333"/>
    </row>
    <row r="2333" spans="2:48" s="330" customFormat="1" ht="28.15" customHeight="1" x14ac:dyDescent="0.25">
      <c r="B2333" s="331"/>
      <c r="C2333" s="332"/>
      <c r="D2333" s="332"/>
      <c r="E2333" s="333"/>
      <c r="F2333" s="333"/>
      <c r="R2333" s="316"/>
      <c r="S2333" s="404"/>
      <c r="T2333" s="404"/>
      <c r="U2333" s="404"/>
      <c r="V2333" s="404"/>
      <c r="W2333" s="316"/>
      <c r="X2333" s="316"/>
      <c r="Y2333" s="316"/>
      <c r="Z2333" s="316"/>
      <c r="AA2333" s="404"/>
      <c r="AB2333" s="404"/>
      <c r="AC2333" s="404"/>
      <c r="AD2333" s="404"/>
      <c r="AE2333" s="316"/>
      <c r="AF2333" s="316"/>
      <c r="AG2333" s="404"/>
      <c r="AH2333" s="316"/>
      <c r="AI2333" s="316"/>
      <c r="AJ2333" s="316"/>
      <c r="AK2333" s="316"/>
      <c r="AL2333" s="316"/>
      <c r="AM2333" s="416"/>
      <c r="AR2333" s="333"/>
      <c r="AS2333" s="333"/>
      <c r="AT2333" s="333"/>
      <c r="AU2333" s="333"/>
      <c r="AV2333" s="333"/>
    </row>
    <row r="2334" spans="2:48" s="330" customFormat="1" ht="28.15" customHeight="1" x14ac:dyDescent="0.25">
      <c r="B2334" s="331"/>
      <c r="C2334" s="332"/>
      <c r="D2334" s="332"/>
      <c r="E2334" s="333"/>
      <c r="F2334" s="333"/>
      <c r="R2334" s="316"/>
      <c r="S2334" s="404"/>
      <c r="T2334" s="404"/>
      <c r="U2334" s="404"/>
      <c r="V2334" s="404"/>
      <c r="W2334" s="316"/>
      <c r="X2334" s="316"/>
      <c r="Y2334" s="316"/>
      <c r="Z2334" s="316"/>
      <c r="AA2334" s="404"/>
      <c r="AB2334" s="404"/>
      <c r="AC2334" s="404"/>
      <c r="AD2334" s="404"/>
      <c r="AE2334" s="316"/>
      <c r="AF2334" s="316"/>
      <c r="AG2334" s="404"/>
      <c r="AH2334" s="316"/>
      <c r="AI2334" s="316"/>
      <c r="AJ2334" s="316"/>
      <c r="AK2334" s="316"/>
      <c r="AL2334" s="316"/>
      <c r="AM2334" s="416"/>
      <c r="AR2334" s="333"/>
      <c r="AS2334" s="333"/>
      <c r="AT2334" s="333"/>
      <c r="AU2334" s="333"/>
      <c r="AV2334" s="333"/>
    </row>
    <row r="2335" spans="2:48" s="330" customFormat="1" ht="28.15" customHeight="1" x14ac:dyDescent="0.25">
      <c r="B2335" s="331"/>
      <c r="C2335" s="332"/>
      <c r="D2335" s="332"/>
      <c r="E2335" s="333"/>
      <c r="F2335" s="333"/>
      <c r="R2335" s="316"/>
      <c r="S2335" s="404"/>
      <c r="T2335" s="404"/>
      <c r="U2335" s="404"/>
      <c r="V2335" s="404"/>
      <c r="W2335" s="316"/>
      <c r="X2335" s="316"/>
      <c r="Y2335" s="316"/>
      <c r="Z2335" s="316"/>
      <c r="AA2335" s="404"/>
      <c r="AB2335" s="404"/>
      <c r="AC2335" s="404"/>
      <c r="AD2335" s="404"/>
      <c r="AE2335" s="316"/>
      <c r="AF2335" s="316"/>
      <c r="AG2335" s="404"/>
      <c r="AH2335" s="316"/>
      <c r="AI2335" s="316"/>
      <c r="AJ2335" s="316"/>
      <c r="AK2335" s="316"/>
      <c r="AL2335" s="316"/>
      <c r="AM2335" s="416"/>
      <c r="AR2335" s="333"/>
      <c r="AS2335" s="333"/>
      <c r="AT2335" s="333"/>
      <c r="AU2335" s="333"/>
      <c r="AV2335" s="333"/>
    </row>
    <row r="2336" spans="2:48" s="330" customFormat="1" ht="28.15" customHeight="1" x14ac:dyDescent="0.25">
      <c r="B2336" s="331"/>
      <c r="C2336" s="332"/>
      <c r="D2336" s="332"/>
      <c r="E2336" s="333"/>
      <c r="F2336" s="333"/>
      <c r="R2336" s="316"/>
      <c r="S2336" s="404"/>
      <c r="T2336" s="404"/>
      <c r="U2336" s="404"/>
      <c r="V2336" s="404"/>
      <c r="W2336" s="316"/>
      <c r="X2336" s="316"/>
      <c r="Y2336" s="316"/>
      <c r="Z2336" s="316"/>
      <c r="AA2336" s="404"/>
      <c r="AB2336" s="404"/>
      <c r="AC2336" s="404"/>
      <c r="AD2336" s="404"/>
      <c r="AE2336" s="316"/>
      <c r="AF2336" s="316"/>
      <c r="AG2336" s="404"/>
      <c r="AH2336" s="316"/>
      <c r="AI2336" s="316"/>
      <c r="AJ2336" s="316"/>
      <c r="AK2336" s="316"/>
      <c r="AL2336" s="316"/>
      <c r="AM2336" s="416"/>
      <c r="AR2336" s="333"/>
      <c r="AS2336" s="333"/>
      <c r="AT2336" s="333"/>
      <c r="AU2336" s="333"/>
      <c r="AV2336" s="333"/>
    </row>
    <row r="2337" spans="2:48" s="330" customFormat="1" ht="28.15" customHeight="1" x14ac:dyDescent="0.25">
      <c r="B2337" s="331"/>
      <c r="C2337" s="332"/>
      <c r="D2337" s="332"/>
      <c r="E2337" s="333"/>
      <c r="F2337" s="333"/>
      <c r="R2337" s="316"/>
      <c r="S2337" s="404"/>
      <c r="T2337" s="404"/>
      <c r="U2337" s="404"/>
      <c r="V2337" s="404"/>
      <c r="W2337" s="316"/>
      <c r="X2337" s="316"/>
      <c r="Y2337" s="316"/>
      <c r="Z2337" s="316"/>
      <c r="AA2337" s="404"/>
      <c r="AB2337" s="404"/>
      <c r="AC2337" s="404"/>
      <c r="AD2337" s="404"/>
      <c r="AE2337" s="316"/>
      <c r="AF2337" s="316"/>
      <c r="AG2337" s="404"/>
      <c r="AH2337" s="316"/>
      <c r="AI2337" s="316"/>
      <c r="AJ2337" s="316"/>
      <c r="AK2337" s="316"/>
      <c r="AL2337" s="316"/>
      <c r="AM2337" s="416"/>
      <c r="AR2337" s="333"/>
      <c r="AS2337" s="333"/>
      <c r="AT2337" s="333"/>
      <c r="AU2337" s="333"/>
      <c r="AV2337" s="333"/>
    </row>
    <row r="2338" spans="2:48" s="330" customFormat="1" ht="28.15" customHeight="1" x14ac:dyDescent="0.25">
      <c r="B2338" s="331"/>
      <c r="C2338" s="332"/>
      <c r="D2338" s="332"/>
      <c r="E2338" s="333"/>
      <c r="F2338" s="333"/>
      <c r="R2338" s="316"/>
      <c r="S2338" s="404"/>
      <c r="T2338" s="404"/>
      <c r="U2338" s="404"/>
      <c r="V2338" s="404"/>
      <c r="W2338" s="316"/>
      <c r="X2338" s="316"/>
      <c r="Y2338" s="316"/>
      <c r="Z2338" s="316"/>
      <c r="AA2338" s="404"/>
      <c r="AB2338" s="404"/>
      <c r="AC2338" s="404"/>
      <c r="AD2338" s="404"/>
      <c r="AE2338" s="316"/>
      <c r="AF2338" s="316"/>
      <c r="AG2338" s="404"/>
      <c r="AH2338" s="316"/>
      <c r="AI2338" s="316"/>
      <c r="AJ2338" s="316"/>
      <c r="AK2338" s="316"/>
      <c r="AL2338" s="316"/>
      <c r="AM2338" s="416"/>
      <c r="AR2338" s="333"/>
      <c r="AS2338" s="333"/>
      <c r="AT2338" s="333"/>
      <c r="AU2338" s="333"/>
      <c r="AV2338" s="333"/>
    </row>
    <row r="2339" spans="2:48" s="330" customFormat="1" ht="28.15" customHeight="1" x14ac:dyDescent="0.25">
      <c r="B2339" s="331"/>
      <c r="C2339" s="332"/>
      <c r="D2339" s="332"/>
      <c r="E2339" s="333"/>
      <c r="F2339" s="333"/>
      <c r="R2339" s="316"/>
      <c r="S2339" s="404"/>
      <c r="T2339" s="404"/>
      <c r="U2339" s="404"/>
      <c r="V2339" s="404"/>
      <c r="W2339" s="316"/>
      <c r="X2339" s="316"/>
      <c r="Y2339" s="316"/>
      <c r="Z2339" s="316"/>
      <c r="AA2339" s="404"/>
      <c r="AB2339" s="404"/>
      <c r="AC2339" s="404"/>
      <c r="AD2339" s="404"/>
      <c r="AE2339" s="316"/>
      <c r="AF2339" s="316"/>
      <c r="AG2339" s="404"/>
      <c r="AH2339" s="316"/>
      <c r="AI2339" s="316"/>
      <c r="AJ2339" s="316"/>
      <c r="AK2339" s="316"/>
      <c r="AL2339" s="316"/>
      <c r="AM2339" s="416"/>
      <c r="AR2339" s="333"/>
      <c r="AS2339" s="333"/>
      <c r="AT2339" s="333"/>
      <c r="AU2339" s="333"/>
      <c r="AV2339" s="333"/>
    </row>
    <row r="2340" spans="2:48" s="330" customFormat="1" ht="28.15" customHeight="1" x14ac:dyDescent="0.25">
      <c r="B2340" s="331"/>
      <c r="C2340" s="332"/>
      <c r="D2340" s="332"/>
      <c r="E2340" s="333"/>
      <c r="F2340" s="333"/>
      <c r="R2340" s="316"/>
      <c r="S2340" s="404"/>
      <c r="T2340" s="404"/>
      <c r="U2340" s="404"/>
      <c r="V2340" s="404"/>
      <c r="W2340" s="316"/>
      <c r="X2340" s="316"/>
      <c r="Y2340" s="316"/>
      <c r="Z2340" s="316"/>
      <c r="AA2340" s="404"/>
      <c r="AB2340" s="404"/>
      <c r="AC2340" s="404"/>
      <c r="AD2340" s="404"/>
      <c r="AE2340" s="316"/>
      <c r="AF2340" s="316"/>
      <c r="AG2340" s="404"/>
      <c r="AH2340" s="316"/>
      <c r="AI2340" s="316"/>
      <c r="AJ2340" s="316"/>
      <c r="AK2340" s="316"/>
      <c r="AL2340" s="316"/>
      <c r="AM2340" s="416"/>
      <c r="AR2340" s="333"/>
      <c r="AS2340" s="333"/>
      <c r="AT2340" s="333"/>
      <c r="AU2340" s="333"/>
      <c r="AV2340" s="333"/>
    </row>
    <row r="2341" spans="2:48" s="330" customFormat="1" ht="28.15" customHeight="1" x14ac:dyDescent="0.25">
      <c r="B2341" s="331"/>
      <c r="C2341" s="332"/>
      <c r="D2341" s="332"/>
      <c r="E2341" s="333"/>
      <c r="F2341" s="333"/>
      <c r="R2341" s="316"/>
      <c r="S2341" s="404"/>
      <c r="T2341" s="404"/>
      <c r="U2341" s="404"/>
      <c r="V2341" s="404"/>
      <c r="W2341" s="316"/>
      <c r="X2341" s="316"/>
      <c r="Y2341" s="316"/>
      <c r="Z2341" s="316"/>
      <c r="AA2341" s="404"/>
      <c r="AB2341" s="404"/>
      <c r="AC2341" s="404"/>
      <c r="AD2341" s="404"/>
      <c r="AE2341" s="316"/>
      <c r="AF2341" s="316"/>
      <c r="AG2341" s="404"/>
      <c r="AH2341" s="316"/>
      <c r="AI2341" s="316"/>
      <c r="AJ2341" s="316"/>
      <c r="AK2341" s="316"/>
      <c r="AL2341" s="316"/>
      <c r="AM2341" s="416"/>
      <c r="AR2341" s="333"/>
      <c r="AS2341" s="333"/>
      <c r="AT2341" s="333"/>
      <c r="AU2341" s="333"/>
      <c r="AV2341" s="333"/>
    </row>
    <row r="2342" spans="2:48" s="330" customFormat="1" ht="28.15" customHeight="1" x14ac:dyDescent="0.25">
      <c r="B2342" s="331"/>
      <c r="C2342" s="332"/>
      <c r="D2342" s="332"/>
      <c r="E2342" s="333"/>
      <c r="F2342" s="333"/>
      <c r="R2342" s="316"/>
      <c r="S2342" s="404"/>
      <c r="T2342" s="404"/>
      <c r="U2342" s="404"/>
      <c r="V2342" s="404"/>
      <c r="W2342" s="316"/>
      <c r="X2342" s="316"/>
      <c r="Y2342" s="316"/>
      <c r="Z2342" s="316"/>
      <c r="AA2342" s="404"/>
      <c r="AB2342" s="404"/>
      <c r="AC2342" s="404"/>
      <c r="AD2342" s="404"/>
      <c r="AE2342" s="316"/>
      <c r="AF2342" s="316"/>
      <c r="AG2342" s="404"/>
      <c r="AH2342" s="316"/>
      <c r="AI2342" s="316"/>
      <c r="AJ2342" s="316"/>
      <c r="AK2342" s="316"/>
      <c r="AL2342" s="316"/>
      <c r="AM2342" s="416"/>
      <c r="AR2342" s="333"/>
      <c r="AS2342" s="333"/>
      <c r="AT2342" s="333"/>
      <c r="AU2342" s="333"/>
      <c r="AV2342" s="333"/>
    </row>
    <row r="2343" spans="2:48" s="330" customFormat="1" ht="28.15" customHeight="1" x14ac:dyDescent="0.25">
      <c r="B2343" s="331"/>
      <c r="C2343" s="332"/>
      <c r="D2343" s="332"/>
      <c r="E2343" s="333"/>
      <c r="F2343" s="333"/>
      <c r="R2343" s="316"/>
      <c r="S2343" s="404"/>
      <c r="T2343" s="404"/>
      <c r="U2343" s="404"/>
      <c r="V2343" s="404"/>
      <c r="W2343" s="316"/>
      <c r="X2343" s="316"/>
      <c r="Y2343" s="316"/>
      <c r="Z2343" s="316"/>
      <c r="AA2343" s="404"/>
      <c r="AB2343" s="404"/>
      <c r="AC2343" s="404"/>
      <c r="AD2343" s="404"/>
      <c r="AE2343" s="316"/>
      <c r="AF2343" s="316"/>
      <c r="AG2343" s="404"/>
      <c r="AH2343" s="316"/>
      <c r="AI2343" s="316"/>
      <c r="AJ2343" s="316"/>
      <c r="AK2343" s="316"/>
      <c r="AL2343" s="316"/>
      <c r="AM2343" s="416"/>
      <c r="AR2343" s="333"/>
      <c r="AS2343" s="333"/>
      <c r="AT2343" s="333"/>
      <c r="AU2343" s="333"/>
      <c r="AV2343" s="333"/>
    </row>
    <row r="2344" spans="2:48" s="330" customFormat="1" ht="28.15" customHeight="1" x14ac:dyDescent="0.25">
      <c r="B2344" s="331"/>
      <c r="C2344" s="332"/>
      <c r="D2344" s="332"/>
      <c r="E2344" s="333"/>
      <c r="F2344" s="333"/>
      <c r="R2344" s="316"/>
      <c r="S2344" s="404"/>
      <c r="T2344" s="404"/>
      <c r="U2344" s="404"/>
      <c r="V2344" s="404"/>
      <c r="W2344" s="316"/>
      <c r="X2344" s="316"/>
      <c r="Y2344" s="316"/>
      <c r="Z2344" s="316"/>
      <c r="AA2344" s="404"/>
      <c r="AB2344" s="404"/>
      <c r="AC2344" s="404"/>
      <c r="AD2344" s="404"/>
      <c r="AE2344" s="316"/>
      <c r="AF2344" s="316"/>
      <c r="AG2344" s="404"/>
      <c r="AH2344" s="316"/>
      <c r="AI2344" s="316"/>
      <c r="AJ2344" s="316"/>
      <c r="AK2344" s="316"/>
      <c r="AL2344" s="316"/>
      <c r="AM2344" s="416"/>
      <c r="AR2344" s="333"/>
      <c r="AS2344" s="333"/>
      <c r="AT2344" s="333"/>
      <c r="AU2344" s="333"/>
      <c r="AV2344" s="333"/>
    </row>
    <row r="2345" spans="2:48" s="330" customFormat="1" ht="28.15" customHeight="1" x14ac:dyDescent="0.25">
      <c r="B2345" s="331"/>
      <c r="C2345" s="332"/>
      <c r="D2345" s="332"/>
      <c r="E2345" s="333"/>
      <c r="F2345" s="333"/>
      <c r="R2345" s="316"/>
      <c r="S2345" s="404"/>
      <c r="T2345" s="404"/>
      <c r="U2345" s="404"/>
      <c r="V2345" s="404"/>
      <c r="W2345" s="316"/>
      <c r="X2345" s="316"/>
      <c r="Y2345" s="316"/>
      <c r="Z2345" s="316"/>
      <c r="AA2345" s="404"/>
      <c r="AB2345" s="404"/>
      <c r="AC2345" s="404"/>
      <c r="AD2345" s="404"/>
      <c r="AE2345" s="316"/>
      <c r="AF2345" s="316"/>
      <c r="AG2345" s="404"/>
      <c r="AH2345" s="316"/>
      <c r="AI2345" s="316"/>
      <c r="AJ2345" s="316"/>
      <c r="AK2345" s="316"/>
      <c r="AL2345" s="316"/>
      <c r="AM2345" s="416"/>
      <c r="AR2345" s="333"/>
      <c r="AS2345" s="333"/>
      <c r="AT2345" s="333"/>
      <c r="AU2345" s="333"/>
      <c r="AV2345" s="333"/>
    </row>
    <row r="2346" spans="2:48" s="330" customFormat="1" ht="28.15" customHeight="1" x14ac:dyDescent="0.25">
      <c r="B2346" s="331"/>
      <c r="C2346" s="332"/>
      <c r="D2346" s="332"/>
      <c r="E2346" s="333"/>
      <c r="F2346" s="333"/>
      <c r="R2346" s="316"/>
      <c r="S2346" s="404"/>
      <c r="T2346" s="404"/>
      <c r="U2346" s="404"/>
      <c r="V2346" s="404"/>
      <c r="W2346" s="316"/>
      <c r="X2346" s="316"/>
      <c r="Y2346" s="316"/>
      <c r="Z2346" s="316"/>
      <c r="AA2346" s="404"/>
      <c r="AB2346" s="404"/>
      <c r="AC2346" s="404"/>
      <c r="AD2346" s="404"/>
      <c r="AE2346" s="316"/>
      <c r="AF2346" s="316"/>
      <c r="AG2346" s="404"/>
      <c r="AH2346" s="316"/>
      <c r="AI2346" s="316"/>
      <c r="AJ2346" s="316"/>
      <c r="AK2346" s="316"/>
      <c r="AL2346" s="316"/>
      <c r="AM2346" s="416"/>
      <c r="AR2346" s="333"/>
      <c r="AS2346" s="333"/>
      <c r="AT2346" s="333"/>
      <c r="AU2346" s="333"/>
      <c r="AV2346" s="333"/>
    </row>
    <row r="2347" spans="2:48" s="330" customFormat="1" ht="28.15" customHeight="1" x14ac:dyDescent="0.25">
      <c r="B2347" s="331"/>
      <c r="C2347" s="332"/>
      <c r="D2347" s="332"/>
      <c r="E2347" s="333"/>
      <c r="F2347" s="333"/>
      <c r="R2347" s="316"/>
      <c r="S2347" s="404"/>
      <c r="T2347" s="404"/>
      <c r="U2347" s="404"/>
      <c r="V2347" s="404"/>
      <c r="W2347" s="316"/>
      <c r="X2347" s="316"/>
      <c r="Y2347" s="316"/>
      <c r="Z2347" s="316"/>
      <c r="AA2347" s="404"/>
      <c r="AB2347" s="404"/>
      <c r="AC2347" s="404"/>
      <c r="AD2347" s="404"/>
      <c r="AE2347" s="316"/>
      <c r="AF2347" s="316"/>
      <c r="AG2347" s="404"/>
      <c r="AH2347" s="316"/>
      <c r="AI2347" s="316"/>
      <c r="AJ2347" s="316"/>
      <c r="AK2347" s="316"/>
      <c r="AL2347" s="316"/>
      <c r="AM2347" s="416"/>
      <c r="AR2347" s="333"/>
      <c r="AS2347" s="333"/>
      <c r="AT2347" s="333"/>
      <c r="AU2347" s="333"/>
      <c r="AV2347" s="333"/>
    </row>
    <row r="2348" spans="2:48" s="330" customFormat="1" ht="28.15" customHeight="1" x14ac:dyDescent="0.25">
      <c r="B2348" s="331"/>
      <c r="C2348" s="332"/>
      <c r="D2348" s="332"/>
      <c r="E2348" s="333"/>
      <c r="F2348" s="333"/>
      <c r="R2348" s="316"/>
      <c r="S2348" s="404"/>
      <c r="T2348" s="404"/>
      <c r="U2348" s="404"/>
      <c r="V2348" s="404"/>
      <c r="W2348" s="316"/>
      <c r="X2348" s="316"/>
      <c r="Y2348" s="316"/>
      <c r="Z2348" s="316"/>
      <c r="AA2348" s="404"/>
      <c r="AB2348" s="404"/>
      <c r="AC2348" s="404"/>
      <c r="AD2348" s="404"/>
      <c r="AE2348" s="316"/>
      <c r="AF2348" s="316"/>
      <c r="AG2348" s="404"/>
      <c r="AH2348" s="316"/>
      <c r="AI2348" s="316"/>
      <c r="AJ2348" s="316"/>
      <c r="AK2348" s="316"/>
      <c r="AL2348" s="316"/>
      <c r="AM2348" s="416"/>
      <c r="AR2348" s="333"/>
      <c r="AS2348" s="333"/>
      <c r="AT2348" s="333"/>
      <c r="AU2348" s="333"/>
      <c r="AV2348" s="333"/>
    </row>
    <row r="2349" spans="2:48" s="330" customFormat="1" ht="28.15" customHeight="1" x14ac:dyDescent="0.25">
      <c r="B2349" s="331"/>
      <c r="C2349" s="332"/>
      <c r="D2349" s="332"/>
      <c r="E2349" s="333"/>
      <c r="F2349" s="333"/>
      <c r="R2349" s="316"/>
      <c r="S2349" s="404"/>
      <c r="T2349" s="404"/>
      <c r="U2349" s="404"/>
      <c r="V2349" s="404"/>
      <c r="W2349" s="316"/>
      <c r="X2349" s="316"/>
      <c r="Y2349" s="316"/>
      <c r="Z2349" s="316"/>
      <c r="AA2349" s="404"/>
      <c r="AB2349" s="404"/>
      <c r="AC2349" s="404"/>
      <c r="AD2349" s="404"/>
      <c r="AE2349" s="316"/>
      <c r="AF2349" s="316"/>
      <c r="AG2349" s="404"/>
      <c r="AH2349" s="316"/>
      <c r="AI2349" s="316"/>
      <c r="AJ2349" s="316"/>
      <c r="AK2349" s="316"/>
      <c r="AL2349" s="316"/>
      <c r="AM2349" s="416"/>
      <c r="AR2349" s="333"/>
      <c r="AS2349" s="333"/>
      <c r="AT2349" s="333"/>
      <c r="AU2349" s="333"/>
      <c r="AV2349" s="333"/>
    </row>
    <row r="2350" spans="2:48" s="330" customFormat="1" ht="28.15" customHeight="1" x14ac:dyDescent="0.25">
      <c r="B2350" s="331"/>
      <c r="C2350" s="332"/>
      <c r="D2350" s="332"/>
      <c r="E2350" s="333"/>
      <c r="F2350" s="333"/>
      <c r="R2350" s="316"/>
      <c r="S2350" s="404"/>
      <c r="T2350" s="404"/>
      <c r="U2350" s="404"/>
      <c r="V2350" s="404"/>
      <c r="W2350" s="316"/>
      <c r="X2350" s="316"/>
      <c r="Y2350" s="316"/>
      <c r="Z2350" s="316"/>
      <c r="AA2350" s="404"/>
      <c r="AB2350" s="404"/>
      <c r="AC2350" s="404"/>
      <c r="AD2350" s="404"/>
      <c r="AE2350" s="316"/>
      <c r="AF2350" s="316"/>
      <c r="AG2350" s="404"/>
      <c r="AH2350" s="316"/>
      <c r="AI2350" s="316"/>
      <c r="AJ2350" s="316"/>
      <c r="AK2350" s="316"/>
      <c r="AL2350" s="316"/>
      <c r="AM2350" s="416"/>
      <c r="AR2350" s="333"/>
      <c r="AS2350" s="333"/>
      <c r="AT2350" s="333"/>
      <c r="AU2350" s="333"/>
      <c r="AV2350" s="333"/>
    </row>
    <row r="2351" spans="2:48" s="330" customFormat="1" ht="28.15" customHeight="1" x14ac:dyDescent="0.25">
      <c r="B2351" s="331"/>
      <c r="C2351" s="332"/>
      <c r="D2351" s="332"/>
      <c r="E2351" s="333"/>
      <c r="F2351" s="333"/>
      <c r="R2351" s="316"/>
      <c r="S2351" s="404"/>
      <c r="T2351" s="404"/>
      <c r="U2351" s="404"/>
      <c r="V2351" s="404"/>
      <c r="W2351" s="316"/>
      <c r="X2351" s="316"/>
      <c r="Y2351" s="316"/>
      <c r="Z2351" s="316"/>
      <c r="AA2351" s="404"/>
      <c r="AB2351" s="404"/>
      <c r="AC2351" s="404"/>
      <c r="AD2351" s="404"/>
      <c r="AE2351" s="316"/>
      <c r="AF2351" s="316"/>
      <c r="AG2351" s="404"/>
      <c r="AH2351" s="316"/>
      <c r="AI2351" s="316"/>
      <c r="AJ2351" s="316"/>
      <c r="AK2351" s="316"/>
      <c r="AL2351" s="316"/>
      <c r="AM2351" s="416"/>
      <c r="AR2351" s="333"/>
      <c r="AS2351" s="333"/>
      <c r="AT2351" s="333"/>
      <c r="AU2351" s="333"/>
      <c r="AV2351" s="333"/>
    </row>
    <row r="2352" spans="2:48" s="330" customFormat="1" ht="28.15" customHeight="1" x14ac:dyDescent="0.25">
      <c r="B2352" s="331"/>
      <c r="C2352" s="332"/>
      <c r="D2352" s="332"/>
      <c r="E2352" s="333"/>
      <c r="F2352" s="333"/>
      <c r="R2352" s="316"/>
      <c r="S2352" s="404"/>
      <c r="T2352" s="404"/>
      <c r="U2352" s="404"/>
      <c r="V2352" s="404"/>
      <c r="W2352" s="316"/>
      <c r="X2352" s="316"/>
      <c r="Y2352" s="316"/>
      <c r="Z2352" s="316"/>
      <c r="AA2352" s="404"/>
      <c r="AB2352" s="404"/>
      <c r="AC2352" s="404"/>
      <c r="AD2352" s="404"/>
      <c r="AE2352" s="316"/>
      <c r="AF2352" s="316"/>
      <c r="AG2352" s="404"/>
      <c r="AH2352" s="316"/>
      <c r="AI2352" s="316"/>
      <c r="AJ2352" s="316"/>
      <c r="AK2352" s="316"/>
      <c r="AL2352" s="316"/>
      <c r="AM2352" s="416"/>
      <c r="AR2352" s="333"/>
      <c r="AS2352" s="333"/>
      <c r="AT2352" s="333"/>
      <c r="AU2352" s="333"/>
      <c r="AV2352" s="333"/>
    </row>
    <row r="2353" spans="2:48" s="330" customFormat="1" ht="28.15" customHeight="1" x14ac:dyDescent="0.25">
      <c r="B2353" s="331"/>
      <c r="C2353" s="332"/>
      <c r="D2353" s="332"/>
      <c r="E2353" s="333"/>
      <c r="F2353" s="333"/>
      <c r="R2353" s="316"/>
      <c r="S2353" s="404"/>
      <c r="T2353" s="404"/>
      <c r="U2353" s="404"/>
      <c r="V2353" s="404"/>
      <c r="W2353" s="316"/>
      <c r="X2353" s="316"/>
      <c r="Y2353" s="316"/>
      <c r="Z2353" s="316"/>
      <c r="AA2353" s="404"/>
      <c r="AB2353" s="404"/>
      <c r="AC2353" s="404"/>
      <c r="AD2353" s="404"/>
      <c r="AE2353" s="316"/>
      <c r="AF2353" s="316"/>
      <c r="AG2353" s="404"/>
      <c r="AH2353" s="316"/>
      <c r="AI2353" s="316"/>
      <c r="AJ2353" s="316"/>
      <c r="AK2353" s="316"/>
      <c r="AL2353" s="316"/>
      <c r="AM2353" s="416"/>
      <c r="AR2353" s="333"/>
      <c r="AS2353" s="333"/>
      <c r="AT2353" s="333"/>
      <c r="AU2353" s="333"/>
      <c r="AV2353" s="333"/>
    </row>
    <row r="2354" spans="2:48" s="330" customFormat="1" ht="28.15" customHeight="1" x14ac:dyDescent="0.25">
      <c r="B2354" s="331"/>
      <c r="C2354" s="332"/>
      <c r="D2354" s="332"/>
      <c r="E2354" s="333"/>
      <c r="F2354" s="333"/>
      <c r="R2354" s="316"/>
      <c r="S2354" s="404"/>
      <c r="T2354" s="404"/>
      <c r="U2354" s="404"/>
      <c r="V2354" s="404"/>
      <c r="W2354" s="316"/>
      <c r="X2354" s="316"/>
      <c r="Y2354" s="316"/>
      <c r="Z2354" s="316"/>
      <c r="AA2354" s="404"/>
      <c r="AB2354" s="404"/>
      <c r="AC2354" s="404"/>
      <c r="AD2354" s="404"/>
      <c r="AE2354" s="316"/>
      <c r="AF2354" s="316"/>
      <c r="AG2354" s="404"/>
      <c r="AH2354" s="316"/>
      <c r="AI2354" s="316"/>
      <c r="AJ2354" s="316"/>
      <c r="AK2354" s="316"/>
      <c r="AL2354" s="316"/>
      <c r="AM2354" s="416"/>
      <c r="AR2354" s="333"/>
      <c r="AS2354" s="333"/>
      <c r="AT2354" s="333"/>
      <c r="AU2354" s="333"/>
      <c r="AV2354" s="333"/>
    </row>
    <row r="2355" spans="2:48" s="330" customFormat="1" ht="28.15" customHeight="1" x14ac:dyDescent="0.25">
      <c r="B2355" s="331"/>
      <c r="C2355" s="332"/>
      <c r="D2355" s="332"/>
      <c r="E2355" s="333"/>
      <c r="F2355" s="333"/>
      <c r="R2355" s="316"/>
      <c r="S2355" s="404"/>
      <c r="T2355" s="404"/>
      <c r="U2355" s="404"/>
      <c r="V2355" s="404"/>
      <c r="W2355" s="316"/>
      <c r="X2355" s="316"/>
      <c r="Y2355" s="316"/>
      <c r="Z2355" s="316"/>
      <c r="AA2355" s="404"/>
      <c r="AB2355" s="404"/>
      <c r="AC2355" s="404"/>
      <c r="AD2355" s="404"/>
      <c r="AE2355" s="316"/>
      <c r="AF2355" s="316"/>
      <c r="AG2355" s="404"/>
      <c r="AH2355" s="316"/>
      <c r="AI2355" s="316"/>
      <c r="AJ2355" s="316"/>
      <c r="AK2355" s="316"/>
      <c r="AL2355" s="316"/>
      <c r="AM2355" s="416"/>
      <c r="AR2355" s="333"/>
      <c r="AS2355" s="333"/>
      <c r="AT2355" s="333"/>
      <c r="AU2355" s="333"/>
      <c r="AV2355" s="333"/>
    </row>
    <row r="2356" spans="2:48" s="330" customFormat="1" ht="28.15" customHeight="1" x14ac:dyDescent="0.25">
      <c r="B2356" s="331"/>
      <c r="C2356" s="332"/>
      <c r="D2356" s="332"/>
      <c r="E2356" s="333"/>
      <c r="F2356" s="333"/>
      <c r="R2356" s="316"/>
      <c r="S2356" s="404"/>
      <c r="T2356" s="404"/>
      <c r="U2356" s="404"/>
      <c r="V2356" s="404"/>
      <c r="W2356" s="316"/>
      <c r="X2356" s="316"/>
      <c r="Y2356" s="316"/>
      <c r="Z2356" s="316"/>
      <c r="AA2356" s="404"/>
      <c r="AB2356" s="404"/>
      <c r="AC2356" s="404"/>
      <c r="AD2356" s="404"/>
      <c r="AE2356" s="316"/>
      <c r="AF2356" s="316"/>
      <c r="AG2356" s="404"/>
      <c r="AH2356" s="316"/>
      <c r="AI2356" s="316"/>
      <c r="AJ2356" s="316"/>
      <c r="AK2356" s="316"/>
      <c r="AL2356" s="316"/>
      <c r="AM2356" s="416"/>
      <c r="AR2356" s="333"/>
      <c r="AS2356" s="333"/>
      <c r="AT2356" s="333"/>
      <c r="AU2356" s="333"/>
      <c r="AV2356" s="333"/>
    </row>
    <row r="2357" spans="2:48" s="330" customFormat="1" ht="28.15" customHeight="1" x14ac:dyDescent="0.25">
      <c r="B2357" s="331"/>
      <c r="C2357" s="332"/>
      <c r="D2357" s="332"/>
      <c r="E2357" s="333"/>
      <c r="F2357" s="333"/>
      <c r="R2357" s="316"/>
      <c r="S2357" s="404"/>
      <c r="T2357" s="404"/>
      <c r="U2357" s="404"/>
      <c r="V2357" s="404"/>
      <c r="W2357" s="316"/>
      <c r="X2357" s="316"/>
      <c r="Y2357" s="316"/>
      <c r="Z2357" s="316"/>
      <c r="AA2357" s="404"/>
      <c r="AB2357" s="404"/>
      <c r="AC2357" s="404"/>
      <c r="AD2357" s="404"/>
      <c r="AE2357" s="316"/>
      <c r="AF2357" s="316"/>
      <c r="AG2357" s="404"/>
      <c r="AH2357" s="316"/>
      <c r="AI2357" s="316"/>
      <c r="AJ2357" s="316"/>
      <c r="AK2357" s="316"/>
      <c r="AL2357" s="316"/>
      <c r="AM2357" s="416"/>
      <c r="AR2357" s="333"/>
      <c r="AS2357" s="333"/>
      <c r="AT2357" s="333"/>
      <c r="AU2357" s="333"/>
      <c r="AV2357" s="333"/>
    </row>
    <row r="2358" spans="2:48" s="330" customFormat="1" ht="28.15" customHeight="1" x14ac:dyDescent="0.25">
      <c r="B2358" s="331"/>
      <c r="C2358" s="332"/>
      <c r="D2358" s="332"/>
      <c r="E2358" s="333"/>
      <c r="F2358" s="333"/>
      <c r="R2358" s="316"/>
      <c r="S2358" s="404"/>
      <c r="T2358" s="404"/>
      <c r="U2358" s="404"/>
      <c r="V2358" s="404"/>
      <c r="W2358" s="316"/>
      <c r="X2358" s="316"/>
      <c r="Y2358" s="316"/>
      <c r="Z2358" s="316"/>
      <c r="AA2358" s="404"/>
      <c r="AB2358" s="404"/>
      <c r="AC2358" s="404"/>
      <c r="AD2358" s="404"/>
      <c r="AE2358" s="316"/>
      <c r="AF2358" s="316"/>
      <c r="AG2358" s="404"/>
      <c r="AH2358" s="316"/>
      <c r="AI2358" s="316"/>
      <c r="AJ2358" s="316"/>
      <c r="AK2358" s="316"/>
      <c r="AL2358" s="316"/>
      <c r="AM2358" s="416"/>
      <c r="AR2358" s="333"/>
      <c r="AS2358" s="333"/>
      <c r="AT2358" s="333"/>
      <c r="AU2358" s="333"/>
      <c r="AV2358" s="333"/>
    </row>
    <row r="2359" spans="2:48" s="330" customFormat="1" ht="28.15" customHeight="1" x14ac:dyDescent="0.25">
      <c r="B2359" s="331"/>
      <c r="C2359" s="332"/>
      <c r="D2359" s="332"/>
      <c r="E2359" s="333"/>
      <c r="F2359" s="333"/>
      <c r="R2359" s="316"/>
      <c r="S2359" s="404"/>
      <c r="T2359" s="404"/>
      <c r="U2359" s="404"/>
      <c r="V2359" s="404"/>
      <c r="W2359" s="316"/>
      <c r="X2359" s="316"/>
      <c r="Y2359" s="316"/>
      <c r="Z2359" s="316"/>
      <c r="AA2359" s="404"/>
      <c r="AB2359" s="404"/>
      <c r="AC2359" s="404"/>
      <c r="AD2359" s="404"/>
      <c r="AE2359" s="316"/>
      <c r="AF2359" s="316"/>
      <c r="AG2359" s="404"/>
      <c r="AH2359" s="316"/>
      <c r="AI2359" s="316"/>
      <c r="AJ2359" s="316"/>
      <c r="AK2359" s="316"/>
      <c r="AL2359" s="316"/>
      <c r="AM2359" s="416"/>
      <c r="AR2359" s="333"/>
      <c r="AS2359" s="333"/>
      <c r="AT2359" s="333"/>
      <c r="AU2359" s="333"/>
      <c r="AV2359" s="333"/>
    </row>
    <row r="2360" spans="2:48" s="330" customFormat="1" ht="28.15" customHeight="1" x14ac:dyDescent="0.25">
      <c r="B2360" s="331"/>
      <c r="C2360" s="332"/>
      <c r="D2360" s="332"/>
      <c r="E2360" s="333"/>
      <c r="F2360" s="333"/>
      <c r="R2360" s="316"/>
      <c r="S2360" s="404"/>
      <c r="T2360" s="404"/>
      <c r="U2360" s="404"/>
      <c r="V2360" s="404"/>
      <c r="W2360" s="316"/>
      <c r="X2360" s="316"/>
      <c r="Y2360" s="316"/>
      <c r="Z2360" s="316"/>
      <c r="AA2360" s="404"/>
      <c r="AB2360" s="404"/>
      <c r="AC2360" s="404"/>
      <c r="AD2360" s="404"/>
      <c r="AE2360" s="316"/>
      <c r="AF2360" s="316"/>
      <c r="AG2360" s="404"/>
      <c r="AH2360" s="316"/>
      <c r="AI2360" s="316"/>
      <c r="AJ2360" s="316"/>
      <c r="AK2360" s="316"/>
      <c r="AL2360" s="316"/>
      <c r="AM2360" s="416"/>
      <c r="AR2360" s="333"/>
      <c r="AS2360" s="333"/>
      <c r="AT2360" s="333"/>
      <c r="AU2360" s="333"/>
      <c r="AV2360" s="333"/>
    </row>
    <row r="2361" spans="2:48" s="330" customFormat="1" ht="28.15" customHeight="1" x14ac:dyDescent="0.25">
      <c r="B2361" s="331"/>
      <c r="C2361" s="332"/>
      <c r="D2361" s="332"/>
      <c r="E2361" s="333"/>
      <c r="F2361" s="333"/>
      <c r="R2361" s="316"/>
      <c r="S2361" s="404"/>
      <c r="T2361" s="404"/>
      <c r="U2361" s="404"/>
      <c r="V2361" s="404"/>
      <c r="W2361" s="316"/>
      <c r="X2361" s="316"/>
      <c r="Y2361" s="316"/>
      <c r="Z2361" s="316"/>
      <c r="AA2361" s="404"/>
      <c r="AB2361" s="404"/>
      <c r="AC2361" s="404"/>
      <c r="AD2361" s="404"/>
      <c r="AE2361" s="316"/>
      <c r="AF2361" s="316"/>
      <c r="AG2361" s="404"/>
      <c r="AH2361" s="316"/>
      <c r="AI2361" s="316"/>
      <c r="AJ2361" s="316"/>
      <c r="AK2361" s="316"/>
      <c r="AL2361" s="316"/>
      <c r="AM2361" s="416"/>
      <c r="AR2361" s="333"/>
      <c r="AS2361" s="333"/>
      <c r="AT2361" s="333"/>
      <c r="AU2361" s="333"/>
      <c r="AV2361" s="333"/>
    </row>
    <row r="2362" spans="2:48" s="330" customFormat="1" ht="28.15" customHeight="1" x14ac:dyDescent="0.25">
      <c r="B2362" s="331"/>
      <c r="C2362" s="332"/>
      <c r="D2362" s="332"/>
      <c r="E2362" s="333"/>
      <c r="F2362" s="333"/>
      <c r="R2362" s="316"/>
      <c r="S2362" s="404"/>
      <c r="T2362" s="404"/>
      <c r="U2362" s="404"/>
      <c r="V2362" s="404"/>
      <c r="W2362" s="316"/>
      <c r="X2362" s="316"/>
      <c r="Y2362" s="316"/>
      <c r="Z2362" s="316"/>
      <c r="AA2362" s="404"/>
      <c r="AB2362" s="404"/>
      <c r="AC2362" s="404"/>
      <c r="AD2362" s="404"/>
      <c r="AE2362" s="316"/>
      <c r="AF2362" s="316"/>
      <c r="AG2362" s="404"/>
      <c r="AH2362" s="316"/>
      <c r="AI2362" s="316"/>
      <c r="AJ2362" s="316"/>
      <c r="AK2362" s="316"/>
      <c r="AL2362" s="316"/>
      <c r="AM2362" s="416"/>
      <c r="AR2362" s="333"/>
      <c r="AS2362" s="333"/>
      <c r="AT2362" s="333"/>
      <c r="AU2362" s="333"/>
      <c r="AV2362" s="333"/>
    </row>
    <row r="2363" spans="2:48" s="330" customFormat="1" ht="28.15" customHeight="1" x14ac:dyDescent="0.25">
      <c r="B2363" s="331"/>
      <c r="C2363" s="332"/>
      <c r="D2363" s="332"/>
      <c r="E2363" s="333"/>
      <c r="F2363" s="333"/>
      <c r="R2363" s="316"/>
      <c r="S2363" s="404"/>
      <c r="T2363" s="404"/>
      <c r="U2363" s="404"/>
      <c r="V2363" s="404"/>
      <c r="W2363" s="316"/>
      <c r="X2363" s="316"/>
      <c r="Y2363" s="316"/>
      <c r="Z2363" s="316"/>
      <c r="AA2363" s="404"/>
      <c r="AB2363" s="404"/>
      <c r="AC2363" s="404"/>
      <c r="AD2363" s="404"/>
      <c r="AE2363" s="316"/>
      <c r="AF2363" s="316"/>
      <c r="AG2363" s="404"/>
      <c r="AH2363" s="316"/>
      <c r="AI2363" s="316"/>
      <c r="AJ2363" s="316"/>
      <c r="AK2363" s="316"/>
      <c r="AL2363" s="316"/>
      <c r="AM2363" s="416"/>
      <c r="AR2363" s="333"/>
      <c r="AS2363" s="333"/>
      <c r="AT2363" s="333"/>
      <c r="AU2363" s="333"/>
      <c r="AV2363" s="333"/>
    </row>
    <row r="2364" spans="2:48" s="330" customFormat="1" ht="28.15" customHeight="1" x14ac:dyDescent="0.25">
      <c r="B2364" s="331"/>
      <c r="C2364" s="332"/>
      <c r="D2364" s="332"/>
      <c r="E2364" s="333"/>
      <c r="F2364" s="333"/>
      <c r="R2364" s="316"/>
      <c r="S2364" s="404"/>
      <c r="T2364" s="404"/>
      <c r="U2364" s="404"/>
      <c r="V2364" s="404"/>
      <c r="W2364" s="316"/>
      <c r="X2364" s="316"/>
      <c r="Y2364" s="316"/>
      <c r="Z2364" s="316"/>
      <c r="AA2364" s="404"/>
      <c r="AB2364" s="404"/>
      <c r="AC2364" s="404"/>
      <c r="AD2364" s="404"/>
      <c r="AE2364" s="316"/>
      <c r="AF2364" s="316"/>
      <c r="AG2364" s="404"/>
      <c r="AH2364" s="316"/>
      <c r="AI2364" s="316"/>
      <c r="AJ2364" s="316"/>
      <c r="AK2364" s="316"/>
      <c r="AL2364" s="316"/>
      <c r="AM2364" s="416"/>
      <c r="AR2364" s="333"/>
      <c r="AS2364" s="333"/>
      <c r="AT2364" s="333"/>
      <c r="AU2364" s="333"/>
      <c r="AV2364" s="333"/>
    </row>
    <row r="2365" spans="2:48" s="330" customFormat="1" ht="28.15" customHeight="1" x14ac:dyDescent="0.25">
      <c r="B2365" s="331"/>
      <c r="C2365" s="332"/>
      <c r="D2365" s="332"/>
      <c r="E2365" s="333"/>
      <c r="F2365" s="333"/>
      <c r="R2365" s="316"/>
      <c r="S2365" s="404"/>
      <c r="T2365" s="404"/>
      <c r="U2365" s="404"/>
      <c r="V2365" s="404"/>
      <c r="W2365" s="316"/>
      <c r="X2365" s="316"/>
      <c r="Y2365" s="316"/>
      <c r="Z2365" s="316"/>
      <c r="AA2365" s="404"/>
      <c r="AB2365" s="404"/>
      <c r="AC2365" s="404"/>
      <c r="AD2365" s="404"/>
      <c r="AE2365" s="316"/>
      <c r="AF2365" s="316"/>
      <c r="AG2365" s="404"/>
      <c r="AH2365" s="316"/>
      <c r="AI2365" s="316"/>
      <c r="AJ2365" s="316"/>
      <c r="AK2365" s="316"/>
      <c r="AL2365" s="316"/>
      <c r="AM2365" s="416"/>
      <c r="AR2365" s="333"/>
      <c r="AS2365" s="333"/>
      <c r="AT2365" s="333"/>
      <c r="AU2365" s="333"/>
      <c r="AV2365" s="333"/>
    </row>
    <row r="2366" spans="2:48" s="330" customFormat="1" ht="28.15" customHeight="1" x14ac:dyDescent="0.25">
      <c r="B2366" s="331"/>
      <c r="C2366" s="332"/>
      <c r="D2366" s="332"/>
      <c r="E2366" s="333"/>
      <c r="F2366" s="333"/>
      <c r="R2366" s="316"/>
      <c r="S2366" s="404"/>
      <c r="T2366" s="404"/>
      <c r="U2366" s="404"/>
      <c r="V2366" s="404"/>
      <c r="W2366" s="316"/>
      <c r="X2366" s="316"/>
      <c r="Y2366" s="316"/>
      <c r="Z2366" s="316"/>
      <c r="AA2366" s="404"/>
      <c r="AB2366" s="404"/>
      <c r="AC2366" s="404"/>
      <c r="AD2366" s="404"/>
      <c r="AE2366" s="316"/>
      <c r="AF2366" s="316"/>
      <c r="AG2366" s="404"/>
      <c r="AH2366" s="316"/>
      <c r="AI2366" s="316"/>
      <c r="AJ2366" s="316"/>
      <c r="AK2366" s="316"/>
      <c r="AL2366" s="316"/>
      <c r="AM2366" s="416"/>
      <c r="AR2366" s="333"/>
      <c r="AS2366" s="333"/>
      <c r="AT2366" s="333"/>
      <c r="AU2366" s="333"/>
      <c r="AV2366" s="333"/>
    </row>
    <row r="2367" spans="2:48" s="330" customFormat="1" ht="28.15" customHeight="1" x14ac:dyDescent="0.25">
      <c r="B2367" s="331"/>
      <c r="C2367" s="332"/>
      <c r="D2367" s="332"/>
      <c r="E2367" s="333"/>
      <c r="F2367" s="333"/>
      <c r="R2367" s="316"/>
      <c r="S2367" s="404"/>
      <c r="T2367" s="404"/>
      <c r="U2367" s="404"/>
      <c r="V2367" s="404"/>
      <c r="W2367" s="316"/>
      <c r="X2367" s="316"/>
      <c r="Y2367" s="316"/>
      <c r="Z2367" s="316"/>
      <c r="AA2367" s="404"/>
      <c r="AB2367" s="404"/>
      <c r="AC2367" s="404"/>
      <c r="AD2367" s="404"/>
      <c r="AE2367" s="316"/>
      <c r="AF2367" s="316"/>
      <c r="AG2367" s="404"/>
      <c r="AH2367" s="316"/>
      <c r="AI2367" s="316"/>
      <c r="AJ2367" s="316"/>
      <c r="AK2367" s="316"/>
      <c r="AL2367" s="316"/>
      <c r="AM2367" s="416"/>
      <c r="AR2367" s="333"/>
      <c r="AS2367" s="333"/>
      <c r="AT2367" s="333"/>
      <c r="AU2367" s="333"/>
      <c r="AV2367" s="333"/>
    </row>
    <row r="2368" spans="2:48" s="330" customFormat="1" ht="28.15" customHeight="1" x14ac:dyDescent="0.25">
      <c r="B2368" s="331"/>
      <c r="C2368" s="332"/>
      <c r="D2368" s="332"/>
      <c r="E2368" s="333"/>
      <c r="F2368" s="333"/>
      <c r="R2368" s="316"/>
      <c r="S2368" s="404"/>
      <c r="T2368" s="404"/>
      <c r="U2368" s="404"/>
      <c r="V2368" s="404"/>
      <c r="W2368" s="316"/>
      <c r="X2368" s="316"/>
      <c r="Y2368" s="316"/>
      <c r="Z2368" s="316"/>
      <c r="AA2368" s="404"/>
      <c r="AB2368" s="404"/>
      <c r="AC2368" s="404"/>
      <c r="AD2368" s="404"/>
      <c r="AE2368" s="316"/>
      <c r="AF2368" s="316"/>
      <c r="AG2368" s="404"/>
      <c r="AH2368" s="316"/>
      <c r="AI2368" s="316"/>
      <c r="AJ2368" s="316"/>
      <c r="AK2368" s="316"/>
      <c r="AL2368" s="316"/>
      <c r="AM2368" s="416"/>
      <c r="AR2368" s="333"/>
      <c r="AS2368" s="333"/>
      <c r="AT2368" s="333"/>
      <c r="AU2368" s="333"/>
      <c r="AV2368" s="333"/>
    </row>
    <row r="2369" spans="2:48" s="330" customFormat="1" ht="28.15" customHeight="1" x14ac:dyDescent="0.25">
      <c r="B2369" s="331"/>
      <c r="C2369" s="332"/>
      <c r="D2369" s="332"/>
      <c r="E2369" s="333"/>
      <c r="F2369" s="333"/>
      <c r="R2369" s="316"/>
      <c r="S2369" s="404"/>
      <c r="T2369" s="404"/>
      <c r="U2369" s="404"/>
      <c r="V2369" s="404"/>
      <c r="W2369" s="316"/>
      <c r="X2369" s="316"/>
      <c r="Y2369" s="316"/>
      <c r="Z2369" s="316"/>
      <c r="AA2369" s="404"/>
      <c r="AB2369" s="404"/>
      <c r="AC2369" s="404"/>
      <c r="AD2369" s="404"/>
      <c r="AE2369" s="316"/>
      <c r="AF2369" s="316"/>
      <c r="AG2369" s="404"/>
      <c r="AH2369" s="316"/>
      <c r="AI2369" s="316"/>
      <c r="AJ2369" s="316"/>
      <c r="AK2369" s="316"/>
      <c r="AL2369" s="316"/>
      <c r="AM2369" s="416"/>
      <c r="AR2369" s="333"/>
      <c r="AS2369" s="333"/>
      <c r="AT2369" s="333"/>
      <c r="AU2369" s="333"/>
      <c r="AV2369" s="333"/>
    </row>
    <row r="2370" spans="2:48" s="330" customFormat="1" ht="28.15" customHeight="1" x14ac:dyDescent="0.25">
      <c r="B2370" s="331"/>
      <c r="C2370" s="332"/>
      <c r="D2370" s="332"/>
      <c r="E2370" s="333"/>
      <c r="F2370" s="333"/>
      <c r="R2370" s="316"/>
      <c r="S2370" s="404"/>
      <c r="T2370" s="404"/>
      <c r="U2370" s="404"/>
      <c r="V2370" s="404"/>
      <c r="W2370" s="316"/>
      <c r="X2370" s="316"/>
      <c r="Y2370" s="316"/>
      <c r="Z2370" s="316"/>
      <c r="AA2370" s="404"/>
      <c r="AB2370" s="404"/>
      <c r="AC2370" s="404"/>
      <c r="AD2370" s="404"/>
      <c r="AE2370" s="316"/>
      <c r="AF2370" s="316"/>
      <c r="AG2370" s="404"/>
      <c r="AH2370" s="316"/>
      <c r="AI2370" s="316"/>
      <c r="AJ2370" s="316"/>
      <c r="AK2370" s="316"/>
      <c r="AL2370" s="316"/>
      <c r="AM2370" s="416"/>
      <c r="AR2370" s="333"/>
      <c r="AS2370" s="333"/>
      <c r="AT2370" s="333"/>
      <c r="AU2370" s="333"/>
      <c r="AV2370" s="333"/>
    </row>
    <row r="2371" spans="2:48" s="330" customFormat="1" ht="28.15" customHeight="1" x14ac:dyDescent="0.25">
      <c r="B2371" s="331"/>
      <c r="C2371" s="332"/>
      <c r="D2371" s="332"/>
      <c r="E2371" s="333"/>
      <c r="F2371" s="333"/>
      <c r="R2371" s="316"/>
      <c r="S2371" s="404"/>
      <c r="T2371" s="404"/>
      <c r="U2371" s="404"/>
      <c r="V2371" s="404"/>
      <c r="W2371" s="316"/>
      <c r="X2371" s="316"/>
      <c r="Y2371" s="316"/>
      <c r="Z2371" s="316"/>
      <c r="AA2371" s="404"/>
      <c r="AB2371" s="404"/>
      <c r="AC2371" s="404"/>
      <c r="AD2371" s="404"/>
      <c r="AE2371" s="316"/>
      <c r="AF2371" s="316"/>
      <c r="AG2371" s="404"/>
      <c r="AH2371" s="316"/>
      <c r="AI2371" s="316"/>
      <c r="AJ2371" s="316"/>
      <c r="AK2371" s="316"/>
      <c r="AL2371" s="316"/>
      <c r="AM2371" s="416"/>
      <c r="AR2371" s="333"/>
      <c r="AS2371" s="333"/>
      <c r="AT2371" s="333"/>
      <c r="AU2371" s="333"/>
      <c r="AV2371" s="333"/>
    </row>
    <row r="2372" spans="2:48" s="330" customFormat="1" ht="28.15" customHeight="1" x14ac:dyDescent="0.25">
      <c r="B2372" s="331"/>
      <c r="C2372" s="332"/>
      <c r="D2372" s="332"/>
      <c r="E2372" s="333"/>
      <c r="F2372" s="333"/>
      <c r="R2372" s="316"/>
      <c r="S2372" s="404"/>
      <c r="T2372" s="404"/>
      <c r="U2372" s="404"/>
      <c r="V2372" s="404"/>
      <c r="W2372" s="316"/>
      <c r="X2372" s="316"/>
      <c r="Y2372" s="316"/>
      <c r="Z2372" s="316"/>
      <c r="AA2372" s="404"/>
      <c r="AB2372" s="404"/>
      <c r="AC2372" s="404"/>
      <c r="AD2372" s="404"/>
      <c r="AE2372" s="316"/>
      <c r="AF2372" s="316"/>
      <c r="AG2372" s="404"/>
      <c r="AH2372" s="316"/>
      <c r="AI2372" s="316"/>
      <c r="AJ2372" s="316"/>
      <c r="AK2372" s="316"/>
      <c r="AL2372" s="316"/>
      <c r="AM2372" s="416"/>
      <c r="AR2372" s="333"/>
      <c r="AS2372" s="333"/>
      <c r="AT2372" s="333"/>
      <c r="AU2372" s="333"/>
      <c r="AV2372" s="333"/>
    </row>
    <row r="2373" spans="2:48" s="330" customFormat="1" ht="28.15" customHeight="1" x14ac:dyDescent="0.25">
      <c r="B2373" s="331"/>
      <c r="C2373" s="332"/>
      <c r="D2373" s="332"/>
      <c r="E2373" s="333"/>
      <c r="F2373" s="333"/>
      <c r="R2373" s="316"/>
      <c r="S2373" s="404"/>
      <c r="T2373" s="404"/>
      <c r="U2373" s="404"/>
      <c r="V2373" s="404"/>
      <c r="W2373" s="316"/>
      <c r="X2373" s="316"/>
      <c r="Y2373" s="316"/>
      <c r="Z2373" s="316"/>
      <c r="AA2373" s="404"/>
      <c r="AB2373" s="404"/>
      <c r="AC2373" s="404"/>
      <c r="AD2373" s="404"/>
      <c r="AE2373" s="316"/>
      <c r="AF2373" s="316"/>
      <c r="AG2373" s="404"/>
      <c r="AH2373" s="316"/>
      <c r="AI2373" s="316"/>
      <c r="AJ2373" s="316"/>
      <c r="AK2373" s="316"/>
      <c r="AL2373" s="316"/>
      <c r="AM2373" s="416"/>
      <c r="AR2373" s="333"/>
      <c r="AS2373" s="333"/>
      <c r="AT2373" s="333"/>
      <c r="AU2373" s="333"/>
      <c r="AV2373" s="333"/>
    </row>
    <row r="2374" spans="2:48" s="330" customFormat="1" ht="28.15" customHeight="1" x14ac:dyDescent="0.25">
      <c r="B2374" s="331"/>
      <c r="C2374" s="332"/>
      <c r="D2374" s="332"/>
      <c r="E2374" s="333"/>
      <c r="F2374" s="333"/>
      <c r="R2374" s="316"/>
      <c r="S2374" s="404"/>
      <c r="T2374" s="404"/>
      <c r="U2374" s="404"/>
      <c r="V2374" s="404"/>
      <c r="W2374" s="316"/>
      <c r="X2374" s="316"/>
      <c r="Y2374" s="316"/>
      <c r="Z2374" s="316"/>
      <c r="AA2374" s="404"/>
      <c r="AB2374" s="404"/>
      <c r="AC2374" s="404"/>
      <c r="AD2374" s="404"/>
      <c r="AE2374" s="316"/>
      <c r="AF2374" s="316"/>
      <c r="AG2374" s="404"/>
      <c r="AH2374" s="316"/>
      <c r="AI2374" s="316"/>
      <c r="AJ2374" s="316"/>
      <c r="AK2374" s="316"/>
      <c r="AL2374" s="316"/>
      <c r="AM2374" s="416"/>
      <c r="AR2374" s="333"/>
      <c r="AS2374" s="333"/>
      <c r="AT2374" s="333"/>
      <c r="AU2374" s="333"/>
      <c r="AV2374" s="333"/>
    </row>
    <row r="2375" spans="2:48" s="330" customFormat="1" ht="28.15" customHeight="1" x14ac:dyDescent="0.25">
      <c r="B2375" s="331"/>
      <c r="C2375" s="332"/>
      <c r="D2375" s="332"/>
      <c r="E2375" s="333"/>
      <c r="F2375" s="333"/>
      <c r="R2375" s="316"/>
      <c r="S2375" s="404"/>
      <c r="T2375" s="404"/>
      <c r="U2375" s="404"/>
      <c r="V2375" s="404"/>
      <c r="W2375" s="316"/>
      <c r="X2375" s="316"/>
      <c r="Y2375" s="316"/>
      <c r="Z2375" s="316"/>
      <c r="AA2375" s="404"/>
      <c r="AB2375" s="404"/>
      <c r="AC2375" s="404"/>
      <c r="AD2375" s="404"/>
      <c r="AE2375" s="316"/>
      <c r="AF2375" s="316"/>
      <c r="AG2375" s="404"/>
      <c r="AH2375" s="316"/>
      <c r="AI2375" s="316"/>
      <c r="AJ2375" s="316"/>
      <c r="AK2375" s="316"/>
      <c r="AL2375" s="316"/>
      <c r="AM2375" s="416"/>
      <c r="AR2375" s="333"/>
      <c r="AS2375" s="333"/>
      <c r="AT2375" s="333"/>
      <c r="AU2375" s="333"/>
      <c r="AV2375" s="333"/>
    </row>
    <row r="2376" spans="2:48" s="330" customFormat="1" ht="28.15" customHeight="1" x14ac:dyDescent="0.25">
      <c r="B2376" s="331"/>
      <c r="C2376" s="332"/>
      <c r="D2376" s="332"/>
      <c r="E2376" s="333"/>
      <c r="F2376" s="333"/>
      <c r="R2376" s="316"/>
      <c r="S2376" s="404"/>
      <c r="T2376" s="404"/>
      <c r="U2376" s="404"/>
      <c r="V2376" s="404"/>
      <c r="W2376" s="316"/>
      <c r="X2376" s="316"/>
      <c r="Y2376" s="316"/>
      <c r="Z2376" s="316"/>
      <c r="AA2376" s="404"/>
      <c r="AB2376" s="404"/>
      <c r="AC2376" s="404"/>
      <c r="AD2376" s="404"/>
      <c r="AE2376" s="316"/>
      <c r="AF2376" s="316"/>
      <c r="AG2376" s="404"/>
      <c r="AH2376" s="316"/>
      <c r="AI2376" s="316"/>
      <c r="AJ2376" s="316"/>
      <c r="AK2376" s="316"/>
      <c r="AL2376" s="316"/>
      <c r="AM2376" s="416"/>
      <c r="AR2376" s="333"/>
      <c r="AS2376" s="333"/>
      <c r="AT2376" s="333"/>
      <c r="AU2376" s="333"/>
      <c r="AV2376" s="333"/>
    </row>
    <row r="2377" spans="2:48" s="330" customFormat="1" ht="28.15" customHeight="1" x14ac:dyDescent="0.25">
      <c r="B2377" s="331"/>
      <c r="C2377" s="332"/>
      <c r="D2377" s="332"/>
      <c r="E2377" s="333"/>
      <c r="F2377" s="333"/>
      <c r="R2377" s="316"/>
      <c r="S2377" s="404"/>
      <c r="T2377" s="404"/>
      <c r="U2377" s="404"/>
      <c r="V2377" s="404"/>
      <c r="W2377" s="316"/>
      <c r="X2377" s="316"/>
      <c r="Y2377" s="316"/>
      <c r="Z2377" s="316"/>
      <c r="AA2377" s="404"/>
      <c r="AB2377" s="404"/>
      <c r="AC2377" s="404"/>
      <c r="AD2377" s="404"/>
      <c r="AE2377" s="316"/>
      <c r="AF2377" s="316"/>
      <c r="AG2377" s="404"/>
      <c r="AH2377" s="316"/>
      <c r="AI2377" s="316"/>
      <c r="AJ2377" s="316"/>
      <c r="AK2377" s="316"/>
      <c r="AL2377" s="316"/>
      <c r="AM2377" s="416"/>
      <c r="AR2377" s="333"/>
      <c r="AS2377" s="333"/>
      <c r="AT2377" s="333"/>
      <c r="AU2377" s="333"/>
      <c r="AV2377" s="333"/>
    </row>
    <row r="2378" spans="2:48" s="330" customFormat="1" ht="28.15" customHeight="1" x14ac:dyDescent="0.25">
      <c r="B2378" s="331"/>
      <c r="C2378" s="332"/>
      <c r="D2378" s="332"/>
      <c r="E2378" s="333"/>
      <c r="F2378" s="333"/>
      <c r="R2378" s="316"/>
      <c r="S2378" s="404"/>
      <c r="T2378" s="404"/>
      <c r="U2378" s="404"/>
      <c r="V2378" s="404"/>
      <c r="W2378" s="316"/>
      <c r="X2378" s="316"/>
      <c r="Y2378" s="316"/>
      <c r="Z2378" s="316"/>
      <c r="AA2378" s="404"/>
      <c r="AB2378" s="404"/>
      <c r="AC2378" s="404"/>
      <c r="AD2378" s="404"/>
      <c r="AE2378" s="316"/>
      <c r="AF2378" s="316"/>
      <c r="AG2378" s="404"/>
      <c r="AH2378" s="316"/>
      <c r="AI2378" s="316"/>
      <c r="AJ2378" s="316"/>
      <c r="AK2378" s="316"/>
      <c r="AL2378" s="316"/>
      <c r="AM2378" s="416"/>
      <c r="AR2378" s="333"/>
      <c r="AS2378" s="333"/>
      <c r="AT2378" s="333"/>
      <c r="AU2378" s="333"/>
      <c r="AV2378" s="333"/>
    </row>
    <row r="2379" spans="2:48" s="330" customFormat="1" ht="28.15" customHeight="1" x14ac:dyDescent="0.25">
      <c r="B2379" s="331"/>
      <c r="C2379" s="332"/>
      <c r="D2379" s="332"/>
      <c r="E2379" s="333"/>
      <c r="F2379" s="333"/>
      <c r="R2379" s="316"/>
      <c r="S2379" s="404"/>
      <c r="T2379" s="404"/>
      <c r="U2379" s="404"/>
      <c r="V2379" s="404"/>
      <c r="W2379" s="316"/>
      <c r="X2379" s="316"/>
      <c r="Y2379" s="316"/>
      <c r="Z2379" s="316"/>
      <c r="AA2379" s="404"/>
      <c r="AB2379" s="404"/>
      <c r="AC2379" s="404"/>
      <c r="AD2379" s="404"/>
      <c r="AE2379" s="316"/>
      <c r="AF2379" s="316"/>
      <c r="AG2379" s="404"/>
      <c r="AH2379" s="316"/>
      <c r="AI2379" s="316"/>
      <c r="AJ2379" s="316"/>
      <c r="AK2379" s="316"/>
      <c r="AL2379" s="316"/>
      <c r="AM2379" s="416"/>
      <c r="AR2379" s="333"/>
      <c r="AS2379" s="333"/>
      <c r="AT2379" s="333"/>
      <c r="AU2379" s="333"/>
      <c r="AV2379" s="333"/>
    </row>
    <row r="2380" spans="2:48" s="330" customFormat="1" ht="28.15" customHeight="1" x14ac:dyDescent="0.25">
      <c r="B2380" s="331"/>
      <c r="C2380" s="332"/>
      <c r="D2380" s="332"/>
      <c r="E2380" s="333"/>
      <c r="F2380" s="333"/>
      <c r="R2380" s="316"/>
      <c r="S2380" s="404"/>
      <c r="T2380" s="404"/>
      <c r="U2380" s="404"/>
      <c r="V2380" s="404"/>
      <c r="W2380" s="316"/>
      <c r="X2380" s="316"/>
      <c r="Y2380" s="316"/>
      <c r="Z2380" s="316"/>
      <c r="AA2380" s="404"/>
      <c r="AB2380" s="404"/>
      <c r="AC2380" s="404"/>
      <c r="AD2380" s="404"/>
      <c r="AE2380" s="316"/>
      <c r="AF2380" s="316"/>
      <c r="AG2380" s="404"/>
      <c r="AH2380" s="316"/>
      <c r="AI2380" s="316"/>
      <c r="AJ2380" s="316"/>
      <c r="AK2380" s="316"/>
      <c r="AL2380" s="316"/>
      <c r="AM2380" s="416"/>
      <c r="AR2380" s="333"/>
      <c r="AS2380" s="333"/>
      <c r="AT2380" s="333"/>
      <c r="AU2380" s="333"/>
      <c r="AV2380" s="333"/>
    </row>
    <row r="2381" spans="2:48" s="330" customFormat="1" ht="28.15" customHeight="1" x14ac:dyDescent="0.25">
      <c r="B2381" s="331"/>
      <c r="C2381" s="332"/>
      <c r="D2381" s="332"/>
      <c r="E2381" s="333"/>
      <c r="F2381" s="333"/>
      <c r="R2381" s="316"/>
      <c r="S2381" s="404"/>
      <c r="T2381" s="404"/>
      <c r="U2381" s="404"/>
      <c r="V2381" s="404"/>
      <c r="W2381" s="316"/>
      <c r="X2381" s="316"/>
      <c r="Y2381" s="316"/>
      <c r="Z2381" s="316"/>
      <c r="AA2381" s="404"/>
      <c r="AB2381" s="404"/>
      <c r="AC2381" s="404"/>
      <c r="AD2381" s="404"/>
      <c r="AE2381" s="316"/>
      <c r="AF2381" s="316"/>
      <c r="AG2381" s="404"/>
      <c r="AH2381" s="316"/>
      <c r="AI2381" s="316"/>
      <c r="AJ2381" s="316"/>
      <c r="AK2381" s="316"/>
      <c r="AL2381" s="316"/>
      <c r="AM2381" s="416"/>
      <c r="AR2381" s="333"/>
      <c r="AS2381" s="333"/>
      <c r="AT2381" s="333"/>
      <c r="AU2381" s="333"/>
      <c r="AV2381" s="333"/>
    </row>
    <row r="2382" spans="2:48" s="330" customFormat="1" ht="28.15" customHeight="1" x14ac:dyDescent="0.25">
      <c r="B2382" s="331"/>
      <c r="C2382" s="332"/>
      <c r="D2382" s="332"/>
      <c r="E2382" s="333"/>
      <c r="F2382" s="333"/>
      <c r="R2382" s="316"/>
      <c r="S2382" s="404"/>
      <c r="T2382" s="404"/>
      <c r="U2382" s="404"/>
      <c r="V2382" s="404"/>
      <c r="W2382" s="316"/>
      <c r="X2382" s="316"/>
      <c r="Y2382" s="316"/>
      <c r="Z2382" s="316"/>
      <c r="AA2382" s="404"/>
      <c r="AB2382" s="404"/>
      <c r="AC2382" s="404"/>
      <c r="AD2382" s="404"/>
      <c r="AE2382" s="316"/>
      <c r="AF2382" s="316"/>
      <c r="AG2382" s="404"/>
      <c r="AH2382" s="316"/>
      <c r="AI2382" s="316"/>
      <c r="AJ2382" s="316"/>
      <c r="AK2382" s="316"/>
      <c r="AL2382" s="316"/>
      <c r="AM2382" s="416"/>
      <c r="AR2382" s="333"/>
      <c r="AS2382" s="333"/>
      <c r="AT2382" s="333"/>
      <c r="AU2382" s="333"/>
      <c r="AV2382" s="333"/>
    </row>
    <row r="2383" spans="2:48" s="330" customFormat="1" ht="28.15" customHeight="1" x14ac:dyDescent="0.25">
      <c r="B2383" s="331"/>
      <c r="C2383" s="332"/>
      <c r="D2383" s="332"/>
      <c r="E2383" s="333"/>
      <c r="F2383" s="333"/>
      <c r="R2383" s="316"/>
      <c r="S2383" s="404"/>
      <c r="T2383" s="404"/>
      <c r="U2383" s="404"/>
      <c r="V2383" s="404"/>
      <c r="W2383" s="316"/>
      <c r="X2383" s="316"/>
      <c r="Y2383" s="316"/>
      <c r="Z2383" s="316"/>
      <c r="AA2383" s="404"/>
      <c r="AB2383" s="404"/>
      <c r="AC2383" s="404"/>
      <c r="AD2383" s="404"/>
      <c r="AE2383" s="316"/>
      <c r="AF2383" s="316"/>
      <c r="AG2383" s="404"/>
      <c r="AH2383" s="316"/>
      <c r="AI2383" s="316"/>
      <c r="AJ2383" s="316"/>
      <c r="AK2383" s="316"/>
      <c r="AL2383" s="316"/>
      <c r="AM2383" s="416"/>
      <c r="AR2383" s="333"/>
      <c r="AS2383" s="333"/>
      <c r="AT2383" s="333"/>
      <c r="AU2383" s="333"/>
      <c r="AV2383" s="333"/>
    </row>
    <row r="2384" spans="2:48" s="330" customFormat="1" ht="28.15" customHeight="1" x14ac:dyDescent="0.25">
      <c r="B2384" s="331"/>
      <c r="C2384" s="332"/>
      <c r="D2384" s="332"/>
      <c r="E2384" s="333"/>
      <c r="F2384" s="333"/>
      <c r="R2384" s="316"/>
      <c r="S2384" s="404"/>
      <c r="T2384" s="404"/>
      <c r="U2384" s="404"/>
      <c r="V2384" s="404"/>
      <c r="W2384" s="316"/>
      <c r="X2384" s="316"/>
      <c r="Y2384" s="316"/>
      <c r="Z2384" s="316"/>
      <c r="AA2384" s="404"/>
      <c r="AB2384" s="404"/>
      <c r="AC2384" s="404"/>
      <c r="AD2384" s="404"/>
      <c r="AE2384" s="316"/>
      <c r="AF2384" s="316"/>
      <c r="AG2384" s="404"/>
      <c r="AH2384" s="316"/>
      <c r="AI2384" s="316"/>
      <c r="AJ2384" s="316"/>
      <c r="AK2384" s="316"/>
      <c r="AL2384" s="316"/>
      <c r="AM2384" s="416"/>
      <c r="AR2384" s="333"/>
      <c r="AS2384" s="333"/>
      <c r="AT2384" s="333"/>
      <c r="AU2384" s="333"/>
      <c r="AV2384" s="333"/>
    </row>
    <row r="2385" spans="2:48" s="330" customFormat="1" ht="28.15" customHeight="1" x14ac:dyDescent="0.25">
      <c r="B2385" s="331"/>
      <c r="C2385" s="332"/>
      <c r="D2385" s="332"/>
      <c r="E2385" s="333"/>
      <c r="F2385" s="333"/>
      <c r="R2385" s="316"/>
      <c r="S2385" s="404"/>
      <c r="T2385" s="404"/>
      <c r="U2385" s="404"/>
      <c r="V2385" s="404"/>
      <c r="W2385" s="316"/>
      <c r="X2385" s="316"/>
      <c r="Y2385" s="316"/>
      <c r="Z2385" s="316"/>
      <c r="AA2385" s="404"/>
      <c r="AB2385" s="404"/>
      <c r="AC2385" s="404"/>
      <c r="AD2385" s="404"/>
      <c r="AE2385" s="316"/>
      <c r="AF2385" s="316"/>
      <c r="AG2385" s="404"/>
      <c r="AH2385" s="316"/>
      <c r="AI2385" s="316"/>
      <c r="AJ2385" s="316"/>
      <c r="AK2385" s="316"/>
      <c r="AL2385" s="316"/>
      <c r="AM2385" s="416"/>
      <c r="AR2385" s="333"/>
      <c r="AS2385" s="333"/>
      <c r="AT2385" s="333"/>
      <c r="AU2385" s="333"/>
      <c r="AV2385" s="333"/>
    </row>
    <row r="2386" spans="2:48" s="330" customFormat="1" ht="28.15" customHeight="1" x14ac:dyDescent="0.25">
      <c r="B2386" s="331"/>
      <c r="C2386" s="332"/>
      <c r="D2386" s="332"/>
      <c r="E2386" s="333"/>
      <c r="F2386" s="333"/>
      <c r="R2386" s="316"/>
      <c r="S2386" s="404"/>
      <c r="T2386" s="404"/>
      <c r="U2386" s="404"/>
      <c r="V2386" s="404"/>
      <c r="W2386" s="316"/>
      <c r="X2386" s="316"/>
      <c r="Y2386" s="316"/>
      <c r="Z2386" s="316"/>
      <c r="AA2386" s="404"/>
      <c r="AB2386" s="404"/>
      <c r="AC2386" s="404"/>
      <c r="AD2386" s="404"/>
      <c r="AE2386" s="316"/>
      <c r="AF2386" s="316"/>
      <c r="AG2386" s="404"/>
      <c r="AH2386" s="316"/>
      <c r="AI2386" s="316"/>
      <c r="AJ2386" s="316"/>
      <c r="AK2386" s="316"/>
      <c r="AL2386" s="316"/>
      <c r="AM2386" s="416"/>
      <c r="AR2386" s="333"/>
      <c r="AS2386" s="333"/>
      <c r="AT2386" s="333"/>
      <c r="AU2386" s="333"/>
      <c r="AV2386" s="333"/>
    </row>
    <row r="2387" spans="2:48" s="330" customFormat="1" ht="28.15" customHeight="1" x14ac:dyDescent="0.25">
      <c r="B2387" s="331"/>
      <c r="C2387" s="332"/>
      <c r="D2387" s="332"/>
      <c r="E2387" s="333"/>
      <c r="F2387" s="333"/>
      <c r="R2387" s="316"/>
      <c r="S2387" s="404"/>
      <c r="T2387" s="404"/>
      <c r="U2387" s="404"/>
      <c r="V2387" s="404"/>
      <c r="W2387" s="316"/>
      <c r="X2387" s="316"/>
      <c r="Y2387" s="316"/>
      <c r="Z2387" s="316"/>
      <c r="AA2387" s="404"/>
      <c r="AB2387" s="404"/>
      <c r="AC2387" s="404"/>
      <c r="AD2387" s="404"/>
      <c r="AE2387" s="316"/>
      <c r="AF2387" s="316"/>
      <c r="AG2387" s="404"/>
      <c r="AH2387" s="316"/>
      <c r="AI2387" s="316"/>
      <c r="AJ2387" s="316"/>
      <c r="AK2387" s="316"/>
      <c r="AL2387" s="316"/>
      <c r="AM2387" s="416"/>
      <c r="AR2387" s="333"/>
      <c r="AS2387" s="333"/>
      <c r="AT2387" s="333"/>
      <c r="AU2387" s="333"/>
      <c r="AV2387" s="333"/>
    </row>
    <row r="2388" spans="2:48" s="330" customFormat="1" ht="28.15" customHeight="1" x14ac:dyDescent="0.25">
      <c r="B2388" s="331"/>
      <c r="C2388" s="332"/>
      <c r="D2388" s="332"/>
      <c r="E2388" s="333"/>
      <c r="F2388" s="333"/>
      <c r="R2388" s="316"/>
      <c r="S2388" s="404"/>
      <c r="T2388" s="404"/>
      <c r="U2388" s="404"/>
      <c r="V2388" s="404"/>
      <c r="W2388" s="316"/>
      <c r="X2388" s="316"/>
      <c r="Y2388" s="316"/>
      <c r="Z2388" s="316"/>
      <c r="AA2388" s="404"/>
      <c r="AB2388" s="404"/>
      <c r="AC2388" s="404"/>
      <c r="AD2388" s="404"/>
      <c r="AE2388" s="316"/>
      <c r="AF2388" s="316"/>
      <c r="AG2388" s="404"/>
      <c r="AH2388" s="316"/>
      <c r="AI2388" s="316"/>
      <c r="AJ2388" s="316"/>
      <c r="AK2388" s="316"/>
      <c r="AL2388" s="316"/>
      <c r="AM2388" s="416"/>
      <c r="AR2388" s="333"/>
      <c r="AS2388" s="333"/>
      <c r="AT2388" s="333"/>
      <c r="AU2388" s="333"/>
      <c r="AV2388" s="333"/>
    </row>
    <row r="2389" spans="2:48" s="330" customFormat="1" ht="28.15" customHeight="1" x14ac:dyDescent="0.25">
      <c r="B2389" s="331"/>
      <c r="C2389" s="332"/>
      <c r="D2389" s="332"/>
      <c r="E2389" s="333"/>
      <c r="F2389" s="333"/>
      <c r="R2389" s="316"/>
      <c r="S2389" s="404"/>
      <c r="T2389" s="404"/>
      <c r="U2389" s="404"/>
      <c r="V2389" s="404"/>
      <c r="W2389" s="316"/>
      <c r="X2389" s="316"/>
      <c r="Y2389" s="316"/>
      <c r="Z2389" s="316"/>
      <c r="AA2389" s="404"/>
      <c r="AB2389" s="404"/>
      <c r="AC2389" s="404"/>
      <c r="AD2389" s="404"/>
      <c r="AE2389" s="316"/>
      <c r="AF2389" s="316"/>
      <c r="AG2389" s="404"/>
      <c r="AH2389" s="316"/>
      <c r="AI2389" s="316"/>
      <c r="AJ2389" s="316"/>
      <c r="AK2389" s="316"/>
      <c r="AL2389" s="316"/>
      <c r="AM2389" s="416"/>
      <c r="AR2389" s="333"/>
      <c r="AS2389" s="333"/>
      <c r="AT2389" s="333"/>
      <c r="AU2389" s="333"/>
      <c r="AV2389" s="333"/>
    </row>
    <row r="2390" spans="2:48" s="330" customFormat="1" ht="28.15" customHeight="1" x14ac:dyDescent="0.25">
      <c r="B2390" s="331"/>
      <c r="C2390" s="332"/>
      <c r="D2390" s="332"/>
      <c r="E2390" s="333"/>
      <c r="F2390" s="333"/>
      <c r="R2390" s="316"/>
      <c r="S2390" s="404"/>
      <c r="T2390" s="404"/>
      <c r="U2390" s="404"/>
      <c r="V2390" s="404"/>
      <c r="W2390" s="316"/>
      <c r="X2390" s="316"/>
      <c r="Y2390" s="316"/>
      <c r="Z2390" s="316"/>
      <c r="AA2390" s="404"/>
      <c r="AB2390" s="404"/>
      <c r="AC2390" s="404"/>
      <c r="AD2390" s="404"/>
      <c r="AE2390" s="316"/>
      <c r="AF2390" s="316"/>
      <c r="AG2390" s="404"/>
      <c r="AH2390" s="316"/>
      <c r="AI2390" s="316"/>
      <c r="AJ2390" s="316"/>
      <c r="AK2390" s="316"/>
      <c r="AL2390" s="316"/>
      <c r="AM2390" s="416"/>
      <c r="AR2390" s="333"/>
      <c r="AS2390" s="333"/>
      <c r="AT2390" s="333"/>
      <c r="AU2390" s="333"/>
      <c r="AV2390" s="333"/>
    </row>
    <row r="2391" spans="2:48" s="330" customFormat="1" ht="28.15" customHeight="1" x14ac:dyDescent="0.25">
      <c r="B2391" s="331"/>
      <c r="C2391" s="332"/>
      <c r="D2391" s="332"/>
      <c r="E2391" s="333"/>
      <c r="F2391" s="333"/>
      <c r="R2391" s="316"/>
      <c r="S2391" s="404"/>
      <c r="T2391" s="404"/>
      <c r="U2391" s="404"/>
      <c r="V2391" s="404"/>
      <c r="W2391" s="316"/>
      <c r="X2391" s="316"/>
      <c r="Y2391" s="316"/>
      <c r="Z2391" s="316"/>
      <c r="AA2391" s="404"/>
      <c r="AB2391" s="404"/>
      <c r="AC2391" s="404"/>
      <c r="AD2391" s="404"/>
      <c r="AE2391" s="316"/>
      <c r="AF2391" s="316"/>
      <c r="AG2391" s="404"/>
      <c r="AH2391" s="316"/>
      <c r="AI2391" s="316"/>
      <c r="AJ2391" s="316"/>
      <c r="AK2391" s="316"/>
      <c r="AL2391" s="316"/>
      <c r="AM2391" s="416"/>
      <c r="AR2391" s="333"/>
      <c r="AS2391" s="333"/>
      <c r="AT2391" s="333"/>
      <c r="AU2391" s="333"/>
      <c r="AV2391" s="333"/>
    </row>
    <row r="2392" spans="2:48" s="330" customFormat="1" ht="28.15" customHeight="1" x14ac:dyDescent="0.25">
      <c r="B2392" s="331"/>
      <c r="C2392" s="332"/>
      <c r="D2392" s="332"/>
      <c r="E2392" s="333"/>
      <c r="F2392" s="333"/>
      <c r="R2392" s="316"/>
      <c r="S2392" s="404"/>
      <c r="T2392" s="404"/>
      <c r="U2392" s="404"/>
      <c r="V2392" s="404"/>
      <c r="W2392" s="316"/>
      <c r="X2392" s="316"/>
      <c r="Y2392" s="316"/>
      <c r="Z2392" s="316"/>
      <c r="AA2392" s="404"/>
      <c r="AB2392" s="404"/>
      <c r="AC2392" s="404"/>
      <c r="AD2392" s="404"/>
      <c r="AE2392" s="316"/>
      <c r="AF2392" s="316"/>
      <c r="AG2392" s="404"/>
      <c r="AH2392" s="316"/>
      <c r="AI2392" s="316"/>
      <c r="AJ2392" s="316"/>
      <c r="AK2392" s="316"/>
      <c r="AL2392" s="316"/>
      <c r="AM2392" s="416"/>
      <c r="AR2392" s="333"/>
      <c r="AS2392" s="333"/>
      <c r="AT2392" s="333"/>
      <c r="AU2392" s="333"/>
      <c r="AV2392" s="333"/>
    </row>
    <row r="2393" spans="2:48" s="330" customFormat="1" ht="28.15" customHeight="1" x14ac:dyDescent="0.25">
      <c r="B2393" s="331"/>
      <c r="C2393" s="332"/>
      <c r="D2393" s="332"/>
      <c r="E2393" s="333"/>
      <c r="F2393" s="333"/>
      <c r="R2393" s="316"/>
      <c r="S2393" s="404"/>
      <c r="T2393" s="404"/>
      <c r="U2393" s="404"/>
      <c r="V2393" s="404"/>
      <c r="W2393" s="316"/>
      <c r="X2393" s="316"/>
      <c r="Y2393" s="316"/>
      <c r="Z2393" s="316"/>
      <c r="AA2393" s="404"/>
      <c r="AB2393" s="404"/>
      <c r="AC2393" s="404"/>
      <c r="AD2393" s="404"/>
      <c r="AE2393" s="316"/>
      <c r="AF2393" s="316"/>
      <c r="AG2393" s="404"/>
      <c r="AH2393" s="316"/>
      <c r="AI2393" s="316"/>
      <c r="AJ2393" s="316"/>
      <c r="AK2393" s="316"/>
      <c r="AL2393" s="316"/>
      <c r="AM2393" s="416"/>
      <c r="AR2393" s="333"/>
      <c r="AS2393" s="333"/>
      <c r="AT2393" s="333"/>
      <c r="AU2393" s="333"/>
      <c r="AV2393" s="333"/>
    </row>
    <row r="2394" spans="2:48" s="330" customFormat="1" ht="28.15" customHeight="1" x14ac:dyDescent="0.25">
      <c r="B2394" s="331"/>
      <c r="C2394" s="332"/>
      <c r="D2394" s="332"/>
      <c r="E2394" s="333"/>
      <c r="F2394" s="333"/>
      <c r="R2394" s="316"/>
      <c r="S2394" s="404"/>
      <c r="T2394" s="404"/>
      <c r="U2394" s="404"/>
      <c r="V2394" s="404"/>
      <c r="W2394" s="316"/>
      <c r="X2394" s="316"/>
      <c r="Y2394" s="316"/>
      <c r="Z2394" s="316"/>
      <c r="AA2394" s="404"/>
      <c r="AB2394" s="404"/>
      <c r="AC2394" s="404"/>
      <c r="AD2394" s="404"/>
      <c r="AE2394" s="316"/>
      <c r="AF2394" s="316"/>
      <c r="AG2394" s="404"/>
      <c r="AH2394" s="316"/>
      <c r="AI2394" s="316"/>
      <c r="AJ2394" s="316"/>
      <c r="AK2394" s="316"/>
      <c r="AL2394" s="316"/>
      <c r="AM2394" s="416"/>
      <c r="AR2394" s="333"/>
      <c r="AS2394" s="333"/>
      <c r="AT2394" s="333"/>
      <c r="AU2394" s="333"/>
      <c r="AV2394" s="333"/>
    </row>
    <row r="2395" spans="2:48" s="330" customFormat="1" ht="28.15" customHeight="1" x14ac:dyDescent="0.25">
      <c r="B2395" s="331"/>
      <c r="C2395" s="332"/>
      <c r="D2395" s="332"/>
      <c r="E2395" s="333"/>
      <c r="F2395" s="333"/>
      <c r="R2395" s="316"/>
      <c r="S2395" s="404"/>
      <c r="T2395" s="404"/>
      <c r="U2395" s="404"/>
      <c r="V2395" s="404"/>
      <c r="W2395" s="316"/>
      <c r="X2395" s="316"/>
      <c r="Y2395" s="316"/>
      <c r="Z2395" s="316"/>
      <c r="AA2395" s="404"/>
      <c r="AB2395" s="404"/>
      <c r="AC2395" s="404"/>
      <c r="AD2395" s="404"/>
      <c r="AE2395" s="316"/>
      <c r="AF2395" s="316"/>
      <c r="AG2395" s="404"/>
      <c r="AH2395" s="316"/>
      <c r="AI2395" s="316"/>
      <c r="AJ2395" s="316"/>
      <c r="AK2395" s="316"/>
      <c r="AL2395" s="316"/>
      <c r="AM2395" s="416"/>
      <c r="AR2395" s="333"/>
      <c r="AS2395" s="333"/>
      <c r="AT2395" s="333"/>
      <c r="AU2395" s="333"/>
      <c r="AV2395" s="333"/>
    </row>
    <row r="2396" spans="2:48" s="330" customFormat="1" ht="28.15" customHeight="1" x14ac:dyDescent="0.25">
      <c r="B2396" s="331"/>
      <c r="C2396" s="332"/>
      <c r="D2396" s="332"/>
      <c r="E2396" s="333"/>
      <c r="F2396" s="333"/>
      <c r="R2396" s="316"/>
      <c r="S2396" s="404"/>
      <c r="T2396" s="404"/>
      <c r="U2396" s="404"/>
      <c r="V2396" s="404"/>
      <c r="W2396" s="316"/>
      <c r="X2396" s="316"/>
      <c r="Y2396" s="316"/>
      <c r="Z2396" s="316"/>
      <c r="AA2396" s="404"/>
      <c r="AB2396" s="404"/>
      <c r="AC2396" s="404"/>
      <c r="AD2396" s="404"/>
      <c r="AE2396" s="316"/>
      <c r="AF2396" s="316"/>
      <c r="AG2396" s="404"/>
      <c r="AH2396" s="316"/>
      <c r="AI2396" s="316"/>
      <c r="AJ2396" s="316"/>
      <c r="AK2396" s="316"/>
      <c r="AL2396" s="316"/>
      <c r="AM2396" s="416"/>
      <c r="AR2396" s="333"/>
      <c r="AS2396" s="333"/>
      <c r="AT2396" s="333"/>
      <c r="AU2396" s="333"/>
      <c r="AV2396" s="333"/>
    </row>
    <row r="2397" spans="2:48" s="330" customFormat="1" ht="28.15" customHeight="1" x14ac:dyDescent="0.25">
      <c r="B2397" s="331"/>
      <c r="C2397" s="332"/>
      <c r="D2397" s="332"/>
      <c r="E2397" s="333"/>
      <c r="F2397" s="333"/>
      <c r="R2397" s="316"/>
      <c r="S2397" s="404"/>
      <c r="T2397" s="404"/>
      <c r="U2397" s="404"/>
      <c r="V2397" s="404"/>
      <c r="W2397" s="316"/>
      <c r="X2397" s="316"/>
      <c r="Y2397" s="316"/>
      <c r="Z2397" s="316"/>
      <c r="AA2397" s="404"/>
      <c r="AB2397" s="404"/>
      <c r="AC2397" s="404"/>
      <c r="AD2397" s="404"/>
      <c r="AE2397" s="316"/>
      <c r="AF2397" s="316"/>
      <c r="AG2397" s="404"/>
      <c r="AH2397" s="316"/>
      <c r="AI2397" s="316"/>
      <c r="AJ2397" s="316"/>
      <c r="AK2397" s="316"/>
      <c r="AL2397" s="316"/>
      <c r="AM2397" s="416"/>
      <c r="AR2397" s="333"/>
      <c r="AS2397" s="333"/>
      <c r="AT2397" s="333"/>
      <c r="AU2397" s="333"/>
      <c r="AV2397" s="333"/>
    </row>
    <row r="2398" spans="2:48" s="330" customFormat="1" ht="28.15" customHeight="1" x14ac:dyDescent="0.25">
      <c r="B2398" s="331"/>
      <c r="C2398" s="332"/>
      <c r="D2398" s="332"/>
      <c r="E2398" s="333"/>
      <c r="F2398" s="333"/>
      <c r="R2398" s="316"/>
      <c r="S2398" s="404"/>
      <c r="T2398" s="404"/>
      <c r="U2398" s="404"/>
      <c r="V2398" s="404"/>
      <c r="W2398" s="316"/>
      <c r="X2398" s="316"/>
      <c r="Y2398" s="316"/>
      <c r="Z2398" s="316"/>
      <c r="AA2398" s="404"/>
      <c r="AB2398" s="404"/>
      <c r="AC2398" s="404"/>
      <c r="AD2398" s="404"/>
      <c r="AE2398" s="316"/>
      <c r="AF2398" s="316"/>
      <c r="AG2398" s="404"/>
      <c r="AH2398" s="316"/>
      <c r="AI2398" s="316"/>
      <c r="AJ2398" s="316"/>
      <c r="AK2398" s="316"/>
      <c r="AL2398" s="316"/>
      <c r="AM2398" s="416"/>
      <c r="AR2398" s="333"/>
      <c r="AS2398" s="333"/>
      <c r="AT2398" s="333"/>
      <c r="AU2398" s="333"/>
      <c r="AV2398" s="333"/>
    </row>
    <row r="2399" spans="2:48" s="330" customFormat="1" ht="28.15" customHeight="1" x14ac:dyDescent="0.25">
      <c r="B2399" s="331"/>
      <c r="C2399" s="332"/>
      <c r="D2399" s="332"/>
      <c r="E2399" s="333"/>
      <c r="F2399" s="333"/>
      <c r="R2399" s="316"/>
      <c r="S2399" s="404"/>
      <c r="T2399" s="404"/>
      <c r="U2399" s="404"/>
      <c r="V2399" s="404"/>
      <c r="W2399" s="316"/>
      <c r="X2399" s="316"/>
      <c r="Y2399" s="316"/>
      <c r="Z2399" s="316"/>
      <c r="AA2399" s="404"/>
      <c r="AB2399" s="404"/>
      <c r="AC2399" s="404"/>
      <c r="AD2399" s="404"/>
      <c r="AE2399" s="316"/>
      <c r="AF2399" s="316"/>
      <c r="AG2399" s="404"/>
      <c r="AH2399" s="316"/>
      <c r="AI2399" s="316"/>
      <c r="AJ2399" s="316"/>
      <c r="AK2399" s="316"/>
      <c r="AL2399" s="316"/>
      <c r="AM2399" s="416"/>
      <c r="AR2399" s="333"/>
      <c r="AS2399" s="333"/>
      <c r="AT2399" s="333"/>
      <c r="AU2399" s="333"/>
      <c r="AV2399" s="333"/>
    </row>
    <row r="2400" spans="2:48" s="330" customFormat="1" ht="28.15" customHeight="1" x14ac:dyDescent="0.25">
      <c r="B2400" s="331"/>
      <c r="C2400" s="332"/>
      <c r="D2400" s="332"/>
      <c r="E2400" s="333"/>
      <c r="F2400" s="333"/>
      <c r="R2400" s="316"/>
      <c r="S2400" s="404"/>
      <c r="T2400" s="404"/>
      <c r="U2400" s="404"/>
      <c r="V2400" s="404"/>
      <c r="W2400" s="316"/>
      <c r="X2400" s="316"/>
      <c r="Y2400" s="316"/>
      <c r="Z2400" s="316"/>
      <c r="AA2400" s="404"/>
      <c r="AB2400" s="404"/>
      <c r="AC2400" s="404"/>
      <c r="AD2400" s="404"/>
      <c r="AE2400" s="316"/>
      <c r="AF2400" s="316"/>
      <c r="AG2400" s="404"/>
      <c r="AH2400" s="316"/>
      <c r="AI2400" s="316"/>
      <c r="AJ2400" s="316"/>
      <c r="AK2400" s="316"/>
      <c r="AL2400" s="316"/>
      <c r="AM2400" s="416"/>
      <c r="AR2400" s="333"/>
      <c r="AS2400" s="333"/>
      <c r="AT2400" s="333"/>
      <c r="AU2400" s="333"/>
      <c r="AV2400" s="333"/>
    </row>
    <row r="2401" spans="2:48" s="330" customFormat="1" ht="28.15" customHeight="1" x14ac:dyDescent="0.25">
      <c r="B2401" s="331"/>
      <c r="C2401" s="332"/>
      <c r="D2401" s="332"/>
      <c r="E2401" s="333"/>
      <c r="F2401" s="333"/>
      <c r="R2401" s="316"/>
      <c r="S2401" s="404"/>
      <c r="T2401" s="404"/>
      <c r="U2401" s="404"/>
      <c r="V2401" s="404"/>
      <c r="W2401" s="316"/>
      <c r="X2401" s="316"/>
      <c r="Y2401" s="316"/>
      <c r="Z2401" s="316"/>
      <c r="AA2401" s="404"/>
      <c r="AB2401" s="404"/>
      <c r="AC2401" s="404"/>
      <c r="AD2401" s="404"/>
      <c r="AE2401" s="316"/>
      <c r="AF2401" s="316"/>
      <c r="AG2401" s="404"/>
      <c r="AH2401" s="316"/>
      <c r="AI2401" s="316"/>
      <c r="AJ2401" s="316"/>
      <c r="AK2401" s="316"/>
      <c r="AL2401" s="316"/>
      <c r="AM2401" s="416"/>
      <c r="AR2401" s="333"/>
      <c r="AS2401" s="333"/>
      <c r="AT2401" s="333"/>
      <c r="AU2401" s="333"/>
      <c r="AV2401" s="333"/>
    </row>
    <row r="2402" spans="2:48" s="330" customFormat="1" ht="28.15" customHeight="1" x14ac:dyDescent="0.25">
      <c r="B2402" s="331"/>
      <c r="C2402" s="332"/>
      <c r="D2402" s="332"/>
      <c r="E2402" s="333"/>
      <c r="F2402" s="333"/>
      <c r="R2402" s="316"/>
      <c r="S2402" s="404"/>
      <c r="T2402" s="404"/>
      <c r="U2402" s="404"/>
      <c r="V2402" s="404"/>
      <c r="W2402" s="316"/>
      <c r="X2402" s="316"/>
      <c r="Y2402" s="316"/>
      <c r="Z2402" s="316"/>
      <c r="AA2402" s="404"/>
      <c r="AB2402" s="404"/>
      <c r="AC2402" s="404"/>
      <c r="AD2402" s="404"/>
      <c r="AE2402" s="316"/>
      <c r="AF2402" s="316"/>
      <c r="AG2402" s="404"/>
      <c r="AH2402" s="316"/>
      <c r="AI2402" s="316"/>
      <c r="AJ2402" s="316"/>
      <c r="AK2402" s="316"/>
      <c r="AL2402" s="316"/>
      <c r="AM2402" s="416"/>
      <c r="AR2402" s="333"/>
      <c r="AS2402" s="333"/>
      <c r="AT2402" s="333"/>
      <c r="AU2402" s="333"/>
      <c r="AV2402" s="333"/>
    </row>
    <row r="2403" spans="2:48" s="330" customFormat="1" ht="28.15" customHeight="1" x14ac:dyDescent="0.25">
      <c r="B2403" s="331"/>
      <c r="C2403" s="332"/>
      <c r="D2403" s="332"/>
      <c r="E2403" s="333"/>
      <c r="F2403" s="333"/>
      <c r="R2403" s="316"/>
      <c r="S2403" s="404"/>
      <c r="T2403" s="404"/>
      <c r="U2403" s="404"/>
      <c r="V2403" s="404"/>
      <c r="W2403" s="316"/>
      <c r="X2403" s="316"/>
      <c r="Y2403" s="316"/>
      <c r="Z2403" s="316"/>
      <c r="AA2403" s="404"/>
      <c r="AB2403" s="404"/>
      <c r="AC2403" s="404"/>
      <c r="AD2403" s="404"/>
      <c r="AE2403" s="316"/>
      <c r="AF2403" s="316"/>
      <c r="AG2403" s="404"/>
      <c r="AH2403" s="316"/>
      <c r="AI2403" s="316"/>
      <c r="AJ2403" s="316"/>
      <c r="AK2403" s="316"/>
      <c r="AL2403" s="316"/>
      <c r="AM2403" s="416"/>
      <c r="AR2403" s="333"/>
      <c r="AS2403" s="333"/>
      <c r="AT2403" s="333"/>
      <c r="AU2403" s="333"/>
      <c r="AV2403" s="333"/>
    </row>
    <row r="2404" spans="2:48" s="330" customFormat="1" ht="28.15" customHeight="1" x14ac:dyDescent="0.25">
      <c r="B2404" s="331"/>
      <c r="C2404" s="332"/>
      <c r="D2404" s="332"/>
      <c r="E2404" s="333"/>
      <c r="F2404" s="333"/>
      <c r="R2404" s="316"/>
      <c r="S2404" s="404"/>
      <c r="T2404" s="404"/>
      <c r="U2404" s="404"/>
      <c r="V2404" s="404"/>
      <c r="W2404" s="316"/>
      <c r="X2404" s="316"/>
      <c r="Y2404" s="316"/>
      <c r="Z2404" s="316"/>
      <c r="AA2404" s="404"/>
      <c r="AB2404" s="404"/>
      <c r="AC2404" s="404"/>
      <c r="AD2404" s="404"/>
      <c r="AE2404" s="316"/>
      <c r="AF2404" s="316"/>
      <c r="AG2404" s="404"/>
      <c r="AH2404" s="316"/>
      <c r="AI2404" s="316"/>
      <c r="AJ2404" s="316"/>
      <c r="AK2404" s="316"/>
      <c r="AL2404" s="316"/>
      <c r="AM2404" s="416"/>
      <c r="AR2404" s="333"/>
      <c r="AS2404" s="333"/>
      <c r="AT2404" s="333"/>
      <c r="AU2404" s="333"/>
      <c r="AV2404" s="333"/>
    </row>
    <row r="2405" spans="2:48" s="330" customFormat="1" ht="28.15" customHeight="1" x14ac:dyDescent="0.25">
      <c r="B2405" s="331"/>
      <c r="C2405" s="332"/>
      <c r="D2405" s="332"/>
      <c r="E2405" s="333"/>
      <c r="F2405" s="333"/>
      <c r="R2405" s="316"/>
      <c r="S2405" s="404"/>
      <c r="T2405" s="404"/>
      <c r="U2405" s="404"/>
      <c r="V2405" s="404"/>
      <c r="W2405" s="316"/>
      <c r="X2405" s="316"/>
      <c r="Y2405" s="316"/>
      <c r="Z2405" s="316"/>
      <c r="AA2405" s="404"/>
      <c r="AB2405" s="404"/>
      <c r="AC2405" s="404"/>
      <c r="AD2405" s="404"/>
      <c r="AE2405" s="316"/>
      <c r="AF2405" s="316"/>
      <c r="AG2405" s="404"/>
      <c r="AH2405" s="316"/>
      <c r="AI2405" s="316"/>
      <c r="AJ2405" s="316"/>
      <c r="AK2405" s="316"/>
      <c r="AL2405" s="316"/>
      <c r="AM2405" s="416"/>
      <c r="AR2405" s="333"/>
      <c r="AS2405" s="333"/>
      <c r="AT2405" s="333"/>
      <c r="AU2405" s="333"/>
      <c r="AV2405" s="333"/>
    </row>
    <row r="2406" spans="2:48" s="330" customFormat="1" ht="28.15" customHeight="1" x14ac:dyDescent="0.25">
      <c r="B2406" s="331"/>
      <c r="C2406" s="332"/>
      <c r="D2406" s="332"/>
      <c r="E2406" s="333"/>
      <c r="F2406" s="333"/>
      <c r="R2406" s="316"/>
      <c r="S2406" s="404"/>
      <c r="T2406" s="404"/>
      <c r="U2406" s="404"/>
      <c r="V2406" s="404"/>
      <c r="W2406" s="316"/>
      <c r="X2406" s="316"/>
      <c r="Y2406" s="316"/>
      <c r="Z2406" s="316"/>
      <c r="AA2406" s="404"/>
      <c r="AB2406" s="404"/>
      <c r="AC2406" s="404"/>
      <c r="AD2406" s="404"/>
      <c r="AE2406" s="316"/>
      <c r="AF2406" s="316"/>
      <c r="AG2406" s="404"/>
      <c r="AH2406" s="316"/>
      <c r="AI2406" s="316"/>
      <c r="AJ2406" s="316"/>
      <c r="AK2406" s="316"/>
      <c r="AL2406" s="316"/>
      <c r="AM2406" s="416"/>
      <c r="AR2406" s="333"/>
      <c r="AS2406" s="333"/>
      <c r="AT2406" s="333"/>
      <c r="AU2406" s="333"/>
      <c r="AV2406" s="333"/>
    </row>
    <row r="2407" spans="2:48" s="330" customFormat="1" ht="28.15" customHeight="1" x14ac:dyDescent="0.25">
      <c r="B2407" s="331"/>
      <c r="C2407" s="332"/>
      <c r="D2407" s="332"/>
      <c r="E2407" s="333"/>
      <c r="F2407" s="333"/>
      <c r="R2407" s="316"/>
      <c r="S2407" s="404"/>
      <c r="T2407" s="404"/>
      <c r="U2407" s="404"/>
      <c r="V2407" s="404"/>
      <c r="W2407" s="316"/>
      <c r="X2407" s="316"/>
      <c r="Y2407" s="316"/>
      <c r="Z2407" s="316"/>
      <c r="AA2407" s="404"/>
      <c r="AB2407" s="404"/>
      <c r="AC2407" s="404"/>
      <c r="AD2407" s="404"/>
      <c r="AE2407" s="316"/>
      <c r="AF2407" s="316"/>
      <c r="AG2407" s="404"/>
      <c r="AH2407" s="316"/>
      <c r="AI2407" s="316"/>
      <c r="AJ2407" s="316"/>
      <c r="AK2407" s="316"/>
      <c r="AL2407" s="316"/>
      <c r="AM2407" s="416"/>
      <c r="AR2407" s="333"/>
      <c r="AS2407" s="333"/>
      <c r="AT2407" s="333"/>
      <c r="AU2407" s="333"/>
      <c r="AV2407" s="333"/>
    </row>
    <row r="2408" spans="2:48" s="330" customFormat="1" ht="28.15" customHeight="1" x14ac:dyDescent="0.25">
      <c r="B2408" s="331"/>
      <c r="C2408" s="332"/>
      <c r="D2408" s="332"/>
      <c r="E2408" s="333"/>
      <c r="F2408" s="333"/>
      <c r="R2408" s="316"/>
      <c r="S2408" s="404"/>
      <c r="T2408" s="404"/>
      <c r="U2408" s="404"/>
      <c r="V2408" s="404"/>
      <c r="W2408" s="316"/>
      <c r="X2408" s="316"/>
      <c r="Y2408" s="316"/>
      <c r="Z2408" s="316"/>
      <c r="AA2408" s="404"/>
      <c r="AB2408" s="404"/>
      <c r="AC2408" s="404"/>
      <c r="AD2408" s="404"/>
      <c r="AE2408" s="316"/>
      <c r="AF2408" s="316"/>
      <c r="AG2408" s="404"/>
      <c r="AH2408" s="316"/>
      <c r="AI2408" s="316"/>
      <c r="AJ2408" s="316"/>
      <c r="AK2408" s="316"/>
      <c r="AL2408" s="316"/>
      <c r="AM2408" s="416"/>
      <c r="AR2408" s="333"/>
      <c r="AS2408" s="333"/>
      <c r="AT2408" s="333"/>
      <c r="AU2408" s="333"/>
      <c r="AV2408" s="333"/>
    </row>
    <row r="2409" spans="2:48" s="330" customFormat="1" ht="28.15" customHeight="1" x14ac:dyDescent="0.25">
      <c r="B2409" s="331"/>
      <c r="C2409" s="332"/>
      <c r="D2409" s="332"/>
      <c r="E2409" s="333"/>
      <c r="F2409" s="333"/>
      <c r="R2409" s="316"/>
      <c r="S2409" s="404"/>
      <c r="T2409" s="404"/>
      <c r="U2409" s="404"/>
      <c r="V2409" s="404"/>
      <c r="W2409" s="316"/>
      <c r="X2409" s="316"/>
      <c r="Y2409" s="316"/>
      <c r="Z2409" s="316"/>
      <c r="AA2409" s="404"/>
      <c r="AB2409" s="404"/>
      <c r="AC2409" s="404"/>
      <c r="AD2409" s="404"/>
      <c r="AE2409" s="316"/>
      <c r="AF2409" s="316"/>
      <c r="AG2409" s="404"/>
      <c r="AH2409" s="316"/>
      <c r="AI2409" s="316"/>
      <c r="AJ2409" s="316"/>
      <c r="AK2409" s="316"/>
      <c r="AL2409" s="316"/>
      <c r="AM2409" s="416"/>
      <c r="AR2409" s="333"/>
      <c r="AS2409" s="333"/>
      <c r="AT2409" s="333"/>
      <c r="AU2409" s="333"/>
      <c r="AV2409" s="333"/>
    </row>
    <row r="2410" spans="2:48" s="330" customFormat="1" ht="28.15" customHeight="1" x14ac:dyDescent="0.25">
      <c r="B2410" s="331"/>
      <c r="C2410" s="332"/>
      <c r="D2410" s="332"/>
      <c r="E2410" s="333"/>
      <c r="F2410" s="333"/>
      <c r="R2410" s="316"/>
      <c r="S2410" s="404"/>
      <c r="T2410" s="404"/>
      <c r="U2410" s="404"/>
      <c r="V2410" s="404"/>
      <c r="W2410" s="316"/>
      <c r="X2410" s="316"/>
      <c r="Y2410" s="316"/>
      <c r="Z2410" s="316"/>
      <c r="AA2410" s="404"/>
      <c r="AB2410" s="404"/>
      <c r="AC2410" s="404"/>
      <c r="AD2410" s="404"/>
      <c r="AE2410" s="316"/>
      <c r="AF2410" s="316"/>
      <c r="AG2410" s="404"/>
      <c r="AH2410" s="316"/>
      <c r="AI2410" s="316"/>
      <c r="AJ2410" s="316"/>
      <c r="AK2410" s="316"/>
      <c r="AL2410" s="316"/>
      <c r="AM2410" s="416"/>
      <c r="AR2410" s="333"/>
      <c r="AS2410" s="333"/>
      <c r="AT2410" s="333"/>
      <c r="AU2410" s="333"/>
      <c r="AV2410" s="333"/>
    </row>
    <row r="2411" spans="2:48" s="330" customFormat="1" ht="28.15" customHeight="1" x14ac:dyDescent="0.25">
      <c r="B2411" s="331"/>
      <c r="C2411" s="332"/>
      <c r="D2411" s="332"/>
      <c r="E2411" s="333"/>
      <c r="F2411" s="333"/>
      <c r="R2411" s="316"/>
      <c r="S2411" s="404"/>
      <c r="T2411" s="404"/>
      <c r="U2411" s="404"/>
      <c r="V2411" s="404"/>
      <c r="W2411" s="316"/>
      <c r="X2411" s="316"/>
      <c r="Y2411" s="316"/>
      <c r="Z2411" s="316"/>
      <c r="AA2411" s="404"/>
      <c r="AB2411" s="404"/>
      <c r="AC2411" s="404"/>
      <c r="AD2411" s="404"/>
      <c r="AE2411" s="316"/>
      <c r="AF2411" s="316"/>
      <c r="AG2411" s="404"/>
      <c r="AH2411" s="316"/>
      <c r="AI2411" s="316"/>
      <c r="AJ2411" s="316"/>
      <c r="AK2411" s="316"/>
      <c r="AL2411" s="316"/>
      <c r="AM2411" s="416"/>
      <c r="AR2411" s="333"/>
      <c r="AS2411" s="333"/>
      <c r="AT2411" s="333"/>
      <c r="AU2411" s="333"/>
      <c r="AV2411" s="333"/>
    </row>
    <row r="2412" spans="2:48" s="330" customFormat="1" ht="28.15" customHeight="1" x14ac:dyDescent="0.25">
      <c r="B2412" s="331"/>
      <c r="C2412" s="332"/>
      <c r="D2412" s="332"/>
      <c r="E2412" s="333"/>
      <c r="F2412" s="333"/>
      <c r="R2412" s="316"/>
      <c r="S2412" s="404"/>
      <c r="T2412" s="404"/>
      <c r="U2412" s="404"/>
      <c r="V2412" s="404"/>
      <c r="W2412" s="316"/>
      <c r="X2412" s="316"/>
      <c r="Y2412" s="316"/>
      <c r="Z2412" s="316"/>
      <c r="AA2412" s="404"/>
      <c r="AB2412" s="404"/>
      <c r="AC2412" s="404"/>
      <c r="AD2412" s="404"/>
      <c r="AE2412" s="316"/>
      <c r="AF2412" s="316"/>
      <c r="AG2412" s="404"/>
      <c r="AH2412" s="316"/>
      <c r="AI2412" s="316"/>
      <c r="AJ2412" s="316"/>
      <c r="AK2412" s="316"/>
      <c r="AL2412" s="316"/>
      <c r="AM2412" s="416"/>
      <c r="AR2412" s="333"/>
      <c r="AS2412" s="333"/>
      <c r="AT2412" s="333"/>
      <c r="AU2412" s="333"/>
      <c r="AV2412" s="333"/>
    </row>
    <row r="2413" spans="2:48" s="330" customFormat="1" ht="28.15" customHeight="1" x14ac:dyDescent="0.25">
      <c r="B2413" s="331"/>
      <c r="C2413" s="332"/>
      <c r="D2413" s="332"/>
      <c r="E2413" s="333"/>
      <c r="F2413" s="333"/>
      <c r="R2413" s="316"/>
      <c r="S2413" s="404"/>
      <c r="T2413" s="404"/>
      <c r="U2413" s="404"/>
      <c r="V2413" s="404"/>
      <c r="W2413" s="316"/>
      <c r="X2413" s="316"/>
      <c r="Y2413" s="316"/>
      <c r="Z2413" s="316"/>
      <c r="AA2413" s="404"/>
      <c r="AB2413" s="404"/>
      <c r="AC2413" s="404"/>
      <c r="AD2413" s="404"/>
      <c r="AE2413" s="316"/>
      <c r="AF2413" s="316"/>
      <c r="AG2413" s="404"/>
      <c r="AH2413" s="316"/>
      <c r="AI2413" s="316"/>
      <c r="AJ2413" s="316"/>
      <c r="AK2413" s="316"/>
      <c r="AL2413" s="316"/>
      <c r="AM2413" s="416"/>
      <c r="AR2413" s="333"/>
      <c r="AS2413" s="333"/>
      <c r="AT2413" s="333"/>
      <c r="AU2413" s="333"/>
      <c r="AV2413" s="333"/>
    </row>
    <row r="2414" spans="2:48" s="330" customFormat="1" ht="28.15" customHeight="1" x14ac:dyDescent="0.25">
      <c r="B2414" s="331"/>
      <c r="C2414" s="332"/>
      <c r="D2414" s="332"/>
      <c r="E2414" s="333"/>
      <c r="F2414" s="333"/>
      <c r="R2414" s="316"/>
      <c r="S2414" s="404"/>
      <c r="T2414" s="404"/>
      <c r="U2414" s="404"/>
      <c r="V2414" s="404"/>
      <c r="W2414" s="316"/>
      <c r="X2414" s="316"/>
      <c r="Y2414" s="316"/>
      <c r="Z2414" s="316"/>
      <c r="AA2414" s="404"/>
      <c r="AB2414" s="404"/>
      <c r="AC2414" s="404"/>
      <c r="AD2414" s="404"/>
      <c r="AE2414" s="316"/>
      <c r="AF2414" s="316"/>
      <c r="AG2414" s="404"/>
      <c r="AH2414" s="316"/>
      <c r="AI2414" s="316"/>
      <c r="AJ2414" s="316"/>
      <c r="AK2414" s="316"/>
      <c r="AL2414" s="316"/>
      <c r="AM2414" s="416"/>
      <c r="AR2414" s="333"/>
      <c r="AS2414" s="333"/>
      <c r="AT2414" s="333"/>
      <c r="AU2414" s="333"/>
      <c r="AV2414" s="333"/>
    </row>
    <row r="2415" spans="2:48" s="330" customFormat="1" ht="28.15" customHeight="1" x14ac:dyDescent="0.25">
      <c r="B2415" s="331"/>
      <c r="C2415" s="332"/>
      <c r="D2415" s="332"/>
      <c r="E2415" s="333"/>
      <c r="F2415" s="333"/>
      <c r="R2415" s="316"/>
      <c r="S2415" s="404"/>
      <c r="T2415" s="404"/>
      <c r="U2415" s="404"/>
      <c r="V2415" s="404"/>
      <c r="W2415" s="316"/>
      <c r="X2415" s="316"/>
      <c r="Y2415" s="316"/>
      <c r="Z2415" s="316"/>
      <c r="AA2415" s="404"/>
      <c r="AB2415" s="404"/>
      <c r="AC2415" s="404"/>
      <c r="AD2415" s="404"/>
      <c r="AE2415" s="316"/>
      <c r="AF2415" s="316"/>
      <c r="AG2415" s="404"/>
      <c r="AH2415" s="316"/>
      <c r="AI2415" s="316"/>
      <c r="AJ2415" s="316"/>
      <c r="AK2415" s="316"/>
      <c r="AL2415" s="316"/>
      <c r="AM2415" s="416"/>
      <c r="AR2415" s="333"/>
      <c r="AS2415" s="333"/>
      <c r="AT2415" s="333"/>
      <c r="AU2415" s="333"/>
      <c r="AV2415" s="333"/>
    </row>
    <row r="2416" spans="2:48" s="330" customFormat="1" ht="28.15" customHeight="1" x14ac:dyDescent="0.25">
      <c r="B2416" s="331"/>
      <c r="C2416" s="332"/>
      <c r="D2416" s="332"/>
      <c r="E2416" s="333"/>
      <c r="F2416" s="333"/>
      <c r="R2416" s="316"/>
      <c r="S2416" s="404"/>
      <c r="T2416" s="404"/>
      <c r="U2416" s="404"/>
      <c r="V2416" s="404"/>
      <c r="W2416" s="316"/>
      <c r="X2416" s="316"/>
      <c r="Y2416" s="316"/>
      <c r="Z2416" s="316"/>
      <c r="AA2416" s="404"/>
      <c r="AB2416" s="404"/>
      <c r="AC2416" s="404"/>
      <c r="AD2416" s="404"/>
      <c r="AE2416" s="316"/>
      <c r="AF2416" s="316"/>
      <c r="AG2416" s="404"/>
      <c r="AH2416" s="316"/>
      <c r="AI2416" s="316"/>
      <c r="AJ2416" s="316"/>
      <c r="AK2416" s="316"/>
      <c r="AL2416" s="316"/>
      <c r="AM2416" s="416"/>
      <c r="AR2416" s="333"/>
      <c r="AS2416" s="333"/>
      <c r="AT2416" s="333"/>
      <c r="AU2416" s="333"/>
      <c r="AV2416" s="333"/>
    </row>
    <row r="2417" spans="2:48" s="330" customFormat="1" ht="28.15" customHeight="1" x14ac:dyDescent="0.25">
      <c r="B2417" s="331"/>
      <c r="C2417" s="332"/>
      <c r="D2417" s="332"/>
      <c r="E2417" s="333"/>
      <c r="F2417" s="333"/>
      <c r="R2417" s="316"/>
      <c r="S2417" s="404"/>
      <c r="T2417" s="404"/>
      <c r="U2417" s="404"/>
      <c r="V2417" s="404"/>
      <c r="W2417" s="316"/>
      <c r="X2417" s="316"/>
      <c r="Y2417" s="316"/>
      <c r="Z2417" s="316"/>
      <c r="AA2417" s="404"/>
      <c r="AB2417" s="404"/>
      <c r="AC2417" s="404"/>
      <c r="AD2417" s="404"/>
      <c r="AE2417" s="316"/>
      <c r="AF2417" s="316"/>
      <c r="AG2417" s="404"/>
      <c r="AH2417" s="316"/>
      <c r="AI2417" s="316"/>
      <c r="AJ2417" s="316"/>
      <c r="AK2417" s="316"/>
      <c r="AL2417" s="316"/>
      <c r="AM2417" s="416"/>
      <c r="AR2417" s="333"/>
      <c r="AS2417" s="333"/>
      <c r="AT2417" s="333"/>
      <c r="AU2417" s="333"/>
      <c r="AV2417" s="333"/>
    </row>
    <row r="2418" spans="2:48" s="330" customFormat="1" ht="28.15" customHeight="1" x14ac:dyDescent="0.25">
      <c r="B2418" s="331"/>
      <c r="C2418" s="332"/>
      <c r="D2418" s="332"/>
      <c r="E2418" s="333"/>
      <c r="F2418" s="333"/>
      <c r="R2418" s="316"/>
      <c r="S2418" s="404"/>
      <c r="T2418" s="404"/>
      <c r="U2418" s="404"/>
      <c r="V2418" s="404"/>
      <c r="W2418" s="316"/>
      <c r="X2418" s="316"/>
      <c r="Y2418" s="316"/>
      <c r="Z2418" s="316"/>
      <c r="AA2418" s="404"/>
      <c r="AB2418" s="404"/>
      <c r="AC2418" s="404"/>
      <c r="AD2418" s="404"/>
      <c r="AE2418" s="316"/>
      <c r="AF2418" s="316"/>
      <c r="AG2418" s="404"/>
      <c r="AH2418" s="316"/>
      <c r="AI2418" s="316"/>
      <c r="AJ2418" s="316"/>
      <c r="AK2418" s="316"/>
      <c r="AL2418" s="316"/>
      <c r="AM2418" s="416"/>
      <c r="AR2418" s="333"/>
      <c r="AS2418" s="333"/>
      <c r="AT2418" s="333"/>
      <c r="AU2418" s="333"/>
      <c r="AV2418" s="333"/>
    </row>
    <row r="2419" spans="2:48" s="330" customFormat="1" ht="28.15" customHeight="1" x14ac:dyDescent="0.25">
      <c r="B2419" s="331"/>
      <c r="C2419" s="332"/>
      <c r="D2419" s="332"/>
      <c r="E2419" s="333"/>
      <c r="F2419" s="333"/>
      <c r="R2419" s="316"/>
      <c r="S2419" s="404"/>
      <c r="T2419" s="404"/>
      <c r="U2419" s="404"/>
      <c r="V2419" s="404"/>
      <c r="W2419" s="316"/>
      <c r="X2419" s="316"/>
      <c r="Y2419" s="316"/>
      <c r="Z2419" s="316"/>
      <c r="AA2419" s="404"/>
      <c r="AB2419" s="404"/>
      <c r="AC2419" s="404"/>
      <c r="AD2419" s="404"/>
      <c r="AE2419" s="316"/>
      <c r="AF2419" s="316"/>
      <c r="AG2419" s="404"/>
      <c r="AH2419" s="316"/>
      <c r="AI2419" s="316"/>
      <c r="AJ2419" s="316"/>
      <c r="AK2419" s="316"/>
      <c r="AL2419" s="316"/>
      <c r="AM2419" s="416"/>
      <c r="AR2419" s="333"/>
      <c r="AS2419" s="333"/>
      <c r="AT2419" s="333"/>
      <c r="AU2419" s="333"/>
      <c r="AV2419" s="333"/>
    </row>
    <row r="2420" spans="2:48" s="330" customFormat="1" ht="28.15" customHeight="1" x14ac:dyDescent="0.25">
      <c r="B2420" s="331"/>
      <c r="C2420" s="332"/>
      <c r="D2420" s="332"/>
      <c r="E2420" s="333"/>
      <c r="F2420" s="333"/>
      <c r="R2420" s="316"/>
      <c r="S2420" s="404"/>
      <c r="T2420" s="404"/>
      <c r="U2420" s="404"/>
      <c r="V2420" s="404"/>
      <c r="W2420" s="316"/>
      <c r="X2420" s="316"/>
      <c r="Y2420" s="316"/>
      <c r="Z2420" s="316"/>
      <c r="AA2420" s="404"/>
      <c r="AB2420" s="404"/>
      <c r="AC2420" s="404"/>
      <c r="AD2420" s="404"/>
      <c r="AE2420" s="316"/>
      <c r="AF2420" s="316"/>
      <c r="AG2420" s="404"/>
      <c r="AH2420" s="316"/>
      <c r="AI2420" s="316"/>
      <c r="AJ2420" s="316"/>
      <c r="AK2420" s="316"/>
      <c r="AL2420" s="316"/>
      <c r="AM2420" s="416"/>
      <c r="AR2420" s="333"/>
      <c r="AS2420" s="333"/>
      <c r="AT2420" s="333"/>
      <c r="AU2420" s="333"/>
      <c r="AV2420" s="333"/>
    </row>
    <row r="2421" spans="2:48" s="330" customFormat="1" ht="28.15" customHeight="1" x14ac:dyDescent="0.25">
      <c r="B2421" s="331"/>
      <c r="C2421" s="332"/>
      <c r="D2421" s="332"/>
      <c r="E2421" s="333"/>
      <c r="F2421" s="333"/>
      <c r="R2421" s="316"/>
      <c r="S2421" s="404"/>
      <c r="T2421" s="404"/>
      <c r="U2421" s="404"/>
      <c r="V2421" s="404"/>
      <c r="W2421" s="316"/>
      <c r="X2421" s="316"/>
      <c r="Y2421" s="316"/>
      <c r="Z2421" s="316"/>
      <c r="AA2421" s="404"/>
      <c r="AB2421" s="404"/>
      <c r="AC2421" s="404"/>
      <c r="AD2421" s="404"/>
      <c r="AE2421" s="316"/>
      <c r="AF2421" s="316"/>
      <c r="AG2421" s="404"/>
      <c r="AH2421" s="316"/>
      <c r="AI2421" s="316"/>
      <c r="AJ2421" s="316"/>
      <c r="AK2421" s="316"/>
      <c r="AL2421" s="316"/>
      <c r="AM2421" s="416"/>
      <c r="AR2421" s="333"/>
      <c r="AS2421" s="333"/>
      <c r="AT2421" s="333"/>
      <c r="AU2421" s="333"/>
      <c r="AV2421" s="333"/>
    </row>
    <row r="2422" spans="2:48" s="330" customFormat="1" ht="28.15" customHeight="1" x14ac:dyDescent="0.25">
      <c r="B2422" s="331"/>
      <c r="C2422" s="332"/>
      <c r="D2422" s="332"/>
      <c r="E2422" s="333"/>
      <c r="F2422" s="333"/>
      <c r="R2422" s="316"/>
      <c r="S2422" s="404"/>
      <c r="T2422" s="404"/>
      <c r="U2422" s="404"/>
      <c r="V2422" s="404"/>
      <c r="W2422" s="316"/>
      <c r="X2422" s="316"/>
      <c r="Y2422" s="316"/>
      <c r="Z2422" s="316"/>
      <c r="AA2422" s="404"/>
      <c r="AB2422" s="404"/>
      <c r="AC2422" s="404"/>
      <c r="AD2422" s="404"/>
      <c r="AE2422" s="316"/>
      <c r="AF2422" s="316"/>
      <c r="AG2422" s="404"/>
      <c r="AH2422" s="316"/>
      <c r="AI2422" s="316"/>
      <c r="AJ2422" s="316"/>
      <c r="AK2422" s="316"/>
      <c r="AL2422" s="316"/>
      <c r="AM2422" s="416"/>
      <c r="AR2422" s="333"/>
      <c r="AS2422" s="333"/>
      <c r="AT2422" s="333"/>
      <c r="AU2422" s="333"/>
      <c r="AV2422" s="333"/>
    </row>
    <row r="2423" spans="2:48" s="330" customFormat="1" ht="28.15" customHeight="1" x14ac:dyDescent="0.25">
      <c r="B2423" s="331"/>
      <c r="C2423" s="332"/>
      <c r="D2423" s="332"/>
      <c r="E2423" s="333"/>
      <c r="F2423" s="333"/>
      <c r="R2423" s="316"/>
      <c r="S2423" s="404"/>
      <c r="T2423" s="404"/>
      <c r="U2423" s="404"/>
      <c r="V2423" s="404"/>
      <c r="W2423" s="316"/>
      <c r="X2423" s="316"/>
      <c r="Y2423" s="316"/>
      <c r="Z2423" s="316"/>
      <c r="AA2423" s="404"/>
      <c r="AB2423" s="404"/>
      <c r="AC2423" s="404"/>
      <c r="AD2423" s="404"/>
      <c r="AE2423" s="316"/>
      <c r="AF2423" s="316"/>
      <c r="AG2423" s="404"/>
      <c r="AH2423" s="316"/>
      <c r="AI2423" s="316"/>
      <c r="AJ2423" s="316"/>
      <c r="AK2423" s="316"/>
      <c r="AL2423" s="316"/>
      <c r="AM2423" s="416"/>
      <c r="AR2423" s="333"/>
      <c r="AS2423" s="333"/>
      <c r="AT2423" s="333"/>
      <c r="AU2423" s="333"/>
      <c r="AV2423" s="333"/>
    </row>
    <row r="2424" spans="2:48" s="330" customFormat="1" ht="28.15" customHeight="1" x14ac:dyDescent="0.25">
      <c r="B2424" s="331"/>
      <c r="C2424" s="332"/>
      <c r="D2424" s="332"/>
      <c r="E2424" s="333"/>
      <c r="F2424" s="333"/>
      <c r="R2424" s="316"/>
      <c r="S2424" s="404"/>
      <c r="T2424" s="404"/>
      <c r="U2424" s="404"/>
      <c r="V2424" s="404"/>
      <c r="W2424" s="316"/>
      <c r="X2424" s="316"/>
      <c r="Y2424" s="316"/>
      <c r="Z2424" s="316"/>
      <c r="AA2424" s="404"/>
      <c r="AB2424" s="404"/>
      <c r="AC2424" s="404"/>
      <c r="AD2424" s="404"/>
      <c r="AE2424" s="316"/>
      <c r="AF2424" s="316"/>
      <c r="AG2424" s="404"/>
      <c r="AH2424" s="316"/>
      <c r="AI2424" s="316"/>
      <c r="AJ2424" s="316"/>
      <c r="AK2424" s="316"/>
      <c r="AL2424" s="316"/>
      <c r="AM2424" s="416"/>
      <c r="AR2424" s="333"/>
      <c r="AS2424" s="333"/>
      <c r="AT2424" s="333"/>
      <c r="AU2424" s="333"/>
      <c r="AV2424" s="333"/>
    </row>
    <row r="2425" spans="2:48" s="330" customFormat="1" ht="28.15" customHeight="1" x14ac:dyDescent="0.25">
      <c r="B2425" s="331"/>
      <c r="C2425" s="332"/>
      <c r="D2425" s="332"/>
      <c r="E2425" s="333"/>
      <c r="F2425" s="333"/>
      <c r="R2425" s="316"/>
      <c r="S2425" s="404"/>
      <c r="T2425" s="404"/>
      <c r="U2425" s="404"/>
      <c r="V2425" s="404"/>
      <c r="W2425" s="316"/>
      <c r="X2425" s="316"/>
      <c r="Y2425" s="316"/>
      <c r="Z2425" s="316"/>
      <c r="AA2425" s="404"/>
      <c r="AB2425" s="404"/>
      <c r="AC2425" s="404"/>
      <c r="AD2425" s="404"/>
      <c r="AE2425" s="316"/>
      <c r="AF2425" s="316"/>
      <c r="AG2425" s="404"/>
      <c r="AH2425" s="316"/>
      <c r="AI2425" s="316"/>
      <c r="AJ2425" s="316"/>
      <c r="AK2425" s="316"/>
      <c r="AL2425" s="316"/>
      <c r="AM2425" s="416"/>
      <c r="AR2425" s="333"/>
      <c r="AS2425" s="333"/>
      <c r="AT2425" s="333"/>
      <c r="AU2425" s="333"/>
      <c r="AV2425" s="333"/>
    </row>
    <row r="2426" spans="2:48" s="330" customFormat="1" ht="28.15" customHeight="1" x14ac:dyDescent="0.25">
      <c r="B2426" s="331"/>
      <c r="C2426" s="332"/>
      <c r="D2426" s="332"/>
      <c r="E2426" s="333"/>
      <c r="F2426" s="333"/>
      <c r="R2426" s="316"/>
      <c r="S2426" s="404"/>
      <c r="T2426" s="404"/>
      <c r="U2426" s="404"/>
      <c r="V2426" s="404"/>
      <c r="W2426" s="316"/>
      <c r="X2426" s="316"/>
      <c r="Y2426" s="316"/>
      <c r="Z2426" s="316"/>
      <c r="AA2426" s="404"/>
      <c r="AB2426" s="404"/>
      <c r="AC2426" s="404"/>
      <c r="AD2426" s="404"/>
      <c r="AE2426" s="316"/>
      <c r="AF2426" s="316"/>
      <c r="AG2426" s="404"/>
      <c r="AH2426" s="316"/>
      <c r="AI2426" s="316"/>
      <c r="AJ2426" s="316"/>
      <c r="AK2426" s="316"/>
      <c r="AL2426" s="316"/>
      <c r="AM2426" s="416"/>
      <c r="AR2426" s="333"/>
      <c r="AS2426" s="333"/>
      <c r="AT2426" s="333"/>
      <c r="AU2426" s="333"/>
      <c r="AV2426" s="333"/>
    </row>
    <row r="2427" spans="2:48" s="330" customFormat="1" ht="28.15" customHeight="1" x14ac:dyDescent="0.25">
      <c r="B2427" s="331"/>
      <c r="C2427" s="332"/>
      <c r="D2427" s="332"/>
      <c r="E2427" s="333"/>
      <c r="F2427" s="333"/>
      <c r="R2427" s="316"/>
      <c r="S2427" s="404"/>
      <c r="T2427" s="404"/>
      <c r="U2427" s="404"/>
      <c r="V2427" s="404"/>
      <c r="W2427" s="316"/>
      <c r="X2427" s="316"/>
      <c r="Y2427" s="316"/>
      <c r="Z2427" s="316"/>
      <c r="AA2427" s="404"/>
      <c r="AB2427" s="404"/>
      <c r="AC2427" s="404"/>
      <c r="AD2427" s="404"/>
      <c r="AE2427" s="316"/>
      <c r="AF2427" s="316"/>
      <c r="AG2427" s="404"/>
      <c r="AH2427" s="316"/>
      <c r="AI2427" s="316"/>
      <c r="AJ2427" s="316"/>
      <c r="AK2427" s="316"/>
      <c r="AL2427" s="316"/>
      <c r="AM2427" s="416"/>
      <c r="AR2427" s="333"/>
      <c r="AS2427" s="333"/>
      <c r="AT2427" s="333"/>
      <c r="AU2427" s="333"/>
      <c r="AV2427" s="333"/>
    </row>
    <row r="2428" spans="2:48" s="330" customFormat="1" ht="28.15" customHeight="1" x14ac:dyDescent="0.25">
      <c r="B2428" s="331"/>
      <c r="C2428" s="332"/>
      <c r="D2428" s="332"/>
      <c r="E2428" s="333"/>
      <c r="F2428" s="333"/>
      <c r="R2428" s="316"/>
      <c r="S2428" s="404"/>
      <c r="T2428" s="404"/>
      <c r="U2428" s="404"/>
      <c r="V2428" s="404"/>
      <c r="W2428" s="316"/>
      <c r="X2428" s="316"/>
      <c r="Y2428" s="316"/>
      <c r="Z2428" s="316"/>
      <c r="AA2428" s="404"/>
      <c r="AB2428" s="404"/>
      <c r="AC2428" s="404"/>
      <c r="AD2428" s="404"/>
      <c r="AE2428" s="316"/>
      <c r="AF2428" s="316"/>
      <c r="AG2428" s="404"/>
      <c r="AH2428" s="316"/>
      <c r="AI2428" s="316"/>
      <c r="AJ2428" s="316"/>
      <c r="AK2428" s="316"/>
      <c r="AL2428" s="316"/>
      <c r="AM2428" s="416"/>
      <c r="AR2428" s="333"/>
      <c r="AS2428" s="333"/>
      <c r="AT2428" s="333"/>
      <c r="AU2428" s="333"/>
      <c r="AV2428" s="333"/>
    </row>
    <row r="2429" spans="2:48" s="330" customFormat="1" ht="28.15" customHeight="1" x14ac:dyDescent="0.25">
      <c r="B2429" s="331"/>
      <c r="C2429" s="332"/>
      <c r="D2429" s="332"/>
      <c r="E2429" s="333"/>
      <c r="F2429" s="333"/>
      <c r="R2429" s="316"/>
      <c r="S2429" s="404"/>
      <c r="T2429" s="404"/>
      <c r="U2429" s="404"/>
      <c r="V2429" s="404"/>
      <c r="W2429" s="316"/>
      <c r="X2429" s="316"/>
      <c r="Y2429" s="316"/>
      <c r="Z2429" s="316"/>
      <c r="AA2429" s="404"/>
      <c r="AB2429" s="404"/>
      <c r="AC2429" s="404"/>
      <c r="AD2429" s="404"/>
      <c r="AE2429" s="316"/>
      <c r="AF2429" s="316"/>
      <c r="AG2429" s="404"/>
      <c r="AH2429" s="316"/>
      <c r="AI2429" s="316"/>
      <c r="AJ2429" s="316"/>
      <c r="AK2429" s="316"/>
      <c r="AL2429" s="316"/>
      <c r="AM2429" s="416"/>
      <c r="AR2429" s="333"/>
      <c r="AS2429" s="333"/>
      <c r="AT2429" s="333"/>
      <c r="AU2429" s="333"/>
      <c r="AV2429" s="333"/>
    </row>
    <row r="2430" spans="2:48" s="330" customFormat="1" ht="28.15" customHeight="1" x14ac:dyDescent="0.25">
      <c r="B2430" s="331"/>
      <c r="C2430" s="332"/>
      <c r="D2430" s="332"/>
      <c r="E2430" s="333"/>
      <c r="F2430" s="333"/>
      <c r="R2430" s="316"/>
      <c r="S2430" s="404"/>
      <c r="T2430" s="404"/>
      <c r="U2430" s="404"/>
      <c r="V2430" s="404"/>
      <c r="W2430" s="316"/>
      <c r="X2430" s="316"/>
      <c r="Y2430" s="316"/>
      <c r="Z2430" s="316"/>
      <c r="AA2430" s="404"/>
      <c r="AB2430" s="404"/>
      <c r="AC2430" s="404"/>
      <c r="AD2430" s="404"/>
      <c r="AE2430" s="316"/>
      <c r="AF2430" s="316"/>
      <c r="AG2430" s="404"/>
      <c r="AH2430" s="316"/>
      <c r="AI2430" s="316"/>
      <c r="AJ2430" s="316"/>
      <c r="AK2430" s="316"/>
      <c r="AL2430" s="316"/>
      <c r="AM2430" s="416"/>
      <c r="AR2430" s="333"/>
      <c r="AS2430" s="333"/>
      <c r="AT2430" s="333"/>
      <c r="AU2430" s="333"/>
      <c r="AV2430" s="333"/>
    </row>
    <row r="2431" spans="2:48" s="330" customFormat="1" ht="28.15" customHeight="1" x14ac:dyDescent="0.25">
      <c r="B2431" s="331"/>
      <c r="C2431" s="332"/>
      <c r="D2431" s="332"/>
      <c r="E2431" s="333"/>
      <c r="F2431" s="333"/>
      <c r="R2431" s="316"/>
      <c r="S2431" s="404"/>
      <c r="T2431" s="404"/>
      <c r="U2431" s="404"/>
      <c r="V2431" s="404"/>
      <c r="W2431" s="316"/>
      <c r="X2431" s="316"/>
      <c r="Y2431" s="316"/>
      <c r="Z2431" s="316"/>
      <c r="AA2431" s="404"/>
      <c r="AB2431" s="404"/>
      <c r="AC2431" s="404"/>
      <c r="AD2431" s="404"/>
      <c r="AE2431" s="316"/>
      <c r="AF2431" s="316"/>
      <c r="AG2431" s="404"/>
      <c r="AH2431" s="316"/>
      <c r="AI2431" s="316"/>
      <c r="AJ2431" s="316"/>
      <c r="AK2431" s="316"/>
      <c r="AL2431" s="316"/>
      <c r="AM2431" s="416"/>
      <c r="AR2431" s="333"/>
      <c r="AS2431" s="333"/>
      <c r="AT2431" s="333"/>
      <c r="AU2431" s="333"/>
      <c r="AV2431" s="333"/>
    </row>
    <row r="2432" spans="2:48" s="330" customFormat="1" ht="28.15" customHeight="1" x14ac:dyDescent="0.25">
      <c r="B2432" s="331"/>
      <c r="C2432" s="332"/>
      <c r="D2432" s="332"/>
      <c r="E2432" s="333"/>
      <c r="F2432" s="333"/>
      <c r="R2432" s="316"/>
      <c r="S2432" s="404"/>
      <c r="T2432" s="404"/>
      <c r="U2432" s="404"/>
      <c r="V2432" s="404"/>
      <c r="W2432" s="316"/>
      <c r="X2432" s="316"/>
      <c r="Y2432" s="316"/>
      <c r="Z2432" s="316"/>
      <c r="AA2432" s="404"/>
      <c r="AB2432" s="404"/>
      <c r="AC2432" s="404"/>
      <c r="AD2432" s="404"/>
      <c r="AE2432" s="316"/>
      <c r="AF2432" s="316"/>
      <c r="AG2432" s="404"/>
      <c r="AH2432" s="316"/>
      <c r="AI2432" s="316"/>
      <c r="AJ2432" s="316"/>
      <c r="AK2432" s="316"/>
      <c r="AL2432" s="316"/>
      <c r="AM2432" s="416"/>
      <c r="AR2432" s="333"/>
      <c r="AS2432" s="333"/>
      <c r="AT2432" s="333"/>
      <c r="AU2432" s="333"/>
      <c r="AV2432" s="333"/>
    </row>
    <row r="2433" spans="2:48" s="330" customFormat="1" ht="28.15" customHeight="1" x14ac:dyDescent="0.25">
      <c r="B2433" s="331"/>
      <c r="C2433" s="332"/>
      <c r="D2433" s="332"/>
      <c r="E2433" s="333"/>
      <c r="F2433" s="333"/>
      <c r="R2433" s="316"/>
      <c r="S2433" s="404"/>
      <c r="T2433" s="404"/>
      <c r="U2433" s="404"/>
      <c r="V2433" s="404"/>
      <c r="W2433" s="316"/>
      <c r="X2433" s="316"/>
      <c r="Y2433" s="316"/>
      <c r="Z2433" s="316"/>
      <c r="AA2433" s="404"/>
      <c r="AB2433" s="404"/>
      <c r="AC2433" s="404"/>
      <c r="AD2433" s="404"/>
      <c r="AE2433" s="316"/>
      <c r="AF2433" s="316"/>
      <c r="AG2433" s="404"/>
      <c r="AH2433" s="316"/>
      <c r="AI2433" s="316"/>
      <c r="AJ2433" s="316"/>
      <c r="AK2433" s="316"/>
      <c r="AL2433" s="316"/>
      <c r="AM2433" s="416"/>
      <c r="AR2433" s="333"/>
      <c r="AS2433" s="333"/>
      <c r="AT2433" s="333"/>
      <c r="AU2433" s="333"/>
      <c r="AV2433" s="333"/>
    </row>
    <row r="2434" spans="2:48" s="330" customFormat="1" ht="28.15" customHeight="1" x14ac:dyDescent="0.25">
      <c r="B2434" s="331"/>
      <c r="C2434" s="332"/>
      <c r="D2434" s="332"/>
      <c r="E2434" s="333"/>
      <c r="F2434" s="333"/>
      <c r="R2434" s="316"/>
      <c r="S2434" s="404"/>
      <c r="T2434" s="404"/>
      <c r="U2434" s="404"/>
      <c r="V2434" s="404"/>
      <c r="W2434" s="316"/>
      <c r="X2434" s="316"/>
      <c r="Y2434" s="316"/>
      <c r="Z2434" s="316"/>
      <c r="AA2434" s="404"/>
      <c r="AB2434" s="404"/>
      <c r="AC2434" s="404"/>
      <c r="AD2434" s="404"/>
      <c r="AE2434" s="316"/>
      <c r="AF2434" s="316"/>
      <c r="AG2434" s="404"/>
      <c r="AH2434" s="316"/>
      <c r="AI2434" s="316"/>
      <c r="AJ2434" s="316"/>
      <c r="AK2434" s="316"/>
      <c r="AL2434" s="316"/>
      <c r="AM2434" s="416"/>
      <c r="AR2434" s="333"/>
      <c r="AS2434" s="333"/>
      <c r="AT2434" s="333"/>
      <c r="AU2434" s="333"/>
      <c r="AV2434" s="333"/>
    </row>
    <row r="2435" spans="2:48" s="330" customFormat="1" ht="28.15" customHeight="1" x14ac:dyDescent="0.25">
      <c r="B2435" s="331"/>
      <c r="C2435" s="332"/>
      <c r="D2435" s="332"/>
      <c r="E2435" s="333"/>
      <c r="F2435" s="333"/>
      <c r="R2435" s="316"/>
      <c r="S2435" s="404"/>
      <c r="T2435" s="404"/>
      <c r="U2435" s="404"/>
      <c r="V2435" s="404"/>
      <c r="W2435" s="316"/>
      <c r="X2435" s="316"/>
      <c r="Y2435" s="316"/>
      <c r="Z2435" s="316"/>
      <c r="AA2435" s="404"/>
      <c r="AB2435" s="404"/>
      <c r="AC2435" s="404"/>
      <c r="AD2435" s="404"/>
      <c r="AE2435" s="316"/>
      <c r="AF2435" s="316"/>
      <c r="AG2435" s="404"/>
      <c r="AH2435" s="316"/>
      <c r="AI2435" s="316"/>
      <c r="AJ2435" s="316"/>
      <c r="AK2435" s="316"/>
      <c r="AL2435" s="316"/>
      <c r="AM2435" s="416"/>
      <c r="AR2435" s="333"/>
      <c r="AS2435" s="333"/>
      <c r="AT2435" s="333"/>
      <c r="AU2435" s="333"/>
      <c r="AV2435" s="333"/>
    </row>
    <row r="2436" spans="2:48" s="330" customFormat="1" ht="28.15" customHeight="1" x14ac:dyDescent="0.25">
      <c r="B2436" s="331"/>
      <c r="C2436" s="332"/>
      <c r="D2436" s="332"/>
      <c r="E2436" s="333"/>
      <c r="F2436" s="333"/>
      <c r="R2436" s="316"/>
      <c r="S2436" s="404"/>
      <c r="T2436" s="404"/>
      <c r="U2436" s="404"/>
      <c r="V2436" s="404"/>
      <c r="W2436" s="316"/>
      <c r="X2436" s="316"/>
      <c r="Y2436" s="316"/>
      <c r="Z2436" s="316"/>
      <c r="AA2436" s="404"/>
      <c r="AB2436" s="404"/>
      <c r="AC2436" s="404"/>
      <c r="AD2436" s="404"/>
      <c r="AE2436" s="316"/>
      <c r="AF2436" s="316"/>
      <c r="AG2436" s="404"/>
      <c r="AH2436" s="316"/>
      <c r="AI2436" s="316"/>
      <c r="AJ2436" s="316"/>
      <c r="AK2436" s="316"/>
      <c r="AL2436" s="316"/>
      <c r="AM2436" s="416"/>
      <c r="AR2436" s="333"/>
      <c r="AS2436" s="333"/>
      <c r="AT2436" s="333"/>
      <c r="AU2436" s="333"/>
      <c r="AV2436" s="333"/>
    </row>
    <row r="2437" spans="2:48" s="330" customFormat="1" ht="28.15" customHeight="1" x14ac:dyDescent="0.25">
      <c r="B2437" s="331"/>
      <c r="C2437" s="332"/>
      <c r="D2437" s="332"/>
      <c r="E2437" s="333"/>
      <c r="F2437" s="333"/>
      <c r="R2437" s="316"/>
      <c r="S2437" s="404"/>
      <c r="T2437" s="404"/>
      <c r="U2437" s="404"/>
      <c r="V2437" s="404"/>
      <c r="W2437" s="316"/>
      <c r="X2437" s="316"/>
      <c r="Y2437" s="316"/>
      <c r="Z2437" s="316"/>
      <c r="AA2437" s="404"/>
      <c r="AB2437" s="404"/>
      <c r="AC2437" s="404"/>
      <c r="AD2437" s="404"/>
      <c r="AE2437" s="316"/>
      <c r="AF2437" s="316"/>
      <c r="AG2437" s="404"/>
      <c r="AH2437" s="316"/>
      <c r="AI2437" s="316"/>
      <c r="AJ2437" s="316"/>
      <c r="AK2437" s="316"/>
      <c r="AL2437" s="316"/>
      <c r="AM2437" s="416"/>
      <c r="AR2437" s="333"/>
      <c r="AS2437" s="333"/>
      <c r="AT2437" s="333"/>
      <c r="AU2437" s="333"/>
      <c r="AV2437" s="333"/>
    </row>
    <row r="2438" spans="2:48" s="330" customFormat="1" ht="28.15" customHeight="1" x14ac:dyDescent="0.25">
      <c r="B2438" s="331"/>
      <c r="C2438" s="332"/>
      <c r="D2438" s="332"/>
      <c r="E2438" s="333"/>
      <c r="F2438" s="333"/>
      <c r="R2438" s="316"/>
      <c r="S2438" s="404"/>
      <c r="T2438" s="404"/>
      <c r="U2438" s="404"/>
      <c r="V2438" s="404"/>
      <c r="W2438" s="316"/>
      <c r="X2438" s="316"/>
      <c r="Y2438" s="316"/>
      <c r="Z2438" s="316"/>
      <c r="AA2438" s="404"/>
      <c r="AB2438" s="404"/>
      <c r="AC2438" s="404"/>
      <c r="AD2438" s="404"/>
      <c r="AE2438" s="316"/>
      <c r="AF2438" s="316"/>
      <c r="AG2438" s="404"/>
      <c r="AH2438" s="316"/>
      <c r="AI2438" s="316"/>
      <c r="AJ2438" s="316"/>
      <c r="AK2438" s="316"/>
      <c r="AL2438" s="316"/>
      <c r="AM2438" s="416"/>
      <c r="AR2438" s="333"/>
      <c r="AS2438" s="333"/>
      <c r="AT2438" s="333"/>
      <c r="AU2438" s="333"/>
      <c r="AV2438" s="333"/>
    </row>
    <row r="2439" spans="2:48" s="330" customFormat="1" ht="28.15" customHeight="1" x14ac:dyDescent="0.25">
      <c r="B2439" s="331"/>
      <c r="C2439" s="332"/>
      <c r="D2439" s="332"/>
      <c r="E2439" s="333"/>
      <c r="F2439" s="333"/>
      <c r="R2439" s="316"/>
      <c r="S2439" s="404"/>
      <c r="T2439" s="404"/>
      <c r="U2439" s="404"/>
      <c r="V2439" s="404"/>
      <c r="W2439" s="316"/>
      <c r="X2439" s="316"/>
      <c r="Y2439" s="316"/>
      <c r="Z2439" s="316"/>
      <c r="AA2439" s="404"/>
      <c r="AB2439" s="404"/>
      <c r="AC2439" s="404"/>
      <c r="AD2439" s="404"/>
      <c r="AE2439" s="316"/>
      <c r="AF2439" s="316"/>
      <c r="AG2439" s="404"/>
      <c r="AH2439" s="316"/>
      <c r="AI2439" s="316"/>
      <c r="AJ2439" s="316"/>
      <c r="AK2439" s="316"/>
      <c r="AL2439" s="316"/>
      <c r="AM2439" s="416"/>
      <c r="AR2439" s="333"/>
      <c r="AS2439" s="333"/>
      <c r="AT2439" s="333"/>
      <c r="AU2439" s="333"/>
      <c r="AV2439" s="333"/>
    </row>
    <row r="2440" spans="2:48" s="330" customFormat="1" ht="28.15" customHeight="1" x14ac:dyDescent="0.25">
      <c r="B2440" s="331"/>
      <c r="C2440" s="332"/>
      <c r="D2440" s="332"/>
      <c r="E2440" s="333"/>
      <c r="F2440" s="333"/>
      <c r="R2440" s="316"/>
      <c r="S2440" s="404"/>
      <c r="T2440" s="404"/>
      <c r="U2440" s="404"/>
      <c r="V2440" s="404"/>
      <c r="W2440" s="316"/>
      <c r="X2440" s="316"/>
      <c r="Y2440" s="316"/>
      <c r="Z2440" s="316"/>
      <c r="AA2440" s="404"/>
      <c r="AB2440" s="404"/>
      <c r="AC2440" s="404"/>
      <c r="AD2440" s="404"/>
      <c r="AE2440" s="316"/>
      <c r="AF2440" s="316"/>
      <c r="AG2440" s="404"/>
      <c r="AH2440" s="316"/>
      <c r="AI2440" s="316"/>
      <c r="AJ2440" s="316"/>
      <c r="AK2440" s="316"/>
      <c r="AL2440" s="316"/>
      <c r="AM2440" s="416"/>
      <c r="AR2440" s="333"/>
      <c r="AS2440" s="333"/>
      <c r="AT2440" s="333"/>
      <c r="AU2440" s="333"/>
      <c r="AV2440" s="333"/>
    </row>
    <row r="2441" spans="2:48" s="330" customFormat="1" ht="28.15" customHeight="1" x14ac:dyDescent="0.25">
      <c r="B2441" s="331"/>
      <c r="C2441" s="332"/>
      <c r="D2441" s="332"/>
      <c r="E2441" s="333"/>
      <c r="F2441" s="333"/>
      <c r="R2441" s="316"/>
      <c r="S2441" s="404"/>
      <c r="T2441" s="404"/>
      <c r="U2441" s="404"/>
      <c r="V2441" s="404"/>
      <c r="W2441" s="316"/>
      <c r="X2441" s="316"/>
      <c r="Y2441" s="316"/>
      <c r="Z2441" s="316"/>
      <c r="AA2441" s="404"/>
      <c r="AB2441" s="404"/>
      <c r="AC2441" s="404"/>
      <c r="AD2441" s="404"/>
      <c r="AE2441" s="316"/>
      <c r="AF2441" s="316"/>
      <c r="AG2441" s="404"/>
      <c r="AH2441" s="316"/>
      <c r="AI2441" s="316"/>
      <c r="AJ2441" s="316"/>
      <c r="AK2441" s="316"/>
      <c r="AL2441" s="316"/>
      <c r="AM2441" s="416"/>
      <c r="AR2441" s="333"/>
      <c r="AS2441" s="333"/>
      <c r="AT2441" s="333"/>
      <c r="AU2441" s="333"/>
      <c r="AV2441" s="333"/>
    </row>
    <row r="2442" spans="2:48" s="330" customFormat="1" ht="28.15" customHeight="1" x14ac:dyDescent="0.25">
      <c r="B2442" s="331"/>
      <c r="C2442" s="332"/>
      <c r="D2442" s="332"/>
      <c r="E2442" s="333"/>
      <c r="F2442" s="333"/>
      <c r="R2442" s="316"/>
      <c r="S2442" s="404"/>
      <c r="T2442" s="404"/>
      <c r="U2442" s="404"/>
      <c r="V2442" s="404"/>
      <c r="W2442" s="316"/>
      <c r="X2442" s="316"/>
      <c r="Y2442" s="316"/>
      <c r="Z2442" s="316"/>
      <c r="AA2442" s="404"/>
      <c r="AB2442" s="404"/>
      <c r="AC2442" s="404"/>
      <c r="AD2442" s="404"/>
      <c r="AE2442" s="316"/>
      <c r="AF2442" s="316"/>
      <c r="AG2442" s="404"/>
      <c r="AH2442" s="316"/>
      <c r="AI2442" s="316"/>
      <c r="AJ2442" s="316"/>
      <c r="AK2442" s="316"/>
      <c r="AL2442" s="316"/>
      <c r="AM2442" s="416"/>
      <c r="AR2442" s="333"/>
      <c r="AS2442" s="333"/>
      <c r="AT2442" s="333"/>
      <c r="AU2442" s="333"/>
      <c r="AV2442" s="333"/>
    </row>
    <row r="2443" spans="2:48" s="330" customFormat="1" ht="28.15" customHeight="1" x14ac:dyDescent="0.25">
      <c r="B2443" s="331"/>
      <c r="C2443" s="332"/>
      <c r="D2443" s="332"/>
      <c r="E2443" s="333"/>
      <c r="F2443" s="333"/>
      <c r="R2443" s="316"/>
      <c r="S2443" s="404"/>
      <c r="T2443" s="404"/>
      <c r="U2443" s="404"/>
      <c r="V2443" s="404"/>
      <c r="W2443" s="316"/>
      <c r="X2443" s="316"/>
      <c r="Y2443" s="316"/>
      <c r="Z2443" s="316"/>
      <c r="AA2443" s="404"/>
      <c r="AB2443" s="404"/>
      <c r="AC2443" s="404"/>
      <c r="AD2443" s="404"/>
      <c r="AE2443" s="316"/>
      <c r="AF2443" s="316"/>
      <c r="AG2443" s="404"/>
      <c r="AH2443" s="316"/>
      <c r="AI2443" s="316"/>
      <c r="AJ2443" s="316"/>
      <c r="AK2443" s="316"/>
      <c r="AL2443" s="316"/>
      <c r="AM2443" s="416"/>
      <c r="AR2443" s="333"/>
      <c r="AS2443" s="333"/>
      <c r="AT2443" s="333"/>
      <c r="AU2443" s="333"/>
      <c r="AV2443" s="333"/>
    </row>
    <row r="2444" spans="2:48" s="330" customFormat="1" ht="28.15" customHeight="1" x14ac:dyDescent="0.25">
      <c r="B2444" s="331"/>
      <c r="C2444" s="332"/>
      <c r="D2444" s="332"/>
      <c r="E2444" s="333"/>
      <c r="F2444" s="333"/>
      <c r="R2444" s="316"/>
      <c r="S2444" s="404"/>
      <c r="T2444" s="404"/>
      <c r="U2444" s="404"/>
      <c r="V2444" s="404"/>
      <c r="W2444" s="316"/>
      <c r="X2444" s="316"/>
      <c r="Y2444" s="316"/>
      <c r="Z2444" s="316"/>
      <c r="AA2444" s="404"/>
      <c r="AB2444" s="404"/>
      <c r="AC2444" s="404"/>
      <c r="AD2444" s="404"/>
      <c r="AE2444" s="316"/>
      <c r="AF2444" s="316"/>
      <c r="AG2444" s="404"/>
      <c r="AH2444" s="316"/>
      <c r="AI2444" s="316"/>
      <c r="AJ2444" s="316"/>
      <c r="AK2444" s="316"/>
      <c r="AL2444" s="316"/>
      <c r="AM2444" s="416"/>
      <c r="AR2444" s="333"/>
      <c r="AS2444" s="333"/>
      <c r="AT2444" s="333"/>
      <c r="AU2444" s="333"/>
      <c r="AV2444" s="333"/>
    </row>
    <row r="2445" spans="2:48" s="330" customFormat="1" ht="28.15" customHeight="1" x14ac:dyDescent="0.25">
      <c r="B2445" s="331"/>
      <c r="C2445" s="332"/>
      <c r="D2445" s="332"/>
      <c r="E2445" s="333"/>
      <c r="F2445" s="333"/>
      <c r="R2445" s="316"/>
      <c r="S2445" s="404"/>
      <c r="T2445" s="404"/>
      <c r="U2445" s="404"/>
      <c r="V2445" s="404"/>
      <c r="W2445" s="316"/>
      <c r="X2445" s="316"/>
      <c r="Y2445" s="316"/>
      <c r="Z2445" s="316"/>
      <c r="AA2445" s="404"/>
      <c r="AB2445" s="404"/>
      <c r="AC2445" s="404"/>
      <c r="AD2445" s="404"/>
      <c r="AE2445" s="316"/>
      <c r="AF2445" s="316"/>
      <c r="AG2445" s="404"/>
      <c r="AH2445" s="316"/>
      <c r="AI2445" s="316"/>
      <c r="AJ2445" s="316"/>
      <c r="AK2445" s="316"/>
      <c r="AL2445" s="316"/>
      <c r="AM2445" s="416"/>
      <c r="AR2445" s="333"/>
      <c r="AS2445" s="333"/>
      <c r="AT2445" s="333"/>
      <c r="AU2445" s="333"/>
      <c r="AV2445" s="333"/>
    </row>
    <row r="2446" spans="2:48" s="330" customFormat="1" ht="28.15" customHeight="1" x14ac:dyDescent="0.25">
      <c r="B2446" s="331"/>
      <c r="C2446" s="332"/>
      <c r="D2446" s="332"/>
      <c r="E2446" s="333"/>
      <c r="F2446" s="333"/>
      <c r="R2446" s="316"/>
      <c r="S2446" s="404"/>
      <c r="T2446" s="404"/>
      <c r="U2446" s="404"/>
      <c r="V2446" s="404"/>
      <c r="W2446" s="316"/>
      <c r="X2446" s="316"/>
      <c r="Y2446" s="316"/>
      <c r="Z2446" s="316"/>
      <c r="AA2446" s="404"/>
      <c r="AB2446" s="404"/>
      <c r="AC2446" s="404"/>
      <c r="AD2446" s="404"/>
      <c r="AE2446" s="316"/>
      <c r="AF2446" s="316"/>
      <c r="AG2446" s="404"/>
      <c r="AH2446" s="316"/>
      <c r="AI2446" s="316"/>
      <c r="AJ2446" s="316"/>
      <c r="AK2446" s="316"/>
      <c r="AL2446" s="316"/>
      <c r="AM2446" s="416"/>
      <c r="AR2446" s="333"/>
      <c r="AS2446" s="333"/>
      <c r="AT2446" s="333"/>
      <c r="AU2446" s="333"/>
      <c r="AV2446" s="333"/>
    </row>
    <row r="2447" spans="2:48" s="330" customFormat="1" ht="28.15" customHeight="1" x14ac:dyDescent="0.25">
      <c r="B2447" s="331"/>
      <c r="C2447" s="332"/>
      <c r="D2447" s="332"/>
      <c r="E2447" s="333"/>
      <c r="F2447" s="333"/>
      <c r="R2447" s="316"/>
      <c r="S2447" s="404"/>
      <c r="T2447" s="404"/>
      <c r="U2447" s="404"/>
      <c r="V2447" s="404"/>
      <c r="W2447" s="316"/>
      <c r="X2447" s="316"/>
      <c r="Y2447" s="316"/>
      <c r="Z2447" s="316"/>
      <c r="AA2447" s="404"/>
      <c r="AB2447" s="404"/>
      <c r="AC2447" s="404"/>
      <c r="AD2447" s="404"/>
      <c r="AE2447" s="316"/>
      <c r="AF2447" s="316"/>
      <c r="AG2447" s="404"/>
      <c r="AH2447" s="316"/>
      <c r="AI2447" s="316"/>
      <c r="AJ2447" s="316"/>
      <c r="AK2447" s="316"/>
      <c r="AL2447" s="316"/>
      <c r="AM2447" s="416"/>
      <c r="AR2447" s="333"/>
      <c r="AS2447" s="333"/>
      <c r="AT2447" s="333"/>
      <c r="AU2447" s="333"/>
      <c r="AV2447" s="333"/>
    </row>
    <row r="2448" spans="2:48" s="330" customFormat="1" ht="28.15" customHeight="1" x14ac:dyDescent="0.25">
      <c r="B2448" s="331"/>
      <c r="C2448" s="332"/>
      <c r="D2448" s="332"/>
      <c r="E2448" s="333"/>
      <c r="F2448" s="333"/>
      <c r="R2448" s="316"/>
      <c r="S2448" s="404"/>
      <c r="T2448" s="404"/>
      <c r="U2448" s="404"/>
      <c r="V2448" s="404"/>
      <c r="W2448" s="316"/>
      <c r="X2448" s="316"/>
      <c r="Y2448" s="316"/>
      <c r="Z2448" s="316"/>
      <c r="AA2448" s="404"/>
      <c r="AB2448" s="404"/>
      <c r="AC2448" s="404"/>
      <c r="AD2448" s="404"/>
      <c r="AE2448" s="316"/>
      <c r="AF2448" s="316"/>
      <c r="AG2448" s="404"/>
      <c r="AH2448" s="316"/>
      <c r="AI2448" s="316"/>
      <c r="AJ2448" s="316"/>
      <c r="AK2448" s="316"/>
      <c r="AL2448" s="316"/>
      <c r="AM2448" s="416"/>
      <c r="AR2448" s="333"/>
      <c r="AS2448" s="333"/>
      <c r="AT2448" s="333"/>
      <c r="AU2448" s="333"/>
      <c r="AV2448" s="333"/>
    </row>
    <row r="2449" spans="2:48" s="330" customFormat="1" ht="28.15" customHeight="1" x14ac:dyDescent="0.25">
      <c r="B2449" s="331"/>
      <c r="C2449" s="332"/>
      <c r="D2449" s="332"/>
      <c r="E2449" s="333"/>
      <c r="F2449" s="333"/>
      <c r="R2449" s="316"/>
      <c r="S2449" s="404"/>
      <c r="T2449" s="404"/>
      <c r="U2449" s="404"/>
      <c r="V2449" s="404"/>
      <c r="W2449" s="316"/>
      <c r="X2449" s="316"/>
      <c r="Y2449" s="316"/>
      <c r="Z2449" s="316"/>
      <c r="AA2449" s="404"/>
      <c r="AB2449" s="404"/>
      <c r="AC2449" s="404"/>
      <c r="AD2449" s="404"/>
      <c r="AE2449" s="316"/>
      <c r="AF2449" s="316"/>
      <c r="AG2449" s="404"/>
      <c r="AH2449" s="316"/>
      <c r="AI2449" s="316"/>
      <c r="AJ2449" s="316"/>
      <c r="AK2449" s="316"/>
      <c r="AL2449" s="316"/>
      <c r="AM2449" s="416"/>
      <c r="AR2449" s="333"/>
      <c r="AS2449" s="333"/>
      <c r="AT2449" s="333"/>
      <c r="AU2449" s="333"/>
      <c r="AV2449" s="333"/>
    </row>
    <row r="2450" spans="2:48" s="330" customFormat="1" ht="28.15" customHeight="1" x14ac:dyDescent="0.25">
      <c r="B2450" s="331"/>
      <c r="C2450" s="332"/>
      <c r="D2450" s="332"/>
      <c r="E2450" s="333"/>
      <c r="F2450" s="333"/>
      <c r="R2450" s="316"/>
      <c r="S2450" s="404"/>
      <c r="T2450" s="404"/>
      <c r="U2450" s="404"/>
      <c r="V2450" s="404"/>
      <c r="W2450" s="316"/>
      <c r="X2450" s="316"/>
      <c r="Y2450" s="316"/>
      <c r="Z2450" s="316"/>
      <c r="AA2450" s="404"/>
      <c r="AB2450" s="404"/>
      <c r="AC2450" s="404"/>
      <c r="AD2450" s="404"/>
      <c r="AE2450" s="316"/>
      <c r="AF2450" s="316"/>
      <c r="AG2450" s="404"/>
      <c r="AH2450" s="316"/>
      <c r="AI2450" s="316"/>
      <c r="AJ2450" s="316"/>
      <c r="AK2450" s="316"/>
      <c r="AL2450" s="316"/>
      <c r="AM2450" s="416"/>
      <c r="AR2450" s="333"/>
      <c r="AS2450" s="333"/>
      <c r="AT2450" s="333"/>
      <c r="AU2450" s="333"/>
      <c r="AV2450" s="333"/>
    </row>
    <row r="2451" spans="2:48" s="330" customFormat="1" ht="28.15" customHeight="1" x14ac:dyDescent="0.25">
      <c r="B2451" s="331"/>
      <c r="C2451" s="332"/>
      <c r="D2451" s="332"/>
      <c r="E2451" s="333"/>
      <c r="F2451" s="333"/>
      <c r="R2451" s="316"/>
      <c r="S2451" s="404"/>
      <c r="T2451" s="404"/>
      <c r="U2451" s="404"/>
      <c r="V2451" s="404"/>
      <c r="W2451" s="316"/>
      <c r="X2451" s="316"/>
      <c r="Y2451" s="316"/>
      <c r="Z2451" s="316"/>
      <c r="AA2451" s="404"/>
      <c r="AB2451" s="404"/>
      <c r="AC2451" s="404"/>
      <c r="AD2451" s="404"/>
      <c r="AE2451" s="316"/>
      <c r="AF2451" s="316"/>
      <c r="AG2451" s="404"/>
      <c r="AH2451" s="316"/>
      <c r="AI2451" s="316"/>
      <c r="AJ2451" s="316"/>
      <c r="AK2451" s="316"/>
      <c r="AL2451" s="316"/>
      <c r="AM2451" s="416"/>
      <c r="AR2451" s="333"/>
      <c r="AS2451" s="333"/>
      <c r="AT2451" s="333"/>
      <c r="AU2451" s="333"/>
      <c r="AV2451" s="333"/>
    </row>
    <row r="2452" spans="2:48" s="330" customFormat="1" ht="28.15" customHeight="1" x14ac:dyDescent="0.25">
      <c r="B2452" s="331"/>
      <c r="C2452" s="332"/>
      <c r="D2452" s="332"/>
      <c r="E2452" s="333"/>
      <c r="F2452" s="333"/>
      <c r="R2452" s="316"/>
      <c r="S2452" s="404"/>
      <c r="T2452" s="404"/>
      <c r="U2452" s="404"/>
      <c r="V2452" s="404"/>
      <c r="W2452" s="316"/>
      <c r="X2452" s="316"/>
      <c r="Y2452" s="316"/>
      <c r="Z2452" s="316"/>
      <c r="AA2452" s="404"/>
      <c r="AB2452" s="404"/>
      <c r="AC2452" s="404"/>
      <c r="AD2452" s="404"/>
      <c r="AE2452" s="316"/>
      <c r="AF2452" s="316"/>
      <c r="AG2452" s="404"/>
      <c r="AH2452" s="316"/>
      <c r="AI2452" s="316"/>
      <c r="AJ2452" s="316"/>
      <c r="AK2452" s="316"/>
      <c r="AL2452" s="316"/>
      <c r="AM2452" s="416"/>
      <c r="AR2452" s="333"/>
      <c r="AS2452" s="333"/>
      <c r="AT2452" s="333"/>
      <c r="AU2452" s="333"/>
      <c r="AV2452" s="333"/>
    </row>
    <row r="2453" spans="2:48" s="330" customFormat="1" ht="28.15" customHeight="1" x14ac:dyDescent="0.25">
      <c r="B2453" s="331"/>
      <c r="C2453" s="332"/>
      <c r="D2453" s="332"/>
      <c r="E2453" s="333"/>
      <c r="F2453" s="333"/>
      <c r="R2453" s="316"/>
      <c r="S2453" s="404"/>
      <c r="T2453" s="404"/>
      <c r="U2453" s="404"/>
      <c r="V2453" s="404"/>
      <c r="W2453" s="316"/>
      <c r="X2453" s="316"/>
      <c r="Y2453" s="316"/>
      <c r="Z2453" s="316"/>
      <c r="AA2453" s="404"/>
      <c r="AB2453" s="404"/>
      <c r="AC2453" s="404"/>
      <c r="AD2453" s="404"/>
      <c r="AE2453" s="316"/>
      <c r="AF2453" s="316"/>
      <c r="AG2453" s="404"/>
      <c r="AH2453" s="316"/>
      <c r="AI2453" s="316"/>
      <c r="AJ2453" s="316"/>
      <c r="AK2453" s="316"/>
      <c r="AL2453" s="316"/>
      <c r="AM2453" s="416"/>
      <c r="AR2453" s="333"/>
      <c r="AS2453" s="333"/>
      <c r="AT2453" s="333"/>
      <c r="AU2453" s="333"/>
      <c r="AV2453" s="333"/>
    </row>
    <row r="2454" spans="2:48" s="330" customFormat="1" ht="28.15" customHeight="1" x14ac:dyDescent="0.25">
      <c r="B2454" s="331"/>
      <c r="C2454" s="332"/>
      <c r="D2454" s="332"/>
      <c r="E2454" s="333"/>
      <c r="F2454" s="333"/>
      <c r="R2454" s="316"/>
      <c r="S2454" s="404"/>
      <c r="T2454" s="404"/>
      <c r="U2454" s="404"/>
      <c r="V2454" s="404"/>
      <c r="W2454" s="316"/>
      <c r="X2454" s="316"/>
      <c r="Y2454" s="316"/>
      <c r="Z2454" s="316"/>
      <c r="AA2454" s="404"/>
      <c r="AB2454" s="404"/>
      <c r="AC2454" s="404"/>
      <c r="AD2454" s="404"/>
      <c r="AE2454" s="316"/>
      <c r="AF2454" s="316"/>
      <c r="AG2454" s="404"/>
      <c r="AH2454" s="316"/>
      <c r="AI2454" s="316"/>
      <c r="AJ2454" s="316"/>
      <c r="AK2454" s="316"/>
      <c r="AL2454" s="316"/>
      <c r="AM2454" s="416"/>
      <c r="AR2454" s="333"/>
      <c r="AS2454" s="333"/>
      <c r="AT2454" s="333"/>
      <c r="AU2454" s="333"/>
      <c r="AV2454" s="333"/>
    </row>
    <row r="2455" spans="2:48" s="330" customFormat="1" ht="28.15" customHeight="1" x14ac:dyDescent="0.25">
      <c r="B2455" s="331"/>
      <c r="C2455" s="332"/>
      <c r="D2455" s="332"/>
      <c r="E2455" s="333"/>
      <c r="F2455" s="333"/>
      <c r="R2455" s="316"/>
      <c r="S2455" s="404"/>
      <c r="T2455" s="404"/>
      <c r="U2455" s="404"/>
      <c r="V2455" s="404"/>
      <c r="W2455" s="316"/>
      <c r="X2455" s="316"/>
      <c r="Y2455" s="316"/>
      <c r="Z2455" s="316"/>
      <c r="AA2455" s="404"/>
      <c r="AB2455" s="404"/>
      <c r="AC2455" s="404"/>
      <c r="AD2455" s="404"/>
      <c r="AE2455" s="316"/>
      <c r="AF2455" s="316"/>
      <c r="AG2455" s="404"/>
      <c r="AH2455" s="316"/>
      <c r="AI2455" s="316"/>
      <c r="AJ2455" s="316"/>
      <c r="AK2455" s="316"/>
      <c r="AL2455" s="316"/>
      <c r="AM2455" s="416"/>
      <c r="AR2455" s="333"/>
      <c r="AS2455" s="333"/>
      <c r="AT2455" s="333"/>
      <c r="AU2455" s="333"/>
      <c r="AV2455" s="333"/>
    </row>
    <row r="2456" spans="2:48" s="330" customFormat="1" ht="28.15" customHeight="1" x14ac:dyDescent="0.25">
      <c r="B2456" s="331"/>
      <c r="C2456" s="332"/>
      <c r="D2456" s="332"/>
      <c r="E2456" s="333"/>
      <c r="F2456" s="333"/>
      <c r="R2456" s="316"/>
      <c r="S2456" s="404"/>
      <c r="T2456" s="404"/>
      <c r="U2456" s="404"/>
      <c r="V2456" s="404"/>
      <c r="W2456" s="316"/>
      <c r="X2456" s="316"/>
      <c r="Y2456" s="316"/>
      <c r="Z2456" s="316"/>
      <c r="AA2456" s="404"/>
      <c r="AB2456" s="404"/>
      <c r="AC2456" s="404"/>
      <c r="AD2456" s="404"/>
      <c r="AE2456" s="316"/>
      <c r="AF2456" s="316"/>
      <c r="AG2456" s="404"/>
      <c r="AH2456" s="316"/>
      <c r="AI2456" s="316"/>
      <c r="AJ2456" s="316"/>
      <c r="AK2456" s="316"/>
      <c r="AL2456" s="316"/>
      <c r="AM2456" s="416"/>
      <c r="AR2456" s="333"/>
      <c r="AS2456" s="333"/>
      <c r="AT2456" s="333"/>
      <c r="AU2456" s="333"/>
      <c r="AV2456" s="333"/>
    </row>
    <row r="2457" spans="2:48" s="330" customFormat="1" ht="28.15" customHeight="1" x14ac:dyDescent="0.25">
      <c r="B2457" s="331"/>
      <c r="C2457" s="332"/>
      <c r="D2457" s="332"/>
      <c r="E2457" s="333"/>
      <c r="F2457" s="333"/>
      <c r="R2457" s="316"/>
      <c r="S2457" s="404"/>
      <c r="T2457" s="404"/>
      <c r="U2457" s="404"/>
      <c r="V2457" s="404"/>
      <c r="W2457" s="316"/>
      <c r="X2457" s="316"/>
      <c r="Y2457" s="316"/>
      <c r="Z2457" s="316"/>
      <c r="AA2457" s="404"/>
      <c r="AB2457" s="404"/>
      <c r="AC2457" s="404"/>
      <c r="AD2457" s="404"/>
      <c r="AE2457" s="316"/>
      <c r="AF2457" s="316"/>
      <c r="AG2457" s="404"/>
      <c r="AH2457" s="316"/>
      <c r="AI2457" s="316"/>
      <c r="AJ2457" s="316"/>
      <c r="AK2457" s="316"/>
      <c r="AL2457" s="316"/>
      <c r="AM2457" s="416"/>
      <c r="AR2457" s="333"/>
      <c r="AS2457" s="333"/>
      <c r="AT2457" s="333"/>
      <c r="AU2457" s="333"/>
      <c r="AV2457" s="333"/>
    </row>
    <row r="2458" spans="2:48" s="330" customFormat="1" ht="28.15" customHeight="1" x14ac:dyDescent="0.25">
      <c r="B2458" s="331"/>
      <c r="C2458" s="332"/>
      <c r="D2458" s="332"/>
      <c r="E2458" s="333"/>
      <c r="F2458" s="333"/>
      <c r="R2458" s="316"/>
      <c r="S2458" s="404"/>
      <c r="T2458" s="404"/>
      <c r="U2458" s="404"/>
      <c r="V2458" s="404"/>
      <c r="W2458" s="316"/>
      <c r="X2458" s="316"/>
      <c r="Y2458" s="316"/>
      <c r="Z2458" s="316"/>
      <c r="AA2458" s="404"/>
      <c r="AB2458" s="404"/>
      <c r="AC2458" s="404"/>
      <c r="AD2458" s="404"/>
      <c r="AE2458" s="316"/>
      <c r="AF2458" s="316"/>
      <c r="AG2458" s="404"/>
      <c r="AH2458" s="316"/>
      <c r="AI2458" s="316"/>
      <c r="AJ2458" s="316"/>
      <c r="AK2458" s="316"/>
      <c r="AL2458" s="316"/>
      <c r="AM2458" s="416"/>
      <c r="AR2458" s="333"/>
      <c r="AS2458" s="333"/>
      <c r="AT2458" s="333"/>
      <c r="AU2458" s="333"/>
      <c r="AV2458" s="333"/>
    </row>
    <row r="2459" spans="2:48" s="330" customFormat="1" ht="28.15" customHeight="1" x14ac:dyDescent="0.25">
      <c r="B2459" s="331"/>
      <c r="C2459" s="332"/>
      <c r="D2459" s="332"/>
      <c r="E2459" s="333"/>
      <c r="F2459" s="333"/>
      <c r="R2459" s="316"/>
      <c r="S2459" s="404"/>
      <c r="T2459" s="404"/>
      <c r="U2459" s="404"/>
      <c r="V2459" s="404"/>
      <c r="W2459" s="316"/>
      <c r="X2459" s="316"/>
      <c r="Y2459" s="316"/>
      <c r="Z2459" s="316"/>
      <c r="AA2459" s="404"/>
      <c r="AB2459" s="404"/>
      <c r="AC2459" s="404"/>
      <c r="AD2459" s="404"/>
      <c r="AE2459" s="316"/>
      <c r="AF2459" s="316"/>
      <c r="AG2459" s="404"/>
      <c r="AH2459" s="316"/>
      <c r="AI2459" s="316"/>
      <c r="AJ2459" s="316"/>
      <c r="AK2459" s="316"/>
      <c r="AL2459" s="316"/>
      <c r="AM2459" s="416"/>
      <c r="AR2459" s="333"/>
      <c r="AS2459" s="333"/>
      <c r="AT2459" s="333"/>
      <c r="AU2459" s="333"/>
      <c r="AV2459" s="333"/>
    </row>
    <row r="2460" spans="2:48" s="330" customFormat="1" ht="28.15" customHeight="1" x14ac:dyDescent="0.25">
      <c r="B2460" s="331"/>
      <c r="C2460" s="332"/>
      <c r="D2460" s="332"/>
      <c r="E2460" s="333"/>
      <c r="F2460" s="333"/>
      <c r="R2460" s="316"/>
      <c r="S2460" s="404"/>
      <c r="T2460" s="404"/>
      <c r="U2460" s="404"/>
      <c r="V2460" s="404"/>
      <c r="W2460" s="316"/>
      <c r="X2460" s="316"/>
      <c r="Y2460" s="316"/>
      <c r="Z2460" s="316"/>
      <c r="AA2460" s="404"/>
      <c r="AB2460" s="404"/>
      <c r="AC2460" s="404"/>
      <c r="AD2460" s="404"/>
      <c r="AE2460" s="316"/>
      <c r="AF2460" s="316"/>
      <c r="AG2460" s="404"/>
      <c r="AH2460" s="316"/>
      <c r="AI2460" s="316"/>
      <c r="AJ2460" s="316"/>
      <c r="AK2460" s="316"/>
      <c r="AL2460" s="316"/>
      <c r="AM2460" s="416"/>
      <c r="AR2460" s="333"/>
      <c r="AS2460" s="333"/>
      <c r="AT2460" s="333"/>
      <c r="AU2460" s="333"/>
      <c r="AV2460" s="333"/>
    </row>
    <row r="2461" spans="2:48" s="330" customFormat="1" ht="28.15" customHeight="1" x14ac:dyDescent="0.25">
      <c r="B2461" s="331"/>
      <c r="C2461" s="332"/>
      <c r="D2461" s="332"/>
      <c r="E2461" s="333"/>
      <c r="F2461" s="333"/>
      <c r="R2461" s="316"/>
      <c r="S2461" s="404"/>
      <c r="T2461" s="404"/>
      <c r="U2461" s="404"/>
      <c r="V2461" s="404"/>
      <c r="W2461" s="316"/>
      <c r="X2461" s="316"/>
      <c r="Y2461" s="316"/>
      <c r="Z2461" s="316"/>
      <c r="AA2461" s="404"/>
      <c r="AB2461" s="404"/>
      <c r="AC2461" s="404"/>
      <c r="AD2461" s="404"/>
      <c r="AE2461" s="316"/>
      <c r="AF2461" s="316"/>
      <c r="AG2461" s="404"/>
      <c r="AH2461" s="316"/>
      <c r="AI2461" s="316"/>
      <c r="AJ2461" s="316"/>
      <c r="AK2461" s="316"/>
      <c r="AL2461" s="316"/>
      <c r="AM2461" s="416"/>
      <c r="AR2461" s="333"/>
      <c r="AS2461" s="333"/>
      <c r="AT2461" s="333"/>
      <c r="AU2461" s="333"/>
      <c r="AV2461" s="333"/>
    </row>
    <row r="2462" spans="2:48" s="330" customFormat="1" ht="28.15" customHeight="1" x14ac:dyDescent="0.25">
      <c r="B2462" s="331"/>
      <c r="C2462" s="332"/>
      <c r="D2462" s="332"/>
      <c r="E2462" s="333"/>
      <c r="F2462" s="333"/>
      <c r="R2462" s="316"/>
      <c r="S2462" s="404"/>
      <c r="T2462" s="404"/>
      <c r="U2462" s="404"/>
      <c r="V2462" s="404"/>
      <c r="W2462" s="316"/>
      <c r="X2462" s="316"/>
      <c r="Y2462" s="316"/>
      <c r="Z2462" s="316"/>
      <c r="AA2462" s="404"/>
      <c r="AB2462" s="404"/>
      <c r="AC2462" s="404"/>
      <c r="AD2462" s="404"/>
      <c r="AE2462" s="316"/>
      <c r="AF2462" s="316"/>
      <c r="AG2462" s="404"/>
      <c r="AH2462" s="316"/>
      <c r="AI2462" s="316"/>
      <c r="AJ2462" s="316"/>
      <c r="AK2462" s="316"/>
      <c r="AL2462" s="316"/>
      <c r="AM2462" s="416"/>
      <c r="AR2462" s="333"/>
      <c r="AS2462" s="333"/>
      <c r="AT2462" s="333"/>
      <c r="AU2462" s="333"/>
      <c r="AV2462" s="333"/>
    </row>
    <row r="2463" spans="2:48" s="330" customFormat="1" ht="28.15" customHeight="1" x14ac:dyDescent="0.25">
      <c r="B2463" s="331"/>
      <c r="C2463" s="332"/>
      <c r="D2463" s="332"/>
      <c r="E2463" s="333"/>
      <c r="F2463" s="333"/>
      <c r="R2463" s="316"/>
      <c r="S2463" s="404"/>
      <c r="T2463" s="404"/>
      <c r="U2463" s="404"/>
      <c r="V2463" s="404"/>
      <c r="W2463" s="316"/>
      <c r="X2463" s="316"/>
      <c r="Y2463" s="316"/>
      <c r="Z2463" s="316"/>
      <c r="AA2463" s="404"/>
      <c r="AB2463" s="404"/>
      <c r="AC2463" s="404"/>
      <c r="AD2463" s="404"/>
      <c r="AE2463" s="316"/>
      <c r="AF2463" s="316"/>
      <c r="AG2463" s="404"/>
      <c r="AH2463" s="316"/>
      <c r="AI2463" s="316"/>
      <c r="AJ2463" s="316"/>
      <c r="AK2463" s="316"/>
      <c r="AL2463" s="316"/>
      <c r="AM2463" s="416"/>
      <c r="AR2463" s="333"/>
      <c r="AS2463" s="333"/>
      <c r="AT2463" s="333"/>
      <c r="AU2463" s="333"/>
      <c r="AV2463" s="333"/>
    </row>
    <row r="2464" spans="2:48" s="330" customFormat="1" ht="28.15" customHeight="1" x14ac:dyDescent="0.25">
      <c r="B2464" s="331"/>
      <c r="C2464" s="332"/>
      <c r="D2464" s="332"/>
      <c r="E2464" s="333"/>
      <c r="F2464" s="333"/>
      <c r="R2464" s="316"/>
      <c r="S2464" s="404"/>
      <c r="T2464" s="404"/>
      <c r="U2464" s="404"/>
      <c r="V2464" s="404"/>
      <c r="W2464" s="316"/>
      <c r="X2464" s="316"/>
      <c r="Y2464" s="316"/>
      <c r="Z2464" s="316"/>
      <c r="AA2464" s="404"/>
      <c r="AB2464" s="404"/>
      <c r="AC2464" s="404"/>
      <c r="AD2464" s="404"/>
      <c r="AE2464" s="316"/>
      <c r="AF2464" s="316"/>
      <c r="AG2464" s="404"/>
      <c r="AH2464" s="316"/>
      <c r="AI2464" s="316"/>
      <c r="AJ2464" s="316"/>
      <c r="AK2464" s="316"/>
      <c r="AL2464" s="316"/>
      <c r="AM2464" s="416"/>
      <c r="AR2464" s="333"/>
      <c r="AS2464" s="333"/>
      <c r="AT2464" s="333"/>
      <c r="AU2464" s="333"/>
      <c r="AV2464" s="333"/>
    </row>
    <row r="2465" spans="2:48" s="330" customFormat="1" ht="28.15" customHeight="1" x14ac:dyDescent="0.25">
      <c r="B2465" s="331"/>
      <c r="C2465" s="332"/>
      <c r="D2465" s="332"/>
      <c r="E2465" s="333"/>
      <c r="F2465" s="333"/>
      <c r="R2465" s="316"/>
      <c r="S2465" s="404"/>
      <c r="T2465" s="404"/>
      <c r="U2465" s="404"/>
      <c r="V2465" s="404"/>
      <c r="W2465" s="316"/>
      <c r="X2465" s="316"/>
      <c r="Y2465" s="316"/>
      <c r="Z2465" s="316"/>
      <c r="AA2465" s="404"/>
      <c r="AB2465" s="404"/>
      <c r="AC2465" s="404"/>
      <c r="AD2465" s="404"/>
      <c r="AE2465" s="316"/>
      <c r="AF2465" s="316"/>
      <c r="AG2465" s="404"/>
      <c r="AH2465" s="316"/>
      <c r="AI2465" s="316"/>
      <c r="AJ2465" s="316"/>
      <c r="AK2465" s="316"/>
      <c r="AL2465" s="316"/>
      <c r="AM2465" s="416"/>
      <c r="AR2465" s="333"/>
      <c r="AS2465" s="333"/>
      <c r="AT2465" s="333"/>
      <c r="AU2465" s="333"/>
      <c r="AV2465" s="333"/>
    </row>
    <row r="2466" spans="2:48" s="330" customFormat="1" ht="28.15" customHeight="1" x14ac:dyDescent="0.25">
      <c r="B2466" s="331"/>
      <c r="C2466" s="332"/>
      <c r="D2466" s="332"/>
      <c r="E2466" s="333"/>
      <c r="F2466" s="333"/>
      <c r="R2466" s="316"/>
      <c r="S2466" s="404"/>
      <c r="T2466" s="404"/>
      <c r="U2466" s="404"/>
      <c r="V2466" s="404"/>
      <c r="W2466" s="316"/>
      <c r="X2466" s="316"/>
      <c r="Y2466" s="316"/>
      <c r="Z2466" s="316"/>
      <c r="AA2466" s="404"/>
      <c r="AB2466" s="404"/>
      <c r="AC2466" s="404"/>
      <c r="AD2466" s="404"/>
      <c r="AE2466" s="316"/>
      <c r="AF2466" s="316"/>
      <c r="AG2466" s="404"/>
      <c r="AH2466" s="316"/>
      <c r="AI2466" s="316"/>
      <c r="AJ2466" s="316"/>
      <c r="AK2466" s="316"/>
      <c r="AL2466" s="316"/>
      <c r="AM2466" s="416"/>
      <c r="AR2466" s="333"/>
      <c r="AS2466" s="333"/>
      <c r="AT2466" s="333"/>
      <c r="AU2466" s="333"/>
      <c r="AV2466" s="333"/>
    </row>
    <row r="2467" spans="2:48" s="330" customFormat="1" ht="28.15" customHeight="1" x14ac:dyDescent="0.25">
      <c r="B2467" s="331"/>
      <c r="C2467" s="332"/>
      <c r="D2467" s="332"/>
      <c r="E2467" s="333"/>
      <c r="F2467" s="333"/>
      <c r="R2467" s="316"/>
      <c r="S2467" s="404"/>
      <c r="T2467" s="404"/>
      <c r="U2467" s="404"/>
      <c r="V2467" s="404"/>
      <c r="W2467" s="316"/>
      <c r="X2467" s="316"/>
      <c r="Y2467" s="316"/>
      <c r="Z2467" s="316"/>
      <c r="AA2467" s="404"/>
      <c r="AB2467" s="404"/>
      <c r="AC2467" s="404"/>
      <c r="AD2467" s="404"/>
      <c r="AE2467" s="316"/>
      <c r="AF2467" s="316"/>
      <c r="AG2467" s="404"/>
      <c r="AH2467" s="316"/>
      <c r="AI2467" s="316"/>
      <c r="AJ2467" s="316"/>
      <c r="AK2467" s="316"/>
      <c r="AL2467" s="316"/>
      <c r="AM2467" s="416"/>
      <c r="AR2467" s="333"/>
      <c r="AS2467" s="333"/>
      <c r="AT2467" s="333"/>
      <c r="AU2467" s="333"/>
      <c r="AV2467" s="333"/>
    </row>
    <row r="2468" spans="2:48" s="330" customFormat="1" ht="28.15" customHeight="1" x14ac:dyDescent="0.25">
      <c r="B2468" s="331"/>
      <c r="C2468" s="332"/>
      <c r="D2468" s="332"/>
      <c r="E2468" s="333"/>
      <c r="F2468" s="333"/>
      <c r="R2468" s="316"/>
      <c r="S2468" s="404"/>
      <c r="T2468" s="404"/>
      <c r="U2468" s="404"/>
      <c r="V2468" s="404"/>
      <c r="W2468" s="316"/>
      <c r="X2468" s="316"/>
      <c r="Y2468" s="316"/>
      <c r="Z2468" s="316"/>
      <c r="AA2468" s="404"/>
      <c r="AB2468" s="404"/>
      <c r="AC2468" s="404"/>
      <c r="AD2468" s="404"/>
      <c r="AE2468" s="316"/>
      <c r="AF2468" s="316"/>
      <c r="AG2468" s="404"/>
      <c r="AH2468" s="316"/>
      <c r="AI2468" s="316"/>
      <c r="AJ2468" s="316"/>
      <c r="AK2468" s="316"/>
      <c r="AL2468" s="316"/>
      <c r="AM2468" s="416"/>
      <c r="AR2468" s="333"/>
      <c r="AS2468" s="333"/>
      <c r="AT2468" s="333"/>
      <c r="AU2468" s="333"/>
      <c r="AV2468" s="333"/>
    </row>
    <row r="2469" spans="2:48" s="330" customFormat="1" ht="28.15" customHeight="1" x14ac:dyDescent="0.25">
      <c r="B2469" s="331"/>
      <c r="C2469" s="332"/>
      <c r="D2469" s="332"/>
      <c r="E2469" s="333"/>
      <c r="F2469" s="333"/>
      <c r="R2469" s="316"/>
      <c r="S2469" s="404"/>
      <c r="T2469" s="404"/>
      <c r="U2469" s="404"/>
      <c r="V2469" s="404"/>
      <c r="W2469" s="316"/>
      <c r="X2469" s="316"/>
      <c r="Y2469" s="316"/>
      <c r="Z2469" s="316"/>
      <c r="AA2469" s="404"/>
      <c r="AB2469" s="404"/>
      <c r="AC2469" s="404"/>
      <c r="AD2469" s="404"/>
      <c r="AE2469" s="316"/>
      <c r="AF2469" s="316"/>
      <c r="AG2469" s="404"/>
      <c r="AH2469" s="316"/>
      <c r="AI2469" s="316"/>
      <c r="AJ2469" s="316"/>
      <c r="AK2469" s="316"/>
      <c r="AL2469" s="316"/>
      <c r="AM2469" s="416"/>
      <c r="AR2469" s="333"/>
      <c r="AS2469" s="333"/>
      <c r="AT2469" s="333"/>
      <c r="AU2469" s="333"/>
      <c r="AV2469" s="333"/>
    </row>
    <row r="2470" spans="2:48" s="330" customFormat="1" ht="28.15" customHeight="1" x14ac:dyDescent="0.25">
      <c r="B2470" s="331"/>
      <c r="C2470" s="332"/>
      <c r="D2470" s="332"/>
      <c r="E2470" s="333"/>
      <c r="F2470" s="333"/>
      <c r="R2470" s="316"/>
      <c r="S2470" s="404"/>
      <c r="T2470" s="404"/>
      <c r="U2470" s="404"/>
      <c r="V2470" s="404"/>
      <c r="W2470" s="316"/>
      <c r="X2470" s="316"/>
      <c r="Y2470" s="316"/>
      <c r="Z2470" s="316"/>
      <c r="AA2470" s="404"/>
      <c r="AB2470" s="404"/>
      <c r="AC2470" s="404"/>
      <c r="AD2470" s="404"/>
      <c r="AE2470" s="316"/>
      <c r="AF2470" s="316"/>
      <c r="AG2470" s="404"/>
      <c r="AH2470" s="316"/>
      <c r="AI2470" s="316"/>
      <c r="AJ2470" s="316"/>
      <c r="AK2470" s="316"/>
      <c r="AL2470" s="316"/>
      <c r="AM2470" s="416"/>
      <c r="AR2470" s="333"/>
      <c r="AS2470" s="333"/>
      <c r="AT2470" s="333"/>
      <c r="AU2470" s="333"/>
      <c r="AV2470" s="333"/>
    </row>
    <row r="2471" spans="2:48" s="330" customFormat="1" ht="28.15" customHeight="1" x14ac:dyDescent="0.25">
      <c r="B2471" s="331"/>
      <c r="C2471" s="332"/>
      <c r="D2471" s="332"/>
      <c r="E2471" s="333"/>
      <c r="F2471" s="333"/>
      <c r="R2471" s="316"/>
      <c r="S2471" s="404"/>
      <c r="T2471" s="404"/>
      <c r="U2471" s="404"/>
      <c r="V2471" s="404"/>
      <c r="W2471" s="316"/>
      <c r="X2471" s="316"/>
      <c r="Y2471" s="316"/>
      <c r="Z2471" s="316"/>
      <c r="AA2471" s="404"/>
      <c r="AB2471" s="404"/>
      <c r="AC2471" s="404"/>
      <c r="AD2471" s="404"/>
      <c r="AE2471" s="316"/>
      <c r="AF2471" s="316"/>
      <c r="AG2471" s="404"/>
      <c r="AH2471" s="316"/>
      <c r="AI2471" s="316"/>
      <c r="AJ2471" s="316"/>
      <c r="AK2471" s="316"/>
      <c r="AL2471" s="316"/>
      <c r="AM2471" s="416"/>
      <c r="AR2471" s="333"/>
      <c r="AS2471" s="333"/>
      <c r="AT2471" s="333"/>
      <c r="AU2471" s="333"/>
      <c r="AV2471" s="333"/>
    </row>
    <row r="2472" spans="2:48" s="330" customFormat="1" ht="28.15" customHeight="1" x14ac:dyDescent="0.25">
      <c r="B2472" s="331"/>
      <c r="C2472" s="332"/>
      <c r="D2472" s="332"/>
      <c r="E2472" s="333"/>
      <c r="F2472" s="333"/>
      <c r="R2472" s="316"/>
      <c r="S2472" s="404"/>
      <c r="T2472" s="404"/>
      <c r="U2472" s="404"/>
      <c r="V2472" s="404"/>
      <c r="W2472" s="316"/>
      <c r="X2472" s="316"/>
      <c r="Y2472" s="316"/>
      <c r="Z2472" s="316"/>
      <c r="AA2472" s="404"/>
      <c r="AB2472" s="404"/>
      <c r="AC2472" s="404"/>
      <c r="AD2472" s="404"/>
      <c r="AE2472" s="316"/>
      <c r="AF2472" s="316"/>
      <c r="AG2472" s="404"/>
      <c r="AH2472" s="316"/>
      <c r="AI2472" s="316"/>
      <c r="AJ2472" s="316"/>
      <c r="AK2472" s="316"/>
      <c r="AL2472" s="316"/>
      <c r="AM2472" s="416"/>
      <c r="AR2472" s="333"/>
      <c r="AS2472" s="333"/>
      <c r="AT2472" s="333"/>
      <c r="AU2472" s="333"/>
      <c r="AV2472" s="333"/>
    </row>
    <row r="2473" spans="2:48" s="330" customFormat="1" ht="28.15" customHeight="1" x14ac:dyDescent="0.25">
      <c r="B2473" s="331"/>
      <c r="C2473" s="332"/>
      <c r="D2473" s="332"/>
      <c r="E2473" s="333"/>
      <c r="F2473" s="333"/>
      <c r="R2473" s="316"/>
      <c r="S2473" s="404"/>
      <c r="T2473" s="404"/>
      <c r="U2473" s="404"/>
      <c r="V2473" s="404"/>
      <c r="W2473" s="316"/>
      <c r="X2473" s="316"/>
      <c r="Y2473" s="316"/>
      <c r="Z2473" s="316"/>
      <c r="AA2473" s="404"/>
      <c r="AB2473" s="404"/>
      <c r="AC2473" s="404"/>
      <c r="AD2473" s="404"/>
      <c r="AE2473" s="316"/>
      <c r="AF2473" s="316"/>
      <c r="AG2473" s="404"/>
      <c r="AH2473" s="316"/>
      <c r="AI2473" s="316"/>
      <c r="AJ2473" s="316"/>
      <c r="AK2473" s="316"/>
      <c r="AL2473" s="316"/>
      <c r="AM2473" s="416"/>
      <c r="AR2473" s="333"/>
      <c r="AS2473" s="333"/>
      <c r="AT2473" s="333"/>
      <c r="AU2473" s="333"/>
      <c r="AV2473" s="333"/>
    </row>
    <row r="2474" spans="2:48" s="330" customFormat="1" ht="28.15" customHeight="1" x14ac:dyDescent="0.25">
      <c r="B2474" s="331"/>
      <c r="C2474" s="332"/>
      <c r="D2474" s="332"/>
      <c r="E2474" s="333"/>
      <c r="F2474" s="333"/>
      <c r="R2474" s="316"/>
      <c r="S2474" s="404"/>
      <c r="T2474" s="404"/>
      <c r="U2474" s="404"/>
      <c r="V2474" s="404"/>
      <c r="W2474" s="316"/>
      <c r="X2474" s="316"/>
      <c r="Y2474" s="316"/>
      <c r="Z2474" s="316"/>
      <c r="AA2474" s="404"/>
      <c r="AB2474" s="404"/>
      <c r="AC2474" s="404"/>
      <c r="AD2474" s="404"/>
      <c r="AE2474" s="316"/>
      <c r="AF2474" s="316"/>
      <c r="AG2474" s="404"/>
      <c r="AH2474" s="316"/>
      <c r="AI2474" s="316"/>
      <c r="AJ2474" s="316"/>
      <c r="AK2474" s="316"/>
      <c r="AL2474" s="316"/>
      <c r="AM2474" s="416"/>
      <c r="AR2474" s="333"/>
      <c r="AS2474" s="333"/>
      <c r="AT2474" s="333"/>
      <c r="AU2474" s="333"/>
      <c r="AV2474" s="333"/>
    </row>
    <row r="2475" spans="2:48" s="330" customFormat="1" ht="28.15" customHeight="1" x14ac:dyDescent="0.25">
      <c r="B2475" s="331"/>
      <c r="C2475" s="332"/>
      <c r="D2475" s="332"/>
      <c r="E2475" s="333"/>
      <c r="F2475" s="333"/>
      <c r="R2475" s="316"/>
      <c r="S2475" s="404"/>
      <c r="T2475" s="404"/>
      <c r="U2475" s="404"/>
      <c r="V2475" s="404"/>
      <c r="W2475" s="316"/>
      <c r="X2475" s="316"/>
      <c r="Y2475" s="316"/>
      <c r="Z2475" s="316"/>
      <c r="AA2475" s="404"/>
      <c r="AB2475" s="404"/>
      <c r="AC2475" s="404"/>
      <c r="AD2475" s="404"/>
      <c r="AE2475" s="316"/>
      <c r="AF2475" s="316"/>
      <c r="AG2475" s="404"/>
      <c r="AH2475" s="316"/>
      <c r="AI2475" s="316"/>
      <c r="AJ2475" s="316"/>
      <c r="AK2475" s="316"/>
      <c r="AL2475" s="316"/>
      <c r="AM2475" s="416"/>
      <c r="AR2475" s="333"/>
      <c r="AS2475" s="333"/>
      <c r="AT2475" s="333"/>
      <c r="AU2475" s="333"/>
      <c r="AV2475" s="333"/>
    </row>
    <row r="2476" spans="2:48" s="330" customFormat="1" ht="28.15" customHeight="1" x14ac:dyDescent="0.25">
      <c r="B2476" s="331"/>
      <c r="C2476" s="332"/>
      <c r="D2476" s="332"/>
      <c r="E2476" s="333"/>
      <c r="F2476" s="333"/>
      <c r="R2476" s="316"/>
      <c r="S2476" s="404"/>
      <c r="T2476" s="404"/>
      <c r="U2476" s="404"/>
      <c r="V2476" s="404"/>
      <c r="W2476" s="316"/>
      <c r="X2476" s="316"/>
      <c r="Y2476" s="316"/>
      <c r="Z2476" s="316"/>
      <c r="AA2476" s="404"/>
      <c r="AB2476" s="404"/>
      <c r="AC2476" s="404"/>
      <c r="AD2476" s="404"/>
      <c r="AE2476" s="316"/>
      <c r="AF2476" s="316"/>
      <c r="AG2476" s="404"/>
      <c r="AH2476" s="316"/>
      <c r="AI2476" s="316"/>
      <c r="AJ2476" s="316"/>
      <c r="AK2476" s="316"/>
      <c r="AL2476" s="316"/>
      <c r="AM2476" s="416"/>
      <c r="AR2476" s="333"/>
      <c r="AS2476" s="333"/>
      <c r="AT2476" s="333"/>
      <c r="AU2476" s="333"/>
      <c r="AV2476" s="333"/>
    </row>
    <row r="2477" spans="2:48" s="330" customFormat="1" ht="28.15" customHeight="1" x14ac:dyDescent="0.25">
      <c r="B2477" s="331"/>
      <c r="C2477" s="332"/>
      <c r="D2477" s="332"/>
      <c r="E2477" s="333"/>
      <c r="F2477" s="333"/>
      <c r="R2477" s="316"/>
      <c r="S2477" s="404"/>
      <c r="T2477" s="404"/>
      <c r="U2477" s="404"/>
      <c r="V2477" s="404"/>
      <c r="W2477" s="316"/>
      <c r="X2477" s="316"/>
      <c r="Y2477" s="316"/>
      <c r="Z2477" s="316"/>
      <c r="AA2477" s="404"/>
      <c r="AB2477" s="404"/>
      <c r="AC2477" s="404"/>
      <c r="AD2477" s="404"/>
      <c r="AE2477" s="316"/>
      <c r="AF2477" s="316"/>
      <c r="AG2477" s="404"/>
      <c r="AH2477" s="316"/>
      <c r="AI2477" s="316"/>
      <c r="AJ2477" s="316"/>
      <c r="AK2477" s="316"/>
      <c r="AL2477" s="316"/>
      <c r="AM2477" s="416"/>
      <c r="AR2477" s="333"/>
      <c r="AS2477" s="333"/>
      <c r="AT2477" s="333"/>
      <c r="AU2477" s="333"/>
      <c r="AV2477" s="333"/>
    </row>
    <row r="2478" spans="2:48" s="330" customFormat="1" ht="28.15" customHeight="1" x14ac:dyDescent="0.25">
      <c r="B2478" s="331"/>
      <c r="C2478" s="332"/>
      <c r="D2478" s="332"/>
      <c r="E2478" s="333"/>
      <c r="F2478" s="333"/>
      <c r="R2478" s="316"/>
      <c r="S2478" s="404"/>
      <c r="T2478" s="404"/>
      <c r="U2478" s="404"/>
      <c r="V2478" s="404"/>
      <c r="W2478" s="316"/>
      <c r="X2478" s="316"/>
      <c r="Y2478" s="316"/>
      <c r="Z2478" s="316"/>
      <c r="AA2478" s="404"/>
      <c r="AB2478" s="404"/>
      <c r="AC2478" s="404"/>
      <c r="AD2478" s="404"/>
      <c r="AE2478" s="316"/>
      <c r="AF2478" s="316"/>
      <c r="AG2478" s="404"/>
      <c r="AH2478" s="316"/>
      <c r="AI2478" s="316"/>
      <c r="AJ2478" s="316"/>
      <c r="AK2478" s="316"/>
      <c r="AL2478" s="316"/>
      <c r="AM2478" s="416"/>
      <c r="AR2478" s="333"/>
      <c r="AS2478" s="333"/>
      <c r="AT2478" s="333"/>
      <c r="AU2478" s="333"/>
      <c r="AV2478" s="333"/>
    </row>
    <row r="2479" spans="2:48" s="330" customFormat="1" ht="28.15" customHeight="1" x14ac:dyDescent="0.25">
      <c r="B2479" s="331"/>
      <c r="C2479" s="332"/>
      <c r="D2479" s="332"/>
      <c r="E2479" s="333"/>
      <c r="F2479" s="333"/>
      <c r="R2479" s="316"/>
      <c r="S2479" s="404"/>
      <c r="T2479" s="404"/>
      <c r="U2479" s="404"/>
      <c r="V2479" s="404"/>
      <c r="W2479" s="316"/>
      <c r="X2479" s="316"/>
      <c r="Y2479" s="316"/>
      <c r="Z2479" s="316"/>
      <c r="AA2479" s="404"/>
      <c r="AB2479" s="404"/>
      <c r="AC2479" s="404"/>
      <c r="AD2479" s="404"/>
      <c r="AE2479" s="316"/>
      <c r="AF2479" s="316"/>
      <c r="AG2479" s="404"/>
      <c r="AH2479" s="316"/>
      <c r="AI2479" s="316"/>
      <c r="AJ2479" s="316"/>
      <c r="AK2479" s="316"/>
      <c r="AL2479" s="316"/>
      <c r="AM2479" s="416"/>
      <c r="AR2479" s="333"/>
      <c r="AS2479" s="333"/>
      <c r="AT2479" s="333"/>
      <c r="AU2479" s="333"/>
      <c r="AV2479" s="333"/>
    </row>
    <row r="2480" spans="2:48" s="330" customFormat="1" ht="28.15" customHeight="1" x14ac:dyDescent="0.25">
      <c r="B2480" s="331"/>
      <c r="C2480" s="332"/>
      <c r="D2480" s="332"/>
      <c r="E2480" s="333"/>
      <c r="F2480" s="333"/>
      <c r="R2480" s="316"/>
      <c r="S2480" s="404"/>
      <c r="T2480" s="404"/>
      <c r="U2480" s="404"/>
      <c r="V2480" s="404"/>
      <c r="W2480" s="316"/>
      <c r="X2480" s="316"/>
      <c r="Y2480" s="316"/>
      <c r="Z2480" s="316"/>
      <c r="AA2480" s="404"/>
      <c r="AB2480" s="404"/>
      <c r="AC2480" s="404"/>
      <c r="AD2480" s="404"/>
      <c r="AE2480" s="316"/>
      <c r="AF2480" s="316"/>
      <c r="AG2480" s="404"/>
      <c r="AH2480" s="316"/>
      <c r="AI2480" s="316"/>
      <c r="AJ2480" s="316"/>
      <c r="AK2480" s="316"/>
      <c r="AL2480" s="316"/>
      <c r="AM2480" s="416"/>
      <c r="AR2480" s="333"/>
      <c r="AS2480" s="333"/>
      <c r="AT2480" s="333"/>
      <c r="AU2480" s="333"/>
      <c r="AV2480" s="333"/>
    </row>
    <row r="2481" spans="2:48" s="330" customFormat="1" ht="28.15" customHeight="1" x14ac:dyDescent="0.25">
      <c r="B2481" s="331"/>
      <c r="C2481" s="332"/>
      <c r="D2481" s="332"/>
      <c r="E2481" s="333"/>
      <c r="F2481" s="333"/>
      <c r="R2481" s="316"/>
      <c r="S2481" s="404"/>
      <c r="T2481" s="404"/>
      <c r="U2481" s="404"/>
      <c r="V2481" s="404"/>
      <c r="W2481" s="316"/>
      <c r="X2481" s="316"/>
      <c r="Y2481" s="316"/>
      <c r="Z2481" s="316"/>
      <c r="AA2481" s="404"/>
      <c r="AB2481" s="404"/>
      <c r="AC2481" s="404"/>
      <c r="AD2481" s="404"/>
      <c r="AE2481" s="316"/>
      <c r="AF2481" s="316"/>
      <c r="AG2481" s="404"/>
      <c r="AH2481" s="316"/>
      <c r="AI2481" s="316"/>
      <c r="AJ2481" s="316"/>
      <c r="AK2481" s="316"/>
      <c r="AL2481" s="316"/>
      <c r="AM2481" s="416"/>
      <c r="AR2481" s="333"/>
      <c r="AS2481" s="333"/>
      <c r="AT2481" s="333"/>
      <c r="AU2481" s="333"/>
      <c r="AV2481" s="333"/>
    </row>
    <row r="2482" spans="2:48" s="330" customFormat="1" ht="28.15" customHeight="1" x14ac:dyDescent="0.25">
      <c r="B2482" s="331"/>
      <c r="C2482" s="332"/>
      <c r="D2482" s="332"/>
      <c r="E2482" s="333"/>
      <c r="F2482" s="333"/>
      <c r="R2482" s="316"/>
      <c r="S2482" s="404"/>
      <c r="T2482" s="404"/>
      <c r="U2482" s="404"/>
      <c r="V2482" s="404"/>
      <c r="W2482" s="316"/>
      <c r="X2482" s="316"/>
      <c r="Y2482" s="316"/>
      <c r="Z2482" s="316"/>
      <c r="AA2482" s="404"/>
      <c r="AB2482" s="404"/>
      <c r="AC2482" s="404"/>
      <c r="AD2482" s="404"/>
      <c r="AE2482" s="316"/>
      <c r="AF2482" s="316"/>
      <c r="AG2482" s="404"/>
      <c r="AH2482" s="316"/>
      <c r="AI2482" s="316"/>
      <c r="AJ2482" s="316"/>
      <c r="AK2482" s="316"/>
      <c r="AL2482" s="316"/>
      <c r="AM2482" s="416"/>
      <c r="AR2482" s="333"/>
      <c r="AS2482" s="333"/>
      <c r="AT2482" s="333"/>
      <c r="AU2482" s="333"/>
      <c r="AV2482" s="333"/>
    </row>
    <row r="2483" spans="2:48" s="330" customFormat="1" ht="28.15" customHeight="1" x14ac:dyDescent="0.25">
      <c r="B2483" s="331"/>
      <c r="C2483" s="332"/>
      <c r="D2483" s="332"/>
      <c r="E2483" s="333"/>
      <c r="F2483" s="333"/>
      <c r="R2483" s="316"/>
      <c r="S2483" s="404"/>
      <c r="T2483" s="404"/>
      <c r="U2483" s="404"/>
      <c r="V2483" s="404"/>
      <c r="W2483" s="316"/>
      <c r="X2483" s="316"/>
      <c r="Y2483" s="316"/>
      <c r="Z2483" s="316"/>
      <c r="AA2483" s="404"/>
      <c r="AB2483" s="404"/>
      <c r="AC2483" s="404"/>
      <c r="AD2483" s="404"/>
      <c r="AE2483" s="316"/>
      <c r="AF2483" s="316"/>
      <c r="AG2483" s="404"/>
      <c r="AH2483" s="316"/>
      <c r="AI2483" s="316"/>
      <c r="AJ2483" s="316"/>
      <c r="AK2483" s="316"/>
      <c r="AL2483" s="316"/>
      <c r="AM2483" s="416"/>
      <c r="AR2483" s="333"/>
      <c r="AS2483" s="333"/>
      <c r="AT2483" s="333"/>
      <c r="AU2483" s="333"/>
      <c r="AV2483" s="333"/>
    </row>
    <row r="2484" spans="2:48" s="330" customFormat="1" ht="28.15" customHeight="1" x14ac:dyDescent="0.25">
      <c r="B2484" s="331"/>
      <c r="C2484" s="332"/>
      <c r="D2484" s="332"/>
      <c r="E2484" s="333"/>
      <c r="F2484" s="333"/>
      <c r="R2484" s="316"/>
      <c r="S2484" s="404"/>
      <c r="T2484" s="404"/>
      <c r="U2484" s="404"/>
      <c r="V2484" s="404"/>
      <c r="W2484" s="316"/>
      <c r="X2484" s="316"/>
      <c r="Y2484" s="316"/>
      <c r="Z2484" s="316"/>
      <c r="AA2484" s="404"/>
      <c r="AB2484" s="404"/>
      <c r="AC2484" s="404"/>
      <c r="AD2484" s="404"/>
      <c r="AE2484" s="316"/>
      <c r="AF2484" s="316"/>
      <c r="AG2484" s="404"/>
      <c r="AH2484" s="316"/>
      <c r="AI2484" s="316"/>
      <c r="AJ2484" s="316"/>
      <c r="AK2484" s="316"/>
      <c r="AL2484" s="316"/>
      <c r="AM2484" s="416"/>
      <c r="AR2484" s="333"/>
      <c r="AS2484" s="333"/>
      <c r="AT2484" s="333"/>
      <c r="AU2484" s="333"/>
      <c r="AV2484" s="333"/>
    </row>
    <row r="2485" spans="2:48" s="330" customFormat="1" ht="28.15" customHeight="1" x14ac:dyDescent="0.25">
      <c r="B2485" s="331"/>
      <c r="C2485" s="332"/>
      <c r="D2485" s="332"/>
      <c r="E2485" s="333"/>
      <c r="F2485" s="333"/>
      <c r="R2485" s="316"/>
      <c r="S2485" s="404"/>
      <c r="T2485" s="404"/>
      <c r="U2485" s="404"/>
      <c r="V2485" s="404"/>
      <c r="W2485" s="316"/>
      <c r="X2485" s="316"/>
      <c r="Y2485" s="316"/>
      <c r="Z2485" s="316"/>
      <c r="AA2485" s="404"/>
      <c r="AB2485" s="404"/>
      <c r="AC2485" s="404"/>
      <c r="AD2485" s="404"/>
      <c r="AE2485" s="316"/>
      <c r="AF2485" s="316"/>
      <c r="AG2485" s="404"/>
      <c r="AH2485" s="316"/>
      <c r="AI2485" s="316"/>
      <c r="AJ2485" s="316"/>
      <c r="AK2485" s="316"/>
      <c r="AL2485" s="316"/>
      <c r="AM2485" s="416"/>
      <c r="AR2485" s="333"/>
      <c r="AS2485" s="333"/>
      <c r="AT2485" s="333"/>
      <c r="AU2485" s="333"/>
      <c r="AV2485" s="333"/>
    </row>
    <row r="2486" spans="2:48" s="330" customFormat="1" ht="28.15" customHeight="1" x14ac:dyDescent="0.25">
      <c r="B2486" s="331"/>
      <c r="C2486" s="332"/>
      <c r="D2486" s="332"/>
      <c r="E2486" s="333"/>
      <c r="F2486" s="333"/>
      <c r="R2486" s="316"/>
      <c r="S2486" s="404"/>
      <c r="T2486" s="404"/>
      <c r="U2486" s="404"/>
      <c r="V2486" s="404"/>
      <c r="W2486" s="316"/>
      <c r="X2486" s="316"/>
      <c r="Y2486" s="316"/>
      <c r="Z2486" s="316"/>
      <c r="AA2486" s="404"/>
      <c r="AB2486" s="404"/>
      <c r="AC2486" s="404"/>
      <c r="AD2486" s="404"/>
      <c r="AE2486" s="316"/>
      <c r="AF2486" s="316"/>
      <c r="AG2486" s="404"/>
      <c r="AH2486" s="316"/>
      <c r="AI2486" s="316"/>
      <c r="AJ2486" s="316"/>
      <c r="AK2486" s="316"/>
      <c r="AL2486" s="316"/>
      <c r="AM2486" s="416"/>
      <c r="AR2486" s="333"/>
      <c r="AS2486" s="333"/>
      <c r="AT2486" s="333"/>
      <c r="AU2486" s="333"/>
      <c r="AV2486" s="333"/>
    </row>
    <row r="2487" spans="2:48" s="330" customFormat="1" ht="28.15" customHeight="1" x14ac:dyDescent="0.25">
      <c r="B2487" s="331"/>
      <c r="C2487" s="332"/>
      <c r="D2487" s="332"/>
      <c r="E2487" s="333"/>
      <c r="F2487" s="333"/>
      <c r="R2487" s="316"/>
      <c r="S2487" s="404"/>
      <c r="T2487" s="404"/>
      <c r="U2487" s="404"/>
      <c r="V2487" s="404"/>
      <c r="W2487" s="316"/>
      <c r="X2487" s="316"/>
      <c r="Y2487" s="316"/>
      <c r="Z2487" s="316"/>
      <c r="AA2487" s="404"/>
      <c r="AB2487" s="404"/>
      <c r="AC2487" s="404"/>
      <c r="AD2487" s="404"/>
      <c r="AE2487" s="316"/>
      <c r="AF2487" s="316"/>
      <c r="AG2487" s="404"/>
      <c r="AH2487" s="316"/>
      <c r="AI2487" s="316"/>
      <c r="AJ2487" s="316"/>
      <c r="AK2487" s="316"/>
      <c r="AL2487" s="316"/>
      <c r="AM2487" s="416"/>
      <c r="AR2487" s="333"/>
      <c r="AS2487" s="333"/>
      <c r="AT2487" s="333"/>
      <c r="AU2487" s="333"/>
      <c r="AV2487" s="333"/>
    </row>
    <row r="2488" spans="2:48" s="330" customFormat="1" ht="28.15" customHeight="1" x14ac:dyDescent="0.25">
      <c r="B2488" s="331"/>
      <c r="C2488" s="332"/>
      <c r="D2488" s="332"/>
      <c r="E2488" s="333"/>
      <c r="F2488" s="333"/>
      <c r="R2488" s="316"/>
      <c r="S2488" s="404"/>
      <c r="T2488" s="404"/>
      <c r="U2488" s="404"/>
      <c r="V2488" s="404"/>
      <c r="W2488" s="316"/>
      <c r="X2488" s="316"/>
      <c r="Y2488" s="316"/>
      <c r="Z2488" s="316"/>
      <c r="AA2488" s="404"/>
      <c r="AB2488" s="404"/>
      <c r="AC2488" s="404"/>
      <c r="AD2488" s="404"/>
      <c r="AE2488" s="316"/>
      <c r="AF2488" s="316"/>
      <c r="AG2488" s="404"/>
      <c r="AH2488" s="316"/>
      <c r="AI2488" s="316"/>
      <c r="AJ2488" s="316"/>
      <c r="AK2488" s="316"/>
      <c r="AL2488" s="316"/>
      <c r="AM2488" s="416"/>
      <c r="AR2488" s="333"/>
      <c r="AS2488" s="333"/>
      <c r="AT2488" s="333"/>
      <c r="AU2488" s="333"/>
      <c r="AV2488" s="333"/>
    </row>
    <row r="2489" spans="2:48" s="330" customFormat="1" ht="28.15" customHeight="1" x14ac:dyDescent="0.25">
      <c r="B2489" s="331"/>
      <c r="C2489" s="332"/>
      <c r="D2489" s="332"/>
      <c r="E2489" s="333"/>
      <c r="F2489" s="333"/>
      <c r="R2489" s="316"/>
      <c r="S2489" s="404"/>
      <c r="T2489" s="404"/>
      <c r="U2489" s="404"/>
      <c r="V2489" s="404"/>
      <c r="W2489" s="316"/>
      <c r="X2489" s="316"/>
      <c r="Y2489" s="316"/>
      <c r="Z2489" s="316"/>
      <c r="AA2489" s="404"/>
      <c r="AB2489" s="404"/>
      <c r="AC2489" s="404"/>
      <c r="AD2489" s="404"/>
      <c r="AE2489" s="316"/>
      <c r="AF2489" s="316"/>
      <c r="AG2489" s="404"/>
      <c r="AH2489" s="316"/>
      <c r="AI2489" s="316"/>
      <c r="AJ2489" s="316"/>
      <c r="AK2489" s="316"/>
      <c r="AL2489" s="316"/>
      <c r="AM2489" s="416"/>
      <c r="AR2489" s="333"/>
      <c r="AS2489" s="333"/>
      <c r="AT2489" s="333"/>
      <c r="AU2489" s="333"/>
      <c r="AV2489" s="333"/>
    </row>
    <row r="2490" spans="2:48" s="330" customFormat="1" ht="28.15" customHeight="1" x14ac:dyDescent="0.25">
      <c r="B2490" s="331"/>
      <c r="C2490" s="332"/>
      <c r="D2490" s="332"/>
      <c r="E2490" s="333"/>
      <c r="F2490" s="333"/>
      <c r="R2490" s="316"/>
      <c r="S2490" s="404"/>
      <c r="T2490" s="404"/>
      <c r="U2490" s="404"/>
      <c r="V2490" s="404"/>
      <c r="W2490" s="316"/>
      <c r="X2490" s="316"/>
      <c r="Y2490" s="316"/>
      <c r="Z2490" s="316"/>
      <c r="AA2490" s="404"/>
      <c r="AB2490" s="404"/>
      <c r="AC2490" s="404"/>
      <c r="AD2490" s="404"/>
      <c r="AE2490" s="316"/>
      <c r="AF2490" s="316"/>
      <c r="AG2490" s="404"/>
      <c r="AH2490" s="316"/>
      <c r="AI2490" s="316"/>
      <c r="AJ2490" s="316"/>
      <c r="AK2490" s="316"/>
      <c r="AL2490" s="316"/>
      <c r="AM2490" s="416"/>
      <c r="AR2490" s="333"/>
      <c r="AS2490" s="333"/>
      <c r="AT2490" s="333"/>
      <c r="AU2490" s="333"/>
      <c r="AV2490" s="333"/>
    </row>
    <row r="2491" spans="2:48" s="330" customFormat="1" ht="28.15" customHeight="1" x14ac:dyDescent="0.25">
      <c r="B2491" s="331"/>
      <c r="C2491" s="332"/>
      <c r="D2491" s="332"/>
      <c r="E2491" s="333"/>
      <c r="F2491" s="333"/>
      <c r="R2491" s="316"/>
      <c r="S2491" s="404"/>
      <c r="T2491" s="404"/>
      <c r="U2491" s="404"/>
      <c r="V2491" s="404"/>
      <c r="W2491" s="316"/>
      <c r="X2491" s="316"/>
      <c r="Y2491" s="316"/>
      <c r="Z2491" s="316"/>
      <c r="AA2491" s="404"/>
      <c r="AB2491" s="404"/>
      <c r="AC2491" s="404"/>
      <c r="AD2491" s="404"/>
      <c r="AE2491" s="316"/>
      <c r="AF2491" s="316"/>
      <c r="AG2491" s="404"/>
      <c r="AH2491" s="316"/>
      <c r="AI2491" s="316"/>
      <c r="AJ2491" s="316"/>
      <c r="AK2491" s="316"/>
      <c r="AL2491" s="316"/>
      <c r="AM2491" s="416"/>
      <c r="AR2491" s="333"/>
      <c r="AS2491" s="333"/>
      <c r="AT2491" s="333"/>
      <c r="AU2491" s="333"/>
      <c r="AV2491" s="333"/>
    </row>
    <row r="2492" spans="2:48" s="330" customFormat="1" ht="28.15" customHeight="1" x14ac:dyDescent="0.25">
      <c r="B2492" s="331"/>
      <c r="C2492" s="332"/>
      <c r="D2492" s="332"/>
      <c r="E2492" s="333"/>
      <c r="F2492" s="333"/>
      <c r="R2492" s="316"/>
      <c r="S2492" s="404"/>
      <c r="T2492" s="404"/>
      <c r="U2492" s="404"/>
      <c r="V2492" s="404"/>
      <c r="W2492" s="316"/>
      <c r="X2492" s="316"/>
      <c r="Y2492" s="316"/>
      <c r="Z2492" s="316"/>
      <c r="AA2492" s="404"/>
      <c r="AB2492" s="404"/>
      <c r="AC2492" s="404"/>
      <c r="AD2492" s="404"/>
      <c r="AE2492" s="316"/>
      <c r="AF2492" s="316"/>
      <c r="AG2492" s="404"/>
      <c r="AH2492" s="316"/>
      <c r="AI2492" s="316"/>
      <c r="AJ2492" s="316"/>
      <c r="AK2492" s="316"/>
      <c r="AL2492" s="316"/>
      <c r="AM2492" s="416"/>
      <c r="AR2492" s="333"/>
      <c r="AS2492" s="333"/>
      <c r="AT2492" s="333"/>
      <c r="AU2492" s="333"/>
      <c r="AV2492" s="333"/>
    </row>
    <row r="2493" spans="2:48" s="330" customFormat="1" ht="28.15" customHeight="1" x14ac:dyDescent="0.25">
      <c r="B2493" s="331"/>
      <c r="C2493" s="332"/>
      <c r="D2493" s="332"/>
      <c r="E2493" s="333"/>
      <c r="F2493" s="333"/>
      <c r="R2493" s="316"/>
      <c r="S2493" s="404"/>
      <c r="T2493" s="404"/>
      <c r="U2493" s="404"/>
      <c r="V2493" s="404"/>
      <c r="W2493" s="316"/>
      <c r="X2493" s="316"/>
      <c r="Y2493" s="316"/>
      <c r="Z2493" s="316"/>
      <c r="AA2493" s="404"/>
      <c r="AB2493" s="404"/>
      <c r="AC2493" s="404"/>
      <c r="AD2493" s="404"/>
      <c r="AE2493" s="316"/>
      <c r="AF2493" s="316"/>
      <c r="AG2493" s="404"/>
      <c r="AH2493" s="316"/>
      <c r="AI2493" s="316"/>
      <c r="AJ2493" s="316"/>
      <c r="AK2493" s="316"/>
      <c r="AL2493" s="316"/>
      <c r="AM2493" s="416"/>
      <c r="AR2493" s="333"/>
      <c r="AS2493" s="333"/>
      <c r="AT2493" s="333"/>
      <c r="AU2493" s="333"/>
      <c r="AV2493" s="333"/>
    </row>
    <row r="2494" spans="2:48" s="330" customFormat="1" ht="28.15" customHeight="1" x14ac:dyDescent="0.25">
      <c r="B2494" s="331"/>
      <c r="C2494" s="332"/>
      <c r="D2494" s="332"/>
      <c r="E2494" s="333"/>
      <c r="F2494" s="333"/>
      <c r="R2494" s="316"/>
      <c r="S2494" s="404"/>
      <c r="T2494" s="404"/>
      <c r="U2494" s="404"/>
      <c r="V2494" s="404"/>
      <c r="W2494" s="316"/>
      <c r="X2494" s="316"/>
      <c r="Y2494" s="316"/>
      <c r="Z2494" s="316"/>
      <c r="AA2494" s="404"/>
      <c r="AB2494" s="404"/>
      <c r="AC2494" s="404"/>
      <c r="AD2494" s="404"/>
      <c r="AE2494" s="316"/>
      <c r="AF2494" s="316"/>
      <c r="AG2494" s="404"/>
      <c r="AH2494" s="316"/>
      <c r="AI2494" s="316"/>
      <c r="AJ2494" s="316"/>
      <c r="AK2494" s="316"/>
      <c r="AL2494" s="316"/>
      <c r="AM2494" s="416"/>
      <c r="AR2494" s="333"/>
      <c r="AS2494" s="333"/>
      <c r="AT2494" s="333"/>
      <c r="AU2494" s="333"/>
      <c r="AV2494" s="333"/>
    </row>
    <row r="2495" spans="2:48" s="330" customFormat="1" ht="28.15" customHeight="1" x14ac:dyDescent="0.25">
      <c r="B2495" s="331"/>
      <c r="C2495" s="332"/>
      <c r="D2495" s="332"/>
      <c r="E2495" s="333"/>
      <c r="F2495" s="333"/>
      <c r="R2495" s="316"/>
      <c r="S2495" s="404"/>
      <c r="T2495" s="404"/>
      <c r="U2495" s="404"/>
      <c r="V2495" s="404"/>
      <c r="W2495" s="316"/>
      <c r="X2495" s="316"/>
      <c r="Y2495" s="316"/>
      <c r="Z2495" s="316"/>
      <c r="AA2495" s="404"/>
      <c r="AB2495" s="404"/>
      <c r="AC2495" s="404"/>
      <c r="AD2495" s="404"/>
      <c r="AE2495" s="316"/>
      <c r="AF2495" s="316"/>
      <c r="AG2495" s="404"/>
      <c r="AH2495" s="316"/>
      <c r="AI2495" s="316"/>
      <c r="AJ2495" s="316"/>
      <c r="AK2495" s="316"/>
      <c r="AL2495" s="316"/>
      <c r="AM2495" s="416"/>
      <c r="AR2495" s="333"/>
      <c r="AS2495" s="333"/>
      <c r="AT2495" s="333"/>
      <c r="AU2495" s="333"/>
      <c r="AV2495" s="333"/>
    </row>
    <row r="2496" spans="2:48" s="330" customFormat="1" ht="28.15" customHeight="1" x14ac:dyDescent="0.25">
      <c r="B2496" s="331"/>
      <c r="C2496" s="332"/>
      <c r="D2496" s="332"/>
      <c r="E2496" s="333"/>
      <c r="F2496" s="333"/>
      <c r="R2496" s="316"/>
      <c r="S2496" s="404"/>
      <c r="T2496" s="404"/>
      <c r="U2496" s="404"/>
      <c r="V2496" s="404"/>
      <c r="W2496" s="316"/>
      <c r="X2496" s="316"/>
      <c r="Y2496" s="316"/>
      <c r="Z2496" s="316"/>
      <c r="AA2496" s="404"/>
      <c r="AB2496" s="404"/>
      <c r="AC2496" s="404"/>
      <c r="AD2496" s="404"/>
      <c r="AE2496" s="316"/>
      <c r="AF2496" s="316"/>
      <c r="AG2496" s="404"/>
      <c r="AH2496" s="316"/>
      <c r="AI2496" s="316"/>
      <c r="AJ2496" s="316"/>
      <c r="AK2496" s="316"/>
      <c r="AL2496" s="316"/>
      <c r="AM2496" s="416"/>
      <c r="AR2496" s="333"/>
      <c r="AS2496" s="333"/>
      <c r="AT2496" s="333"/>
      <c r="AU2496" s="333"/>
      <c r="AV2496" s="333"/>
    </row>
    <row r="2497" spans="2:48" s="330" customFormat="1" ht="28.15" customHeight="1" x14ac:dyDescent="0.25">
      <c r="B2497" s="331"/>
      <c r="C2497" s="332"/>
      <c r="D2497" s="332"/>
      <c r="E2497" s="333"/>
      <c r="F2497" s="333"/>
      <c r="R2497" s="316"/>
      <c r="S2497" s="404"/>
      <c r="T2497" s="404"/>
      <c r="U2497" s="404"/>
      <c r="V2497" s="404"/>
      <c r="W2497" s="316"/>
      <c r="X2497" s="316"/>
      <c r="Y2497" s="316"/>
      <c r="Z2497" s="316"/>
      <c r="AA2497" s="404"/>
      <c r="AB2497" s="404"/>
      <c r="AC2497" s="404"/>
      <c r="AD2497" s="404"/>
      <c r="AE2497" s="316"/>
      <c r="AF2497" s="316"/>
      <c r="AG2497" s="404"/>
      <c r="AH2497" s="316"/>
      <c r="AI2497" s="316"/>
      <c r="AJ2497" s="316"/>
      <c r="AK2497" s="316"/>
      <c r="AL2497" s="316"/>
      <c r="AM2497" s="416"/>
      <c r="AR2497" s="333"/>
      <c r="AS2497" s="333"/>
      <c r="AT2497" s="333"/>
      <c r="AU2497" s="333"/>
      <c r="AV2497" s="333"/>
    </row>
    <row r="2498" spans="2:48" s="330" customFormat="1" ht="28.15" customHeight="1" x14ac:dyDescent="0.25">
      <c r="B2498" s="331"/>
      <c r="C2498" s="332"/>
      <c r="D2498" s="332"/>
      <c r="E2498" s="333"/>
      <c r="F2498" s="333"/>
      <c r="R2498" s="316"/>
      <c r="S2498" s="404"/>
      <c r="T2498" s="404"/>
      <c r="U2498" s="404"/>
      <c r="V2498" s="404"/>
      <c r="W2498" s="316"/>
      <c r="X2498" s="316"/>
      <c r="Y2498" s="316"/>
      <c r="Z2498" s="316"/>
      <c r="AA2498" s="404"/>
      <c r="AB2498" s="404"/>
      <c r="AC2498" s="404"/>
      <c r="AD2498" s="404"/>
      <c r="AE2498" s="316"/>
      <c r="AF2498" s="316"/>
      <c r="AG2498" s="404"/>
      <c r="AH2498" s="316"/>
      <c r="AI2498" s="316"/>
      <c r="AJ2498" s="316"/>
      <c r="AK2498" s="316"/>
      <c r="AL2498" s="316"/>
      <c r="AM2498" s="416"/>
      <c r="AR2498" s="333"/>
      <c r="AS2498" s="333"/>
      <c r="AT2498" s="333"/>
      <c r="AU2498" s="333"/>
      <c r="AV2498" s="333"/>
    </row>
    <row r="2499" spans="2:48" s="330" customFormat="1" ht="28.15" customHeight="1" x14ac:dyDescent="0.25">
      <c r="B2499" s="331"/>
      <c r="C2499" s="332"/>
      <c r="D2499" s="332"/>
      <c r="E2499" s="333"/>
      <c r="F2499" s="333"/>
      <c r="R2499" s="316"/>
      <c r="S2499" s="404"/>
      <c r="T2499" s="404"/>
      <c r="U2499" s="404"/>
      <c r="V2499" s="404"/>
      <c r="W2499" s="316"/>
      <c r="X2499" s="316"/>
      <c r="Y2499" s="316"/>
      <c r="Z2499" s="316"/>
      <c r="AA2499" s="404"/>
      <c r="AB2499" s="404"/>
      <c r="AC2499" s="404"/>
      <c r="AD2499" s="404"/>
      <c r="AE2499" s="316"/>
      <c r="AF2499" s="316"/>
      <c r="AG2499" s="404"/>
      <c r="AH2499" s="316"/>
      <c r="AI2499" s="316"/>
      <c r="AJ2499" s="316"/>
      <c r="AK2499" s="316"/>
      <c r="AL2499" s="316"/>
      <c r="AM2499" s="416"/>
      <c r="AR2499" s="333"/>
      <c r="AS2499" s="333"/>
      <c r="AT2499" s="333"/>
      <c r="AU2499" s="333"/>
      <c r="AV2499" s="333"/>
    </row>
    <row r="2500" spans="2:48" s="330" customFormat="1" ht="28.15" customHeight="1" x14ac:dyDescent="0.25">
      <c r="B2500" s="331"/>
      <c r="C2500" s="332"/>
      <c r="D2500" s="332"/>
      <c r="E2500" s="333"/>
      <c r="F2500" s="333"/>
      <c r="R2500" s="316"/>
      <c r="S2500" s="404"/>
      <c r="T2500" s="404"/>
      <c r="U2500" s="404"/>
      <c r="V2500" s="404"/>
      <c r="W2500" s="316"/>
      <c r="X2500" s="316"/>
      <c r="Y2500" s="316"/>
      <c r="Z2500" s="316"/>
      <c r="AA2500" s="404"/>
      <c r="AB2500" s="404"/>
      <c r="AC2500" s="404"/>
      <c r="AD2500" s="404"/>
      <c r="AE2500" s="316"/>
      <c r="AF2500" s="316"/>
      <c r="AG2500" s="404"/>
      <c r="AH2500" s="316"/>
      <c r="AI2500" s="316"/>
      <c r="AJ2500" s="316"/>
      <c r="AK2500" s="316"/>
      <c r="AL2500" s="316"/>
      <c r="AM2500" s="416"/>
      <c r="AR2500" s="333"/>
      <c r="AS2500" s="333"/>
      <c r="AT2500" s="333"/>
      <c r="AU2500" s="333"/>
      <c r="AV2500" s="333"/>
    </row>
    <row r="2501" spans="2:48" s="330" customFormat="1" ht="28.15" customHeight="1" x14ac:dyDescent="0.25">
      <c r="B2501" s="331"/>
      <c r="C2501" s="332"/>
      <c r="D2501" s="332"/>
      <c r="E2501" s="333"/>
      <c r="F2501" s="333"/>
      <c r="R2501" s="316"/>
      <c r="S2501" s="404"/>
      <c r="T2501" s="404"/>
      <c r="U2501" s="404"/>
      <c r="V2501" s="404"/>
      <c r="W2501" s="316"/>
      <c r="X2501" s="316"/>
      <c r="Y2501" s="316"/>
      <c r="Z2501" s="316"/>
      <c r="AA2501" s="404"/>
      <c r="AB2501" s="404"/>
      <c r="AC2501" s="404"/>
      <c r="AD2501" s="404"/>
      <c r="AE2501" s="316"/>
      <c r="AF2501" s="316"/>
      <c r="AG2501" s="404"/>
      <c r="AH2501" s="316"/>
      <c r="AI2501" s="316"/>
      <c r="AJ2501" s="316"/>
      <c r="AK2501" s="316"/>
      <c r="AL2501" s="316"/>
      <c r="AM2501" s="416"/>
      <c r="AR2501" s="333"/>
      <c r="AS2501" s="333"/>
      <c r="AT2501" s="333"/>
      <c r="AU2501" s="333"/>
      <c r="AV2501" s="333"/>
    </row>
    <row r="2502" spans="2:48" s="330" customFormat="1" ht="28.15" customHeight="1" x14ac:dyDescent="0.25">
      <c r="B2502" s="331"/>
      <c r="C2502" s="332"/>
      <c r="D2502" s="332"/>
      <c r="E2502" s="333"/>
      <c r="F2502" s="333"/>
      <c r="R2502" s="316"/>
      <c r="S2502" s="404"/>
      <c r="T2502" s="404"/>
      <c r="U2502" s="404"/>
      <c r="V2502" s="404"/>
      <c r="W2502" s="316"/>
      <c r="X2502" s="316"/>
      <c r="Y2502" s="316"/>
      <c r="Z2502" s="316"/>
      <c r="AA2502" s="404"/>
      <c r="AB2502" s="404"/>
      <c r="AC2502" s="404"/>
      <c r="AD2502" s="404"/>
      <c r="AE2502" s="316"/>
      <c r="AF2502" s="316"/>
      <c r="AG2502" s="404"/>
      <c r="AH2502" s="316"/>
      <c r="AI2502" s="316"/>
      <c r="AJ2502" s="316"/>
      <c r="AK2502" s="316"/>
      <c r="AL2502" s="316"/>
      <c r="AM2502" s="416"/>
      <c r="AR2502" s="333"/>
      <c r="AS2502" s="333"/>
      <c r="AT2502" s="333"/>
      <c r="AU2502" s="333"/>
      <c r="AV2502" s="333"/>
    </row>
    <row r="2503" spans="2:48" s="330" customFormat="1" ht="28.15" customHeight="1" x14ac:dyDescent="0.25">
      <c r="B2503" s="331"/>
      <c r="C2503" s="332"/>
      <c r="D2503" s="332"/>
      <c r="E2503" s="333"/>
      <c r="F2503" s="333"/>
      <c r="R2503" s="316"/>
      <c r="S2503" s="404"/>
      <c r="T2503" s="404"/>
      <c r="U2503" s="404"/>
      <c r="V2503" s="404"/>
      <c r="W2503" s="316"/>
      <c r="X2503" s="316"/>
      <c r="Y2503" s="316"/>
      <c r="Z2503" s="316"/>
      <c r="AA2503" s="404"/>
      <c r="AB2503" s="404"/>
      <c r="AC2503" s="404"/>
      <c r="AD2503" s="404"/>
      <c r="AE2503" s="316"/>
      <c r="AF2503" s="316"/>
      <c r="AG2503" s="404"/>
      <c r="AH2503" s="316"/>
      <c r="AI2503" s="316"/>
      <c r="AJ2503" s="316"/>
      <c r="AK2503" s="316"/>
      <c r="AL2503" s="316"/>
      <c r="AM2503" s="416"/>
      <c r="AR2503" s="333"/>
      <c r="AS2503" s="333"/>
      <c r="AT2503" s="333"/>
      <c r="AU2503" s="333"/>
      <c r="AV2503" s="333"/>
    </row>
    <row r="2504" spans="2:48" s="330" customFormat="1" ht="28.15" customHeight="1" x14ac:dyDescent="0.25">
      <c r="B2504" s="331"/>
      <c r="C2504" s="332"/>
      <c r="D2504" s="332"/>
      <c r="E2504" s="333"/>
      <c r="F2504" s="333"/>
      <c r="R2504" s="316"/>
      <c r="S2504" s="404"/>
      <c r="T2504" s="404"/>
      <c r="U2504" s="404"/>
      <c r="V2504" s="404"/>
      <c r="W2504" s="316"/>
      <c r="X2504" s="316"/>
      <c r="Y2504" s="316"/>
      <c r="Z2504" s="316"/>
      <c r="AA2504" s="404"/>
      <c r="AB2504" s="404"/>
      <c r="AC2504" s="404"/>
      <c r="AD2504" s="404"/>
      <c r="AE2504" s="316"/>
      <c r="AF2504" s="316"/>
      <c r="AG2504" s="404"/>
      <c r="AH2504" s="316"/>
      <c r="AI2504" s="316"/>
      <c r="AJ2504" s="316"/>
      <c r="AK2504" s="316"/>
      <c r="AL2504" s="316"/>
      <c r="AM2504" s="416"/>
      <c r="AR2504" s="333"/>
      <c r="AS2504" s="333"/>
      <c r="AT2504" s="333"/>
      <c r="AU2504" s="333"/>
      <c r="AV2504" s="333"/>
    </row>
    <row r="2505" spans="2:48" s="330" customFormat="1" ht="28.15" customHeight="1" x14ac:dyDescent="0.25">
      <c r="B2505" s="331"/>
      <c r="C2505" s="332"/>
      <c r="D2505" s="332"/>
      <c r="E2505" s="333"/>
      <c r="F2505" s="333"/>
      <c r="R2505" s="316"/>
      <c r="S2505" s="404"/>
      <c r="T2505" s="404"/>
      <c r="U2505" s="404"/>
      <c r="V2505" s="404"/>
      <c r="W2505" s="316"/>
      <c r="X2505" s="316"/>
      <c r="Y2505" s="316"/>
      <c r="Z2505" s="316"/>
      <c r="AA2505" s="404"/>
      <c r="AB2505" s="404"/>
      <c r="AC2505" s="404"/>
      <c r="AD2505" s="404"/>
      <c r="AE2505" s="316"/>
      <c r="AF2505" s="316"/>
      <c r="AG2505" s="404"/>
      <c r="AH2505" s="316"/>
      <c r="AI2505" s="316"/>
      <c r="AJ2505" s="316"/>
      <c r="AK2505" s="316"/>
      <c r="AL2505" s="316"/>
      <c r="AM2505" s="416"/>
      <c r="AR2505" s="333"/>
      <c r="AS2505" s="333"/>
      <c r="AT2505" s="333"/>
      <c r="AU2505" s="333"/>
      <c r="AV2505" s="333"/>
    </row>
    <row r="2506" spans="2:48" s="330" customFormat="1" ht="28.15" customHeight="1" x14ac:dyDescent="0.25">
      <c r="B2506" s="331"/>
      <c r="C2506" s="332"/>
      <c r="D2506" s="332"/>
      <c r="E2506" s="333"/>
      <c r="F2506" s="333"/>
      <c r="R2506" s="316"/>
      <c r="S2506" s="404"/>
      <c r="T2506" s="404"/>
      <c r="U2506" s="404"/>
      <c r="V2506" s="404"/>
      <c r="W2506" s="316"/>
      <c r="X2506" s="316"/>
      <c r="Y2506" s="316"/>
      <c r="Z2506" s="316"/>
      <c r="AA2506" s="404"/>
      <c r="AB2506" s="404"/>
      <c r="AC2506" s="404"/>
      <c r="AD2506" s="404"/>
      <c r="AE2506" s="316"/>
      <c r="AF2506" s="316"/>
      <c r="AG2506" s="404"/>
      <c r="AH2506" s="316"/>
      <c r="AI2506" s="316"/>
      <c r="AJ2506" s="316"/>
      <c r="AK2506" s="316"/>
      <c r="AL2506" s="316"/>
      <c r="AM2506" s="416"/>
      <c r="AR2506" s="333"/>
      <c r="AS2506" s="333"/>
      <c r="AT2506" s="333"/>
      <c r="AU2506" s="333"/>
      <c r="AV2506" s="333"/>
    </row>
    <row r="2507" spans="2:48" s="330" customFormat="1" ht="28.15" customHeight="1" x14ac:dyDescent="0.25">
      <c r="B2507" s="331"/>
      <c r="C2507" s="332"/>
      <c r="D2507" s="332"/>
      <c r="E2507" s="333"/>
      <c r="F2507" s="333"/>
      <c r="R2507" s="316"/>
      <c r="S2507" s="404"/>
      <c r="T2507" s="404"/>
      <c r="U2507" s="404"/>
      <c r="V2507" s="404"/>
      <c r="W2507" s="316"/>
      <c r="X2507" s="316"/>
      <c r="Y2507" s="316"/>
      <c r="Z2507" s="316"/>
      <c r="AA2507" s="404"/>
      <c r="AB2507" s="404"/>
      <c r="AC2507" s="404"/>
      <c r="AD2507" s="404"/>
      <c r="AE2507" s="316"/>
      <c r="AF2507" s="316"/>
      <c r="AG2507" s="404"/>
      <c r="AH2507" s="316"/>
      <c r="AI2507" s="316"/>
      <c r="AJ2507" s="316"/>
      <c r="AK2507" s="316"/>
      <c r="AL2507" s="316"/>
      <c r="AM2507" s="416"/>
      <c r="AR2507" s="333"/>
      <c r="AS2507" s="333"/>
      <c r="AT2507" s="333"/>
      <c r="AU2507" s="333"/>
      <c r="AV2507" s="333"/>
    </row>
    <row r="2508" spans="2:48" s="330" customFormat="1" ht="28.15" customHeight="1" x14ac:dyDescent="0.25">
      <c r="B2508" s="331"/>
      <c r="C2508" s="332"/>
      <c r="D2508" s="332"/>
      <c r="E2508" s="333"/>
      <c r="F2508" s="333"/>
      <c r="R2508" s="316"/>
      <c r="S2508" s="404"/>
      <c r="T2508" s="404"/>
      <c r="U2508" s="404"/>
      <c r="V2508" s="404"/>
      <c r="W2508" s="316"/>
      <c r="X2508" s="316"/>
      <c r="Y2508" s="316"/>
      <c r="Z2508" s="316"/>
      <c r="AA2508" s="404"/>
      <c r="AB2508" s="404"/>
      <c r="AC2508" s="404"/>
      <c r="AD2508" s="404"/>
      <c r="AE2508" s="316"/>
      <c r="AF2508" s="316"/>
      <c r="AG2508" s="404"/>
      <c r="AH2508" s="316"/>
      <c r="AI2508" s="316"/>
      <c r="AJ2508" s="316"/>
      <c r="AK2508" s="316"/>
      <c r="AL2508" s="316"/>
      <c r="AM2508" s="416"/>
      <c r="AR2508" s="333"/>
      <c r="AS2508" s="333"/>
      <c r="AT2508" s="333"/>
      <c r="AU2508" s="333"/>
      <c r="AV2508" s="333"/>
    </row>
    <row r="2509" spans="2:48" s="330" customFormat="1" ht="28.15" customHeight="1" x14ac:dyDescent="0.25">
      <c r="B2509" s="331"/>
      <c r="C2509" s="332"/>
      <c r="D2509" s="332"/>
      <c r="E2509" s="333"/>
      <c r="F2509" s="333"/>
      <c r="R2509" s="316"/>
      <c r="S2509" s="404"/>
      <c r="T2509" s="404"/>
      <c r="U2509" s="404"/>
      <c r="V2509" s="404"/>
      <c r="W2509" s="316"/>
      <c r="X2509" s="316"/>
      <c r="Y2509" s="316"/>
      <c r="Z2509" s="316"/>
      <c r="AA2509" s="404"/>
      <c r="AB2509" s="404"/>
      <c r="AC2509" s="404"/>
      <c r="AD2509" s="404"/>
      <c r="AE2509" s="316"/>
      <c r="AF2509" s="316"/>
      <c r="AG2509" s="404"/>
      <c r="AH2509" s="316"/>
      <c r="AI2509" s="316"/>
      <c r="AJ2509" s="316"/>
      <c r="AK2509" s="316"/>
      <c r="AL2509" s="316"/>
      <c r="AM2509" s="416"/>
      <c r="AR2509" s="333"/>
      <c r="AS2509" s="333"/>
      <c r="AT2509" s="333"/>
      <c r="AU2509" s="333"/>
      <c r="AV2509" s="333"/>
    </row>
    <row r="2510" spans="2:48" s="330" customFormat="1" ht="28.15" customHeight="1" x14ac:dyDescent="0.25">
      <c r="B2510" s="331"/>
      <c r="C2510" s="332"/>
      <c r="D2510" s="332"/>
      <c r="E2510" s="333"/>
      <c r="F2510" s="333"/>
      <c r="R2510" s="316"/>
      <c r="S2510" s="404"/>
      <c r="T2510" s="404"/>
      <c r="U2510" s="404"/>
      <c r="V2510" s="404"/>
      <c r="W2510" s="316"/>
      <c r="X2510" s="316"/>
      <c r="Y2510" s="316"/>
      <c r="Z2510" s="316"/>
      <c r="AA2510" s="404"/>
      <c r="AB2510" s="404"/>
      <c r="AC2510" s="404"/>
      <c r="AD2510" s="404"/>
      <c r="AE2510" s="316"/>
      <c r="AF2510" s="316"/>
      <c r="AG2510" s="404"/>
      <c r="AH2510" s="316"/>
      <c r="AI2510" s="316"/>
      <c r="AJ2510" s="316"/>
      <c r="AK2510" s="316"/>
      <c r="AL2510" s="316"/>
      <c r="AM2510" s="416"/>
      <c r="AR2510" s="333"/>
      <c r="AS2510" s="333"/>
      <c r="AT2510" s="333"/>
      <c r="AU2510" s="333"/>
      <c r="AV2510" s="333"/>
    </row>
    <row r="2511" spans="2:48" s="330" customFormat="1" ht="28.15" customHeight="1" x14ac:dyDescent="0.25">
      <c r="B2511" s="331"/>
      <c r="C2511" s="332"/>
      <c r="D2511" s="332"/>
      <c r="E2511" s="333"/>
      <c r="F2511" s="333"/>
      <c r="R2511" s="316"/>
      <c r="S2511" s="404"/>
      <c r="T2511" s="404"/>
      <c r="U2511" s="404"/>
      <c r="V2511" s="404"/>
      <c r="W2511" s="316"/>
      <c r="X2511" s="316"/>
      <c r="Y2511" s="316"/>
      <c r="Z2511" s="316"/>
      <c r="AA2511" s="404"/>
      <c r="AB2511" s="404"/>
      <c r="AC2511" s="404"/>
      <c r="AD2511" s="404"/>
      <c r="AE2511" s="316"/>
      <c r="AF2511" s="316"/>
      <c r="AG2511" s="404"/>
      <c r="AH2511" s="316"/>
      <c r="AI2511" s="316"/>
      <c r="AJ2511" s="316"/>
      <c r="AK2511" s="316"/>
      <c r="AL2511" s="316"/>
      <c r="AM2511" s="416"/>
      <c r="AR2511" s="333"/>
      <c r="AS2511" s="333"/>
      <c r="AT2511" s="333"/>
      <c r="AU2511" s="333"/>
      <c r="AV2511" s="333"/>
    </row>
    <row r="2512" spans="2:48" s="330" customFormat="1" ht="28.15" customHeight="1" x14ac:dyDescent="0.25">
      <c r="B2512" s="331"/>
      <c r="C2512" s="332"/>
      <c r="D2512" s="332"/>
      <c r="E2512" s="333"/>
      <c r="F2512" s="333"/>
      <c r="R2512" s="316"/>
      <c r="S2512" s="404"/>
      <c r="T2512" s="404"/>
      <c r="U2512" s="404"/>
      <c r="V2512" s="404"/>
      <c r="W2512" s="316"/>
      <c r="X2512" s="316"/>
      <c r="Y2512" s="316"/>
      <c r="Z2512" s="316"/>
      <c r="AA2512" s="404"/>
      <c r="AB2512" s="404"/>
      <c r="AC2512" s="404"/>
      <c r="AD2512" s="404"/>
      <c r="AE2512" s="316"/>
      <c r="AF2512" s="316"/>
      <c r="AG2512" s="404"/>
      <c r="AH2512" s="316"/>
      <c r="AI2512" s="316"/>
      <c r="AJ2512" s="316"/>
      <c r="AK2512" s="316"/>
      <c r="AL2512" s="316"/>
      <c r="AM2512" s="416"/>
      <c r="AR2512" s="333"/>
      <c r="AS2512" s="333"/>
      <c r="AT2512" s="333"/>
      <c r="AU2512" s="333"/>
      <c r="AV2512" s="333"/>
    </row>
    <row r="2513" spans="2:48" s="330" customFormat="1" ht="28.15" customHeight="1" x14ac:dyDescent="0.25">
      <c r="B2513" s="331"/>
      <c r="C2513" s="332"/>
      <c r="D2513" s="332"/>
      <c r="E2513" s="333"/>
      <c r="F2513" s="333"/>
      <c r="R2513" s="316"/>
      <c r="S2513" s="404"/>
      <c r="T2513" s="404"/>
      <c r="U2513" s="404"/>
      <c r="V2513" s="404"/>
      <c r="W2513" s="316"/>
      <c r="X2513" s="316"/>
      <c r="Y2513" s="316"/>
      <c r="Z2513" s="316"/>
      <c r="AA2513" s="404"/>
      <c r="AB2513" s="404"/>
      <c r="AC2513" s="404"/>
      <c r="AD2513" s="404"/>
      <c r="AE2513" s="316"/>
      <c r="AF2513" s="316"/>
      <c r="AG2513" s="404"/>
      <c r="AH2513" s="316"/>
      <c r="AI2513" s="316"/>
      <c r="AJ2513" s="316"/>
      <c r="AK2513" s="316"/>
      <c r="AL2513" s="316"/>
      <c r="AM2513" s="416"/>
      <c r="AR2513" s="333"/>
      <c r="AS2513" s="333"/>
      <c r="AT2513" s="333"/>
      <c r="AU2513" s="333"/>
      <c r="AV2513" s="333"/>
    </row>
    <row r="2514" spans="2:48" s="330" customFormat="1" ht="28.15" customHeight="1" x14ac:dyDescent="0.25">
      <c r="B2514" s="331"/>
      <c r="C2514" s="332"/>
      <c r="D2514" s="332"/>
      <c r="E2514" s="333"/>
      <c r="F2514" s="333"/>
      <c r="R2514" s="316"/>
      <c r="S2514" s="404"/>
      <c r="T2514" s="404"/>
      <c r="U2514" s="404"/>
      <c r="V2514" s="404"/>
      <c r="W2514" s="316"/>
      <c r="X2514" s="316"/>
      <c r="Y2514" s="316"/>
      <c r="Z2514" s="316"/>
      <c r="AA2514" s="404"/>
      <c r="AB2514" s="404"/>
      <c r="AC2514" s="404"/>
      <c r="AD2514" s="404"/>
      <c r="AE2514" s="316"/>
      <c r="AF2514" s="316"/>
      <c r="AG2514" s="404"/>
      <c r="AH2514" s="316"/>
      <c r="AI2514" s="316"/>
      <c r="AJ2514" s="316"/>
      <c r="AK2514" s="316"/>
      <c r="AL2514" s="316"/>
      <c r="AM2514" s="416"/>
      <c r="AR2514" s="333"/>
      <c r="AS2514" s="333"/>
      <c r="AT2514" s="333"/>
      <c r="AU2514" s="333"/>
      <c r="AV2514" s="333"/>
    </row>
    <row r="2515" spans="2:48" s="330" customFormat="1" ht="28.15" customHeight="1" x14ac:dyDescent="0.25">
      <c r="B2515" s="331"/>
      <c r="C2515" s="332"/>
      <c r="D2515" s="332"/>
      <c r="E2515" s="333"/>
      <c r="F2515" s="333"/>
      <c r="R2515" s="316"/>
      <c r="S2515" s="404"/>
      <c r="T2515" s="404"/>
      <c r="U2515" s="404"/>
      <c r="V2515" s="404"/>
      <c r="W2515" s="316"/>
      <c r="X2515" s="316"/>
      <c r="Y2515" s="316"/>
      <c r="Z2515" s="316"/>
      <c r="AA2515" s="404"/>
      <c r="AB2515" s="404"/>
      <c r="AC2515" s="404"/>
      <c r="AD2515" s="404"/>
      <c r="AE2515" s="316"/>
      <c r="AF2515" s="316"/>
      <c r="AG2515" s="404"/>
      <c r="AH2515" s="316"/>
      <c r="AI2515" s="316"/>
      <c r="AJ2515" s="316"/>
      <c r="AK2515" s="316"/>
      <c r="AL2515" s="316"/>
      <c r="AM2515" s="416"/>
      <c r="AR2515" s="333"/>
      <c r="AS2515" s="333"/>
      <c r="AT2515" s="333"/>
      <c r="AU2515" s="333"/>
      <c r="AV2515" s="333"/>
    </row>
    <row r="2516" spans="2:48" s="330" customFormat="1" ht="28.15" customHeight="1" x14ac:dyDescent="0.25">
      <c r="B2516" s="331"/>
      <c r="C2516" s="332"/>
      <c r="D2516" s="332"/>
      <c r="E2516" s="333"/>
      <c r="F2516" s="333"/>
      <c r="R2516" s="316"/>
      <c r="S2516" s="404"/>
      <c r="T2516" s="404"/>
      <c r="U2516" s="404"/>
      <c r="V2516" s="404"/>
      <c r="W2516" s="316"/>
      <c r="X2516" s="316"/>
      <c r="Y2516" s="316"/>
      <c r="Z2516" s="316"/>
      <c r="AA2516" s="404"/>
      <c r="AB2516" s="404"/>
      <c r="AC2516" s="404"/>
      <c r="AD2516" s="404"/>
      <c r="AE2516" s="316"/>
      <c r="AF2516" s="316"/>
      <c r="AG2516" s="404"/>
      <c r="AH2516" s="316"/>
      <c r="AI2516" s="316"/>
      <c r="AJ2516" s="316"/>
      <c r="AK2516" s="316"/>
      <c r="AL2516" s="316"/>
      <c r="AM2516" s="416"/>
      <c r="AR2516" s="333"/>
      <c r="AS2516" s="333"/>
      <c r="AT2516" s="333"/>
      <c r="AU2516" s="333"/>
      <c r="AV2516" s="333"/>
    </row>
    <row r="2517" spans="2:48" s="330" customFormat="1" ht="28.15" customHeight="1" x14ac:dyDescent="0.25">
      <c r="B2517" s="331"/>
      <c r="C2517" s="332"/>
      <c r="D2517" s="332"/>
      <c r="E2517" s="333"/>
      <c r="F2517" s="333"/>
      <c r="R2517" s="316"/>
      <c r="S2517" s="404"/>
      <c r="T2517" s="404"/>
      <c r="U2517" s="404"/>
      <c r="V2517" s="404"/>
      <c r="W2517" s="316"/>
      <c r="X2517" s="316"/>
      <c r="Y2517" s="316"/>
      <c r="Z2517" s="316"/>
      <c r="AA2517" s="404"/>
      <c r="AB2517" s="404"/>
      <c r="AC2517" s="404"/>
      <c r="AD2517" s="404"/>
      <c r="AE2517" s="316"/>
      <c r="AF2517" s="316"/>
      <c r="AG2517" s="404"/>
      <c r="AH2517" s="316"/>
      <c r="AI2517" s="316"/>
      <c r="AJ2517" s="316"/>
      <c r="AK2517" s="316"/>
      <c r="AL2517" s="316"/>
      <c r="AM2517" s="416"/>
      <c r="AR2517" s="333"/>
      <c r="AS2517" s="333"/>
      <c r="AT2517" s="333"/>
      <c r="AU2517" s="333"/>
      <c r="AV2517" s="333"/>
    </row>
    <row r="2518" spans="2:48" s="330" customFormat="1" ht="28.15" customHeight="1" x14ac:dyDescent="0.25">
      <c r="B2518" s="331"/>
      <c r="C2518" s="332"/>
      <c r="D2518" s="332"/>
      <c r="E2518" s="333"/>
      <c r="F2518" s="333"/>
      <c r="R2518" s="316"/>
      <c r="S2518" s="404"/>
      <c r="T2518" s="404"/>
      <c r="U2518" s="404"/>
      <c r="V2518" s="404"/>
      <c r="W2518" s="316"/>
      <c r="X2518" s="316"/>
      <c r="Y2518" s="316"/>
      <c r="Z2518" s="316"/>
      <c r="AA2518" s="404"/>
      <c r="AB2518" s="404"/>
      <c r="AC2518" s="404"/>
      <c r="AD2518" s="404"/>
      <c r="AE2518" s="316"/>
      <c r="AF2518" s="316"/>
      <c r="AG2518" s="404"/>
      <c r="AH2518" s="316"/>
      <c r="AI2518" s="316"/>
      <c r="AJ2518" s="316"/>
      <c r="AK2518" s="316"/>
      <c r="AL2518" s="316"/>
      <c r="AM2518" s="416"/>
      <c r="AR2518" s="333"/>
      <c r="AS2518" s="333"/>
      <c r="AT2518" s="333"/>
      <c r="AU2518" s="333"/>
      <c r="AV2518" s="333"/>
    </row>
    <row r="2519" spans="2:48" s="330" customFormat="1" ht="28.15" customHeight="1" x14ac:dyDescent="0.25">
      <c r="B2519" s="331"/>
      <c r="C2519" s="332"/>
      <c r="D2519" s="332"/>
      <c r="E2519" s="333"/>
      <c r="F2519" s="333"/>
      <c r="R2519" s="316"/>
      <c r="S2519" s="404"/>
      <c r="T2519" s="404"/>
      <c r="U2519" s="404"/>
      <c r="V2519" s="404"/>
      <c r="W2519" s="316"/>
      <c r="X2519" s="316"/>
      <c r="Y2519" s="316"/>
      <c r="Z2519" s="316"/>
      <c r="AA2519" s="404"/>
      <c r="AB2519" s="404"/>
      <c r="AC2519" s="404"/>
      <c r="AD2519" s="404"/>
      <c r="AE2519" s="316"/>
      <c r="AF2519" s="316"/>
      <c r="AG2519" s="404"/>
      <c r="AH2519" s="316"/>
      <c r="AI2519" s="316"/>
      <c r="AJ2519" s="316"/>
      <c r="AK2519" s="316"/>
      <c r="AL2519" s="316"/>
      <c r="AM2519" s="416"/>
      <c r="AR2519" s="333"/>
      <c r="AS2519" s="333"/>
      <c r="AT2519" s="333"/>
      <c r="AU2519" s="333"/>
      <c r="AV2519" s="333"/>
    </row>
    <row r="2520" spans="2:48" s="330" customFormat="1" ht="28.15" customHeight="1" x14ac:dyDescent="0.25">
      <c r="B2520" s="331"/>
      <c r="C2520" s="332"/>
      <c r="D2520" s="332"/>
      <c r="E2520" s="333"/>
      <c r="F2520" s="333"/>
      <c r="R2520" s="316"/>
      <c r="S2520" s="404"/>
      <c r="T2520" s="404"/>
      <c r="U2520" s="404"/>
      <c r="V2520" s="404"/>
      <c r="W2520" s="316"/>
      <c r="X2520" s="316"/>
      <c r="Y2520" s="316"/>
      <c r="Z2520" s="316"/>
      <c r="AA2520" s="404"/>
      <c r="AB2520" s="404"/>
      <c r="AC2520" s="404"/>
      <c r="AD2520" s="404"/>
      <c r="AE2520" s="316"/>
      <c r="AF2520" s="316"/>
      <c r="AG2520" s="404"/>
      <c r="AH2520" s="316"/>
      <c r="AI2520" s="316"/>
      <c r="AJ2520" s="316"/>
      <c r="AK2520" s="316"/>
      <c r="AL2520" s="316"/>
      <c r="AM2520" s="416"/>
      <c r="AR2520" s="333"/>
      <c r="AS2520" s="333"/>
      <c r="AT2520" s="333"/>
      <c r="AU2520" s="333"/>
      <c r="AV2520" s="333"/>
    </row>
    <row r="2521" spans="2:48" s="330" customFormat="1" ht="28.15" customHeight="1" x14ac:dyDescent="0.25">
      <c r="B2521" s="331"/>
      <c r="C2521" s="332"/>
      <c r="D2521" s="332"/>
      <c r="E2521" s="333"/>
      <c r="F2521" s="333"/>
      <c r="R2521" s="316"/>
      <c r="S2521" s="404"/>
      <c r="T2521" s="404"/>
      <c r="U2521" s="404"/>
      <c r="V2521" s="404"/>
      <c r="W2521" s="316"/>
      <c r="X2521" s="316"/>
      <c r="Y2521" s="316"/>
      <c r="Z2521" s="316"/>
      <c r="AA2521" s="404"/>
      <c r="AB2521" s="404"/>
      <c r="AC2521" s="404"/>
      <c r="AD2521" s="404"/>
      <c r="AE2521" s="316"/>
      <c r="AF2521" s="316"/>
      <c r="AG2521" s="404"/>
      <c r="AH2521" s="316"/>
      <c r="AI2521" s="316"/>
      <c r="AJ2521" s="316"/>
      <c r="AK2521" s="316"/>
      <c r="AL2521" s="316"/>
      <c r="AM2521" s="416"/>
      <c r="AR2521" s="333"/>
      <c r="AS2521" s="333"/>
      <c r="AT2521" s="333"/>
      <c r="AU2521" s="333"/>
      <c r="AV2521" s="333"/>
    </row>
    <row r="2522" spans="2:48" s="330" customFormat="1" ht="28.15" customHeight="1" x14ac:dyDescent="0.25">
      <c r="B2522" s="331"/>
      <c r="C2522" s="332"/>
      <c r="D2522" s="332"/>
      <c r="E2522" s="333"/>
      <c r="F2522" s="333"/>
      <c r="R2522" s="316"/>
      <c r="S2522" s="404"/>
      <c r="T2522" s="404"/>
      <c r="U2522" s="404"/>
      <c r="V2522" s="404"/>
      <c r="W2522" s="316"/>
      <c r="X2522" s="316"/>
      <c r="Y2522" s="316"/>
      <c r="Z2522" s="316"/>
      <c r="AA2522" s="404"/>
      <c r="AB2522" s="404"/>
      <c r="AC2522" s="404"/>
      <c r="AD2522" s="404"/>
      <c r="AE2522" s="316"/>
      <c r="AF2522" s="316"/>
      <c r="AG2522" s="404"/>
      <c r="AH2522" s="316"/>
      <c r="AI2522" s="316"/>
      <c r="AJ2522" s="316"/>
      <c r="AK2522" s="316"/>
      <c r="AL2522" s="316"/>
      <c r="AM2522" s="416"/>
      <c r="AR2522" s="333"/>
      <c r="AS2522" s="333"/>
      <c r="AT2522" s="333"/>
      <c r="AU2522" s="333"/>
      <c r="AV2522" s="333"/>
    </row>
    <row r="2523" spans="2:48" s="330" customFormat="1" ht="28.15" customHeight="1" x14ac:dyDescent="0.25">
      <c r="B2523" s="331"/>
      <c r="C2523" s="332"/>
      <c r="D2523" s="332"/>
      <c r="E2523" s="333"/>
      <c r="F2523" s="333"/>
      <c r="R2523" s="316"/>
      <c r="S2523" s="404"/>
      <c r="T2523" s="404"/>
      <c r="U2523" s="404"/>
      <c r="V2523" s="404"/>
      <c r="W2523" s="316"/>
      <c r="X2523" s="316"/>
      <c r="Y2523" s="316"/>
      <c r="Z2523" s="316"/>
      <c r="AA2523" s="404"/>
      <c r="AB2523" s="404"/>
      <c r="AC2523" s="404"/>
      <c r="AD2523" s="404"/>
      <c r="AE2523" s="316"/>
      <c r="AF2523" s="316"/>
      <c r="AG2523" s="404"/>
      <c r="AH2523" s="316"/>
      <c r="AI2523" s="316"/>
      <c r="AJ2523" s="316"/>
      <c r="AK2523" s="316"/>
      <c r="AL2523" s="316"/>
      <c r="AM2523" s="416"/>
      <c r="AR2523" s="333"/>
      <c r="AS2523" s="333"/>
      <c r="AT2523" s="333"/>
      <c r="AU2523" s="333"/>
      <c r="AV2523" s="333"/>
    </row>
    <row r="2524" spans="2:48" s="330" customFormat="1" ht="28.15" customHeight="1" x14ac:dyDescent="0.25">
      <c r="B2524" s="331"/>
      <c r="C2524" s="332"/>
      <c r="D2524" s="332"/>
      <c r="E2524" s="333"/>
      <c r="F2524" s="333"/>
      <c r="R2524" s="316"/>
      <c r="S2524" s="404"/>
      <c r="T2524" s="404"/>
      <c r="U2524" s="404"/>
      <c r="V2524" s="404"/>
      <c r="W2524" s="316"/>
      <c r="X2524" s="316"/>
      <c r="Y2524" s="316"/>
      <c r="Z2524" s="316"/>
      <c r="AA2524" s="404"/>
      <c r="AB2524" s="404"/>
      <c r="AC2524" s="404"/>
      <c r="AD2524" s="404"/>
      <c r="AE2524" s="316"/>
      <c r="AF2524" s="316"/>
      <c r="AG2524" s="404"/>
      <c r="AH2524" s="316"/>
      <c r="AI2524" s="316"/>
      <c r="AJ2524" s="316"/>
      <c r="AK2524" s="316"/>
      <c r="AL2524" s="316"/>
      <c r="AM2524" s="416"/>
      <c r="AR2524" s="333"/>
      <c r="AS2524" s="333"/>
      <c r="AT2524" s="333"/>
      <c r="AU2524" s="333"/>
      <c r="AV2524" s="333"/>
    </row>
    <row r="2525" spans="2:48" s="330" customFormat="1" ht="28.15" customHeight="1" x14ac:dyDescent="0.25">
      <c r="B2525" s="331"/>
      <c r="C2525" s="332"/>
      <c r="D2525" s="332"/>
      <c r="E2525" s="333"/>
      <c r="F2525" s="333"/>
      <c r="R2525" s="316"/>
      <c r="S2525" s="404"/>
      <c r="T2525" s="404"/>
      <c r="U2525" s="404"/>
      <c r="V2525" s="404"/>
      <c r="W2525" s="316"/>
      <c r="X2525" s="316"/>
      <c r="Y2525" s="316"/>
      <c r="Z2525" s="316"/>
      <c r="AA2525" s="404"/>
      <c r="AB2525" s="404"/>
      <c r="AC2525" s="404"/>
      <c r="AD2525" s="404"/>
      <c r="AE2525" s="316"/>
      <c r="AF2525" s="316"/>
      <c r="AG2525" s="404"/>
      <c r="AH2525" s="316"/>
      <c r="AI2525" s="316"/>
      <c r="AJ2525" s="316"/>
      <c r="AK2525" s="316"/>
      <c r="AL2525" s="316"/>
      <c r="AM2525" s="416"/>
      <c r="AR2525" s="333"/>
      <c r="AS2525" s="333"/>
      <c r="AT2525" s="333"/>
      <c r="AU2525" s="333"/>
      <c r="AV2525" s="333"/>
    </row>
    <row r="2526" spans="2:48" s="330" customFormat="1" ht="28.15" customHeight="1" x14ac:dyDescent="0.25">
      <c r="B2526" s="331"/>
      <c r="C2526" s="332"/>
      <c r="D2526" s="332"/>
      <c r="E2526" s="333"/>
      <c r="F2526" s="333"/>
      <c r="R2526" s="316"/>
      <c r="S2526" s="404"/>
      <c r="T2526" s="404"/>
      <c r="U2526" s="404"/>
      <c r="V2526" s="404"/>
      <c r="W2526" s="316"/>
      <c r="X2526" s="316"/>
      <c r="Y2526" s="316"/>
      <c r="Z2526" s="316"/>
      <c r="AA2526" s="404"/>
      <c r="AB2526" s="404"/>
      <c r="AC2526" s="404"/>
      <c r="AD2526" s="404"/>
      <c r="AE2526" s="316"/>
      <c r="AF2526" s="316"/>
      <c r="AG2526" s="404"/>
      <c r="AH2526" s="316"/>
      <c r="AI2526" s="316"/>
      <c r="AJ2526" s="316"/>
      <c r="AK2526" s="316"/>
      <c r="AL2526" s="316"/>
      <c r="AM2526" s="416"/>
      <c r="AR2526" s="333"/>
      <c r="AS2526" s="333"/>
      <c r="AT2526" s="333"/>
      <c r="AU2526" s="333"/>
      <c r="AV2526" s="333"/>
    </row>
    <row r="2527" spans="2:48" s="330" customFormat="1" ht="28.15" customHeight="1" x14ac:dyDescent="0.25">
      <c r="B2527" s="331"/>
      <c r="C2527" s="332"/>
      <c r="D2527" s="332"/>
      <c r="E2527" s="333"/>
      <c r="F2527" s="333"/>
      <c r="R2527" s="316"/>
      <c r="S2527" s="404"/>
      <c r="T2527" s="404"/>
      <c r="U2527" s="404"/>
      <c r="V2527" s="404"/>
      <c r="W2527" s="316"/>
      <c r="X2527" s="316"/>
      <c r="Y2527" s="316"/>
      <c r="Z2527" s="316"/>
      <c r="AA2527" s="404"/>
      <c r="AB2527" s="404"/>
      <c r="AC2527" s="404"/>
      <c r="AD2527" s="404"/>
      <c r="AE2527" s="316"/>
      <c r="AF2527" s="316"/>
      <c r="AG2527" s="404"/>
      <c r="AH2527" s="316"/>
      <c r="AI2527" s="316"/>
      <c r="AJ2527" s="316"/>
      <c r="AK2527" s="316"/>
      <c r="AL2527" s="316"/>
      <c r="AM2527" s="416"/>
      <c r="AR2527" s="333"/>
      <c r="AS2527" s="333"/>
      <c r="AT2527" s="333"/>
      <c r="AU2527" s="333"/>
      <c r="AV2527" s="333"/>
    </row>
    <row r="2528" spans="2:48" s="330" customFormat="1" ht="28.15" customHeight="1" x14ac:dyDescent="0.25">
      <c r="B2528" s="331"/>
      <c r="C2528" s="332"/>
      <c r="D2528" s="332"/>
      <c r="E2528" s="333"/>
      <c r="F2528" s="333"/>
      <c r="R2528" s="316"/>
      <c r="S2528" s="404"/>
      <c r="T2528" s="404"/>
      <c r="U2528" s="404"/>
      <c r="V2528" s="404"/>
      <c r="W2528" s="316"/>
      <c r="X2528" s="316"/>
      <c r="Y2528" s="316"/>
      <c r="Z2528" s="316"/>
      <c r="AA2528" s="404"/>
      <c r="AB2528" s="404"/>
      <c r="AC2528" s="404"/>
      <c r="AD2528" s="404"/>
      <c r="AE2528" s="316"/>
      <c r="AF2528" s="316"/>
      <c r="AG2528" s="404"/>
      <c r="AH2528" s="316"/>
      <c r="AI2528" s="316"/>
      <c r="AJ2528" s="316"/>
      <c r="AK2528" s="316"/>
      <c r="AL2528" s="316"/>
      <c r="AM2528" s="416"/>
      <c r="AR2528" s="333"/>
      <c r="AS2528" s="333"/>
      <c r="AT2528" s="333"/>
      <c r="AU2528" s="333"/>
      <c r="AV2528" s="333"/>
    </row>
    <row r="2529" spans="2:48" s="330" customFormat="1" ht="28.15" customHeight="1" x14ac:dyDescent="0.25">
      <c r="B2529" s="331"/>
      <c r="C2529" s="332"/>
      <c r="D2529" s="332"/>
      <c r="E2529" s="333"/>
      <c r="F2529" s="333"/>
      <c r="R2529" s="316"/>
      <c r="S2529" s="404"/>
      <c r="T2529" s="404"/>
      <c r="U2529" s="404"/>
      <c r="V2529" s="404"/>
      <c r="W2529" s="316"/>
      <c r="X2529" s="316"/>
      <c r="Y2529" s="316"/>
      <c r="Z2529" s="316"/>
      <c r="AA2529" s="404"/>
      <c r="AB2529" s="404"/>
      <c r="AC2529" s="404"/>
      <c r="AD2529" s="404"/>
      <c r="AE2529" s="316"/>
      <c r="AF2529" s="316"/>
      <c r="AG2529" s="404"/>
      <c r="AH2529" s="316"/>
      <c r="AI2529" s="316"/>
      <c r="AJ2529" s="316"/>
      <c r="AK2529" s="316"/>
      <c r="AL2529" s="316"/>
      <c r="AM2529" s="416"/>
      <c r="AR2529" s="333"/>
      <c r="AS2529" s="333"/>
      <c r="AT2529" s="333"/>
      <c r="AU2529" s="333"/>
      <c r="AV2529" s="333"/>
    </row>
    <row r="2530" spans="2:48" s="330" customFormat="1" ht="28.15" customHeight="1" x14ac:dyDescent="0.25">
      <c r="B2530" s="331"/>
      <c r="C2530" s="332"/>
      <c r="D2530" s="332"/>
      <c r="E2530" s="333"/>
      <c r="F2530" s="333"/>
      <c r="R2530" s="316"/>
      <c r="S2530" s="404"/>
      <c r="T2530" s="404"/>
      <c r="U2530" s="404"/>
      <c r="V2530" s="404"/>
      <c r="W2530" s="316"/>
      <c r="X2530" s="316"/>
      <c r="Y2530" s="316"/>
      <c r="Z2530" s="316"/>
      <c r="AA2530" s="404"/>
      <c r="AB2530" s="404"/>
      <c r="AC2530" s="404"/>
      <c r="AD2530" s="404"/>
      <c r="AE2530" s="316"/>
      <c r="AF2530" s="316"/>
      <c r="AG2530" s="404"/>
      <c r="AH2530" s="316"/>
      <c r="AI2530" s="316"/>
      <c r="AJ2530" s="316"/>
      <c r="AK2530" s="316"/>
      <c r="AL2530" s="316"/>
      <c r="AM2530" s="416"/>
      <c r="AR2530" s="333"/>
      <c r="AS2530" s="333"/>
      <c r="AT2530" s="333"/>
      <c r="AU2530" s="333"/>
      <c r="AV2530" s="333"/>
    </row>
    <row r="2531" spans="2:48" s="330" customFormat="1" ht="28.15" customHeight="1" x14ac:dyDescent="0.25">
      <c r="B2531" s="331"/>
      <c r="C2531" s="332"/>
      <c r="D2531" s="332"/>
      <c r="E2531" s="333"/>
      <c r="F2531" s="333"/>
      <c r="R2531" s="316"/>
      <c r="S2531" s="404"/>
      <c r="T2531" s="404"/>
      <c r="U2531" s="404"/>
      <c r="V2531" s="404"/>
      <c r="W2531" s="316"/>
      <c r="X2531" s="316"/>
      <c r="Y2531" s="316"/>
      <c r="Z2531" s="316"/>
      <c r="AA2531" s="404"/>
      <c r="AB2531" s="404"/>
      <c r="AC2531" s="404"/>
      <c r="AD2531" s="404"/>
      <c r="AE2531" s="316"/>
      <c r="AF2531" s="316"/>
      <c r="AG2531" s="404"/>
      <c r="AH2531" s="316"/>
      <c r="AI2531" s="316"/>
      <c r="AJ2531" s="316"/>
      <c r="AK2531" s="316"/>
      <c r="AL2531" s="316"/>
      <c r="AM2531" s="416"/>
      <c r="AR2531" s="333"/>
      <c r="AS2531" s="333"/>
      <c r="AT2531" s="333"/>
      <c r="AU2531" s="333"/>
      <c r="AV2531" s="333"/>
    </row>
    <row r="2532" spans="2:48" s="330" customFormat="1" ht="28.15" customHeight="1" x14ac:dyDescent="0.25">
      <c r="B2532" s="331"/>
      <c r="C2532" s="332"/>
      <c r="D2532" s="332"/>
      <c r="E2532" s="333"/>
      <c r="F2532" s="333"/>
      <c r="R2532" s="316"/>
      <c r="S2532" s="404"/>
      <c r="T2532" s="404"/>
      <c r="U2532" s="404"/>
      <c r="V2532" s="404"/>
      <c r="W2532" s="316"/>
      <c r="X2532" s="316"/>
      <c r="Y2532" s="316"/>
      <c r="Z2532" s="316"/>
      <c r="AA2532" s="404"/>
      <c r="AB2532" s="404"/>
      <c r="AC2532" s="404"/>
      <c r="AD2532" s="404"/>
      <c r="AE2532" s="316"/>
      <c r="AF2532" s="316"/>
      <c r="AG2532" s="404"/>
      <c r="AH2532" s="316"/>
      <c r="AI2532" s="316"/>
      <c r="AJ2532" s="316"/>
      <c r="AK2532" s="316"/>
      <c r="AL2532" s="316"/>
      <c r="AM2532" s="416"/>
      <c r="AR2532" s="333"/>
      <c r="AS2532" s="333"/>
      <c r="AT2532" s="333"/>
      <c r="AU2532" s="333"/>
      <c r="AV2532" s="333"/>
    </row>
    <row r="2533" spans="2:48" s="330" customFormat="1" ht="28.15" customHeight="1" x14ac:dyDescent="0.25">
      <c r="B2533" s="331"/>
      <c r="C2533" s="332"/>
      <c r="D2533" s="332"/>
      <c r="E2533" s="333"/>
      <c r="F2533" s="333"/>
      <c r="R2533" s="316"/>
      <c r="S2533" s="404"/>
      <c r="T2533" s="404"/>
      <c r="U2533" s="404"/>
      <c r="V2533" s="404"/>
      <c r="W2533" s="316"/>
      <c r="X2533" s="316"/>
      <c r="Y2533" s="316"/>
      <c r="Z2533" s="316"/>
      <c r="AA2533" s="404"/>
      <c r="AB2533" s="404"/>
      <c r="AC2533" s="404"/>
      <c r="AD2533" s="404"/>
      <c r="AE2533" s="316"/>
      <c r="AF2533" s="316"/>
      <c r="AG2533" s="404"/>
      <c r="AH2533" s="316"/>
      <c r="AI2533" s="316"/>
      <c r="AJ2533" s="316"/>
      <c r="AK2533" s="316"/>
      <c r="AL2533" s="316"/>
      <c r="AM2533" s="416"/>
      <c r="AR2533" s="333"/>
      <c r="AS2533" s="333"/>
      <c r="AT2533" s="333"/>
      <c r="AU2533" s="333"/>
      <c r="AV2533" s="333"/>
    </row>
    <row r="2534" spans="2:48" s="330" customFormat="1" ht="28.15" customHeight="1" x14ac:dyDescent="0.25">
      <c r="B2534" s="331"/>
      <c r="C2534" s="332"/>
      <c r="D2534" s="332"/>
      <c r="E2534" s="333"/>
      <c r="F2534" s="333"/>
      <c r="R2534" s="316"/>
      <c r="S2534" s="404"/>
      <c r="T2534" s="404"/>
      <c r="U2534" s="404"/>
      <c r="V2534" s="404"/>
      <c r="W2534" s="316"/>
      <c r="X2534" s="316"/>
      <c r="Y2534" s="316"/>
      <c r="Z2534" s="316"/>
      <c r="AA2534" s="404"/>
      <c r="AB2534" s="404"/>
      <c r="AC2534" s="404"/>
      <c r="AD2534" s="404"/>
      <c r="AE2534" s="316"/>
      <c r="AF2534" s="316"/>
      <c r="AG2534" s="404"/>
      <c r="AH2534" s="316"/>
      <c r="AI2534" s="316"/>
      <c r="AJ2534" s="316"/>
      <c r="AK2534" s="316"/>
      <c r="AL2534" s="316"/>
      <c r="AM2534" s="416"/>
      <c r="AR2534" s="333"/>
      <c r="AS2534" s="333"/>
      <c r="AT2534" s="333"/>
      <c r="AU2534" s="333"/>
      <c r="AV2534" s="333"/>
    </row>
    <row r="2535" spans="2:48" s="330" customFormat="1" ht="28.15" customHeight="1" x14ac:dyDescent="0.25">
      <c r="B2535" s="331"/>
      <c r="C2535" s="332"/>
      <c r="D2535" s="332"/>
      <c r="E2535" s="333"/>
      <c r="F2535" s="333"/>
      <c r="R2535" s="316"/>
      <c r="S2535" s="404"/>
      <c r="T2535" s="404"/>
      <c r="U2535" s="404"/>
      <c r="V2535" s="404"/>
      <c r="W2535" s="316"/>
      <c r="X2535" s="316"/>
      <c r="Y2535" s="316"/>
      <c r="Z2535" s="316"/>
      <c r="AA2535" s="404"/>
      <c r="AB2535" s="404"/>
      <c r="AC2535" s="404"/>
      <c r="AD2535" s="404"/>
      <c r="AE2535" s="316"/>
      <c r="AF2535" s="316"/>
      <c r="AG2535" s="404"/>
      <c r="AH2535" s="316"/>
      <c r="AI2535" s="316"/>
      <c r="AJ2535" s="316"/>
      <c r="AK2535" s="316"/>
      <c r="AL2535" s="316"/>
      <c r="AM2535" s="416"/>
      <c r="AR2535" s="333"/>
      <c r="AS2535" s="333"/>
      <c r="AT2535" s="333"/>
      <c r="AU2535" s="333"/>
      <c r="AV2535" s="333"/>
    </row>
    <row r="2536" spans="2:48" s="330" customFormat="1" ht="28.15" customHeight="1" x14ac:dyDescent="0.25">
      <c r="B2536" s="331"/>
      <c r="C2536" s="332"/>
      <c r="D2536" s="332"/>
      <c r="E2536" s="333"/>
      <c r="F2536" s="333"/>
      <c r="R2536" s="316"/>
      <c r="S2536" s="404"/>
      <c r="T2536" s="404"/>
      <c r="U2536" s="404"/>
      <c r="V2536" s="404"/>
      <c r="W2536" s="316"/>
      <c r="X2536" s="316"/>
      <c r="Y2536" s="316"/>
      <c r="Z2536" s="316"/>
      <c r="AA2536" s="404"/>
      <c r="AB2536" s="404"/>
      <c r="AC2536" s="404"/>
      <c r="AD2536" s="404"/>
      <c r="AE2536" s="316"/>
      <c r="AF2536" s="316"/>
      <c r="AG2536" s="404"/>
      <c r="AH2536" s="316"/>
      <c r="AI2536" s="316"/>
      <c r="AJ2536" s="316"/>
      <c r="AK2536" s="316"/>
      <c r="AL2536" s="316"/>
      <c r="AM2536" s="416"/>
      <c r="AR2536" s="333"/>
      <c r="AS2536" s="333"/>
      <c r="AT2536" s="333"/>
      <c r="AU2536" s="333"/>
      <c r="AV2536" s="333"/>
    </row>
    <row r="2537" spans="2:48" s="330" customFormat="1" ht="28.15" customHeight="1" x14ac:dyDescent="0.25">
      <c r="B2537" s="331"/>
      <c r="C2537" s="332"/>
      <c r="D2537" s="332"/>
      <c r="E2537" s="333"/>
      <c r="F2537" s="333"/>
      <c r="R2537" s="316"/>
      <c r="S2537" s="404"/>
      <c r="T2537" s="404"/>
      <c r="U2537" s="404"/>
      <c r="V2537" s="404"/>
      <c r="W2537" s="316"/>
      <c r="X2537" s="316"/>
      <c r="Y2537" s="316"/>
      <c r="Z2537" s="316"/>
      <c r="AA2537" s="404"/>
      <c r="AB2537" s="404"/>
      <c r="AC2537" s="404"/>
      <c r="AD2537" s="404"/>
      <c r="AE2537" s="316"/>
      <c r="AF2537" s="316"/>
      <c r="AG2537" s="404"/>
      <c r="AH2537" s="316"/>
      <c r="AI2537" s="316"/>
      <c r="AJ2537" s="316"/>
      <c r="AK2537" s="316"/>
      <c r="AL2537" s="316"/>
      <c r="AM2537" s="416"/>
      <c r="AR2537" s="333"/>
      <c r="AS2537" s="333"/>
      <c r="AT2537" s="333"/>
      <c r="AU2537" s="333"/>
      <c r="AV2537" s="333"/>
    </row>
    <row r="2538" spans="2:48" s="330" customFormat="1" ht="28.15" customHeight="1" x14ac:dyDescent="0.25">
      <c r="B2538" s="331"/>
      <c r="C2538" s="332"/>
      <c r="D2538" s="332"/>
      <c r="E2538" s="333"/>
      <c r="F2538" s="333"/>
      <c r="R2538" s="316"/>
      <c r="S2538" s="404"/>
      <c r="T2538" s="404"/>
      <c r="U2538" s="404"/>
      <c r="V2538" s="404"/>
      <c r="W2538" s="316"/>
      <c r="X2538" s="316"/>
      <c r="Y2538" s="316"/>
      <c r="Z2538" s="316"/>
      <c r="AA2538" s="404"/>
      <c r="AB2538" s="404"/>
      <c r="AC2538" s="404"/>
      <c r="AD2538" s="404"/>
      <c r="AE2538" s="316"/>
      <c r="AF2538" s="316"/>
      <c r="AG2538" s="404"/>
      <c r="AH2538" s="316"/>
      <c r="AI2538" s="316"/>
      <c r="AJ2538" s="316"/>
      <c r="AK2538" s="316"/>
      <c r="AL2538" s="316"/>
      <c r="AM2538" s="416"/>
      <c r="AR2538" s="333"/>
      <c r="AS2538" s="333"/>
      <c r="AT2538" s="333"/>
      <c r="AU2538" s="333"/>
      <c r="AV2538" s="333"/>
    </row>
    <row r="2539" spans="2:48" s="330" customFormat="1" ht="28.15" customHeight="1" x14ac:dyDescent="0.25">
      <c r="B2539" s="331"/>
      <c r="C2539" s="332"/>
      <c r="D2539" s="332"/>
      <c r="E2539" s="333"/>
      <c r="F2539" s="333"/>
      <c r="R2539" s="316"/>
      <c r="S2539" s="404"/>
      <c r="T2539" s="404"/>
      <c r="U2539" s="404"/>
      <c r="V2539" s="404"/>
      <c r="W2539" s="316"/>
      <c r="X2539" s="316"/>
      <c r="Y2539" s="316"/>
      <c r="Z2539" s="316"/>
      <c r="AA2539" s="404"/>
      <c r="AB2539" s="404"/>
      <c r="AC2539" s="404"/>
      <c r="AD2539" s="404"/>
      <c r="AE2539" s="316"/>
      <c r="AF2539" s="316"/>
      <c r="AG2539" s="404"/>
      <c r="AH2539" s="316"/>
      <c r="AI2539" s="316"/>
      <c r="AJ2539" s="316"/>
      <c r="AK2539" s="316"/>
      <c r="AL2539" s="316"/>
      <c r="AM2539" s="416"/>
      <c r="AR2539" s="333"/>
      <c r="AS2539" s="333"/>
      <c r="AT2539" s="333"/>
      <c r="AU2539" s="333"/>
      <c r="AV2539" s="333"/>
    </row>
    <row r="2540" spans="2:48" s="330" customFormat="1" ht="28.15" customHeight="1" x14ac:dyDescent="0.25">
      <c r="B2540" s="331"/>
      <c r="C2540" s="332"/>
      <c r="D2540" s="332"/>
      <c r="E2540" s="333"/>
      <c r="F2540" s="333"/>
      <c r="R2540" s="316"/>
      <c r="S2540" s="404"/>
      <c r="T2540" s="404"/>
      <c r="U2540" s="404"/>
      <c r="V2540" s="404"/>
      <c r="W2540" s="316"/>
      <c r="X2540" s="316"/>
      <c r="Y2540" s="316"/>
      <c r="Z2540" s="316"/>
      <c r="AA2540" s="404"/>
      <c r="AB2540" s="404"/>
      <c r="AC2540" s="404"/>
      <c r="AD2540" s="404"/>
      <c r="AE2540" s="316"/>
      <c r="AF2540" s="316"/>
      <c r="AG2540" s="404"/>
      <c r="AH2540" s="316"/>
      <c r="AI2540" s="316"/>
      <c r="AJ2540" s="316"/>
      <c r="AK2540" s="316"/>
      <c r="AL2540" s="316"/>
      <c r="AM2540" s="416"/>
      <c r="AR2540" s="333"/>
      <c r="AS2540" s="333"/>
      <c r="AT2540" s="333"/>
      <c r="AU2540" s="333"/>
      <c r="AV2540" s="333"/>
    </row>
    <row r="2541" spans="2:48" s="330" customFormat="1" ht="28.15" customHeight="1" x14ac:dyDescent="0.25">
      <c r="B2541" s="331"/>
      <c r="C2541" s="332"/>
      <c r="D2541" s="332"/>
      <c r="E2541" s="333"/>
      <c r="F2541" s="333"/>
      <c r="R2541" s="316"/>
      <c r="S2541" s="404"/>
      <c r="T2541" s="404"/>
      <c r="U2541" s="404"/>
      <c r="V2541" s="404"/>
      <c r="W2541" s="316"/>
      <c r="X2541" s="316"/>
      <c r="Y2541" s="316"/>
      <c r="Z2541" s="316"/>
      <c r="AA2541" s="404"/>
      <c r="AB2541" s="404"/>
      <c r="AC2541" s="404"/>
      <c r="AD2541" s="404"/>
      <c r="AE2541" s="316"/>
      <c r="AF2541" s="316"/>
      <c r="AG2541" s="404"/>
      <c r="AH2541" s="316"/>
      <c r="AI2541" s="316"/>
      <c r="AJ2541" s="316"/>
      <c r="AK2541" s="316"/>
      <c r="AL2541" s="316"/>
      <c r="AM2541" s="416"/>
      <c r="AR2541" s="333"/>
      <c r="AS2541" s="333"/>
      <c r="AT2541" s="333"/>
      <c r="AU2541" s="333"/>
      <c r="AV2541" s="333"/>
    </row>
    <row r="2542" spans="2:48" s="330" customFormat="1" ht="28.15" customHeight="1" x14ac:dyDescent="0.25">
      <c r="B2542" s="331"/>
      <c r="C2542" s="332"/>
      <c r="D2542" s="332"/>
      <c r="E2542" s="333"/>
      <c r="F2542" s="333"/>
      <c r="R2542" s="316"/>
      <c r="S2542" s="404"/>
      <c r="T2542" s="404"/>
      <c r="U2542" s="404"/>
      <c r="V2542" s="404"/>
      <c r="W2542" s="316"/>
      <c r="X2542" s="316"/>
      <c r="Y2542" s="316"/>
      <c r="Z2542" s="316"/>
      <c r="AA2542" s="404"/>
      <c r="AB2542" s="404"/>
      <c r="AC2542" s="404"/>
      <c r="AD2542" s="404"/>
      <c r="AE2542" s="316"/>
      <c r="AF2542" s="316"/>
      <c r="AG2542" s="404"/>
      <c r="AH2542" s="316"/>
      <c r="AI2542" s="316"/>
      <c r="AJ2542" s="316"/>
      <c r="AK2542" s="316"/>
      <c r="AL2542" s="316"/>
      <c r="AM2542" s="416"/>
      <c r="AR2542" s="333"/>
      <c r="AS2542" s="333"/>
      <c r="AT2542" s="333"/>
      <c r="AU2542" s="333"/>
      <c r="AV2542" s="333"/>
    </row>
    <row r="2543" spans="2:48" s="330" customFormat="1" ht="28.15" customHeight="1" x14ac:dyDescent="0.25">
      <c r="B2543" s="331"/>
      <c r="C2543" s="332"/>
      <c r="D2543" s="332"/>
      <c r="E2543" s="333"/>
      <c r="F2543" s="333"/>
      <c r="R2543" s="316"/>
      <c r="S2543" s="404"/>
      <c r="T2543" s="404"/>
      <c r="U2543" s="404"/>
      <c r="V2543" s="404"/>
      <c r="W2543" s="316"/>
      <c r="X2543" s="316"/>
      <c r="Y2543" s="316"/>
      <c r="Z2543" s="316"/>
      <c r="AA2543" s="404"/>
      <c r="AB2543" s="404"/>
      <c r="AC2543" s="404"/>
      <c r="AD2543" s="404"/>
      <c r="AE2543" s="316"/>
      <c r="AF2543" s="316"/>
      <c r="AG2543" s="404"/>
      <c r="AH2543" s="316"/>
      <c r="AI2543" s="316"/>
      <c r="AJ2543" s="316"/>
      <c r="AK2543" s="316"/>
      <c r="AL2543" s="316"/>
      <c r="AM2543" s="416"/>
      <c r="AR2543" s="333"/>
      <c r="AS2543" s="333"/>
      <c r="AT2543" s="333"/>
      <c r="AU2543" s="333"/>
      <c r="AV2543" s="333"/>
    </row>
    <row r="2544" spans="2:48" s="330" customFormat="1" ht="28.15" customHeight="1" x14ac:dyDescent="0.25">
      <c r="B2544" s="331"/>
      <c r="C2544" s="332"/>
      <c r="D2544" s="332"/>
      <c r="E2544" s="333"/>
      <c r="F2544" s="333"/>
      <c r="R2544" s="316"/>
      <c r="S2544" s="404"/>
      <c r="T2544" s="404"/>
      <c r="U2544" s="404"/>
      <c r="V2544" s="404"/>
      <c r="W2544" s="316"/>
      <c r="X2544" s="316"/>
      <c r="Y2544" s="316"/>
      <c r="Z2544" s="316"/>
      <c r="AA2544" s="404"/>
      <c r="AB2544" s="404"/>
      <c r="AC2544" s="404"/>
      <c r="AD2544" s="404"/>
      <c r="AE2544" s="316"/>
      <c r="AF2544" s="316"/>
      <c r="AG2544" s="404"/>
      <c r="AH2544" s="316"/>
      <c r="AI2544" s="316"/>
      <c r="AJ2544" s="316"/>
      <c r="AK2544" s="316"/>
      <c r="AL2544" s="316"/>
      <c r="AM2544" s="416"/>
      <c r="AR2544" s="333"/>
      <c r="AS2544" s="333"/>
      <c r="AT2544" s="333"/>
      <c r="AU2544" s="333"/>
      <c r="AV2544" s="333"/>
    </row>
    <row r="2545" spans="2:48" s="330" customFormat="1" ht="28.15" customHeight="1" x14ac:dyDescent="0.25">
      <c r="B2545" s="331"/>
      <c r="C2545" s="332"/>
      <c r="D2545" s="332"/>
      <c r="E2545" s="333"/>
      <c r="F2545" s="333"/>
      <c r="R2545" s="316"/>
      <c r="S2545" s="404"/>
      <c r="T2545" s="404"/>
      <c r="U2545" s="404"/>
      <c r="V2545" s="404"/>
      <c r="W2545" s="316"/>
      <c r="X2545" s="316"/>
      <c r="Y2545" s="316"/>
      <c r="Z2545" s="316"/>
      <c r="AA2545" s="404"/>
      <c r="AB2545" s="404"/>
      <c r="AC2545" s="404"/>
      <c r="AD2545" s="404"/>
      <c r="AE2545" s="316"/>
      <c r="AF2545" s="316"/>
      <c r="AG2545" s="404"/>
      <c r="AH2545" s="316"/>
      <c r="AI2545" s="316"/>
      <c r="AJ2545" s="316"/>
      <c r="AK2545" s="316"/>
      <c r="AL2545" s="316"/>
      <c r="AM2545" s="416"/>
      <c r="AR2545" s="333"/>
      <c r="AS2545" s="333"/>
      <c r="AT2545" s="333"/>
      <c r="AU2545" s="333"/>
      <c r="AV2545" s="333"/>
    </row>
    <row r="2546" spans="2:48" s="330" customFormat="1" ht="28.15" customHeight="1" x14ac:dyDescent="0.25">
      <c r="B2546" s="331"/>
      <c r="C2546" s="332"/>
      <c r="D2546" s="332"/>
      <c r="E2546" s="333"/>
      <c r="F2546" s="333"/>
      <c r="R2546" s="316"/>
      <c r="S2546" s="404"/>
      <c r="T2546" s="404"/>
      <c r="U2546" s="404"/>
      <c r="V2546" s="404"/>
      <c r="W2546" s="316"/>
      <c r="X2546" s="316"/>
      <c r="Y2546" s="316"/>
      <c r="Z2546" s="316"/>
      <c r="AA2546" s="404"/>
      <c r="AB2546" s="404"/>
      <c r="AC2546" s="404"/>
      <c r="AD2546" s="404"/>
      <c r="AE2546" s="316"/>
      <c r="AF2546" s="316"/>
      <c r="AG2546" s="404"/>
      <c r="AH2546" s="316"/>
      <c r="AI2546" s="316"/>
      <c r="AJ2546" s="316"/>
      <c r="AK2546" s="316"/>
      <c r="AL2546" s="316"/>
      <c r="AM2546" s="416"/>
      <c r="AR2546" s="333"/>
      <c r="AS2546" s="333"/>
      <c r="AT2546" s="333"/>
      <c r="AU2546" s="333"/>
      <c r="AV2546" s="333"/>
    </row>
    <row r="2547" spans="2:48" s="330" customFormat="1" ht="28.15" customHeight="1" x14ac:dyDescent="0.25">
      <c r="B2547" s="331"/>
      <c r="C2547" s="332"/>
      <c r="D2547" s="332"/>
      <c r="E2547" s="333"/>
      <c r="F2547" s="333"/>
      <c r="R2547" s="316"/>
      <c r="S2547" s="404"/>
      <c r="T2547" s="404"/>
      <c r="U2547" s="404"/>
      <c r="V2547" s="404"/>
      <c r="W2547" s="316"/>
      <c r="X2547" s="316"/>
      <c r="Y2547" s="316"/>
      <c r="Z2547" s="316"/>
      <c r="AA2547" s="404"/>
      <c r="AB2547" s="404"/>
      <c r="AC2547" s="404"/>
      <c r="AD2547" s="404"/>
      <c r="AE2547" s="316"/>
      <c r="AF2547" s="316"/>
      <c r="AG2547" s="404"/>
      <c r="AH2547" s="316"/>
      <c r="AI2547" s="316"/>
      <c r="AJ2547" s="316"/>
      <c r="AK2547" s="316"/>
      <c r="AL2547" s="316"/>
      <c r="AM2547" s="416"/>
      <c r="AR2547" s="333"/>
      <c r="AS2547" s="333"/>
      <c r="AT2547" s="333"/>
      <c r="AU2547" s="333"/>
      <c r="AV2547" s="333"/>
    </row>
    <row r="2548" spans="2:48" s="330" customFormat="1" ht="28.15" customHeight="1" x14ac:dyDescent="0.25">
      <c r="B2548" s="331"/>
      <c r="C2548" s="332"/>
      <c r="D2548" s="332"/>
      <c r="E2548" s="333"/>
      <c r="F2548" s="333"/>
      <c r="R2548" s="316"/>
      <c r="S2548" s="404"/>
      <c r="T2548" s="404"/>
      <c r="U2548" s="404"/>
      <c r="V2548" s="404"/>
      <c r="W2548" s="316"/>
      <c r="X2548" s="316"/>
      <c r="Y2548" s="316"/>
      <c r="Z2548" s="316"/>
      <c r="AA2548" s="404"/>
      <c r="AB2548" s="404"/>
      <c r="AC2548" s="404"/>
      <c r="AD2548" s="404"/>
      <c r="AE2548" s="316"/>
      <c r="AF2548" s="316"/>
      <c r="AG2548" s="404"/>
      <c r="AH2548" s="316"/>
      <c r="AI2548" s="316"/>
      <c r="AJ2548" s="316"/>
      <c r="AK2548" s="316"/>
      <c r="AL2548" s="316"/>
      <c r="AM2548" s="416"/>
      <c r="AR2548" s="333"/>
      <c r="AS2548" s="333"/>
      <c r="AT2548" s="333"/>
      <c r="AU2548" s="333"/>
      <c r="AV2548" s="333"/>
    </row>
    <row r="2549" spans="2:48" s="330" customFormat="1" ht="28.15" customHeight="1" x14ac:dyDescent="0.25">
      <c r="B2549" s="331"/>
      <c r="C2549" s="332"/>
      <c r="D2549" s="332"/>
      <c r="E2549" s="333"/>
      <c r="F2549" s="333"/>
      <c r="R2549" s="316"/>
      <c r="S2549" s="404"/>
      <c r="T2549" s="404"/>
      <c r="U2549" s="404"/>
      <c r="V2549" s="404"/>
      <c r="W2549" s="316"/>
      <c r="X2549" s="316"/>
      <c r="Y2549" s="316"/>
      <c r="Z2549" s="316"/>
      <c r="AA2549" s="404"/>
      <c r="AB2549" s="404"/>
      <c r="AC2549" s="404"/>
      <c r="AD2549" s="404"/>
      <c r="AE2549" s="316"/>
      <c r="AF2549" s="316"/>
      <c r="AG2549" s="404"/>
      <c r="AH2549" s="316"/>
      <c r="AI2549" s="316"/>
      <c r="AJ2549" s="316"/>
      <c r="AK2549" s="316"/>
      <c r="AL2549" s="316"/>
      <c r="AM2549" s="416"/>
      <c r="AR2549" s="333"/>
      <c r="AS2549" s="333"/>
      <c r="AT2549" s="333"/>
      <c r="AU2549" s="333"/>
      <c r="AV2549" s="333"/>
    </row>
    <row r="2550" spans="2:48" s="330" customFormat="1" ht="28.15" customHeight="1" x14ac:dyDescent="0.25">
      <c r="B2550" s="331"/>
      <c r="C2550" s="332"/>
      <c r="D2550" s="332"/>
      <c r="E2550" s="333"/>
      <c r="F2550" s="333"/>
      <c r="R2550" s="316"/>
      <c r="S2550" s="404"/>
      <c r="T2550" s="404"/>
      <c r="U2550" s="404"/>
      <c r="V2550" s="404"/>
      <c r="W2550" s="316"/>
      <c r="X2550" s="316"/>
      <c r="Y2550" s="316"/>
      <c r="Z2550" s="316"/>
      <c r="AA2550" s="404"/>
      <c r="AB2550" s="404"/>
      <c r="AC2550" s="404"/>
      <c r="AD2550" s="404"/>
      <c r="AE2550" s="316"/>
      <c r="AF2550" s="316"/>
      <c r="AG2550" s="404"/>
      <c r="AH2550" s="316"/>
      <c r="AI2550" s="316"/>
      <c r="AJ2550" s="316"/>
      <c r="AK2550" s="316"/>
      <c r="AL2550" s="316"/>
      <c r="AM2550" s="416"/>
      <c r="AR2550" s="333"/>
      <c r="AS2550" s="333"/>
      <c r="AT2550" s="333"/>
      <c r="AU2550" s="333"/>
      <c r="AV2550" s="333"/>
    </row>
    <row r="2551" spans="2:48" s="330" customFormat="1" ht="28.15" customHeight="1" x14ac:dyDescent="0.25">
      <c r="B2551" s="331"/>
      <c r="C2551" s="332"/>
      <c r="D2551" s="332"/>
      <c r="E2551" s="333"/>
      <c r="F2551" s="333"/>
      <c r="R2551" s="316"/>
      <c r="S2551" s="404"/>
      <c r="T2551" s="404"/>
      <c r="U2551" s="404"/>
      <c r="V2551" s="404"/>
      <c r="W2551" s="316"/>
      <c r="X2551" s="316"/>
      <c r="Y2551" s="316"/>
      <c r="Z2551" s="316"/>
      <c r="AA2551" s="404"/>
      <c r="AB2551" s="404"/>
      <c r="AC2551" s="404"/>
      <c r="AD2551" s="404"/>
      <c r="AE2551" s="316"/>
      <c r="AF2551" s="316"/>
      <c r="AG2551" s="404"/>
      <c r="AH2551" s="316"/>
      <c r="AI2551" s="316"/>
      <c r="AJ2551" s="316"/>
      <c r="AK2551" s="316"/>
      <c r="AL2551" s="316"/>
      <c r="AM2551" s="416"/>
      <c r="AR2551" s="333"/>
      <c r="AS2551" s="333"/>
      <c r="AT2551" s="333"/>
      <c r="AU2551" s="333"/>
      <c r="AV2551" s="333"/>
    </row>
    <row r="2552" spans="2:48" s="330" customFormat="1" ht="28.15" customHeight="1" x14ac:dyDescent="0.25">
      <c r="B2552" s="331"/>
      <c r="C2552" s="332"/>
      <c r="D2552" s="332"/>
      <c r="E2552" s="333"/>
      <c r="F2552" s="333"/>
      <c r="R2552" s="316"/>
      <c r="S2552" s="404"/>
      <c r="T2552" s="404"/>
      <c r="U2552" s="404"/>
      <c r="V2552" s="404"/>
      <c r="W2552" s="316"/>
      <c r="X2552" s="316"/>
      <c r="Y2552" s="316"/>
      <c r="Z2552" s="316"/>
      <c r="AA2552" s="404"/>
      <c r="AB2552" s="404"/>
      <c r="AC2552" s="404"/>
      <c r="AD2552" s="404"/>
      <c r="AE2552" s="316"/>
      <c r="AF2552" s="316"/>
      <c r="AG2552" s="404"/>
      <c r="AH2552" s="316"/>
      <c r="AI2552" s="316"/>
      <c r="AJ2552" s="316"/>
      <c r="AK2552" s="316"/>
      <c r="AL2552" s="316"/>
      <c r="AM2552" s="416"/>
      <c r="AR2552" s="333"/>
      <c r="AS2552" s="333"/>
      <c r="AT2552" s="333"/>
      <c r="AU2552" s="333"/>
      <c r="AV2552" s="333"/>
    </row>
    <row r="2553" spans="2:48" s="330" customFormat="1" ht="28.15" customHeight="1" x14ac:dyDescent="0.25">
      <c r="B2553" s="331"/>
      <c r="C2553" s="332"/>
      <c r="D2553" s="332"/>
      <c r="E2553" s="333"/>
      <c r="F2553" s="333"/>
      <c r="R2553" s="316"/>
      <c r="S2553" s="404"/>
      <c r="T2553" s="404"/>
      <c r="U2553" s="404"/>
      <c r="V2553" s="404"/>
      <c r="W2553" s="316"/>
      <c r="X2553" s="316"/>
      <c r="Y2553" s="316"/>
      <c r="Z2553" s="316"/>
      <c r="AA2553" s="404"/>
      <c r="AB2553" s="404"/>
      <c r="AC2553" s="404"/>
      <c r="AD2553" s="404"/>
      <c r="AE2553" s="316"/>
      <c r="AF2553" s="316"/>
      <c r="AG2553" s="404"/>
      <c r="AH2553" s="316"/>
      <c r="AI2553" s="316"/>
      <c r="AJ2553" s="316"/>
      <c r="AK2553" s="316"/>
      <c r="AL2553" s="316"/>
      <c r="AM2553" s="416"/>
      <c r="AR2553" s="333"/>
      <c r="AS2553" s="333"/>
      <c r="AT2553" s="333"/>
      <c r="AU2553" s="333"/>
      <c r="AV2553" s="333"/>
    </row>
    <row r="2554" spans="2:48" s="330" customFormat="1" ht="28.15" customHeight="1" x14ac:dyDescent="0.25">
      <c r="B2554" s="331"/>
      <c r="C2554" s="332"/>
      <c r="D2554" s="332"/>
      <c r="E2554" s="333"/>
      <c r="F2554" s="333"/>
      <c r="R2554" s="316"/>
      <c r="S2554" s="404"/>
      <c r="T2554" s="404"/>
      <c r="U2554" s="404"/>
      <c r="V2554" s="404"/>
      <c r="W2554" s="316"/>
      <c r="X2554" s="316"/>
      <c r="Y2554" s="316"/>
      <c r="Z2554" s="316"/>
      <c r="AA2554" s="404"/>
      <c r="AB2554" s="404"/>
      <c r="AC2554" s="404"/>
      <c r="AD2554" s="404"/>
      <c r="AE2554" s="316"/>
      <c r="AF2554" s="316"/>
      <c r="AG2554" s="404"/>
      <c r="AH2554" s="316"/>
      <c r="AI2554" s="316"/>
      <c r="AJ2554" s="316"/>
      <c r="AK2554" s="316"/>
      <c r="AL2554" s="316"/>
      <c r="AM2554" s="416"/>
      <c r="AR2554" s="333"/>
      <c r="AS2554" s="333"/>
      <c r="AT2554" s="333"/>
      <c r="AU2554" s="333"/>
      <c r="AV2554" s="333"/>
    </row>
    <row r="2555" spans="2:48" s="330" customFormat="1" ht="28.15" customHeight="1" x14ac:dyDescent="0.25">
      <c r="B2555" s="331"/>
      <c r="C2555" s="332"/>
      <c r="D2555" s="332"/>
      <c r="E2555" s="333"/>
      <c r="F2555" s="333"/>
      <c r="R2555" s="316"/>
      <c r="S2555" s="404"/>
      <c r="T2555" s="404"/>
      <c r="U2555" s="404"/>
      <c r="V2555" s="404"/>
      <c r="W2555" s="316"/>
      <c r="X2555" s="316"/>
      <c r="Y2555" s="316"/>
      <c r="Z2555" s="316"/>
      <c r="AA2555" s="404"/>
      <c r="AB2555" s="404"/>
      <c r="AC2555" s="404"/>
      <c r="AD2555" s="404"/>
      <c r="AE2555" s="316"/>
      <c r="AF2555" s="316"/>
      <c r="AG2555" s="404"/>
      <c r="AH2555" s="316"/>
      <c r="AI2555" s="316"/>
      <c r="AJ2555" s="316"/>
      <c r="AK2555" s="316"/>
      <c r="AL2555" s="316"/>
      <c r="AM2555" s="416"/>
      <c r="AR2555" s="333"/>
      <c r="AS2555" s="333"/>
      <c r="AT2555" s="333"/>
      <c r="AU2555" s="333"/>
      <c r="AV2555" s="333"/>
    </row>
    <row r="2556" spans="2:48" s="330" customFormat="1" ht="28.15" customHeight="1" x14ac:dyDescent="0.25">
      <c r="B2556" s="331"/>
      <c r="C2556" s="332"/>
      <c r="D2556" s="332"/>
      <c r="E2556" s="333"/>
      <c r="F2556" s="333"/>
      <c r="R2556" s="316"/>
      <c r="S2556" s="404"/>
      <c r="T2556" s="404"/>
      <c r="U2556" s="404"/>
      <c r="V2556" s="404"/>
      <c r="W2556" s="316"/>
      <c r="X2556" s="316"/>
      <c r="Y2556" s="316"/>
      <c r="Z2556" s="316"/>
      <c r="AA2556" s="404"/>
      <c r="AB2556" s="404"/>
      <c r="AC2556" s="404"/>
      <c r="AD2556" s="404"/>
      <c r="AE2556" s="316"/>
      <c r="AF2556" s="316"/>
      <c r="AG2556" s="404"/>
      <c r="AH2556" s="316"/>
      <c r="AI2556" s="316"/>
      <c r="AJ2556" s="316"/>
      <c r="AK2556" s="316"/>
      <c r="AL2556" s="316"/>
      <c r="AM2556" s="416"/>
      <c r="AR2556" s="333"/>
      <c r="AS2556" s="333"/>
      <c r="AT2556" s="333"/>
      <c r="AU2556" s="333"/>
      <c r="AV2556" s="333"/>
    </row>
    <row r="2557" spans="2:48" s="330" customFormat="1" ht="28.15" customHeight="1" x14ac:dyDescent="0.25">
      <c r="B2557" s="331"/>
      <c r="C2557" s="332"/>
      <c r="D2557" s="332"/>
      <c r="E2557" s="333"/>
      <c r="F2557" s="333"/>
      <c r="R2557" s="316"/>
      <c r="S2557" s="404"/>
      <c r="T2557" s="404"/>
      <c r="U2557" s="404"/>
      <c r="V2557" s="404"/>
      <c r="W2557" s="316"/>
      <c r="X2557" s="316"/>
      <c r="Y2557" s="316"/>
      <c r="Z2557" s="316"/>
      <c r="AA2557" s="404"/>
      <c r="AB2557" s="404"/>
      <c r="AC2557" s="404"/>
      <c r="AD2557" s="404"/>
      <c r="AE2557" s="316"/>
      <c r="AF2557" s="316"/>
      <c r="AG2557" s="404"/>
      <c r="AH2557" s="316"/>
      <c r="AI2557" s="316"/>
      <c r="AJ2557" s="316"/>
      <c r="AK2557" s="316"/>
      <c r="AL2557" s="316"/>
      <c r="AM2557" s="416"/>
      <c r="AR2557" s="333"/>
      <c r="AS2557" s="333"/>
      <c r="AT2557" s="333"/>
      <c r="AU2557" s="333"/>
      <c r="AV2557" s="333"/>
    </row>
    <row r="2558" spans="2:48" s="330" customFormat="1" ht="28.15" customHeight="1" x14ac:dyDescent="0.25">
      <c r="B2558" s="331"/>
      <c r="C2558" s="332"/>
      <c r="D2558" s="332"/>
      <c r="E2558" s="333"/>
      <c r="F2558" s="333"/>
      <c r="R2558" s="316"/>
      <c r="S2558" s="404"/>
      <c r="T2558" s="404"/>
      <c r="U2558" s="404"/>
      <c r="V2558" s="404"/>
      <c r="W2558" s="316"/>
      <c r="X2558" s="316"/>
      <c r="Y2558" s="316"/>
      <c r="Z2558" s="316"/>
      <c r="AA2558" s="404"/>
      <c r="AB2558" s="404"/>
      <c r="AC2558" s="404"/>
      <c r="AD2558" s="404"/>
      <c r="AE2558" s="316"/>
      <c r="AF2558" s="316"/>
      <c r="AG2558" s="404"/>
      <c r="AH2558" s="316"/>
      <c r="AI2558" s="316"/>
      <c r="AJ2558" s="316"/>
      <c r="AK2558" s="316"/>
      <c r="AL2558" s="316"/>
      <c r="AM2558" s="416"/>
      <c r="AR2558" s="333"/>
      <c r="AS2558" s="333"/>
      <c r="AT2558" s="333"/>
      <c r="AU2558" s="333"/>
      <c r="AV2558" s="333"/>
    </row>
    <row r="2559" spans="2:48" s="330" customFormat="1" ht="28.15" customHeight="1" x14ac:dyDescent="0.25">
      <c r="B2559" s="331"/>
      <c r="C2559" s="332"/>
      <c r="D2559" s="332"/>
      <c r="E2559" s="333"/>
      <c r="F2559" s="333"/>
      <c r="R2559" s="316"/>
      <c r="S2559" s="404"/>
      <c r="T2559" s="404"/>
      <c r="U2559" s="404"/>
      <c r="V2559" s="404"/>
      <c r="W2559" s="316"/>
      <c r="X2559" s="316"/>
      <c r="Y2559" s="316"/>
      <c r="Z2559" s="316"/>
      <c r="AA2559" s="404"/>
      <c r="AB2559" s="404"/>
      <c r="AC2559" s="404"/>
      <c r="AD2559" s="404"/>
      <c r="AE2559" s="316"/>
      <c r="AF2559" s="316"/>
      <c r="AG2559" s="404"/>
      <c r="AH2559" s="316"/>
      <c r="AI2559" s="316"/>
      <c r="AJ2559" s="316"/>
      <c r="AK2559" s="316"/>
      <c r="AL2559" s="316"/>
      <c r="AM2559" s="416"/>
      <c r="AR2559" s="333"/>
      <c r="AS2559" s="333"/>
      <c r="AT2559" s="333"/>
      <c r="AU2559" s="333"/>
      <c r="AV2559" s="333"/>
    </row>
    <row r="2560" spans="2:48" s="330" customFormat="1" ht="28.15" customHeight="1" x14ac:dyDescent="0.25">
      <c r="B2560" s="331"/>
      <c r="C2560" s="332"/>
      <c r="D2560" s="332"/>
      <c r="E2560" s="333"/>
      <c r="F2560" s="333"/>
      <c r="R2560" s="316"/>
      <c r="S2560" s="404"/>
      <c r="T2560" s="404"/>
      <c r="U2560" s="404"/>
      <c r="V2560" s="404"/>
      <c r="W2560" s="316"/>
      <c r="X2560" s="316"/>
      <c r="Y2560" s="316"/>
      <c r="Z2560" s="316"/>
      <c r="AA2560" s="404"/>
      <c r="AB2560" s="404"/>
      <c r="AC2560" s="404"/>
      <c r="AD2560" s="404"/>
      <c r="AE2560" s="316"/>
      <c r="AF2560" s="316"/>
      <c r="AG2560" s="404"/>
      <c r="AH2560" s="316"/>
      <c r="AI2560" s="316"/>
      <c r="AJ2560" s="316"/>
      <c r="AK2560" s="316"/>
      <c r="AL2560" s="316"/>
      <c r="AM2560" s="416"/>
      <c r="AR2560" s="333"/>
      <c r="AS2560" s="333"/>
      <c r="AT2560" s="333"/>
      <c r="AU2560" s="333"/>
      <c r="AV2560" s="333"/>
    </row>
    <row r="2561" spans="2:48" s="330" customFormat="1" ht="28.15" customHeight="1" x14ac:dyDescent="0.25">
      <c r="B2561" s="331"/>
      <c r="C2561" s="332"/>
      <c r="D2561" s="332"/>
      <c r="E2561" s="333"/>
      <c r="F2561" s="333"/>
      <c r="R2561" s="316"/>
      <c r="S2561" s="404"/>
      <c r="T2561" s="404"/>
      <c r="U2561" s="404"/>
      <c r="V2561" s="404"/>
      <c r="W2561" s="316"/>
      <c r="X2561" s="316"/>
      <c r="Y2561" s="316"/>
      <c r="Z2561" s="316"/>
      <c r="AA2561" s="404"/>
      <c r="AB2561" s="404"/>
      <c r="AC2561" s="404"/>
      <c r="AD2561" s="404"/>
      <c r="AE2561" s="316"/>
      <c r="AF2561" s="316"/>
      <c r="AG2561" s="404"/>
      <c r="AH2561" s="316"/>
      <c r="AI2561" s="316"/>
      <c r="AJ2561" s="316"/>
      <c r="AK2561" s="316"/>
      <c r="AL2561" s="316"/>
      <c r="AM2561" s="416"/>
      <c r="AR2561" s="333"/>
      <c r="AS2561" s="333"/>
      <c r="AT2561" s="333"/>
      <c r="AU2561" s="333"/>
      <c r="AV2561" s="333"/>
    </row>
    <row r="2562" spans="2:48" s="330" customFormat="1" ht="28.15" customHeight="1" x14ac:dyDescent="0.25">
      <c r="B2562" s="331"/>
      <c r="C2562" s="332"/>
      <c r="D2562" s="332"/>
      <c r="E2562" s="333"/>
      <c r="F2562" s="333"/>
      <c r="R2562" s="316"/>
      <c r="S2562" s="404"/>
      <c r="T2562" s="404"/>
      <c r="U2562" s="404"/>
      <c r="V2562" s="404"/>
      <c r="W2562" s="316"/>
      <c r="X2562" s="316"/>
      <c r="Y2562" s="316"/>
      <c r="Z2562" s="316"/>
      <c r="AA2562" s="404"/>
      <c r="AB2562" s="404"/>
      <c r="AC2562" s="404"/>
      <c r="AD2562" s="404"/>
      <c r="AE2562" s="316"/>
      <c r="AF2562" s="316"/>
      <c r="AG2562" s="404"/>
      <c r="AH2562" s="316"/>
      <c r="AI2562" s="316"/>
      <c r="AJ2562" s="316"/>
      <c r="AK2562" s="316"/>
      <c r="AL2562" s="316"/>
      <c r="AM2562" s="416"/>
      <c r="AR2562" s="333"/>
      <c r="AS2562" s="333"/>
      <c r="AT2562" s="333"/>
      <c r="AU2562" s="333"/>
      <c r="AV2562" s="333"/>
    </row>
    <row r="2563" spans="2:48" s="330" customFormat="1" ht="28.15" customHeight="1" x14ac:dyDescent="0.25">
      <c r="B2563" s="331"/>
      <c r="C2563" s="332"/>
      <c r="D2563" s="332"/>
      <c r="E2563" s="333"/>
      <c r="F2563" s="333"/>
      <c r="R2563" s="316"/>
      <c r="S2563" s="404"/>
      <c r="T2563" s="404"/>
      <c r="U2563" s="404"/>
      <c r="V2563" s="404"/>
      <c r="W2563" s="316"/>
      <c r="X2563" s="316"/>
      <c r="Y2563" s="316"/>
      <c r="Z2563" s="316"/>
      <c r="AA2563" s="404"/>
      <c r="AB2563" s="404"/>
      <c r="AC2563" s="404"/>
      <c r="AD2563" s="404"/>
      <c r="AE2563" s="316"/>
      <c r="AF2563" s="316"/>
      <c r="AG2563" s="404"/>
      <c r="AH2563" s="316"/>
      <c r="AI2563" s="316"/>
      <c r="AJ2563" s="316"/>
      <c r="AK2563" s="316"/>
      <c r="AL2563" s="316"/>
      <c r="AM2563" s="416"/>
      <c r="AR2563" s="333"/>
      <c r="AS2563" s="333"/>
      <c r="AT2563" s="333"/>
      <c r="AU2563" s="333"/>
      <c r="AV2563" s="333"/>
    </row>
    <row r="2564" spans="2:48" s="330" customFormat="1" ht="28.15" customHeight="1" x14ac:dyDescent="0.25">
      <c r="B2564" s="331"/>
      <c r="C2564" s="332"/>
      <c r="D2564" s="332"/>
      <c r="E2564" s="333"/>
      <c r="F2564" s="333"/>
      <c r="R2564" s="316"/>
      <c r="S2564" s="404"/>
      <c r="T2564" s="404"/>
      <c r="U2564" s="404"/>
      <c r="V2564" s="404"/>
      <c r="W2564" s="316"/>
      <c r="X2564" s="316"/>
      <c r="Y2564" s="316"/>
      <c r="Z2564" s="316"/>
      <c r="AA2564" s="404"/>
      <c r="AB2564" s="404"/>
      <c r="AC2564" s="404"/>
      <c r="AD2564" s="404"/>
      <c r="AE2564" s="316"/>
      <c r="AF2564" s="316"/>
      <c r="AG2564" s="404"/>
      <c r="AH2564" s="316"/>
      <c r="AI2564" s="316"/>
      <c r="AJ2564" s="316"/>
      <c r="AK2564" s="316"/>
      <c r="AL2564" s="316"/>
      <c r="AM2564" s="416"/>
      <c r="AR2564" s="333"/>
      <c r="AS2564" s="333"/>
      <c r="AT2564" s="333"/>
      <c r="AU2564" s="333"/>
      <c r="AV2564" s="333"/>
    </row>
    <row r="2565" spans="2:48" s="330" customFormat="1" ht="28.15" customHeight="1" x14ac:dyDescent="0.25">
      <c r="B2565" s="331"/>
      <c r="C2565" s="332"/>
      <c r="D2565" s="332"/>
      <c r="E2565" s="333"/>
      <c r="F2565" s="333"/>
      <c r="R2565" s="316"/>
      <c r="S2565" s="404"/>
      <c r="T2565" s="404"/>
      <c r="U2565" s="404"/>
      <c r="V2565" s="404"/>
      <c r="W2565" s="316"/>
      <c r="X2565" s="316"/>
      <c r="Y2565" s="316"/>
      <c r="Z2565" s="316"/>
      <c r="AA2565" s="404"/>
      <c r="AB2565" s="404"/>
      <c r="AC2565" s="404"/>
      <c r="AD2565" s="404"/>
      <c r="AE2565" s="316"/>
      <c r="AF2565" s="316"/>
      <c r="AG2565" s="404"/>
      <c r="AH2565" s="316"/>
      <c r="AI2565" s="316"/>
      <c r="AJ2565" s="316"/>
      <c r="AK2565" s="316"/>
      <c r="AL2565" s="316"/>
      <c r="AM2565" s="416"/>
      <c r="AR2565" s="333"/>
      <c r="AS2565" s="333"/>
      <c r="AT2565" s="333"/>
      <c r="AU2565" s="333"/>
      <c r="AV2565" s="333"/>
    </row>
    <row r="2566" spans="2:48" s="330" customFormat="1" ht="28.15" customHeight="1" x14ac:dyDescent="0.25">
      <c r="B2566" s="331"/>
      <c r="C2566" s="332"/>
      <c r="D2566" s="332"/>
      <c r="E2566" s="333"/>
      <c r="F2566" s="333"/>
      <c r="R2566" s="316"/>
      <c r="S2566" s="404"/>
      <c r="T2566" s="404"/>
      <c r="U2566" s="404"/>
      <c r="V2566" s="404"/>
      <c r="W2566" s="316"/>
      <c r="X2566" s="316"/>
      <c r="Y2566" s="316"/>
      <c r="Z2566" s="316"/>
      <c r="AA2566" s="404"/>
      <c r="AB2566" s="404"/>
      <c r="AC2566" s="404"/>
      <c r="AD2566" s="404"/>
      <c r="AE2566" s="316"/>
      <c r="AF2566" s="316"/>
      <c r="AG2566" s="404"/>
      <c r="AH2566" s="316"/>
      <c r="AI2566" s="316"/>
      <c r="AJ2566" s="316"/>
      <c r="AK2566" s="316"/>
      <c r="AL2566" s="316"/>
      <c r="AM2566" s="416"/>
      <c r="AR2566" s="333"/>
      <c r="AS2566" s="333"/>
      <c r="AT2566" s="333"/>
      <c r="AU2566" s="333"/>
      <c r="AV2566" s="333"/>
    </row>
    <row r="2567" spans="2:48" s="330" customFormat="1" ht="28.15" customHeight="1" x14ac:dyDescent="0.25">
      <c r="B2567" s="331"/>
      <c r="C2567" s="332"/>
      <c r="D2567" s="332"/>
      <c r="E2567" s="333"/>
      <c r="F2567" s="333"/>
      <c r="R2567" s="316"/>
      <c r="S2567" s="404"/>
      <c r="T2567" s="404"/>
      <c r="U2567" s="404"/>
      <c r="V2567" s="404"/>
      <c r="W2567" s="316"/>
      <c r="X2567" s="316"/>
      <c r="Y2567" s="316"/>
      <c r="Z2567" s="316"/>
      <c r="AA2567" s="404"/>
      <c r="AB2567" s="404"/>
      <c r="AC2567" s="404"/>
      <c r="AD2567" s="404"/>
      <c r="AE2567" s="316"/>
      <c r="AF2567" s="316"/>
      <c r="AG2567" s="404"/>
      <c r="AH2567" s="316"/>
      <c r="AI2567" s="316"/>
      <c r="AJ2567" s="316"/>
      <c r="AK2567" s="316"/>
      <c r="AL2567" s="316"/>
      <c r="AM2567" s="416"/>
      <c r="AR2567" s="333"/>
      <c r="AS2567" s="333"/>
      <c r="AT2567" s="333"/>
      <c r="AU2567" s="333"/>
      <c r="AV2567" s="333"/>
    </row>
    <row r="2568" spans="2:48" s="330" customFormat="1" ht="28.15" customHeight="1" x14ac:dyDescent="0.25">
      <c r="B2568" s="331"/>
      <c r="C2568" s="332"/>
      <c r="D2568" s="332"/>
      <c r="E2568" s="333"/>
      <c r="F2568" s="333"/>
      <c r="R2568" s="316"/>
      <c r="S2568" s="404"/>
      <c r="T2568" s="404"/>
      <c r="U2568" s="404"/>
      <c r="V2568" s="404"/>
      <c r="W2568" s="316"/>
      <c r="X2568" s="316"/>
      <c r="Y2568" s="316"/>
      <c r="Z2568" s="316"/>
      <c r="AA2568" s="404"/>
      <c r="AB2568" s="404"/>
      <c r="AC2568" s="404"/>
      <c r="AD2568" s="404"/>
      <c r="AE2568" s="316"/>
      <c r="AF2568" s="316"/>
      <c r="AG2568" s="404"/>
      <c r="AH2568" s="316"/>
      <c r="AI2568" s="316"/>
      <c r="AJ2568" s="316"/>
      <c r="AK2568" s="316"/>
      <c r="AL2568" s="316"/>
      <c r="AM2568" s="416"/>
      <c r="AR2568" s="333"/>
      <c r="AS2568" s="333"/>
      <c r="AT2568" s="333"/>
      <c r="AU2568" s="333"/>
      <c r="AV2568" s="333"/>
    </row>
    <row r="2569" spans="2:48" s="330" customFormat="1" ht="28.15" customHeight="1" x14ac:dyDescent="0.25">
      <c r="B2569" s="331"/>
      <c r="C2569" s="332"/>
      <c r="D2569" s="332"/>
      <c r="E2569" s="333"/>
      <c r="F2569" s="333"/>
      <c r="R2569" s="316"/>
      <c r="S2569" s="404"/>
      <c r="T2569" s="404"/>
      <c r="U2569" s="404"/>
      <c r="V2569" s="404"/>
      <c r="W2569" s="316"/>
      <c r="X2569" s="316"/>
      <c r="Y2569" s="316"/>
      <c r="Z2569" s="316"/>
      <c r="AA2569" s="404"/>
      <c r="AB2569" s="404"/>
      <c r="AC2569" s="404"/>
      <c r="AD2569" s="404"/>
      <c r="AE2569" s="316"/>
      <c r="AF2569" s="316"/>
      <c r="AG2569" s="404"/>
      <c r="AH2569" s="316"/>
      <c r="AI2569" s="316"/>
      <c r="AJ2569" s="316"/>
      <c r="AK2569" s="316"/>
      <c r="AL2569" s="316"/>
      <c r="AM2569" s="416"/>
      <c r="AR2569" s="333"/>
      <c r="AS2569" s="333"/>
      <c r="AT2569" s="333"/>
      <c r="AU2569" s="333"/>
      <c r="AV2569" s="333"/>
    </row>
    <row r="2570" spans="2:48" s="330" customFormat="1" ht="28.15" customHeight="1" x14ac:dyDescent="0.25">
      <c r="B2570" s="331"/>
      <c r="C2570" s="332"/>
      <c r="D2570" s="332"/>
      <c r="E2570" s="333"/>
      <c r="F2570" s="333"/>
      <c r="R2570" s="316"/>
      <c r="S2570" s="404"/>
      <c r="T2570" s="404"/>
      <c r="U2570" s="404"/>
      <c r="V2570" s="404"/>
      <c r="W2570" s="316"/>
      <c r="X2570" s="316"/>
      <c r="Y2570" s="316"/>
      <c r="Z2570" s="316"/>
      <c r="AA2570" s="404"/>
      <c r="AB2570" s="404"/>
      <c r="AC2570" s="404"/>
      <c r="AD2570" s="404"/>
      <c r="AE2570" s="316"/>
      <c r="AF2570" s="316"/>
      <c r="AG2570" s="404"/>
      <c r="AH2570" s="316"/>
      <c r="AI2570" s="316"/>
      <c r="AJ2570" s="316"/>
      <c r="AK2570" s="316"/>
      <c r="AL2570" s="316"/>
      <c r="AM2570" s="416"/>
      <c r="AR2570" s="333"/>
      <c r="AS2570" s="333"/>
      <c r="AT2570" s="333"/>
      <c r="AU2570" s="333"/>
      <c r="AV2570" s="333"/>
    </row>
    <row r="2571" spans="2:48" s="330" customFormat="1" ht="28.15" customHeight="1" x14ac:dyDescent="0.25">
      <c r="B2571" s="331"/>
      <c r="C2571" s="332"/>
      <c r="D2571" s="332"/>
      <c r="E2571" s="333"/>
      <c r="F2571" s="333"/>
      <c r="R2571" s="316"/>
      <c r="S2571" s="404"/>
      <c r="T2571" s="404"/>
      <c r="U2571" s="404"/>
      <c r="V2571" s="404"/>
      <c r="W2571" s="316"/>
      <c r="X2571" s="316"/>
      <c r="Y2571" s="316"/>
      <c r="Z2571" s="316"/>
      <c r="AA2571" s="404"/>
      <c r="AB2571" s="404"/>
      <c r="AC2571" s="404"/>
      <c r="AD2571" s="404"/>
      <c r="AE2571" s="316"/>
      <c r="AF2571" s="316"/>
      <c r="AG2571" s="404"/>
      <c r="AH2571" s="316"/>
      <c r="AI2571" s="316"/>
      <c r="AJ2571" s="316"/>
      <c r="AK2571" s="316"/>
      <c r="AL2571" s="316"/>
      <c r="AM2571" s="416"/>
      <c r="AR2571" s="333"/>
      <c r="AS2571" s="333"/>
      <c r="AT2571" s="333"/>
      <c r="AU2571" s="333"/>
      <c r="AV2571" s="333"/>
    </row>
    <row r="2572" spans="2:48" s="330" customFormat="1" ht="28.15" customHeight="1" x14ac:dyDescent="0.25">
      <c r="B2572" s="331"/>
      <c r="C2572" s="332"/>
      <c r="D2572" s="332"/>
      <c r="E2572" s="333"/>
      <c r="F2572" s="333"/>
      <c r="R2572" s="316"/>
      <c r="S2572" s="404"/>
      <c r="T2572" s="404"/>
      <c r="U2572" s="404"/>
      <c r="V2572" s="404"/>
      <c r="W2572" s="316"/>
      <c r="X2572" s="316"/>
      <c r="Y2572" s="316"/>
      <c r="Z2572" s="316"/>
      <c r="AA2572" s="404"/>
      <c r="AB2572" s="404"/>
      <c r="AC2572" s="404"/>
      <c r="AD2572" s="404"/>
      <c r="AE2572" s="316"/>
      <c r="AF2572" s="316"/>
      <c r="AG2572" s="404"/>
      <c r="AH2572" s="316"/>
      <c r="AI2572" s="316"/>
      <c r="AJ2572" s="316"/>
      <c r="AK2572" s="316"/>
      <c r="AL2572" s="316"/>
      <c r="AM2572" s="416"/>
      <c r="AR2572" s="333"/>
      <c r="AS2572" s="333"/>
      <c r="AT2572" s="333"/>
      <c r="AU2572" s="333"/>
      <c r="AV2572" s="333"/>
    </row>
    <row r="2573" spans="2:48" s="330" customFormat="1" ht="28.15" customHeight="1" x14ac:dyDescent="0.25">
      <c r="B2573" s="331"/>
      <c r="C2573" s="332"/>
      <c r="D2573" s="332"/>
      <c r="E2573" s="333"/>
      <c r="F2573" s="333"/>
      <c r="R2573" s="316"/>
      <c r="S2573" s="404"/>
      <c r="T2573" s="404"/>
      <c r="U2573" s="404"/>
      <c r="V2573" s="404"/>
      <c r="W2573" s="316"/>
      <c r="X2573" s="316"/>
      <c r="Y2573" s="316"/>
      <c r="Z2573" s="316"/>
      <c r="AA2573" s="404"/>
      <c r="AB2573" s="404"/>
      <c r="AC2573" s="404"/>
      <c r="AD2573" s="404"/>
      <c r="AE2573" s="316"/>
      <c r="AF2573" s="316"/>
      <c r="AG2573" s="404"/>
      <c r="AH2573" s="316"/>
      <c r="AI2573" s="316"/>
      <c r="AJ2573" s="316"/>
      <c r="AK2573" s="316"/>
      <c r="AL2573" s="316"/>
      <c r="AM2573" s="416"/>
      <c r="AR2573" s="333"/>
      <c r="AS2573" s="333"/>
      <c r="AT2573" s="333"/>
      <c r="AU2573" s="333"/>
      <c r="AV2573" s="333"/>
    </row>
    <row r="2574" spans="2:48" s="330" customFormat="1" ht="28.15" customHeight="1" x14ac:dyDescent="0.25">
      <c r="B2574" s="331"/>
      <c r="C2574" s="332"/>
      <c r="D2574" s="332"/>
      <c r="E2574" s="333"/>
      <c r="F2574" s="333"/>
      <c r="R2574" s="316"/>
      <c r="S2574" s="404"/>
      <c r="T2574" s="404"/>
      <c r="U2574" s="404"/>
      <c r="V2574" s="404"/>
      <c r="W2574" s="316"/>
      <c r="X2574" s="316"/>
      <c r="Y2574" s="316"/>
      <c r="Z2574" s="316"/>
      <c r="AA2574" s="404"/>
      <c r="AB2574" s="404"/>
      <c r="AC2574" s="404"/>
      <c r="AD2574" s="404"/>
      <c r="AE2574" s="316"/>
      <c r="AF2574" s="316"/>
      <c r="AG2574" s="404"/>
      <c r="AH2574" s="316"/>
      <c r="AI2574" s="316"/>
      <c r="AJ2574" s="316"/>
      <c r="AK2574" s="316"/>
      <c r="AL2574" s="316"/>
      <c r="AM2574" s="416"/>
      <c r="AR2574" s="333"/>
      <c r="AS2574" s="333"/>
      <c r="AT2574" s="333"/>
      <c r="AU2574" s="333"/>
      <c r="AV2574" s="333"/>
    </row>
    <row r="2575" spans="2:48" s="330" customFormat="1" ht="28.15" customHeight="1" x14ac:dyDescent="0.25">
      <c r="B2575" s="331"/>
      <c r="C2575" s="332"/>
      <c r="D2575" s="332"/>
      <c r="E2575" s="333"/>
      <c r="F2575" s="333"/>
      <c r="R2575" s="316"/>
      <c r="S2575" s="404"/>
      <c r="T2575" s="404"/>
      <c r="U2575" s="404"/>
      <c r="V2575" s="404"/>
      <c r="W2575" s="316"/>
      <c r="X2575" s="316"/>
      <c r="Y2575" s="316"/>
      <c r="Z2575" s="316"/>
      <c r="AA2575" s="404"/>
      <c r="AB2575" s="404"/>
      <c r="AC2575" s="404"/>
      <c r="AD2575" s="404"/>
      <c r="AE2575" s="316"/>
      <c r="AF2575" s="316"/>
      <c r="AG2575" s="404"/>
      <c r="AH2575" s="316"/>
      <c r="AI2575" s="316"/>
      <c r="AJ2575" s="316"/>
      <c r="AK2575" s="316"/>
      <c r="AL2575" s="316"/>
      <c r="AM2575" s="416"/>
      <c r="AR2575" s="333"/>
      <c r="AS2575" s="333"/>
      <c r="AT2575" s="333"/>
      <c r="AU2575" s="333"/>
      <c r="AV2575" s="333"/>
    </row>
    <row r="2576" spans="2:48" s="330" customFormat="1" ht="28.15" customHeight="1" x14ac:dyDescent="0.25">
      <c r="B2576" s="331"/>
      <c r="C2576" s="332"/>
      <c r="D2576" s="332"/>
      <c r="E2576" s="333"/>
      <c r="F2576" s="333"/>
      <c r="R2576" s="316"/>
      <c r="S2576" s="404"/>
      <c r="T2576" s="404"/>
      <c r="U2576" s="404"/>
      <c r="V2576" s="404"/>
      <c r="W2576" s="316"/>
      <c r="X2576" s="316"/>
      <c r="Y2576" s="316"/>
      <c r="Z2576" s="316"/>
      <c r="AA2576" s="404"/>
      <c r="AB2576" s="404"/>
      <c r="AC2576" s="404"/>
      <c r="AD2576" s="404"/>
      <c r="AE2576" s="316"/>
      <c r="AF2576" s="316"/>
      <c r="AG2576" s="404"/>
      <c r="AH2576" s="316"/>
      <c r="AI2576" s="316"/>
      <c r="AJ2576" s="316"/>
      <c r="AK2576" s="316"/>
      <c r="AL2576" s="316"/>
      <c r="AM2576" s="416"/>
      <c r="AR2576" s="333"/>
      <c r="AS2576" s="333"/>
      <c r="AT2576" s="333"/>
      <c r="AU2576" s="333"/>
      <c r="AV2576" s="333"/>
    </row>
    <row r="2577" spans="2:48" s="330" customFormat="1" ht="28.15" customHeight="1" x14ac:dyDescent="0.25">
      <c r="B2577" s="331"/>
      <c r="C2577" s="332"/>
      <c r="D2577" s="332"/>
      <c r="E2577" s="333"/>
      <c r="F2577" s="333"/>
      <c r="R2577" s="316"/>
      <c r="S2577" s="404"/>
      <c r="T2577" s="404"/>
      <c r="U2577" s="404"/>
      <c r="V2577" s="404"/>
      <c r="W2577" s="316"/>
      <c r="X2577" s="316"/>
      <c r="Y2577" s="316"/>
      <c r="Z2577" s="316"/>
      <c r="AA2577" s="404"/>
      <c r="AB2577" s="404"/>
      <c r="AC2577" s="404"/>
      <c r="AD2577" s="404"/>
      <c r="AE2577" s="316"/>
      <c r="AF2577" s="316"/>
      <c r="AG2577" s="404"/>
      <c r="AH2577" s="316"/>
      <c r="AI2577" s="316"/>
      <c r="AJ2577" s="316"/>
      <c r="AK2577" s="316"/>
      <c r="AL2577" s="316"/>
      <c r="AM2577" s="416"/>
      <c r="AR2577" s="333"/>
      <c r="AS2577" s="333"/>
      <c r="AT2577" s="333"/>
      <c r="AU2577" s="333"/>
      <c r="AV2577" s="333"/>
    </row>
    <row r="2578" spans="2:48" s="330" customFormat="1" ht="28.15" customHeight="1" x14ac:dyDescent="0.25">
      <c r="B2578" s="331"/>
      <c r="C2578" s="332"/>
      <c r="D2578" s="332"/>
      <c r="E2578" s="333"/>
      <c r="F2578" s="333"/>
      <c r="R2578" s="316"/>
      <c r="S2578" s="404"/>
      <c r="T2578" s="404"/>
      <c r="U2578" s="404"/>
      <c r="V2578" s="404"/>
      <c r="W2578" s="316"/>
      <c r="X2578" s="316"/>
      <c r="Y2578" s="316"/>
      <c r="Z2578" s="316"/>
      <c r="AA2578" s="404"/>
      <c r="AB2578" s="404"/>
      <c r="AC2578" s="404"/>
      <c r="AD2578" s="404"/>
      <c r="AE2578" s="316"/>
      <c r="AF2578" s="316"/>
      <c r="AG2578" s="404"/>
      <c r="AH2578" s="316"/>
      <c r="AI2578" s="316"/>
      <c r="AJ2578" s="316"/>
      <c r="AK2578" s="316"/>
      <c r="AL2578" s="316"/>
      <c r="AM2578" s="416"/>
      <c r="AR2578" s="333"/>
      <c r="AS2578" s="333"/>
      <c r="AT2578" s="333"/>
      <c r="AU2578" s="333"/>
      <c r="AV2578" s="333"/>
    </row>
    <row r="2579" spans="2:48" s="330" customFormat="1" ht="28.15" customHeight="1" x14ac:dyDescent="0.25">
      <c r="B2579" s="331"/>
      <c r="C2579" s="332"/>
      <c r="D2579" s="332"/>
      <c r="E2579" s="333"/>
      <c r="F2579" s="333"/>
      <c r="R2579" s="316"/>
      <c r="S2579" s="404"/>
      <c r="T2579" s="404"/>
      <c r="U2579" s="404"/>
      <c r="V2579" s="404"/>
      <c r="W2579" s="316"/>
      <c r="X2579" s="316"/>
      <c r="Y2579" s="316"/>
      <c r="Z2579" s="316"/>
      <c r="AA2579" s="404"/>
      <c r="AB2579" s="404"/>
      <c r="AC2579" s="404"/>
      <c r="AD2579" s="404"/>
      <c r="AE2579" s="316"/>
      <c r="AF2579" s="316"/>
      <c r="AG2579" s="404"/>
      <c r="AH2579" s="316"/>
      <c r="AI2579" s="316"/>
      <c r="AJ2579" s="316"/>
      <c r="AK2579" s="316"/>
      <c r="AL2579" s="316"/>
      <c r="AM2579" s="416"/>
      <c r="AR2579" s="333"/>
      <c r="AS2579" s="333"/>
      <c r="AT2579" s="333"/>
      <c r="AU2579" s="333"/>
      <c r="AV2579" s="333"/>
    </row>
    <row r="2580" spans="2:48" s="330" customFormat="1" ht="28.15" customHeight="1" x14ac:dyDescent="0.25">
      <c r="B2580" s="331"/>
      <c r="C2580" s="332"/>
      <c r="D2580" s="332"/>
      <c r="E2580" s="333"/>
      <c r="F2580" s="333"/>
      <c r="R2580" s="316"/>
      <c r="S2580" s="404"/>
      <c r="T2580" s="404"/>
      <c r="U2580" s="404"/>
      <c r="V2580" s="404"/>
      <c r="W2580" s="316"/>
      <c r="X2580" s="316"/>
      <c r="Y2580" s="316"/>
      <c r="Z2580" s="316"/>
      <c r="AA2580" s="404"/>
      <c r="AB2580" s="404"/>
      <c r="AC2580" s="404"/>
      <c r="AD2580" s="404"/>
      <c r="AE2580" s="316"/>
      <c r="AF2580" s="316"/>
      <c r="AG2580" s="404"/>
      <c r="AH2580" s="316"/>
      <c r="AI2580" s="316"/>
      <c r="AJ2580" s="316"/>
      <c r="AK2580" s="316"/>
      <c r="AL2580" s="316"/>
      <c r="AM2580" s="416"/>
      <c r="AR2580" s="333"/>
      <c r="AS2580" s="333"/>
      <c r="AT2580" s="333"/>
      <c r="AU2580" s="333"/>
      <c r="AV2580" s="333"/>
    </row>
    <row r="2581" spans="2:48" s="330" customFormat="1" ht="28.15" customHeight="1" x14ac:dyDescent="0.25">
      <c r="B2581" s="331"/>
      <c r="C2581" s="332"/>
      <c r="D2581" s="332"/>
      <c r="E2581" s="333"/>
      <c r="F2581" s="333"/>
      <c r="R2581" s="316"/>
      <c r="S2581" s="404"/>
      <c r="T2581" s="404"/>
      <c r="U2581" s="404"/>
      <c r="V2581" s="404"/>
      <c r="W2581" s="316"/>
      <c r="X2581" s="316"/>
      <c r="Y2581" s="316"/>
      <c r="Z2581" s="316"/>
      <c r="AA2581" s="404"/>
      <c r="AB2581" s="404"/>
      <c r="AC2581" s="404"/>
      <c r="AD2581" s="404"/>
      <c r="AE2581" s="316"/>
      <c r="AF2581" s="316"/>
      <c r="AG2581" s="404"/>
      <c r="AH2581" s="316"/>
      <c r="AI2581" s="316"/>
      <c r="AJ2581" s="316"/>
      <c r="AK2581" s="316"/>
      <c r="AL2581" s="316"/>
      <c r="AM2581" s="416"/>
      <c r="AR2581" s="333"/>
      <c r="AS2581" s="333"/>
      <c r="AT2581" s="333"/>
      <c r="AU2581" s="333"/>
      <c r="AV2581" s="333"/>
    </row>
    <row r="2582" spans="2:48" s="330" customFormat="1" ht="28.15" customHeight="1" x14ac:dyDescent="0.25">
      <c r="B2582" s="331"/>
      <c r="C2582" s="332"/>
      <c r="D2582" s="332"/>
      <c r="E2582" s="333"/>
      <c r="F2582" s="333"/>
      <c r="R2582" s="316"/>
      <c r="S2582" s="404"/>
      <c r="T2582" s="404"/>
      <c r="U2582" s="404"/>
      <c r="V2582" s="404"/>
      <c r="W2582" s="316"/>
      <c r="X2582" s="316"/>
      <c r="Y2582" s="316"/>
      <c r="Z2582" s="316"/>
      <c r="AA2582" s="404"/>
      <c r="AB2582" s="404"/>
      <c r="AC2582" s="404"/>
      <c r="AD2582" s="404"/>
      <c r="AE2582" s="316"/>
      <c r="AF2582" s="316"/>
      <c r="AG2582" s="404"/>
      <c r="AH2582" s="316"/>
      <c r="AI2582" s="316"/>
      <c r="AJ2582" s="316"/>
      <c r="AK2582" s="316"/>
      <c r="AL2582" s="316"/>
      <c r="AM2582" s="416"/>
      <c r="AR2582" s="333"/>
      <c r="AS2582" s="333"/>
      <c r="AT2582" s="333"/>
      <c r="AU2582" s="333"/>
      <c r="AV2582" s="333"/>
    </row>
    <row r="2583" spans="2:48" s="330" customFormat="1" ht="28.15" customHeight="1" x14ac:dyDescent="0.25">
      <c r="B2583" s="331"/>
      <c r="C2583" s="332"/>
      <c r="D2583" s="332"/>
      <c r="E2583" s="333"/>
      <c r="F2583" s="333"/>
      <c r="R2583" s="316"/>
      <c r="S2583" s="404"/>
      <c r="T2583" s="404"/>
      <c r="U2583" s="404"/>
      <c r="V2583" s="404"/>
      <c r="W2583" s="316"/>
      <c r="X2583" s="316"/>
      <c r="Y2583" s="316"/>
      <c r="Z2583" s="316"/>
      <c r="AA2583" s="404"/>
      <c r="AB2583" s="404"/>
      <c r="AC2583" s="404"/>
      <c r="AD2583" s="404"/>
      <c r="AE2583" s="316"/>
      <c r="AF2583" s="316"/>
      <c r="AG2583" s="404"/>
      <c r="AH2583" s="316"/>
      <c r="AI2583" s="316"/>
      <c r="AJ2583" s="316"/>
      <c r="AK2583" s="316"/>
      <c r="AL2583" s="316"/>
      <c r="AM2583" s="416"/>
      <c r="AR2583" s="333"/>
      <c r="AS2583" s="333"/>
      <c r="AT2583" s="333"/>
      <c r="AU2583" s="333"/>
      <c r="AV2583" s="333"/>
    </row>
    <row r="2584" spans="2:48" s="330" customFormat="1" ht="28.15" customHeight="1" x14ac:dyDescent="0.25">
      <c r="B2584" s="331"/>
      <c r="C2584" s="332"/>
      <c r="D2584" s="332"/>
      <c r="E2584" s="333"/>
      <c r="F2584" s="333"/>
      <c r="R2584" s="316"/>
      <c r="S2584" s="404"/>
      <c r="T2584" s="404"/>
      <c r="U2584" s="404"/>
      <c r="V2584" s="404"/>
      <c r="W2584" s="316"/>
      <c r="X2584" s="316"/>
      <c r="Y2584" s="316"/>
      <c r="Z2584" s="316"/>
      <c r="AA2584" s="404"/>
      <c r="AB2584" s="404"/>
      <c r="AC2584" s="404"/>
      <c r="AD2584" s="404"/>
      <c r="AE2584" s="316"/>
      <c r="AF2584" s="316"/>
      <c r="AG2584" s="404"/>
      <c r="AH2584" s="316"/>
      <c r="AI2584" s="316"/>
      <c r="AJ2584" s="316"/>
      <c r="AK2584" s="316"/>
      <c r="AL2584" s="316"/>
      <c r="AM2584" s="416"/>
      <c r="AR2584" s="333"/>
      <c r="AS2584" s="333"/>
      <c r="AT2584" s="333"/>
      <c r="AU2584" s="333"/>
      <c r="AV2584" s="333"/>
    </row>
    <row r="2585" spans="2:48" s="330" customFormat="1" ht="28.15" customHeight="1" x14ac:dyDescent="0.25">
      <c r="B2585" s="331"/>
      <c r="C2585" s="332"/>
      <c r="D2585" s="332"/>
      <c r="E2585" s="333"/>
      <c r="F2585" s="333"/>
      <c r="R2585" s="316"/>
      <c r="S2585" s="404"/>
      <c r="T2585" s="404"/>
      <c r="U2585" s="404"/>
      <c r="V2585" s="404"/>
      <c r="W2585" s="316"/>
      <c r="X2585" s="316"/>
      <c r="Y2585" s="316"/>
      <c r="Z2585" s="316"/>
      <c r="AA2585" s="404"/>
      <c r="AB2585" s="404"/>
      <c r="AC2585" s="404"/>
      <c r="AD2585" s="404"/>
      <c r="AE2585" s="316"/>
      <c r="AF2585" s="316"/>
      <c r="AG2585" s="404"/>
      <c r="AH2585" s="316"/>
      <c r="AI2585" s="316"/>
      <c r="AJ2585" s="316"/>
      <c r="AK2585" s="316"/>
      <c r="AL2585" s="316"/>
      <c r="AM2585" s="416"/>
      <c r="AR2585" s="333"/>
      <c r="AS2585" s="333"/>
      <c r="AT2585" s="333"/>
      <c r="AU2585" s="333"/>
      <c r="AV2585" s="333"/>
    </row>
    <row r="2586" spans="2:48" s="330" customFormat="1" ht="28.15" customHeight="1" x14ac:dyDescent="0.25">
      <c r="B2586" s="331"/>
      <c r="C2586" s="332"/>
      <c r="D2586" s="332"/>
      <c r="E2586" s="333"/>
      <c r="F2586" s="333"/>
      <c r="R2586" s="316"/>
      <c r="S2586" s="404"/>
      <c r="T2586" s="404"/>
      <c r="U2586" s="404"/>
      <c r="V2586" s="404"/>
      <c r="W2586" s="316"/>
      <c r="X2586" s="316"/>
      <c r="Y2586" s="316"/>
      <c r="Z2586" s="316"/>
      <c r="AA2586" s="404"/>
      <c r="AB2586" s="404"/>
      <c r="AC2586" s="404"/>
      <c r="AD2586" s="404"/>
      <c r="AE2586" s="316"/>
      <c r="AF2586" s="316"/>
      <c r="AG2586" s="404"/>
      <c r="AH2586" s="316"/>
      <c r="AI2586" s="316"/>
      <c r="AJ2586" s="316"/>
      <c r="AK2586" s="316"/>
      <c r="AL2586" s="316"/>
      <c r="AM2586" s="416"/>
      <c r="AR2586" s="333"/>
      <c r="AS2586" s="333"/>
      <c r="AT2586" s="333"/>
      <c r="AU2586" s="333"/>
      <c r="AV2586" s="333"/>
    </row>
    <row r="2587" spans="2:48" s="330" customFormat="1" ht="28.15" customHeight="1" x14ac:dyDescent="0.25">
      <c r="B2587" s="331"/>
      <c r="C2587" s="332"/>
      <c r="D2587" s="332"/>
      <c r="E2587" s="333"/>
      <c r="F2587" s="333"/>
      <c r="R2587" s="316"/>
      <c r="S2587" s="404"/>
      <c r="T2587" s="404"/>
      <c r="U2587" s="404"/>
      <c r="V2587" s="404"/>
      <c r="W2587" s="316"/>
      <c r="X2587" s="316"/>
      <c r="Y2587" s="316"/>
      <c r="Z2587" s="316"/>
      <c r="AA2587" s="404"/>
      <c r="AB2587" s="404"/>
      <c r="AC2587" s="404"/>
      <c r="AD2587" s="404"/>
      <c r="AE2587" s="316"/>
      <c r="AF2587" s="316"/>
      <c r="AG2587" s="404"/>
      <c r="AH2587" s="316"/>
      <c r="AI2587" s="316"/>
      <c r="AJ2587" s="316"/>
      <c r="AK2587" s="316"/>
      <c r="AL2587" s="316"/>
      <c r="AM2587" s="416"/>
      <c r="AR2587" s="333"/>
      <c r="AS2587" s="333"/>
      <c r="AT2587" s="333"/>
      <c r="AU2587" s="333"/>
      <c r="AV2587" s="333"/>
    </row>
    <row r="2588" spans="2:48" s="330" customFormat="1" ht="28.15" customHeight="1" x14ac:dyDescent="0.25">
      <c r="B2588" s="331"/>
      <c r="C2588" s="332"/>
      <c r="D2588" s="332"/>
      <c r="E2588" s="333"/>
      <c r="F2588" s="333"/>
      <c r="R2588" s="316"/>
      <c r="S2588" s="404"/>
      <c r="T2588" s="404"/>
      <c r="U2588" s="404"/>
      <c r="V2588" s="404"/>
      <c r="W2588" s="316"/>
      <c r="X2588" s="316"/>
      <c r="Y2588" s="316"/>
      <c r="Z2588" s="316"/>
      <c r="AA2588" s="404"/>
      <c r="AB2588" s="404"/>
      <c r="AC2588" s="404"/>
      <c r="AD2588" s="404"/>
      <c r="AE2588" s="316"/>
      <c r="AF2588" s="316"/>
      <c r="AG2588" s="404"/>
      <c r="AH2588" s="316"/>
      <c r="AI2588" s="316"/>
      <c r="AJ2588" s="316"/>
      <c r="AK2588" s="316"/>
      <c r="AL2588" s="316"/>
      <c r="AM2588" s="416"/>
      <c r="AR2588" s="333"/>
      <c r="AS2588" s="333"/>
      <c r="AT2588" s="333"/>
      <c r="AU2588" s="333"/>
      <c r="AV2588" s="333"/>
    </row>
    <row r="2589" spans="2:48" s="330" customFormat="1" ht="28.15" customHeight="1" x14ac:dyDescent="0.25">
      <c r="B2589" s="331"/>
      <c r="C2589" s="332"/>
      <c r="D2589" s="332"/>
      <c r="E2589" s="333"/>
      <c r="F2589" s="333"/>
      <c r="R2589" s="316"/>
      <c r="S2589" s="404"/>
      <c r="T2589" s="404"/>
      <c r="U2589" s="404"/>
      <c r="V2589" s="404"/>
      <c r="W2589" s="316"/>
      <c r="X2589" s="316"/>
      <c r="Y2589" s="316"/>
      <c r="Z2589" s="316"/>
      <c r="AA2589" s="404"/>
      <c r="AB2589" s="404"/>
      <c r="AC2589" s="404"/>
      <c r="AD2589" s="404"/>
      <c r="AE2589" s="316"/>
      <c r="AF2589" s="316"/>
      <c r="AG2589" s="404"/>
      <c r="AH2589" s="316"/>
      <c r="AI2589" s="316"/>
      <c r="AJ2589" s="316"/>
      <c r="AK2589" s="316"/>
      <c r="AL2589" s="316"/>
      <c r="AM2589" s="416"/>
      <c r="AR2589" s="333"/>
      <c r="AS2589" s="333"/>
      <c r="AT2589" s="333"/>
      <c r="AU2589" s="333"/>
      <c r="AV2589" s="333"/>
    </row>
    <row r="2590" spans="2:48" s="330" customFormat="1" ht="28.15" customHeight="1" x14ac:dyDescent="0.25">
      <c r="B2590" s="331"/>
      <c r="C2590" s="332"/>
      <c r="D2590" s="332"/>
      <c r="E2590" s="333"/>
      <c r="F2590" s="333"/>
      <c r="R2590" s="316"/>
      <c r="S2590" s="404"/>
      <c r="T2590" s="404"/>
      <c r="U2590" s="404"/>
      <c r="V2590" s="404"/>
      <c r="W2590" s="316"/>
      <c r="X2590" s="316"/>
      <c r="Y2590" s="316"/>
      <c r="Z2590" s="316"/>
      <c r="AA2590" s="404"/>
      <c r="AB2590" s="404"/>
      <c r="AC2590" s="404"/>
      <c r="AD2590" s="404"/>
      <c r="AE2590" s="316"/>
      <c r="AF2590" s="316"/>
      <c r="AG2590" s="404"/>
      <c r="AH2590" s="316"/>
      <c r="AI2590" s="316"/>
      <c r="AJ2590" s="316"/>
      <c r="AK2590" s="316"/>
      <c r="AL2590" s="316"/>
      <c r="AM2590" s="416"/>
      <c r="AR2590" s="333"/>
      <c r="AS2590" s="333"/>
      <c r="AT2590" s="333"/>
      <c r="AU2590" s="333"/>
      <c r="AV2590" s="333"/>
    </row>
    <row r="2591" spans="2:48" s="330" customFormat="1" ht="28.15" customHeight="1" x14ac:dyDescent="0.25">
      <c r="B2591" s="331"/>
      <c r="C2591" s="332"/>
      <c r="D2591" s="332"/>
      <c r="E2591" s="333"/>
      <c r="F2591" s="333"/>
      <c r="R2591" s="316"/>
      <c r="S2591" s="404"/>
      <c r="T2591" s="404"/>
      <c r="U2591" s="404"/>
      <c r="V2591" s="404"/>
      <c r="W2591" s="316"/>
      <c r="X2591" s="316"/>
      <c r="Y2591" s="316"/>
      <c r="Z2591" s="316"/>
      <c r="AA2591" s="404"/>
      <c r="AB2591" s="404"/>
      <c r="AC2591" s="404"/>
      <c r="AD2591" s="404"/>
      <c r="AE2591" s="316"/>
      <c r="AF2591" s="316"/>
      <c r="AG2591" s="404"/>
      <c r="AH2591" s="316"/>
      <c r="AI2591" s="316"/>
      <c r="AJ2591" s="316"/>
      <c r="AK2591" s="316"/>
      <c r="AL2591" s="316"/>
      <c r="AM2591" s="416"/>
      <c r="AR2591" s="333"/>
      <c r="AS2591" s="333"/>
      <c r="AT2591" s="333"/>
      <c r="AU2591" s="333"/>
      <c r="AV2591" s="333"/>
    </row>
    <row r="2592" spans="2:48" s="330" customFormat="1" ht="28.15" customHeight="1" x14ac:dyDescent="0.25">
      <c r="B2592" s="331"/>
      <c r="C2592" s="332"/>
      <c r="D2592" s="332"/>
      <c r="E2592" s="333"/>
      <c r="F2592" s="333"/>
      <c r="R2592" s="316"/>
      <c r="S2592" s="404"/>
      <c r="T2592" s="404"/>
      <c r="U2592" s="404"/>
      <c r="V2592" s="404"/>
      <c r="W2592" s="316"/>
      <c r="X2592" s="316"/>
      <c r="Y2592" s="316"/>
      <c r="Z2592" s="316"/>
      <c r="AA2592" s="404"/>
      <c r="AB2592" s="404"/>
      <c r="AC2592" s="404"/>
      <c r="AD2592" s="404"/>
      <c r="AE2592" s="316"/>
      <c r="AF2592" s="316"/>
      <c r="AG2592" s="404"/>
      <c r="AH2592" s="316"/>
      <c r="AI2592" s="316"/>
      <c r="AJ2592" s="316"/>
      <c r="AK2592" s="316"/>
      <c r="AL2592" s="316"/>
      <c r="AM2592" s="416"/>
      <c r="AR2592" s="333"/>
      <c r="AS2592" s="333"/>
      <c r="AT2592" s="333"/>
      <c r="AU2592" s="333"/>
      <c r="AV2592" s="333"/>
    </row>
    <row r="2593" spans="2:48" s="330" customFormat="1" ht="28.15" customHeight="1" x14ac:dyDescent="0.25">
      <c r="B2593" s="331"/>
      <c r="C2593" s="332"/>
      <c r="D2593" s="332"/>
      <c r="E2593" s="333"/>
      <c r="F2593" s="333"/>
      <c r="R2593" s="316"/>
      <c r="S2593" s="404"/>
      <c r="T2593" s="404"/>
      <c r="U2593" s="404"/>
      <c r="V2593" s="404"/>
      <c r="W2593" s="316"/>
      <c r="X2593" s="316"/>
      <c r="Y2593" s="316"/>
      <c r="Z2593" s="316"/>
      <c r="AA2593" s="404"/>
      <c r="AB2593" s="404"/>
      <c r="AC2593" s="404"/>
      <c r="AD2593" s="404"/>
      <c r="AE2593" s="316"/>
      <c r="AF2593" s="316"/>
      <c r="AG2593" s="404"/>
      <c r="AH2593" s="316"/>
      <c r="AI2593" s="316"/>
      <c r="AJ2593" s="316"/>
      <c r="AK2593" s="316"/>
      <c r="AL2593" s="316"/>
      <c r="AM2593" s="416"/>
      <c r="AR2593" s="333"/>
      <c r="AS2593" s="333"/>
      <c r="AT2593" s="333"/>
      <c r="AU2593" s="333"/>
      <c r="AV2593" s="333"/>
    </row>
    <row r="2594" spans="2:48" s="330" customFormat="1" ht="28.15" customHeight="1" x14ac:dyDescent="0.25">
      <c r="B2594" s="331"/>
      <c r="C2594" s="332"/>
      <c r="D2594" s="332"/>
      <c r="E2594" s="333"/>
      <c r="F2594" s="333"/>
      <c r="R2594" s="316"/>
      <c r="S2594" s="404"/>
      <c r="T2594" s="404"/>
      <c r="U2594" s="404"/>
      <c r="V2594" s="404"/>
      <c r="W2594" s="316"/>
      <c r="X2594" s="316"/>
      <c r="Y2594" s="316"/>
      <c r="Z2594" s="316"/>
      <c r="AA2594" s="404"/>
      <c r="AB2594" s="404"/>
      <c r="AC2594" s="404"/>
      <c r="AD2594" s="404"/>
      <c r="AE2594" s="316"/>
      <c r="AF2594" s="316"/>
      <c r="AG2594" s="404"/>
      <c r="AH2594" s="316"/>
      <c r="AI2594" s="316"/>
      <c r="AJ2594" s="316"/>
      <c r="AK2594" s="316"/>
      <c r="AL2594" s="316"/>
      <c r="AM2594" s="416"/>
      <c r="AR2594" s="333"/>
      <c r="AS2594" s="333"/>
      <c r="AT2594" s="333"/>
      <c r="AU2594" s="333"/>
      <c r="AV2594" s="333"/>
    </row>
    <row r="2595" spans="2:48" s="330" customFormat="1" ht="28.15" customHeight="1" x14ac:dyDescent="0.25">
      <c r="B2595" s="331"/>
      <c r="C2595" s="332"/>
      <c r="D2595" s="332"/>
      <c r="E2595" s="333"/>
      <c r="F2595" s="333"/>
      <c r="R2595" s="316"/>
      <c r="S2595" s="404"/>
      <c r="T2595" s="404"/>
      <c r="U2595" s="404"/>
      <c r="V2595" s="404"/>
      <c r="W2595" s="316"/>
      <c r="X2595" s="316"/>
      <c r="Y2595" s="316"/>
      <c r="Z2595" s="316"/>
      <c r="AA2595" s="404"/>
      <c r="AB2595" s="404"/>
      <c r="AC2595" s="404"/>
      <c r="AD2595" s="404"/>
      <c r="AE2595" s="316"/>
      <c r="AF2595" s="316"/>
      <c r="AG2595" s="404"/>
      <c r="AH2595" s="316"/>
      <c r="AI2595" s="316"/>
      <c r="AJ2595" s="316"/>
      <c r="AK2595" s="316"/>
      <c r="AL2595" s="316"/>
      <c r="AM2595" s="416"/>
      <c r="AR2595" s="333"/>
      <c r="AS2595" s="333"/>
      <c r="AT2595" s="333"/>
      <c r="AU2595" s="333"/>
      <c r="AV2595" s="333"/>
    </row>
    <row r="2596" spans="2:48" s="330" customFormat="1" ht="28.15" customHeight="1" x14ac:dyDescent="0.25">
      <c r="B2596" s="331"/>
      <c r="C2596" s="332"/>
      <c r="D2596" s="332"/>
      <c r="E2596" s="333"/>
      <c r="F2596" s="333"/>
      <c r="R2596" s="316"/>
      <c r="S2596" s="404"/>
      <c r="T2596" s="404"/>
      <c r="U2596" s="404"/>
      <c r="V2596" s="404"/>
      <c r="W2596" s="316"/>
      <c r="X2596" s="316"/>
      <c r="Y2596" s="316"/>
      <c r="Z2596" s="316"/>
      <c r="AA2596" s="404"/>
      <c r="AB2596" s="404"/>
      <c r="AC2596" s="404"/>
      <c r="AD2596" s="404"/>
      <c r="AE2596" s="316"/>
      <c r="AF2596" s="316"/>
      <c r="AG2596" s="404"/>
      <c r="AH2596" s="316"/>
      <c r="AI2596" s="316"/>
      <c r="AJ2596" s="316"/>
      <c r="AK2596" s="316"/>
      <c r="AL2596" s="316"/>
      <c r="AM2596" s="416"/>
      <c r="AR2596" s="333"/>
      <c r="AS2596" s="333"/>
      <c r="AT2596" s="333"/>
      <c r="AU2596" s="333"/>
      <c r="AV2596" s="333"/>
    </row>
    <row r="2597" spans="2:48" s="330" customFormat="1" ht="28.15" customHeight="1" x14ac:dyDescent="0.25">
      <c r="B2597" s="331"/>
      <c r="C2597" s="332"/>
      <c r="D2597" s="332"/>
      <c r="E2597" s="333"/>
      <c r="F2597" s="333"/>
      <c r="R2597" s="316"/>
      <c r="S2597" s="404"/>
      <c r="T2597" s="404"/>
      <c r="U2597" s="404"/>
      <c r="V2597" s="404"/>
      <c r="W2597" s="316"/>
      <c r="X2597" s="316"/>
      <c r="Y2597" s="316"/>
      <c r="Z2597" s="316"/>
      <c r="AA2597" s="404"/>
      <c r="AB2597" s="404"/>
      <c r="AC2597" s="404"/>
      <c r="AD2597" s="404"/>
      <c r="AE2597" s="316"/>
      <c r="AF2597" s="316"/>
      <c r="AG2597" s="404"/>
      <c r="AH2597" s="316"/>
      <c r="AI2597" s="316"/>
      <c r="AJ2597" s="316"/>
      <c r="AK2597" s="316"/>
      <c r="AL2597" s="316"/>
      <c r="AM2597" s="416"/>
      <c r="AR2597" s="333"/>
      <c r="AS2597" s="333"/>
      <c r="AT2597" s="333"/>
      <c r="AU2597" s="333"/>
      <c r="AV2597" s="333"/>
    </row>
    <row r="2598" spans="2:48" s="330" customFormat="1" ht="28.15" customHeight="1" x14ac:dyDescent="0.25">
      <c r="B2598" s="331"/>
      <c r="C2598" s="332"/>
      <c r="D2598" s="332"/>
      <c r="E2598" s="333"/>
      <c r="F2598" s="333"/>
      <c r="R2598" s="316"/>
      <c r="S2598" s="404"/>
      <c r="T2598" s="404"/>
      <c r="U2598" s="404"/>
      <c r="V2598" s="404"/>
      <c r="W2598" s="316"/>
      <c r="X2598" s="316"/>
      <c r="Y2598" s="316"/>
      <c r="Z2598" s="316"/>
      <c r="AA2598" s="404"/>
      <c r="AB2598" s="404"/>
      <c r="AC2598" s="404"/>
      <c r="AD2598" s="404"/>
      <c r="AE2598" s="316"/>
      <c r="AF2598" s="316"/>
      <c r="AG2598" s="404"/>
      <c r="AH2598" s="316"/>
      <c r="AI2598" s="316"/>
      <c r="AJ2598" s="316"/>
      <c r="AK2598" s="316"/>
      <c r="AL2598" s="316"/>
      <c r="AM2598" s="416"/>
      <c r="AR2598" s="333"/>
      <c r="AS2598" s="333"/>
      <c r="AT2598" s="333"/>
      <c r="AU2598" s="333"/>
      <c r="AV2598" s="333"/>
    </row>
    <row r="2599" spans="2:48" s="330" customFormat="1" ht="28.15" customHeight="1" x14ac:dyDescent="0.25">
      <c r="B2599" s="331"/>
      <c r="C2599" s="332"/>
      <c r="D2599" s="332"/>
      <c r="E2599" s="333"/>
      <c r="F2599" s="333"/>
      <c r="R2599" s="316"/>
      <c r="S2599" s="404"/>
      <c r="T2599" s="404"/>
      <c r="U2599" s="404"/>
      <c r="V2599" s="404"/>
      <c r="W2599" s="316"/>
      <c r="X2599" s="316"/>
      <c r="Y2599" s="316"/>
      <c r="Z2599" s="316"/>
      <c r="AA2599" s="404"/>
      <c r="AB2599" s="404"/>
      <c r="AC2599" s="404"/>
      <c r="AD2599" s="404"/>
      <c r="AE2599" s="316"/>
      <c r="AF2599" s="316"/>
      <c r="AG2599" s="404"/>
      <c r="AH2599" s="316"/>
      <c r="AI2599" s="316"/>
      <c r="AJ2599" s="316"/>
      <c r="AK2599" s="316"/>
      <c r="AL2599" s="316"/>
      <c r="AM2599" s="416"/>
      <c r="AR2599" s="333"/>
      <c r="AS2599" s="333"/>
      <c r="AT2599" s="333"/>
      <c r="AU2599" s="333"/>
      <c r="AV2599" s="333"/>
    </row>
    <row r="2600" spans="2:48" s="330" customFormat="1" ht="28.15" customHeight="1" x14ac:dyDescent="0.25">
      <c r="B2600" s="331"/>
      <c r="C2600" s="332"/>
      <c r="D2600" s="332"/>
      <c r="E2600" s="333"/>
      <c r="F2600" s="333"/>
      <c r="R2600" s="316"/>
      <c r="S2600" s="404"/>
      <c r="T2600" s="404"/>
      <c r="U2600" s="404"/>
      <c r="V2600" s="404"/>
      <c r="W2600" s="316"/>
      <c r="X2600" s="316"/>
      <c r="Y2600" s="316"/>
      <c r="Z2600" s="316"/>
      <c r="AA2600" s="404"/>
      <c r="AB2600" s="404"/>
      <c r="AC2600" s="404"/>
      <c r="AD2600" s="404"/>
      <c r="AE2600" s="316"/>
      <c r="AF2600" s="316"/>
      <c r="AG2600" s="404"/>
      <c r="AH2600" s="316"/>
      <c r="AI2600" s="316"/>
      <c r="AJ2600" s="316"/>
      <c r="AK2600" s="316"/>
      <c r="AL2600" s="316"/>
      <c r="AM2600" s="416"/>
      <c r="AR2600" s="333"/>
      <c r="AS2600" s="333"/>
      <c r="AT2600" s="333"/>
      <c r="AU2600" s="333"/>
      <c r="AV2600" s="333"/>
    </row>
    <row r="2601" spans="2:48" s="330" customFormat="1" ht="28.15" customHeight="1" x14ac:dyDescent="0.25">
      <c r="B2601" s="331"/>
      <c r="C2601" s="332"/>
      <c r="D2601" s="332"/>
      <c r="E2601" s="333"/>
      <c r="F2601" s="333"/>
      <c r="R2601" s="316"/>
      <c r="S2601" s="404"/>
      <c r="T2601" s="404"/>
      <c r="U2601" s="404"/>
      <c r="V2601" s="404"/>
      <c r="W2601" s="316"/>
      <c r="X2601" s="316"/>
      <c r="Y2601" s="316"/>
      <c r="Z2601" s="316"/>
      <c r="AA2601" s="404"/>
      <c r="AB2601" s="404"/>
      <c r="AC2601" s="404"/>
      <c r="AD2601" s="404"/>
      <c r="AE2601" s="316"/>
      <c r="AF2601" s="316"/>
      <c r="AG2601" s="404"/>
      <c r="AH2601" s="316"/>
      <c r="AI2601" s="316"/>
      <c r="AJ2601" s="316"/>
      <c r="AK2601" s="316"/>
      <c r="AL2601" s="316"/>
      <c r="AM2601" s="416"/>
      <c r="AR2601" s="333"/>
      <c r="AS2601" s="333"/>
      <c r="AT2601" s="333"/>
      <c r="AU2601" s="333"/>
      <c r="AV2601" s="333"/>
    </row>
    <row r="2602" spans="2:48" s="330" customFormat="1" ht="28.15" customHeight="1" x14ac:dyDescent="0.25">
      <c r="B2602" s="331"/>
      <c r="C2602" s="332"/>
      <c r="D2602" s="332"/>
      <c r="E2602" s="333"/>
      <c r="F2602" s="333"/>
      <c r="R2602" s="316"/>
      <c r="S2602" s="404"/>
      <c r="T2602" s="404"/>
      <c r="U2602" s="404"/>
      <c r="V2602" s="404"/>
      <c r="W2602" s="316"/>
      <c r="X2602" s="316"/>
      <c r="Y2602" s="316"/>
      <c r="Z2602" s="316"/>
      <c r="AA2602" s="404"/>
      <c r="AB2602" s="404"/>
      <c r="AC2602" s="404"/>
      <c r="AD2602" s="404"/>
      <c r="AE2602" s="316"/>
      <c r="AF2602" s="316"/>
      <c r="AG2602" s="404"/>
      <c r="AH2602" s="316"/>
      <c r="AI2602" s="316"/>
      <c r="AJ2602" s="316"/>
      <c r="AK2602" s="316"/>
      <c r="AL2602" s="316"/>
      <c r="AM2602" s="416"/>
      <c r="AR2602" s="333"/>
      <c r="AS2602" s="333"/>
      <c r="AT2602" s="333"/>
      <c r="AU2602" s="333"/>
      <c r="AV2602" s="333"/>
    </row>
    <row r="2603" spans="2:48" s="330" customFormat="1" ht="28.15" customHeight="1" x14ac:dyDescent="0.25">
      <c r="B2603" s="331"/>
      <c r="C2603" s="332"/>
      <c r="D2603" s="332"/>
      <c r="E2603" s="333"/>
      <c r="F2603" s="333"/>
      <c r="R2603" s="316"/>
      <c r="S2603" s="404"/>
      <c r="T2603" s="404"/>
      <c r="U2603" s="404"/>
      <c r="V2603" s="404"/>
      <c r="W2603" s="316"/>
      <c r="X2603" s="316"/>
      <c r="Y2603" s="316"/>
      <c r="Z2603" s="316"/>
      <c r="AA2603" s="404"/>
      <c r="AB2603" s="404"/>
      <c r="AC2603" s="404"/>
      <c r="AD2603" s="404"/>
      <c r="AE2603" s="316"/>
      <c r="AF2603" s="316"/>
      <c r="AG2603" s="404"/>
      <c r="AH2603" s="316"/>
      <c r="AI2603" s="316"/>
      <c r="AJ2603" s="316"/>
      <c r="AK2603" s="316"/>
      <c r="AL2603" s="316"/>
      <c r="AM2603" s="416"/>
      <c r="AR2603" s="333"/>
      <c r="AS2603" s="333"/>
      <c r="AT2603" s="333"/>
      <c r="AU2603" s="333"/>
      <c r="AV2603" s="333"/>
    </row>
    <row r="2604" spans="2:48" s="330" customFormat="1" ht="28.15" customHeight="1" x14ac:dyDescent="0.25">
      <c r="B2604" s="331"/>
      <c r="C2604" s="332"/>
      <c r="D2604" s="332"/>
      <c r="E2604" s="333"/>
      <c r="F2604" s="333"/>
      <c r="R2604" s="316"/>
      <c r="S2604" s="404"/>
      <c r="T2604" s="404"/>
      <c r="U2604" s="404"/>
      <c r="V2604" s="404"/>
      <c r="W2604" s="316"/>
      <c r="X2604" s="316"/>
      <c r="Y2604" s="316"/>
      <c r="Z2604" s="316"/>
      <c r="AA2604" s="404"/>
      <c r="AB2604" s="404"/>
      <c r="AC2604" s="404"/>
      <c r="AD2604" s="404"/>
      <c r="AE2604" s="316"/>
      <c r="AF2604" s="316"/>
      <c r="AG2604" s="404"/>
      <c r="AH2604" s="316"/>
      <c r="AI2604" s="316"/>
      <c r="AJ2604" s="316"/>
      <c r="AK2604" s="316"/>
      <c r="AL2604" s="316"/>
      <c r="AM2604" s="416"/>
      <c r="AR2604" s="333"/>
      <c r="AS2604" s="333"/>
      <c r="AT2604" s="333"/>
      <c r="AU2604" s="333"/>
      <c r="AV2604" s="333"/>
    </row>
    <row r="2605" spans="2:48" s="330" customFormat="1" ht="28.15" customHeight="1" x14ac:dyDescent="0.25">
      <c r="B2605" s="331"/>
      <c r="C2605" s="332"/>
      <c r="D2605" s="332"/>
      <c r="E2605" s="333"/>
      <c r="F2605" s="333"/>
      <c r="R2605" s="316"/>
      <c r="S2605" s="404"/>
      <c r="T2605" s="404"/>
      <c r="U2605" s="404"/>
      <c r="V2605" s="404"/>
      <c r="W2605" s="316"/>
      <c r="X2605" s="316"/>
      <c r="Y2605" s="316"/>
      <c r="Z2605" s="316"/>
      <c r="AA2605" s="404"/>
      <c r="AB2605" s="404"/>
      <c r="AC2605" s="404"/>
      <c r="AD2605" s="404"/>
      <c r="AE2605" s="316"/>
      <c r="AF2605" s="316"/>
      <c r="AG2605" s="404"/>
      <c r="AH2605" s="316"/>
      <c r="AI2605" s="316"/>
      <c r="AJ2605" s="316"/>
      <c r="AK2605" s="316"/>
      <c r="AL2605" s="316"/>
      <c r="AM2605" s="416"/>
      <c r="AR2605" s="333"/>
      <c r="AS2605" s="333"/>
      <c r="AT2605" s="333"/>
      <c r="AU2605" s="333"/>
      <c r="AV2605" s="333"/>
    </row>
    <row r="2606" spans="2:48" s="330" customFormat="1" ht="28.15" customHeight="1" x14ac:dyDescent="0.25">
      <c r="B2606" s="331"/>
      <c r="C2606" s="332"/>
      <c r="D2606" s="332"/>
      <c r="E2606" s="333"/>
      <c r="F2606" s="333"/>
      <c r="R2606" s="316"/>
      <c r="S2606" s="404"/>
      <c r="T2606" s="404"/>
      <c r="U2606" s="404"/>
      <c r="V2606" s="404"/>
      <c r="W2606" s="316"/>
      <c r="X2606" s="316"/>
      <c r="Y2606" s="316"/>
      <c r="Z2606" s="316"/>
      <c r="AA2606" s="404"/>
      <c r="AB2606" s="404"/>
      <c r="AC2606" s="404"/>
      <c r="AD2606" s="404"/>
      <c r="AE2606" s="316"/>
      <c r="AF2606" s="316"/>
      <c r="AG2606" s="404"/>
      <c r="AH2606" s="316"/>
      <c r="AI2606" s="316"/>
      <c r="AJ2606" s="316"/>
      <c r="AK2606" s="316"/>
      <c r="AL2606" s="316"/>
      <c r="AM2606" s="416"/>
      <c r="AR2606" s="333"/>
      <c r="AS2606" s="333"/>
      <c r="AT2606" s="333"/>
      <c r="AU2606" s="333"/>
      <c r="AV2606" s="333"/>
    </row>
    <row r="2607" spans="2:48" s="330" customFormat="1" ht="28.15" customHeight="1" x14ac:dyDescent="0.25">
      <c r="B2607" s="331"/>
      <c r="C2607" s="332"/>
      <c r="D2607" s="332"/>
      <c r="E2607" s="333"/>
      <c r="F2607" s="333"/>
      <c r="R2607" s="316"/>
      <c r="S2607" s="404"/>
      <c r="T2607" s="404"/>
      <c r="U2607" s="404"/>
      <c r="V2607" s="404"/>
      <c r="W2607" s="316"/>
      <c r="X2607" s="316"/>
      <c r="Y2607" s="316"/>
      <c r="Z2607" s="316"/>
      <c r="AA2607" s="404"/>
      <c r="AB2607" s="404"/>
      <c r="AC2607" s="404"/>
      <c r="AD2607" s="404"/>
      <c r="AE2607" s="316"/>
      <c r="AF2607" s="316"/>
      <c r="AG2607" s="404"/>
      <c r="AH2607" s="316"/>
      <c r="AI2607" s="316"/>
      <c r="AJ2607" s="316"/>
      <c r="AK2607" s="316"/>
      <c r="AL2607" s="316"/>
      <c r="AM2607" s="416"/>
      <c r="AR2607" s="333"/>
      <c r="AS2607" s="333"/>
      <c r="AT2607" s="333"/>
      <c r="AU2607" s="333"/>
      <c r="AV2607" s="333"/>
    </row>
    <row r="2608" spans="2:48" s="330" customFormat="1" ht="28.15" customHeight="1" x14ac:dyDescent="0.25">
      <c r="B2608" s="331"/>
      <c r="C2608" s="332"/>
      <c r="D2608" s="332"/>
      <c r="E2608" s="333"/>
      <c r="F2608" s="333"/>
      <c r="R2608" s="316"/>
      <c r="S2608" s="404"/>
      <c r="T2608" s="404"/>
      <c r="U2608" s="404"/>
      <c r="V2608" s="404"/>
      <c r="W2608" s="316"/>
      <c r="X2608" s="316"/>
      <c r="Y2608" s="316"/>
      <c r="Z2608" s="316"/>
      <c r="AA2608" s="404"/>
      <c r="AB2608" s="404"/>
      <c r="AC2608" s="404"/>
      <c r="AD2608" s="404"/>
      <c r="AE2608" s="316"/>
      <c r="AF2608" s="316"/>
      <c r="AG2608" s="404"/>
      <c r="AH2608" s="316"/>
      <c r="AI2608" s="316"/>
      <c r="AJ2608" s="316"/>
      <c r="AK2608" s="316"/>
      <c r="AL2608" s="316"/>
      <c r="AM2608" s="416"/>
      <c r="AR2608" s="333"/>
      <c r="AS2608" s="333"/>
      <c r="AT2608" s="333"/>
      <c r="AU2608" s="333"/>
      <c r="AV2608" s="333"/>
    </row>
    <row r="2609" spans="2:48" s="330" customFormat="1" ht="28.15" customHeight="1" x14ac:dyDescent="0.25">
      <c r="B2609" s="331"/>
      <c r="C2609" s="332"/>
      <c r="D2609" s="332"/>
      <c r="E2609" s="333"/>
      <c r="F2609" s="333"/>
      <c r="R2609" s="316"/>
      <c r="S2609" s="404"/>
      <c r="T2609" s="404"/>
      <c r="U2609" s="404"/>
      <c r="V2609" s="404"/>
      <c r="W2609" s="316"/>
      <c r="X2609" s="316"/>
      <c r="Y2609" s="316"/>
      <c r="Z2609" s="316"/>
      <c r="AA2609" s="404"/>
      <c r="AB2609" s="404"/>
      <c r="AC2609" s="404"/>
      <c r="AD2609" s="404"/>
      <c r="AE2609" s="316"/>
      <c r="AF2609" s="316"/>
      <c r="AG2609" s="404"/>
      <c r="AH2609" s="316"/>
      <c r="AI2609" s="316"/>
      <c r="AJ2609" s="316"/>
      <c r="AK2609" s="316"/>
      <c r="AL2609" s="316"/>
      <c r="AM2609" s="416"/>
      <c r="AR2609" s="333"/>
      <c r="AS2609" s="333"/>
      <c r="AT2609" s="333"/>
      <c r="AU2609" s="333"/>
      <c r="AV2609" s="333"/>
    </row>
    <row r="2610" spans="2:48" s="330" customFormat="1" ht="28.15" customHeight="1" x14ac:dyDescent="0.25">
      <c r="B2610" s="331"/>
      <c r="C2610" s="332"/>
      <c r="D2610" s="332"/>
      <c r="E2610" s="333"/>
      <c r="F2610" s="333"/>
      <c r="R2610" s="316"/>
      <c r="S2610" s="404"/>
      <c r="T2610" s="404"/>
      <c r="U2610" s="404"/>
      <c r="V2610" s="404"/>
      <c r="W2610" s="316"/>
      <c r="X2610" s="316"/>
      <c r="Y2610" s="316"/>
      <c r="Z2610" s="316"/>
      <c r="AA2610" s="404"/>
      <c r="AB2610" s="404"/>
      <c r="AC2610" s="404"/>
      <c r="AD2610" s="404"/>
      <c r="AE2610" s="316"/>
      <c r="AF2610" s="316"/>
      <c r="AG2610" s="404"/>
      <c r="AH2610" s="316"/>
      <c r="AI2610" s="316"/>
      <c r="AJ2610" s="316"/>
      <c r="AK2610" s="316"/>
      <c r="AL2610" s="316"/>
      <c r="AM2610" s="416"/>
      <c r="AR2610" s="333"/>
      <c r="AS2610" s="333"/>
      <c r="AT2610" s="333"/>
      <c r="AU2610" s="333"/>
      <c r="AV2610" s="333"/>
    </row>
    <row r="2611" spans="2:48" s="330" customFormat="1" ht="28.15" customHeight="1" x14ac:dyDescent="0.25">
      <c r="B2611" s="331"/>
      <c r="C2611" s="332"/>
      <c r="D2611" s="332"/>
      <c r="E2611" s="333"/>
      <c r="F2611" s="333"/>
      <c r="R2611" s="316"/>
      <c r="S2611" s="404"/>
      <c r="T2611" s="404"/>
      <c r="U2611" s="404"/>
      <c r="V2611" s="404"/>
      <c r="W2611" s="316"/>
      <c r="X2611" s="316"/>
      <c r="Y2611" s="316"/>
      <c r="Z2611" s="316"/>
      <c r="AA2611" s="404"/>
      <c r="AB2611" s="404"/>
      <c r="AC2611" s="404"/>
      <c r="AD2611" s="404"/>
      <c r="AE2611" s="316"/>
      <c r="AF2611" s="316"/>
      <c r="AG2611" s="404"/>
      <c r="AH2611" s="316"/>
      <c r="AI2611" s="316"/>
      <c r="AJ2611" s="316"/>
      <c r="AK2611" s="316"/>
      <c r="AL2611" s="316"/>
      <c r="AM2611" s="416"/>
      <c r="AR2611" s="333"/>
      <c r="AS2611" s="333"/>
      <c r="AT2611" s="333"/>
      <c r="AU2611" s="333"/>
      <c r="AV2611" s="333"/>
    </row>
    <row r="2612" spans="2:48" s="330" customFormat="1" ht="28.15" customHeight="1" x14ac:dyDescent="0.25">
      <c r="B2612" s="331"/>
      <c r="C2612" s="332"/>
      <c r="D2612" s="332"/>
      <c r="E2612" s="333"/>
      <c r="F2612" s="333"/>
      <c r="R2612" s="316"/>
      <c r="S2612" s="404"/>
      <c r="T2612" s="404"/>
      <c r="U2612" s="404"/>
      <c r="V2612" s="404"/>
      <c r="W2612" s="316"/>
      <c r="X2612" s="316"/>
      <c r="Y2612" s="316"/>
      <c r="Z2612" s="316"/>
      <c r="AA2612" s="404"/>
      <c r="AB2612" s="404"/>
      <c r="AC2612" s="404"/>
      <c r="AD2612" s="404"/>
      <c r="AE2612" s="316"/>
      <c r="AF2612" s="316"/>
      <c r="AG2612" s="404"/>
      <c r="AH2612" s="316"/>
      <c r="AI2612" s="316"/>
      <c r="AJ2612" s="316"/>
      <c r="AK2612" s="316"/>
      <c r="AL2612" s="316"/>
      <c r="AM2612" s="416"/>
      <c r="AR2612" s="333"/>
      <c r="AS2612" s="333"/>
      <c r="AT2612" s="333"/>
      <c r="AU2612" s="333"/>
      <c r="AV2612" s="333"/>
    </row>
    <row r="2613" spans="2:48" s="330" customFormat="1" ht="28.15" customHeight="1" x14ac:dyDescent="0.25">
      <c r="B2613" s="331"/>
      <c r="C2613" s="332"/>
      <c r="D2613" s="332"/>
      <c r="E2613" s="333"/>
      <c r="F2613" s="333"/>
      <c r="R2613" s="316"/>
      <c r="S2613" s="404"/>
      <c r="T2613" s="404"/>
      <c r="U2613" s="404"/>
      <c r="V2613" s="404"/>
      <c r="W2613" s="316"/>
      <c r="X2613" s="316"/>
      <c r="Y2613" s="316"/>
      <c r="Z2613" s="316"/>
      <c r="AA2613" s="404"/>
      <c r="AB2613" s="404"/>
      <c r="AC2613" s="404"/>
      <c r="AD2613" s="404"/>
      <c r="AE2613" s="316"/>
      <c r="AF2613" s="316"/>
      <c r="AG2613" s="404"/>
      <c r="AH2613" s="316"/>
      <c r="AI2613" s="316"/>
      <c r="AJ2613" s="316"/>
      <c r="AK2613" s="316"/>
      <c r="AL2613" s="316"/>
      <c r="AM2613" s="416"/>
      <c r="AR2613" s="333"/>
      <c r="AS2613" s="333"/>
      <c r="AT2613" s="333"/>
      <c r="AU2613" s="333"/>
      <c r="AV2613" s="333"/>
    </row>
    <row r="2614" spans="2:48" s="330" customFormat="1" ht="28.15" customHeight="1" x14ac:dyDescent="0.25">
      <c r="B2614" s="331"/>
      <c r="C2614" s="332"/>
      <c r="D2614" s="332"/>
      <c r="E2614" s="333"/>
      <c r="F2614" s="333"/>
      <c r="R2614" s="316"/>
      <c r="S2614" s="404"/>
      <c r="T2614" s="404"/>
      <c r="U2614" s="404"/>
      <c r="V2614" s="404"/>
      <c r="W2614" s="316"/>
      <c r="X2614" s="316"/>
      <c r="Y2614" s="316"/>
      <c r="Z2614" s="316"/>
      <c r="AA2614" s="404"/>
      <c r="AB2614" s="404"/>
      <c r="AC2614" s="404"/>
      <c r="AD2614" s="404"/>
      <c r="AE2614" s="316"/>
      <c r="AF2614" s="316"/>
      <c r="AG2614" s="404"/>
      <c r="AH2614" s="316"/>
      <c r="AI2614" s="316"/>
      <c r="AJ2614" s="316"/>
      <c r="AK2614" s="316"/>
      <c r="AL2614" s="316"/>
      <c r="AM2614" s="416"/>
      <c r="AR2614" s="333"/>
      <c r="AS2614" s="333"/>
      <c r="AT2614" s="333"/>
      <c r="AU2614" s="333"/>
      <c r="AV2614" s="333"/>
    </row>
    <row r="2615" spans="2:48" s="330" customFormat="1" ht="28.15" customHeight="1" x14ac:dyDescent="0.25">
      <c r="B2615" s="331"/>
      <c r="C2615" s="332"/>
      <c r="D2615" s="332"/>
      <c r="E2615" s="333"/>
      <c r="F2615" s="333"/>
      <c r="R2615" s="316"/>
      <c r="S2615" s="404"/>
      <c r="T2615" s="404"/>
      <c r="U2615" s="404"/>
      <c r="V2615" s="404"/>
      <c r="W2615" s="316"/>
      <c r="X2615" s="316"/>
      <c r="Y2615" s="316"/>
      <c r="Z2615" s="316"/>
      <c r="AA2615" s="404"/>
      <c r="AB2615" s="404"/>
      <c r="AC2615" s="404"/>
      <c r="AD2615" s="404"/>
      <c r="AE2615" s="316"/>
      <c r="AF2615" s="316"/>
      <c r="AG2615" s="404"/>
      <c r="AH2615" s="316"/>
      <c r="AI2615" s="316"/>
      <c r="AJ2615" s="316"/>
      <c r="AK2615" s="316"/>
      <c r="AL2615" s="316"/>
      <c r="AM2615" s="416"/>
      <c r="AR2615" s="333"/>
      <c r="AS2615" s="333"/>
      <c r="AT2615" s="333"/>
      <c r="AU2615" s="333"/>
      <c r="AV2615" s="333"/>
    </row>
    <row r="2616" spans="2:48" s="330" customFormat="1" ht="28.15" customHeight="1" x14ac:dyDescent="0.25">
      <c r="B2616" s="331"/>
      <c r="C2616" s="332"/>
      <c r="D2616" s="332"/>
      <c r="E2616" s="333"/>
      <c r="F2616" s="333"/>
      <c r="R2616" s="316"/>
      <c r="S2616" s="404"/>
      <c r="T2616" s="404"/>
      <c r="U2616" s="404"/>
      <c r="V2616" s="404"/>
      <c r="W2616" s="316"/>
      <c r="X2616" s="316"/>
      <c r="Y2616" s="316"/>
      <c r="Z2616" s="316"/>
      <c r="AA2616" s="404"/>
      <c r="AB2616" s="404"/>
      <c r="AC2616" s="404"/>
      <c r="AD2616" s="404"/>
      <c r="AE2616" s="316"/>
      <c r="AF2616" s="316"/>
      <c r="AG2616" s="404"/>
      <c r="AH2616" s="316"/>
      <c r="AI2616" s="316"/>
      <c r="AJ2616" s="316"/>
      <c r="AK2616" s="316"/>
      <c r="AL2616" s="316"/>
      <c r="AM2616" s="416"/>
      <c r="AR2616" s="333"/>
      <c r="AS2616" s="333"/>
      <c r="AT2616" s="333"/>
      <c r="AU2616" s="333"/>
      <c r="AV2616" s="333"/>
    </row>
    <row r="2617" spans="2:48" s="330" customFormat="1" ht="28.15" customHeight="1" x14ac:dyDescent="0.25">
      <c r="B2617" s="331"/>
      <c r="C2617" s="332"/>
      <c r="D2617" s="332"/>
      <c r="E2617" s="333"/>
      <c r="F2617" s="333"/>
      <c r="R2617" s="316"/>
      <c r="S2617" s="404"/>
      <c r="T2617" s="404"/>
      <c r="U2617" s="404"/>
      <c r="V2617" s="404"/>
      <c r="W2617" s="316"/>
      <c r="X2617" s="316"/>
      <c r="Y2617" s="316"/>
      <c r="Z2617" s="316"/>
      <c r="AA2617" s="404"/>
      <c r="AB2617" s="404"/>
      <c r="AC2617" s="404"/>
      <c r="AD2617" s="404"/>
      <c r="AE2617" s="316"/>
      <c r="AF2617" s="316"/>
      <c r="AG2617" s="404"/>
      <c r="AH2617" s="316"/>
      <c r="AI2617" s="316"/>
      <c r="AJ2617" s="316"/>
      <c r="AK2617" s="316"/>
      <c r="AL2617" s="316"/>
      <c r="AM2617" s="416"/>
      <c r="AR2617" s="333"/>
      <c r="AS2617" s="333"/>
      <c r="AT2617" s="333"/>
      <c r="AU2617" s="333"/>
      <c r="AV2617" s="333"/>
    </row>
    <row r="2618" spans="2:48" s="330" customFormat="1" ht="28.15" customHeight="1" x14ac:dyDescent="0.25">
      <c r="B2618" s="331"/>
      <c r="C2618" s="332"/>
      <c r="D2618" s="332"/>
      <c r="E2618" s="333"/>
      <c r="F2618" s="333"/>
      <c r="R2618" s="316"/>
      <c r="S2618" s="404"/>
      <c r="T2618" s="404"/>
      <c r="U2618" s="404"/>
      <c r="V2618" s="404"/>
      <c r="W2618" s="316"/>
      <c r="X2618" s="316"/>
      <c r="Y2618" s="316"/>
      <c r="Z2618" s="316"/>
      <c r="AA2618" s="404"/>
      <c r="AB2618" s="404"/>
      <c r="AC2618" s="404"/>
      <c r="AD2618" s="404"/>
      <c r="AE2618" s="316"/>
      <c r="AF2618" s="316"/>
      <c r="AG2618" s="404"/>
      <c r="AH2618" s="316"/>
      <c r="AI2618" s="316"/>
      <c r="AJ2618" s="316"/>
      <c r="AK2618" s="316"/>
      <c r="AL2618" s="316"/>
      <c r="AM2618" s="416"/>
      <c r="AR2618" s="333"/>
      <c r="AS2618" s="333"/>
      <c r="AT2618" s="333"/>
      <c r="AU2618" s="333"/>
      <c r="AV2618" s="333"/>
    </row>
    <row r="2619" spans="2:48" s="330" customFormat="1" ht="28.15" customHeight="1" x14ac:dyDescent="0.25">
      <c r="B2619" s="331"/>
      <c r="C2619" s="332"/>
      <c r="D2619" s="332"/>
      <c r="E2619" s="333"/>
      <c r="F2619" s="333"/>
      <c r="R2619" s="316"/>
      <c r="S2619" s="404"/>
      <c r="T2619" s="404"/>
      <c r="U2619" s="404"/>
      <c r="V2619" s="404"/>
      <c r="W2619" s="316"/>
      <c r="X2619" s="316"/>
      <c r="Y2619" s="316"/>
      <c r="Z2619" s="316"/>
      <c r="AA2619" s="404"/>
      <c r="AB2619" s="404"/>
      <c r="AC2619" s="404"/>
      <c r="AD2619" s="404"/>
      <c r="AE2619" s="316"/>
      <c r="AF2619" s="316"/>
      <c r="AG2619" s="404"/>
      <c r="AH2619" s="316"/>
      <c r="AI2619" s="316"/>
      <c r="AJ2619" s="316"/>
      <c r="AK2619" s="316"/>
      <c r="AL2619" s="316"/>
      <c r="AM2619" s="416"/>
      <c r="AR2619" s="333"/>
      <c r="AS2619" s="333"/>
      <c r="AT2619" s="333"/>
      <c r="AU2619" s="333"/>
      <c r="AV2619" s="333"/>
    </row>
    <row r="2620" spans="2:48" s="330" customFormat="1" ht="28.15" customHeight="1" x14ac:dyDescent="0.25">
      <c r="B2620" s="331"/>
      <c r="C2620" s="332"/>
      <c r="D2620" s="332"/>
      <c r="E2620" s="333"/>
      <c r="F2620" s="333"/>
      <c r="R2620" s="316"/>
      <c r="S2620" s="404"/>
      <c r="T2620" s="404"/>
      <c r="U2620" s="404"/>
      <c r="V2620" s="404"/>
      <c r="W2620" s="316"/>
      <c r="X2620" s="316"/>
      <c r="Y2620" s="316"/>
      <c r="Z2620" s="316"/>
      <c r="AA2620" s="404"/>
      <c r="AB2620" s="404"/>
      <c r="AC2620" s="404"/>
      <c r="AD2620" s="404"/>
      <c r="AE2620" s="316"/>
      <c r="AF2620" s="316"/>
      <c r="AG2620" s="404"/>
      <c r="AH2620" s="316"/>
      <c r="AI2620" s="316"/>
      <c r="AJ2620" s="316"/>
      <c r="AK2620" s="316"/>
      <c r="AL2620" s="316"/>
      <c r="AM2620" s="416"/>
      <c r="AR2620" s="333"/>
      <c r="AS2620" s="333"/>
      <c r="AT2620" s="333"/>
      <c r="AU2620" s="333"/>
      <c r="AV2620" s="333"/>
    </row>
    <row r="2621" spans="2:48" s="330" customFormat="1" ht="28.15" customHeight="1" x14ac:dyDescent="0.25">
      <c r="B2621" s="331"/>
      <c r="C2621" s="332"/>
      <c r="D2621" s="332"/>
      <c r="E2621" s="333"/>
      <c r="F2621" s="333"/>
      <c r="R2621" s="316"/>
      <c r="S2621" s="404"/>
      <c r="T2621" s="404"/>
      <c r="U2621" s="404"/>
      <c r="V2621" s="404"/>
      <c r="W2621" s="316"/>
      <c r="X2621" s="316"/>
      <c r="Y2621" s="316"/>
      <c r="Z2621" s="316"/>
      <c r="AA2621" s="404"/>
      <c r="AB2621" s="404"/>
      <c r="AC2621" s="404"/>
      <c r="AD2621" s="404"/>
      <c r="AE2621" s="316"/>
      <c r="AF2621" s="316"/>
      <c r="AG2621" s="404"/>
      <c r="AH2621" s="316"/>
      <c r="AI2621" s="316"/>
      <c r="AJ2621" s="316"/>
      <c r="AK2621" s="316"/>
      <c r="AL2621" s="316"/>
      <c r="AM2621" s="416"/>
      <c r="AR2621" s="333"/>
      <c r="AS2621" s="333"/>
      <c r="AT2621" s="333"/>
      <c r="AU2621" s="333"/>
      <c r="AV2621" s="333"/>
    </row>
    <row r="2622" spans="2:48" s="330" customFormat="1" ht="28.15" customHeight="1" x14ac:dyDescent="0.25">
      <c r="B2622" s="331"/>
      <c r="C2622" s="332"/>
      <c r="D2622" s="332"/>
      <c r="E2622" s="333"/>
      <c r="F2622" s="333"/>
      <c r="R2622" s="316"/>
      <c r="S2622" s="404"/>
      <c r="T2622" s="404"/>
      <c r="U2622" s="404"/>
      <c r="V2622" s="404"/>
      <c r="W2622" s="316"/>
      <c r="X2622" s="316"/>
      <c r="Y2622" s="316"/>
      <c r="Z2622" s="316"/>
      <c r="AA2622" s="404"/>
      <c r="AB2622" s="404"/>
      <c r="AC2622" s="404"/>
      <c r="AD2622" s="404"/>
      <c r="AE2622" s="316"/>
      <c r="AF2622" s="316"/>
      <c r="AG2622" s="404"/>
      <c r="AH2622" s="316"/>
      <c r="AI2622" s="316"/>
      <c r="AJ2622" s="316"/>
      <c r="AK2622" s="316"/>
      <c r="AL2622" s="316"/>
      <c r="AM2622" s="416"/>
      <c r="AR2622" s="333"/>
      <c r="AS2622" s="333"/>
      <c r="AT2622" s="333"/>
      <c r="AU2622" s="333"/>
      <c r="AV2622" s="333"/>
    </row>
    <row r="2623" spans="2:48" s="330" customFormat="1" ht="28.15" customHeight="1" x14ac:dyDescent="0.25">
      <c r="B2623" s="331"/>
      <c r="C2623" s="332"/>
      <c r="D2623" s="332"/>
      <c r="E2623" s="333"/>
      <c r="F2623" s="333"/>
      <c r="R2623" s="316"/>
      <c r="S2623" s="404"/>
      <c r="T2623" s="404"/>
      <c r="U2623" s="404"/>
      <c r="V2623" s="404"/>
      <c r="W2623" s="316"/>
      <c r="X2623" s="316"/>
      <c r="Y2623" s="316"/>
      <c r="Z2623" s="316"/>
      <c r="AA2623" s="404"/>
      <c r="AB2623" s="404"/>
      <c r="AC2623" s="404"/>
      <c r="AD2623" s="404"/>
      <c r="AE2623" s="316"/>
      <c r="AF2623" s="316"/>
      <c r="AG2623" s="404"/>
      <c r="AH2623" s="316"/>
      <c r="AI2623" s="316"/>
      <c r="AJ2623" s="316"/>
      <c r="AK2623" s="316"/>
      <c r="AL2623" s="316"/>
      <c r="AM2623" s="416"/>
      <c r="AR2623" s="333"/>
      <c r="AS2623" s="333"/>
      <c r="AT2623" s="333"/>
      <c r="AU2623" s="333"/>
      <c r="AV2623" s="333"/>
    </row>
    <row r="2624" spans="2:48" s="330" customFormat="1" ht="28.15" customHeight="1" x14ac:dyDescent="0.25">
      <c r="B2624" s="331"/>
      <c r="C2624" s="332"/>
      <c r="D2624" s="332"/>
      <c r="E2624" s="333"/>
      <c r="F2624" s="333"/>
      <c r="R2624" s="316"/>
      <c r="S2624" s="404"/>
      <c r="T2624" s="404"/>
      <c r="U2624" s="404"/>
      <c r="V2624" s="404"/>
      <c r="W2624" s="316"/>
      <c r="X2624" s="316"/>
      <c r="Y2624" s="316"/>
      <c r="Z2624" s="316"/>
      <c r="AA2624" s="404"/>
      <c r="AB2624" s="404"/>
      <c r="AC2624" s="404"/>
      <c r="AD2624" s="404"/>
      <c r="AE2624" s="316"/>
      <c r="AF2624" s="316"/>
      <c r="AG2624" s="404"/>
      <c r="AH2624" s="316"/>
      <c r="AI2624" s="316"/>
      <c r="AJ2624" s="316"/>
      <c r="AK2624" s="316"/>
      <c r="AL2624" s="316"/>
      <c r="AM2624" s="416"/>
      <c r="AR2624" s="333"/>
      <c r="AS2624" s="333"/>
      <c r="AT2624" s="333"/>
      <c r="AU2624" s="333"/>
      <c r="AV2624" s="333"/>
    </row>
    <row r="2625" spans="2:48" s="330" customFormat="1" ht="28.15" customHeight="1" x14ac:dyDescent="0.25">
      <c r="B2625" s="331"/>
      <c r="C2625" s="332"/>
      <c r="D2625" s="332"/>
      <c r="E2625" s="333"/>
      <c r="F2625" s="333"/>
      <c r="R2625" s="316"/>
      <c r="S2625" s="404"/>
      <c r="T2625" s="404"/>
      <c r="U2625" s="404"/>
      <c r="V2625" s="404"/>
      <c r="W2625" s="316"/>
      <c r="X2625" s="316"/>
      <c r="Y2625" s="316"/>
      <c r="Z2625" s="316"/>
      <c r="AA2625" s="404"/>
      <c r="AB2625" s="404"/>
      <c r="AC2625" s="404"/>
      <c r="AD2625" s="404"/>
      <c r="AE2625" s="316"/>
      <c r="AF2625" s="316"/>
      <c r="AG2625" s="404"/>
      <c r="AH2625" s="316"/>
      <c r="AI2625" s="316"/>
      <c r="AJ2625" s="316"/>
      <c r="AK2625" s="316"/>
      <c r="AL2625" s="316"/>
      <c r="AM2625" s="416"/>
      <c r="AR2625" s="333"/>
      <c r="AS2625" s="333"/>
      <c r="AT2625" s="333"/>
      <c r="AU2625" s="333"/>
      <c r="AV2625" s="333"/>
    </row>
    <row r="2626" spans="2:48" s="330" customFormat="1" ht="28.15" customHeight="1" x14ac:dyDescent="0.25">
      <c r="B2626" s="331"/>
      <c r="C2626" s="332"/>
      <c r="D2626" s="332"/>
      <c r="E2626" s="333"/>
      <c r="F2626" s="333"/>
      <c r="R2626" s="316"/>
      <c r="S2626" s="404"/>
      <c r="T2626" s="404"/>
      <c r="U2626" s="404"/>
      <c r="V2626" s="404"/>
      <c r="W2626" s="316"/>
      <c r="X2626" s="316"/>
      <c r="Y2626" s="316"/>
      <c r="Z2626" s="316"/>
      <c r="AA2626" s="404"/>
      <c r="AB2626" s="404"/>
      <c r="AC2626" s="404"/>
      <c r="AD2626" s="404"/>
      <c r="AE2626" s="316"/>
      <c r="AF2626" s="316"/>
      <c r="AG2626" s="404"/>
      <c r="AH2626" s="316"/>
      <c r="AI2626" s="316"/>
      <c r="AJ2626" s="316"/>
      <c r="AK2626" s="316"/>
      <c r="AL2626" s="316"/>
      <c r="AM2626" s="416"/>
      <c r="AR2626" s="333"/>
      <c r="AS2626" s="333"/>
      <c r="AT2626" s="333"/>
      <c r="AU2626" s="333"/>
      <c r="AV2626" s="333"/>
    </row>
    <row r="2627" spans="2:48" s="330" customFormat="1" ht="28.15" customHeight="1" x14ac:dyDescent="0.25">
      <c r="B2627" s="331"/>
      <c r="C2627" s="332"/>
      <c r="D2627" s="332"/>
      <c r="E2627" s="333"/>
      <c r="F2627" s="333"/>
      <c r="R2627" s="316"/>
      <c r="S2627" s="404"/>
      <c r="T2627" s="404"/>
      <c r="U2627" s="404"/>
      <c r="V2627" s="404"/>
      <c r="W2627" s="316"/>
      <c r="X2627" s="316"/>
      <c r="Y2627" s="316"/>
      <c r="Z2627" s="316"/>
      <c r="AA2627" s="404"/>
      <c r="AB2627" s="404"/>
      <c r="AC2627" s="404"/>
      <c r="AD2627" s="404"/>
      <c r="AE2627" s="316"/>
      <c r="AF2627" s="316"/>
      <c r="AG2627" s="404"/>
      <c r="AH2627" s="316"/>
      <c r="AI2627" s="316"/>
      <c r="AJ2627" s="316"/>
      <c r="AK2627" s="316"/>
      <c r="AL2627" s="316"/>
      <c r="AM2627" s="416"/>
      <c r="AR2627" s="333"/>
      <c r="AS2627" s="333"/>
      <c r="AT2627" s="333"/>
      <c r="AU2627" s="333"/>
      <c r="AV2627" s="333"/>
    </row>
    <row r="2628" spans="2:48" s="330" customFormat="1" ht="28.15" customHeight="1" x14ac:dyDescent="0.25">
      <c r="B2628" s="331"/>
      <c r="C2628" s="332"/>
      <c r="D2628" s="332"/>
      <c r="E2628" s="333"/>
      <c r="F2628" s="333"/>
      <c r="R2628" s="316"/>
      <c r="S2628" s="404"/>
      <c r="T2628" s="404"/>
      <c r="U2628" s="404"/>
      <c r="V2628" s="404"/>
      <c r="W2628" s="316"/>
      <c r="X2628" s="316"/>
      <c r="Y2628" s="316"/>
      <c r="Z2628" s="316"/>
      <c r="AA2628" s="404"/>
      <c r="AB2628" s="404"/>
      <c r="AC2628" s="404"/>
      <c r="AD2628" s="404"/>
      <c r="AE2628" s="316"/>
      <c r="AF2628" s="316"/>
      <c r="AG2628" s="404"/>
      <c r="AH2628" s="316"/>
      <c r="AI2628" s="316"/>
      <c r="AJ2628" s="316"/>
      <c r="AK2628" s="316"/>
      <c r="AL2628" s="316"/>
      <c r="AM2628" s="416"/>
      <c r="AR2628" s="333"/>
      <c r="AS2628" s="333"/>
      <c r="AT2628" s="333"/>
      <c r="AU2628" s="333"/>
      <c r="AV2628" s="333"/>
    </row>
    <row r="2629" spans="2:48" s="330" customFormat="1" ht="28.15" customHeight="1" x14ac:dyDescent="0.25">
      <c r="B2629" s="331"/>
      <c r="C2629" s="332"/>
      <c r="D2629" s="332"/>
      <c r="E2629" s="333"/>
      <c r="F2629" s="333"/>
      <c r="R2629" s="316"/>
      <c r="S2629" s="404"/>
      <c r="T2629" s="404"/>
      <c r="U2629" s="404"/>
      <c r="V2629" s="404"/>
      <c r="W2629" s="316"/>
      <c r="X2629" s="316"/>
      <c r="Y2629" s="316"/>
      <c r="Z2629" s="316"/>
      <c r="AA2629" s="404"/>
      <c r="AB2629" s="404"/>
      <c r="AC2629" s="404"/>
      <c r="AD2629" s="404"/>
      <c r="AE2629" s="316"/>
      <c r="AF2629" s="316"/>
      <c r="AG2629" s="404"/>
      <c r="AH2629" s="316"/>
      <c r="AI2629" s="316"/>
      <c r="AJ2629" s="316"/>
      <c r="AK2629" s="316"/>
      <c r="AL2629" s="316"/>
      <c r="AM2629" s="416"/>
      <c r="AR2629" s="333"/>
      <c r="AS2629" s="333"/>
      <c r="AT2629" s="333"/>
      <c r="AU2629" s="333"/>
      <c r="AV2629" s="333"/>
    </row>
    <row r="2630" spans="2:48" s="330" customFormat="1" ht="28.15" customHeight="1" x14ac:dyDescent="0.25">
      <c r="B2630" s="331"/>
      <c r="C2630" s="332"/>
      <c r="D2630" s="332"/>
      <c r="E2630" s="333"/>
      <c r="F2630" s="333"/>
      <c r="R2630" s="316"/>
      <c r="S2630" s="404"/>
      <c r="T2630" s="404"/>
      <c r="U2630" s="404"/>
      <c r="V2630" s="404"/>
      <c r="W2630" s="316"/>
      <c r="X2630" s="316"/>
      <c r="Y2630" s="316"/>
      <c r="Z2630" s="316"/>
      <c r="AA2630" s="404"/>
      <c r="AB2630" s="404"/>
      <c r="AC2630" s="404"/>
      <c r="AD2630" s="404"/>
      <c r="AE2630" s="316"/>
      <c r="AF2630" s="316"/>
      <c r="AG2630" s="404"/>
      <c r="AH2630" s="316"/>
      <c r="AI2630" s="316"/>
      <c r="AJ2630" s="316"/>
      <c r="AK2630" s="316"/>
      <c r="AL2630" s="316"/>
      <c r="AM2630" s="416"/>
      <c r="AR2630" s="333"/>
      <c r="AS2630" s="333"/>
      <c r="AT2630" s="333"/>
      <c r="AU2630" s="333"/>
      <c r="AV2630" s="333"/>
    </row>
    <row r="2631" spans="2:48" s="330" customFormat="1" ht="28.15" customHeight="1" x14ac:dyDescent="0.25">
      <c r="B2631" s="331"/>
      <c r="C2631" s="332"/>
      <c r="D2631" s="332"/>
      <c r="E2631" s="333"/>
      <c r="F2631" s="333"/>
      <c r="R2631" s="316"/>
      <c r="S2631" s="404"/>
      <c r="T2631" s="404"/>
      <c r="U2631" s="404"/>
      <c r="V2631" s="404"/>
      <c r="W2631" s="316"/>
      <c r="X2631" s="316"/>
      <c r="Y2631" s="316"/>
      <c r="Z2631" s="316"/>
      <c r="AA2631" s="404"/>
      <c r="AB2631" s="404"/>
      <c r="AC2631" s="404"/>
      <c r="AD2631" s="404"/>
      <c r="AE2631" s="316"/>
      <c r="AF2631" s="316"/>
      <c r="AG2631" s="404"/>
      <c r="AH2631" s="316"/>
      <c r="AI2631" s="316"/>
      <c r="AJ2631" s="316"/>
      <c r="AK2631" s="316"/>
      <c r="AL2631" s="316"/>
      <c r="AM2631" s="416"/>
      <c r="AR2631" s="333"/>
      <c r="AS2631" s="333"/>
      <c r="AT2631" s="333"/>
      <c r="AU2631" s="333"/>
      <c r="AV2631" s="333"/>
    </row>
    <row r="2632" spans="2:48" s="330" customFormat="1" ht="28.15" customHeight="1" x14ac:dyDescent="0.25">
      <c r="B2632" s="331"/>
      <c r="C2632" s="332"/>
      <c r="D2632" s="332"/>
      <c r="E2632" s="333"/>
      <c r="F2632" s="333"/>
      <c r="R2632" s="316"/>
      <c r="S2632" s="404"/>
      <c r="T2632" s="404"/>
      <c r="U2632" s="404"/>
      <c r="V2632" s="404"/>
      <c r="W2632" s="316"/>
      <c r="X2632" s="316"/>
      <c r="Y2632" s="316"/>
      <c r="Z2632" s="316"/>
      <c r="AA2632" s="404"/>
      <c r="AB2632" s="404"/>
      <c r="AC2632" s="404"/>
      <c r="AD2632" s="404"/>
      <c r="AE2632" s="316"/>
      <c r="AF2632" s="316"/>
      <c r="AG2632" s="404"/>
      <c r="AH2632" s="316"/>
      <c r="AI2632" s="316"/>
      <c r="AJ2632" s="316"/>
      <c r="AK2632" s="316"/>
      <c r="AL2632" s="316"/>
      <c r="AM2632" s="416"/>
      <c r="AR2632" s="333"/>
      <c r="AS2632" s="333"/>
      <c r="AT2632" s="333"/>
      <c r="AU2632" s="333"/>
      <c r="AV2632" s="333"/>
    </row>
    <row r="2633" spans="2:48" s="330" customFormat="1" ht="28.15" customHeight="1" x14ac:dyDescent="0.25">
      <c r="B2633" s="331"/>
      <c r="C2633" s="332"/>
      <c r="D2633" s="332"/>
      <c r="E2633" s="333"/>
      <c r="F2633" s="333"/>
      <c r="R2633" s="316"/>
      <c r="S2633" s="404"/>
      <c r="T2633" s="404"/>
      <c r="U2633" s="404"/>
      <c r="V2633" s="404"/>
      <c r="W2633" s="316"/>
      <c r="X2633" s="316"/>
      <c r="Y2633" s="316"/>
      <c r="Z2633" s="316"/>
      <c r="AA2633" s="404"/>
      <c r="AB2633" s="404"/>
      <c r="AC2633" s="404"/>
      <c r="AD2633" s="404"/>
      <c r="AE2633" s="316"/>
      <c r="AF2633" s="316"/>
      <c r="AG2633" s="404"/>
      <c r="AH2633" s="316"/>
      <c r="AI2633" s="316"/>
      <c r="AJ2633" s="316"/>
      <c r="AK2633" s="316"/>
      <c r="AL2633" s="316"/>
      <c r="AM2633" s="416"/>
      <c r="AR2633" s="333"/>
      <c r="AS2633" s="333"/>
      <c r="AT2633" s="333"/>
      <c r="AU2633" s="333"/>
      <c r="AV2633" s="333"/>
    </row>
    <row r="2634" spans="2:48" s="330" customFormat="1" ht="28.15" customHeight="1" x14ac:dyDescent="0.25">
      <c r="B2634" s="331"/>
      <c r="C2634" s="332"/>
      <c r="D2634" s="332"/>
      <c r="E2634" s="333"/>
      <c r="F2634" s="333"/>
      <c r="R2634" s="316"/>
      <c r="S2634" s="404"/>
      <c r="T2634" s="404"/>
      <c r="U2634" s="404"/>
      <c r="V2634" s="404"/>
      <c r="W2634" s="316"/>
      <c r="X2634" s="316"/>
      <c r="Y2634" s="316"/>
      <c r="Z2634" s="316"/>
      <c r="AA2634" s="404"/>
      <c r="AB2634" s="404"/>
      <c r="AC2634" s="404"/>
      <c r="AD2634" s="404"/>
      <c r="AE2634" s="316"/>
      <c r="AF2634" s="316"/>
      <c r="AG2634" s="404"/>
      <c r="AH2634" s="316"/>
      <c r="AI2634" s="316"/>
      <c r="AJ2634" s="316"/>
      <c r="AK2634" s="316"/>
      <c r="AL2634" s="316"/>
      <c r="AM2634" s="416"/>
      <c r="AR2634" s="333"/>
      <c r="AS2634" s="333"/>
      <c r="AT2634" s="333"/>
      <c r="AU2634" s="333"/>
      <c r="AV2634" s="333"/>
    </row>
    <row r="2635" spans="2:48" s="330" customFormat="1" ht="28.15" customHeight="1" x14ac:dyDescent="0.25">
      <c r="B2635" s="331"/>
      <c r="C2635" s="332"/>
      <c r="D2635" s="332"/>
      <c r="E2635" s="333"/>
      <c r="F2635" s="333"/>
      <c r="R2635" s="316"/>
      <c r="S2635" s="404"/>
      <c r="T2635" s="404"/>
      <c r="U2635" s="404"/>
      <c r="V2635" s="404"/>
      <c r="W2635" s="316"/>
      <c r="X2635" s="316"/>
      <c r="Y2635" s="316"/>
      <c r="Z2635" s="316"/>
      <c r="AA2635" s="404"/>
      <c r="AB2635" s="404"/>
      <c r="AC2635" s="404"/>
      <c r="AD2635" s="404"/>
      <c r="AE2635" s="316"/>
      <c r="AF2635" s="316"/>
      <c r="AG2635" s="404"/>
      <c r="AH2635" s="316"/>
      <c r="AI2635" s="316"/>
      <c r="AJ2635" s="316"/>
      <c r="AK2635" s="316"/>
      <c r="AL2635" s="316"/>
      <c r="AM2635" s="416"/>
      <c r="AR2635" s="333"/>
      <c r="AS2635" s="333"/>
      <c r="AT2635" s="333"/>
      <c r="AU2635" s="333"/>
      <c r="AV2635" s="333"/>
    </row>
    <row r="2636" spans="2:48" s="330" customFormat="1" ht="28.15" customHeight="1" x14ac:dyDescent="0.25">
      <c r="B2636" s="331"/>
      <c r="C2636" s="332"/>
      <c r="D2636" s="332"/>
      <c r="E2636" s="333"/>
      <c r="F2636" s="333"/>
      <c r="R2636" s="316"/>
      <c r="S2636" s="404"/>
      <c r="T2636" s="404"/>
      <c r="U2636" s="404"/>
      <c r="V2636" s="404"/>
      <c r="W2636" s="316"/>
      <c r="X2636" s="316"/>
      <c r="Y2636" s="316"/>
      <c r="Z2636" s="316"/>
      <c r="AA2636" s="404"/>
      <c r="AB2636" s="404"/>
      <c r="AC2636" s="404"/>
      <c r="AD2636" s="404"/>
      <c r="AE2636" s="316"/>
      <c r="AF2636" s="316"/>
      <c r="AG2636" s="404"/>
      <c r="AH2636" s="316"/>
      <c r="AI2636" s="316"/>
      <c r="AJ2636" s="316"/>
      <c r="AK2636" s="316"/>
      <c r="AL2636" s="316"/>
      <c r="AM2636" s="416"/>
      <c r="AR2636" s="333"/>
      <c r="AS2636" s="333"/>
      <c r="AT2636" s="333"/>
      <c r="AU2636" s="333"/>
      <c r="AV2636" s="333"/>
    </row>
    <row r="2637" spans="2:48" s="330" customFormat="1" ht="28.15" customHeight="1" x14ac:dyDescent="0.25">
      <c r="B2637" s="331"/>
      <c r="C2637" s="332"/>
      <c r="D2637" s="332"/>
      <c r="E2637" s="333"/>
      <c r="F2637" s="333"/>
      <c r="R2637" s="316"/>
      <c r="S2637" s="404"/>
      <c r="T2637" s="404"/>
      <c r="U2637" s="404"/>
      <c r="V2637" s="404"/>
      <c r="W2637" s="316"/>
      <c r="X2637" s="316"/>
      <c r="Y2637" s="316"/>
      <c r="Z2637" s="316"/>
      <c r="AA2637" s="404"/>
      <c r="AB2637" s="404"/>
      <c r="AC2637" s="404"/>
      <c r="AD2637" s="404"/>
      <c r="AE2637" s="316"/>
      <c r="AF2637" s="316"/>
      <c r="AG2637" s="404"/>
      <c r="AH2637" s="316"/>
      <c r="AI2637" s="316"/>
      <c r="AJ2637" s="316"/>
      <c r="AK2637" s="316"/>
      <c r="AL2637" s="316"/>
      <c r="AM2637" s="416"/>
      <c r="AR2637" s="333"/>
      <c r="AS2637" s="333"/>
      <c r="AT2637" s="333"/>
      <c r="AU2637" s="333"/>
      <c r="AV2637" s="333"/>
    </row>
    <row r="2638" spans="2:48" s="330" customFormat="1" ht="28.15" customHeight="1" x14ac:dyDescent="0.25">
      <c r="B2638" s="331"/>
      <c r="C2638" s="332"/>
      <c r="D2638" s="332"/>
      <c r="E2638" s="333"/>
      <c r="F2638" s="333"/>
      <c r="R2638" s="316"/>
      <c r="S2638" s="404"/>
      <c r="T2638" s="404"/>
      <c r="U2638" s="404"/>
      <c r="V2638" s="404"/>
      <c r="W2638" s="316"/>
      <c r="X2638" s="316"/>
      <c r="Y2638" s="316"/>
      <c r="Z2638" s="316"/>
      <c r="AA2638" s="404"/>
      <c r="AB2638" s="404"/>
      <c r="AC2638" s="404"/>
      <c r="AD2638" s="404"/>
      <c r="AE2638" s="316"/>
      <c r="AF2638" s="316"/>
      <c r="AG2638" s="404"/>
      <c r="AH2638" s="316"/>
      <c r="AI2638" s="316"/>
      <c r="AJ2638" s="316"/>
      <c r="AK2638" s="316"/>
      <c r="AL2638" s="316"/>
      <c r="AM2638" s="416"/>
      <c r="AR2638" s="333"/>
      <c r="AS2638" s="333"/>
      <c r="AT2638" s="333"/>
      <c r="AU2638" s="333"/>
      <c r="AV2638" s="333"/>
    </row>
    <row r="2639" spans="2:48" s="330" customFormat="1" ht="28.15" customHeight="1" x14ac:dyDescent="0.25">
      <c r="B2639" s="331"/>
      <c r="C2639" s="332"/>
      <c r="D2639" s="332"/>
      <c r="E2639" s="333"/>
      <c r="F2639" s="333"/>
      <c r="R2639" s="316"/>
      <c r="S2639" s="404"/>
      <c r="T2639" s="404"/>
      <c r="U2639" s="404"/>
      <c r="V2639" s="404"/>
      <c r="W2639" s="316"/>
      <c r="X2639" s="316"/>
      <c r="Y2639" s="316"/>
      <c r="Z2639" s="316"/>
      <c r="AA2639" s="404"/>
      <c r="AB2639" s="404"/>
      <c r="AC2639" s="404"/>
      <c r="AD2639" s="404"/>
      <c r="AE2639" s="316"/>
      <c r="AF2639" s="316"/>
      <c r="AG2639" s="404"/>
      <c r="AH2639" s="316"/>
      <c r="AI2639" s="316"/>
      <c r="AJ2639" s="316"/>
      <c r="AK2639" s="316"/>
      <c r="AL2639" s="316"/>
      <c r="AM2639" s="416"/>
      <c r="AR2639" s="333"/>
      <c r="AS2639" s="333"/>
      <c r="AT2639" s="333"/>
      <c r="AU2639" s="333"/>
      <c r="AV2639" s="333"/>
    </row>
    <row r="2640" spans="2:48" s="330" customFormat="1" ht="28.15" customHeight="1" x14ac:dyDescent="0.25">
      <c r="B2640" s="331"/>
      <c r="C2640" s="332"/>
      <c r="D2640" s="332"/>
      <c r="E2640" s="333"/>
      <c r="F2640" s="333"/>
      <c r="R2640" s="316"/>
      <c r="S2640" s="404"/>
      <c r="T2640" s="404"/>
      <c r="U2640" s="404"/>
      <c r="V2640" s="404"/>
      <c r="W2640" s="316"/>
      <c r="X2640" s="316"/>
      <c r="Y2640" s="316"/>
      <c r="Z2640" s="316"/>
      <c r="AA2640" s="404"/>
      <c r="AB2640" s="404"/>
      <c r="AC2640" s="404"/>
      <c r="AD2640" s="404"/>
      <c r="AE2640" s="316"/>
      <c r="AF2640" s="316"/>
      <c r="AG2640" s="404"/>
      <c r="AH2640" s="316"/>
      <c r="AI2640" s="316"/>
      <c r="AJ2640" s="316"/>
      <c r="AK2640" s="316"/>
      <c r="AL2640" s="316"/>
      <c r="AM2640" s="416"/>
      <c r="AR2640" s="333"/>
      <c r="AS2640" s="333"/>
      <c r="AT2640" s="333"/>
      <c r="AU2640" s="333"/>
      <c r="AV2640" s="333"/>
    </row>
    <row r="2641" spans="2:48" s="330" customFormat="1" ht="28.15" customHeight="1" x14ac:dyDescent="0.25">
      <c r="B2641" s="331"/>
      <c r="C2641" s="332"/>
      <c r="D2641" s="332"/>
      <c r="E2641" s="333"/>
      <c r="F2641" s="333"/>
      <c r="R2641" s="316"/>
      <c r="S2641" s="404"/>
      <c r="T2641" s="404"/>
      <c r="U2641" s="404"/>
      <c r="V2641" s="404"/>
      <c r="W2641" s="316"/>
      <c r="X2641" s="316"/>
      <c r="Y2641" s="316"/>
      <c r="Z2641" s="316"/>
      <c r="AA2641" s="404"/>
      <c r="AB2641" s="404"/>
      <c r="AC2641" s="404"/>
      <c r="AD2641" s="404"/>
      <c r="AE2641" s="316"/>
      <c r="AF2641" s="316"/>
      <c r="AG2641" s="404"/>
      <c r="AH2641" s="316"/>
      <c r="AI2641" s="316"/>
      <c r="AJ2641" s="316"/>
      <c r="AK2641" s="316"/>
      <c r="AL2641" s="316"/>
      <c r="AM2641" s="416"/>
      <c r="AR2641" s="333"/>
      <c r="AS2641" s="333"/>
      <c r="AT2641" s="333"/>
      <c r="AU2641" s="333"/>
      <c r="AV2641" s="333"/>
    </row>
    <row r="2642" spans="2:48" s="330" customFormat="1" ht="28.15" customHeight="1" x14ac:dyDescent="0.25">
      <c r="B2642" s="331"/>
      <c r="C2642" s="332"/>
      <c r="D2642" s="332"/>
      <c r="E2642" s="333"/>
      <c r="F2642" s="333"/>
      <c r="R2642" s="316"/>
      <c r="S2642" s="404"/>
      <c r="T2642" s="404"/>
      <c r="U2642" s="404"/>
      <c r="V2642" s="404"/>
      <c r="W2642" s="316"/>
      <c r="X2642" s="316"/>
      <c r="Y2642" s="316"/>
      <c r="Z2642" s="316"/>
      <c r="AA2642" s="404"/>
      <c r="AB2642" s="404"/>
      <c r="AC2642" s="404"/>
      <c r="AD2642" s="404"/>
      <c r="AE2642" s="316"/>
      <c r="AF2642" s="316"/>
      <c r="AG2642" s="404"/>
      <c r="AH2642" s="316"/>
      <c r="AI2642" s="316"/>
      <c r="AJ2642" s="316"/>
      <c r="AK2642" s="316"/>
      <c r="AL2642" s="316"/>
      <c r="AM2642" s="416"/>
      <c r="AR2642" s="333"/>
      <c r="AS2642" s="333"/>
      <c r="AT2642" s="333"/>
      <c r="AU2642" s="333"/>
      <c r="AV2642" s="333"/>
    </row>
    <row r="2643" spans="2:48" s="330" customFormat="1" ht="28.15" customHeight="1" x14ac:dyDescent="0.25">
      <c r="B2643" s="331"/>
      <c r="C2643" s="332"/>
      <c r="D2643" s="332"/>
      <c r="E2643" s="333"/>
      <c r="F2643" s="333"/>
      <c r="R2643" s="316"/>
      <c r="S2643" s="404"/>
      <c r="T2643" s="404"/>
      <c r="U2643" s="404"/>
      <c r="V2643" s="404"/>
      <c r="W2643" s="316"/>
      <c r="X2643" s="316"/>
      <c r="Y2643" s="316"/>
      <c r="Z2643" s="316"/>
      <c r="AA2643" s="404"/>
      <c r="AB2643" s="404"/>
      <c r="AC2643" s="404"/>
      <c r="AD2643" s="404"/>
      <c r="AE2643" s="316"/>
      <c r="AF2643" s="316"/>
      <c r="AG2643" s="404"/>
      <c r="AH2643" s="316"/>
      <c r="AI2643" s="316"/>
      <c r="AJ2643" s="316"/>
      <c r="AK2643" s="316"/>
      <c r="AL2643" s="316"/>
      <c r="AM2643" s="416"/>
      <c r="AR2643" s="333"/>
      <c r="AS2643" s="333"/>
      <c r="AT2643" s="333"/>
      <c r="AU2643" s="333"/>
      <c r="AV2643" s="333"/>
    </row>
    <row r="2644" spans="2:48" s="330" customFormat="1" ht="28.15" customHeight="1" x14ac:dyDescent="0.25">
      <c r="B2644" s="331"/>
      <c r="C2644" s="332"/>
      <c r="D2644" s="332"/>
      <c r="E2644" s="333"/>
      <c r="F2644" s="333"/>
      <c r="R2644" s="316"/>
      <c r="S2644" s="404"/>
      <c r="T2644" s="404"/>
      <c r="U2644" s="404"/>
      <c r="V2644" s="404"/>
      <c r="W2644" s="316"/>
      <c r="X2644" s="316"/>
      <c r="Y2644" s="316"/>
      <c r="Z2644" s="316"/>
      <c r="AA2644" s="404"/>
      <c r="AB2644" s="404"/>
      <c r="AC2644" s="404"/>
      <c r="AD2644" s="404"/>
      <c r="AE2644" s="316"/>
      <c r="AF2644" s="316"/>
      <c r="AG2644" s="404"/>
      <c r="AH2644" s="316"/>
      <c r="AI2644" s="316"/>
      <c r="AJ2644" s="316"/>
      <c r="AK2644" s="316"/>
      <c r="AL2644" s="316"/>
      <c r="AM2644" s="416"/>
      <c r="AR2644" s="333"/>
      <c r="AS2644" s="333"/>
      <c r="AT2644" s="333"/>
      <c r="AU2644" s="333"/>
      <c r="AV2644" s="333"/>
    </row>
    <row r="2645" spans="2:48" s="330" customFormat="1" ht="28.15" customHeight="1" x14ac:dyDescent="0.25">
      <c r="B2645" s="331"/>
      <c r="C2645" s="332"/>
      <c r="D2645" s="332"/>
      <c r="E2645" s="333"/>
      <c r="F2645" s="333"/>
      <c r="R2645" s="316"/>
      <c r="S2645" s="404"/>
      <c r="T2645" s="404"/>
      <c r="U2645" s="404"/>
      <c r="V2645" s="404"/>
      <c r="W2645" s="316"/>
      <c r="X2645" s="316"/>
      <c r="Y2645" s="316"/>
      <c r="Z2645" s="316"/>
      <c r="AA2645" s="404"/>
      <c r="AB2645" s="404"/>
      <c r="AC2645" s="404"/>
      <c r="AD2645" s="404"/>
      <c r="AE2645" s="316"/>
      <c r="AF2645" s="316"/>
      <c r="AG2645" s="404"/>
      <c r="AH2645" s="316"/>
      <c r="AI2645" s="316"/>
      <c r="AJ2645" s="316"/>
      <c r="AK2645" s="316"/>
      <c r="AL2645" s="316"/>
      <c r="AM2645" s="416"/>
      <c r="AR2645" s="333"/>
      <c r="AS2645" s="333"/>
      <c r="AT2645" s="333"/>
      <c r="AU2645" s="333"/>
      <c r="AV2645" s="333"/>
    </row>
    <row r="2646" spans="2:48" s="330" customFormat="1" ht="28.15" customHeight="1" x14ac:dyDescent="0.25">
      <c r="B2646" s="331"/>
      <c r="C2646" s="332"/>
      <c r="D2646" s="332"/>
      <c r="E2646" s="333"/>
      <c r="F2646" s="333"/>
      <c r="R2646" s="316"/>
      <c r="S2646" s="404"/>
      <c r="T2646" s="404"/>
      <c r="U2646" s="404"/>
      <c r="V2646" s="404"/>
      <c r="W2646" s="316"/>
      <c r="X2646" s="316"/>
      <c r="Y2646" s="316"/>
      <c r="Z2646" s="316"/>
      <c r="AA2646" s="404"/>
      <c r="AB2646" s="404"/>
      <c r="AC2646" s="404"/>
      <c r="AD2646" s="404"/>
      <c r="AE2646" s="316"/>
      <c r="AF2646" s="316"/>
      <c r="AG2646" s="404"/>
      <c r="AH2646" s="316"/>
      <c r="AI2646" s="316"/>
      <c r="AJ2646" s="316"/>
      <c r="AK2646" s="316"/>
      <c r="AL2646" s="316"/>
      <c r="AM2646" s="416"/>
      <c r="AR2646" s="333"/>
      <c r="AS2646" s="333"/>
      <c r="AT2646" s="333"/>
      <c r="AU2646" s="333"/>
      <c r="AV2646" s="333"/>
    </row>
    <row r="2647" spans="2:48" s="330" customFormat="1" ht="28.15" customHeight="1" x14ac:dyDescent="0.25">
      <c r="B2647" s="331"/>
      <c r="C2647" s="332"/>
      <c r="D2647" s="332"/>
      <c r="E2647" s="333"/>
      <c r="F2647" s="333"/>
      <c r="R2647" s="316"/>
      <c r="S2647" s="404"/>
      <c r="T2647" s="404"/>
      <c r="U2647" s="404"/>
      <c r="V2647" s="404"/>
      <c r="W2647" s="316"/>
      <c r="X2647" s="316"/>
      <c r="Y2647" s="316"/>
      <c r="Z2647" s="316"/>
      <c r="AA2647" s="404"/>
      <c r="AB2647" s="404"/>
      <c r="AC2647" s="404"/>
      <c r="AD2647" s="404"/>
      <c r="AE2647" s="316"/>
      <c r="AF2647" s="316"/>
      <c r="AG2647" s="404"/>
      <c r="AH2647" s="316"/>
      <c r="AI2647" s="316"/>
      <c r="AJ2647" s="316"/>
      <c r="AK2647" s="316"/>
      <c r="AL2647" s="316"/>
      <c r="AM2647" s="416"/>
      <c r="AR2647" s="333"/>
      <c r="AS2647" s="333"/>
      <c r="AT2647" s="333"/>
      <c r="AU2647" s="333"/>
      <c r="AV2647" s="333"/>
    </row>
    <row r="2648" spans="2:48" s="330" customFormat="1" ht="28.15" customHeight="1" x14ac:dyDescent="0.25">
      <c r="B2648" s="331"/>
      <c r="C2648" s="332"/>
      <c r="D2648" s="332"/>
      <c r="E2648" s="333"/>
      <c r="F2648" s="333"/>
      <c r="R2648" s="316"/>
      <c r="S2648" s="404"/>
      <c r="T2648" s="404"/>
      <c r="U2648" s="404"/>
      <c r="V2648" s="404"/>
      <c r="W2648" s="316"/>
      <c r="X2648" s="316"/>
      <c r="Y2648" s="316"/>
      <c r="Z2648" s="316"/>
      <c r="AA2648" s="404"/>
      <c r="AB2648" s="404"/>
      <c r="AC2648" s="404"/>
      <c r="AD2648" s="404"/>
      <c r="AE2648" s="316"/>
      <c r="AF2648" s="316"/>
      <c r="AG2648" s="404"/>
      <c r="AH2648" s="316"/>
      <c r="AI2648" s="316"/>
      <c r="AJ2648" s="316"/>
      <c r="AK2648" s="316"/>
      <c r="AL2648" s="316"/>
      <c r="AM2648" s="416"/>
      <c r="AR2648" s="333"/>
      <c r="AS2648" s="333"/>
      <c r="AT2648" s="333"/>
      <c r="AU2648" s="333"/>
      <c r="AV2648" s="333"/>
    </row>
    <row r="2649" spans="2:48" s="330" customFormat="1" ht="28.15" customHeight="1" x14ac:dyDescent="0.25">
      <c r="B2649" s="331"/>
      <c r="C2649" s="332"/>
      <c r="D2649" s="332"/>
      <c r="E2649" s="333"/>
      <c r="F2649" s="333"/>
      <c r="R2649" s="316"/>
      <c r="S2649" s="404"/>
      <c r="T2649" s="404"/>
      <c r="U2649" s="404"/>
      <c r="V2649" s="404"/>
      <c r="W2649" s="316"/>
      <c r="X2649" s="316"/>
      <c r="Y2649" s="316"/>
      <c r="Z2649" s="316"/>
      <c r="AA2649" s="404"/>
      <c r="AB2649" s="404"/>
      <c r="AC2649" s="404"/>
      <c r="AD2649" s="404"/>
      <c r="AE2649" s="316"/>
      <c r="AF2649" s="316"/>
      <c r="AG2649" s="404"/>
      <c r="AH2649" s="316"/>
      <c r="AI2649" s="316"/>
      <c r="AJ2649" s="316"/>
      <c r="AK2649" s="316"/>
      <c r="AL2649" s="316"/>
      <c r="AM2649" s="416"/>
      <c r="AR2649" s="333"/>
      <c r="AS2649" s="333"/>
      <c r="AT2649" s="333"/>
      <c r="AU2649" s="333"/>
      <c r="AV2649" s="333"/>
    </row>
    <row r="2650" spans="2:48" s="330" customFormat="1" ht="28.15" customHeight="1" x14ac:dyDescent="0.25">
      <c r="B2650" s="331"/>
      <c r="C2650" s="332"/>
      <c r="D2650" s="332"/>
      <c r="E2650" s="333"/>
      <c r="F2650" s="333"/>
      <c r="R2650" s="316"/>
      <c r="S2650" s="404"/>
      <c r="T2650" s="404"/>
      <c r="U2650" s="404"/>
      <c r="V2650" s="404"/>
      <c r="W2650" s="316"/>
      <c r="X2650" s="316"/>
      <c r="Y2650" s="316"/>
      <c r="Z2650" s="316"/>
      <c r="AA2650" s="404"/>
      <c r="AB2650" s="404"/>
      <c r="AC2650" s="404"/>
      <c r="AD2650" s="404"/>
      <c r="AE2650" s="316"/>
      <c r="AF2650" s="316"/>
      <c r="AG2650" s="404"/>
      <c r="AH2650" s="316"/>
      <c r="AI2650" s="316"/>
      <c r="AJ2650" s="316"/>
      <c r="AK2650" s="316"/>
      <c r="AL2650" s="316"/>
      <c r="AM2650" s="416"/>
      <c r="AR2650" s="333"/>
      <c r="AS2650" s="333"/>
      <c r="AT2650" s="333"/>
      <c r="AU2650" s="333"/>
      <c r="AV2650" s="333"/>
    </row>
    <row r="2651" spans="2:48" s="330" customFormat="1" ht="28.15" customHeight="1" x14ac:dyDescent="0.25">
      <c r="B2651" s="331"/>
      <c r="C2651" s="332"/>
      <c r="D2651" s="332"/>
      <c r="E2651" s="333"/>
      <c r="F2651" s="333"/>
      <c r="R2651" s="316"/>
      <c r="S2651" s="404"/>
      <c r="T2651" s="404"/>
      <c r="U2651" s="404"/>
      <c r="V2651" s="404"/>
      <c r="W2651" s="316"/>
      <c r="X2651" s="316"/>
      <c r="Y2651" s="316"/>
      <c r="Z2651" s="316"/>
      <c r="AA2651" s="404"/>
      <c r="AB2651" s="404"/>
      <c r="AC2651" s="404"/>
      <c r="AD2651" s="404"/>
      <c r="AE2651" s="316"/>
      <c r="AF2651" s="316"/>
      <c r="AG2651" s="404"/>
      <c r="AH2651" s="316"/>
      <c r="AI2651" s="316"/>
      <c r="AJ2651" s="316"/>
      <c r="AK2651" s="316"/>
      <c r="AL2651" s="316"/>
      <c r="AM2651" s="416"/>
      <c r="AR2651" s="333"/>
      <c r="AS2651" s="333"/>
      <c r="AT2651" s="333"/>
      <c r="AU2651" s="333"/>
      <c r="AV2651" s="333"/>
    </row>
    <row r="2652" spans="2:48" s="330" customFormat="1" ht="28.15" customHeight="1" x14ac:dyDescent="0.25">
      <c r="B2652" s="331"/>
      <c r="C2652" s="332"/>
      <c r="D2652" s="332"/>
      <c r="E2652" s="333"/>
      <c r="F2652" s="333"/>
      <c r="R2652" s="316"/>
      <c r="S2652" s="404"/>
      <c r="T2652" s="404"/>
      <c r="U2652" s="404"/>
      <c r="V2652" s="404"/>
      <c r="W2652" s="316"/>
      <c r="X2652" s="316"/>
      <c r="Y2652" s="316"/>
      <c r="Z2652" s="316"/>
      <c r="AA2652" s="404"/>
      <c r="AB2652" s="404"/>
      <c r="AC2652" s="404"/>
      <c r="AD2652" s="404"/>
      <c r="AE2652" s="316"/>
      <c r="AF2652" s="316"/>
      <c r="AG2652" s="404"/>
      <c r="AH2652" s="316"/>
      <c r="AI2652" s="316"/>
      <c r="AJ2652" s="316"/>
      <c r="AK2652" s="316"/>
      <c r="AL2652" s="316"/>
      <c r="AM2652" s="416"/>
      <c r="AR2652" s="333"/>
      <c r="AS2652" s="333"/>
      <c r="AT2652" s="333"/>
      <c r="AU2652" s="333"/>
      <c r="AV2652" s="333"/>
    </row>
    <row r="2653" spans="2:48" s="330" customFormat="1" ht="28.15" customHeight="1" x14ac:dyDescent="0.25">
      <c r="B2653" s="331"/>
      <c r="C2653" s="332"/>
      <c r="D2653" s="332"/>
      <c r="E2653" s="333"/>
      <c r="F2653" s="333"/>
      <c r="R2653" s="316"/>
      <c r="S2653" s="404"/>
      <c r="T2653" s="404"/>
      <c r="U2653" s="404"/>
      <c r="V2653" s="404"/>
      <c r="W2653" s="316"/>
      <c r="X2653" s="316"/>
      <c r="Y2653" s="316"/>
      <c r="Z2653" s="316"/>
      <c r="AA2653" s="404"/>
      <c r="AB2653" s="404"/>
      <c r="AC2653" s="404"/>
      <c r="AD2653" s="404"/>
      <c r="AE2653" s="316"/>
      <c r="AF2653" s="316"/>
      <c r="AG2653" s="404"/>
      <c r="AH2653" s="316"/>
      <c r="AI2653" s="316"/>
      <c r="AJ2653" s="316"/>
      <c r="AK2653" s="316"/>
      <c r="AL2653" s="316"/>
      <c r="AM2653" s="416"/>
      <c r="AR2653" s="333"/>
      <c r="AS2653" s="333"/>
      <c r="AT2653" s="333"/>
      <c r="AU2653" s="333"/>
      <c r="AV2653" s="333"/>
    </row>
    <row r="2654" spans="2:48" s="330" customFormat="1" ht="28.15" customHeight="1" x14ac:dyDescent="0.25">
      <c r="B2654" s="331"/>
      <c r="C2654" s="332"/>
      <c r="D2654" s="332"/>
      <c r="E2654" s="333"/>
      <c r="F2654" s="333"/>
      <c r="R2654" s="316"/>
      <c r="S2654" s="404"/>
      <c r="T2654" s="404"/>
      <c r="U2654" s="404"/>
      <c r="V2654" s="404"/>
      <c r="W2654" s="316"/>
      <c r="X2654" s="316"/>
      <c r="Y2654" s="316"/>
      <c r="Z2654" s="316"/>
      <c r="AA2654" s="404"/>
      <c r="AB2654" s="404"/>
      <c r="AC2654" s="404"/>
      <c r="AD2654" s="404"/>
      <c r="AE2654" s="316"/>
      <c r="AF2654" s="316"/>
      <c r="AG2654" s="404"/>
      <c r="AH2654" s="316"/>
      <c r="AI2654" s="316"/>
      <c r="AJ2654" s="316"/>
      <c r="AK2654" s="316"/>
      <c r="AL2654" s="316"/>
      <c r="AM2654" s="416"/>
      <c r="AR2654" s="333"/>
      <c r="AS2654" s="333"/>
      <c r="AT2654" s="333"/>
      <c r="AU2654" s="333"/>
      <c r="AV2654" s="333"/>
    </row>
    <row r="2655" spans="2:48" s="330" customFormat="1" ht="28.15" customHeight="1" x14ac:dyDescent="0.25">
      <c r="B2655" s="331"/>
      <c r="C2655" s="332"/>
      <c r="D2655" s="332"/>
      <c r="E2655" s="333"/>
      <c r="F2655" s="333"/>
      <c r="R2655" s="316"/>
      <c r="S2655" s="404"/>
      <c r="T2655" s="404"/>
      <c r="U2655" s="404"/>
      <c r="V2655" s="404"/>
      <c r="W2655" s="316"/>
      <c r="X2655" s="316"/>
      <c r="Y2655" s="316"/>
      <c r="Z2655" s="316"/>
      <c r="AA2655" s="404"/>
      <c r="AB2655" s="404"/>
      <c r="AC2655" s="404"/>
      <c r="AD2655" s="404"/>
      <c r="AE2655" s="316"/>
      <c r="AF2655" s="316"/>
      <c r="AG2655" s="404"/>
      <c r="AH2655" s="316"/>
      <c r="AI2655" s="316"/>
      <c r="AJ2655" s="316"/>
      <c r="AK2655" s="316"/>
      <c r="AL2655" s="316"/>
      <c r="AM2655" s="416"/>
      <c r="AR2655" s="333"/>
      <c r="AS2655" s="333"/>
      <c r="AT2655" s="333"/>
      <c r="AU2655" s="333"/>
      <c r="AV2655" s="333"/>
    </row>
    <row r="2656" spans="2:48" s="330" customFormat="1" ht="28.15" customHeight="1" x14ac:dyDescent="0.25">
      <c r="B2656" s="331"/>
      <c r="C2656" s="332"/>
      <c r="D2656" s="332"/>
      <c r="E2656" s="333"/>
      <c r="F2656" s="333"/>
      <c r="R2656" s="316"/>
      <c r="S2656" s="404"/>
      <c r="T2656" s="404"/>
      <c r="U2656" s="404"/>
      <c r="V2656" s="404"/>
      <c r="W2656" s="316"/>
      <c r="X2656" s="316"/>
      <c r="Y2656" s="316"/>
      <c r="Z2656" s="316"/>
      <c r="AA2656" s="404"/>
      <c r="AB2656" s="404"/>
      <c r="AC2656" s="404"/>
      <c r="AD2656" s="404"/>
      <c r="AE2656" s="316"/>
      <c r="AF2656" s="316"/>
      <c r="AG2656" s="404"/>
      <c r="AH2656" s="316"/>
      <c r="AI2656" s="316"/>
      <c r="AJ2656" s="316"/>
      <c r="AK2656" s="316"/>
      <c r="AL2656" s="316"/>
      <c r="AM2656" s="416"/>
      <c r="AR2656" s="333"/>
      <c r="AS2656" s="333"/>
      <c r="AT2656" s="333"/>
      <c r="AU2656" s="333"/>
      <c r="AV2656" s="333"/>
    </row>
    <row r="2657" spans="2:48" s="330" customFormat="1" ht="28.15" customHeight="1" x14ac:dyDescent="0.25">
      <c r="B2657" s="331"/>
      <c r="C2657" s="332"/>
      <c r="D2657" s="332"/>
      <c r="E2657" s="333"/>
      <c r="F2657" s="333"/>
      <c r="R2657" s="316"/>
      <c r="S2657" s="404"/>
      <c r="T2657" s="404"/>
      <c r="U2657" s="404"/>
      <c r="V2657" s="404"/>
      <c r="W2657" s="316"/>
      <c r="X2657" s="316"/>
      <c r="Y2657" s="316"/>
      <c r="Z2657" s="316"/>
      <c r="AA2657" s="404"/>
      <c r="AB2657" s="404"/>
      <c r="AC2657" s="404"/>
      <c r="AD2657" s="404"/>
      <c r="AE2657" s="316"/>
      <c r="AF2657" s="316"/>
      <c r="AG2657" s="404"/>
      <c r="AH2657" s="316"/>
      <c r="AI2657" s="316"/>
      <c r="AJ2657" s="316"/>
      <c r="AK2657" s="316"/>
      <c r="AL2657" s="316"/>
      <c r="AM2657" s="416"/>
      <c r="AR2657" s="333"/>
      <c r="AS2657" s="333"/>
      <c r="AT2657" s="333"/>
      <c r="AU2657" s="333"/>
      <c r="AV2657" s="333"/>
    </row>
    <row r="2658" spans="2:48" s="330" customFormat="1" ht="28.15" customHeight="1" x14ac:dyDescent="0.25">
      <c r="B2658" s="331"/>
      <c r="C2658" s="332"/>
      <c r="D2658" s="332"/>
      <c r="E2658" s="333"/>
      <c r="F2658" s="333"/>
      <c r="R2658" s="316"/>
      <c r="S2658" s="404"/>
      <c r="T2658" s="404"/>
      <c r="U2658" s="404"/>
      <c r="V2658" s="404"/>
      <c r="W2658" s="316"/>
      <c r="X2658" s="316"/>
      <c r="Y2658" s="316"/>
      <c r="Z2658" s="316"/>
      <c r="AA2658" s="404"/>
      <c r="AB2658" s="404"/>
      <c r="AC2658" s="404"/>
      <c r="AD2658" s="404"/>
      <c r="AE2658" s="316"/>
      <c r="AF2658" s="316"/>
      <c r="AG2658" s="404"/>
      <c r="AH2658" s="316"/>
      <c r="AI2658" s="316"/>
      <c r="AJ2658" s="316"/>
      <c r="AK2658" s="316"/>
      <c r="AL2658" s="316"/>
      <c r="AM2658" s="416"/>
      <c r="AR2658" s="333"/>
      <c r="AS2658" s="333"/>
      <c r="AT2658" s="333"/>
      <c r="AU2658" s="333"/>
      <c r="AV2658" s="333"/>
    </row>
    <row r="2659" spans="2:48" s="330" customFormat="1" ht="28.15" customHeight="1" x14ac:dyDescent="0.25">
      <c r="B2659" s="331"/>
      <c r="C2659" s="332"/>
      <c r="D2659" s="332"/>
      <c r="E2659" s="333"/>
      <c r="F2659" s="333"/>
      <c r="R2659" s="316"/>
      <c r="S2659" s="404"/>
      <c r="T2659" s="404"/>
      <c r="U2659" s="404"/>
      <c r="V2659" s="404"/>
      <c r="W2659" s="316"/>
      <c r="X2659" s="316"/>
      <c r="Y2659" s="316"/>
      <c r="Z2659" s="316"/>
      <c r="AA2659" s="404"/>
      <c r="AB2659" s="404"/>
      <c r="AC2659" s="404"/>
      <c r="AD2659" s="404"/>
      <c r="AE2659" s="316"/>
      <c r="AF2659" s="316"/>
      <c r="AG2659" s="404"/>
      <c r="AH2659" s="316"/>
      <c r="AI2659" s="316"/>
      <c r="AJ2659" s="316"/>
      <c r="AK2659" s="316"/>
      <c r="AL2659" s="316"/>
      <c r="AM2659" s="416"/>
      <c r="AR2659" s="333"/>
      <c r="AS2659" s="333"/>
      <c r="AT2659" s="333"/>
      <c r="AU2659" s="333"/>
      <c r="AV2659" s="333"/>
    </row>
    <row r="2660" spans="2:48" s="330" customFormat="1" ht="28.15" customHeight="1" x14ac:dyDescent="0.25">
      <c r="B2660" s="331"/>
      <c r="C2660" s="332"/>
      <c r="D2660" s="332"/>
      <c r="E2660" s="333"/>
      <c r="F2660" s="333"/>
      <c r="R2660" s="316"/>
      <c r="S2660" s="404"/>
      <c r="T2660" s="404"/>
      <c r="U2660" s="404"/>
      <c r="V2660" s="404"/>
      <c r="W2660" s="316"/>
      <c r="X2660" s="316"/>
      <c r="Y2660" s="316"/>
      <c r="Z2660" s="316"/>
      <c r="AA2660" s="404"/>
      <c r="AB2660" s="404"/>
      <c r="AC2660" s="404"/>
      <c r="AD2660" s="404"/>
      <c r="AE2660" s="316"/>
      <c r="AF2660" s="316"/>
      <c r="AG2660" s="404"/>
      <c r="AH2660" s="316"/>
      <c r="AI2660" s="316"/>
      <c r="AJ2660" s="316"/>
      <c r="AK2660" s="316"/>
      <c r="AL2660" s="316"/>
      <c r="AM2660" s="416"/>
      <c r="AR2660" s="333"/>
      <c r="AS2660" s="333"/>
      <c r="AT2660" s="333"/>
      <c r="AU2660" s="333"/>
      <c r="AV2660" s="333"/>
    </row>
    <row r="2661" spans="2:48" s="330" customFormat="1" ht="28.15" customHeight="1" x14ac:dyDescent="0.25">
      <c r="B2661" s="331"/>
      <c r="C2661" s="332"/>
      <c r="D2661" s="332"/>
      <c r="E2661" s="333"/>
      <c r="F2661" s="333"/>
      <c r="R2661" s="316"/>
      <c r="S2661" s="404"/>
      <c r="T2661" s="404"/>
      <c r="U2661" s="404"/>
      <c r="V2661" s="404"/>
      <c r="W2661" s="316"/>
      <c r="X2661" s="316"/>
      <c r="Y2661" s="316"/>
      <c r="Z2661" s="316"/>
      <c r="AA2661" s="404"/>
      <c r="AB2661" s="404"/>
      <c r="AC2661" s="404"/>
      <c r="AD2661" s="404"/>
      <c r="AE2661" s="316"/>
      <c r="AF2661" s="316"/>
      <c r="AG2661" s="404"/>
      <c r="AH2661" s="316"/>
      <c r="AI2661" s="316"/>
      <c r="AJ2661" s="316"/>
      <c r="AK2661" s="316"/>
      <c r="AL2661" s="316"/>
      <c r="AM2661" s="416"/>
      <c r="AR2661" s="333"/>
      <c r="AS2661" s="333"/>
      <c r="AT2661" s="333"/>
      <c r="AU2661" s="333"/>
      <c r="AV2661" s="333"/>
    </row>
    <row r="2662" spans="2:48" s="330" customFormat="1" ht="28.15" customHeight="1" x14ac:dyDescent="0.25">
      <c r="B2662" s="331"/>
      <c r="C2662" s="332"/>
      <c r="D2662" s="332"/>
      <c r="E2662" s="333"/>
      <c r="F2662" s="333"/>
      <c r="R2662" s="316"/>
      <c r="S2662" s="404"/>
      <c r="T2662" s="404"/>
      <c r="U2662" s="404"/>
      <c r="V2662" s="404"/>
      <c r="W2662" s="316"/>
      <c r="X2662" s="316"/>
      <c r="Y2662" s="316"/>
      <c r="Z2662" s="316"/>
      <c r="AA2662" s="404"/>
      <c r="AB2662" s="404"/>
      <c r="AC2662" s="404"/>
      <c r="AD2662" s="404"/>
      <c r="AE2662" s="316"/>
      <c r="AF2662" s="316"/>
      <c r="AG2662" s="404"/>
      <c r="AH2662" s="316"/>
      <c r="AI2662" s="316"/>
      <c r="AJ2662" s="316"/>
      <c r="AK2662" s="316"/>
      <c r="AL2662" s="316"/>
      <c r="AM2662" s="416"/>
      <c r="AR2662" s="333"/>
      <c r="AS2662" s="333"/>
      <c r="AT2662" s="333"/>
      <c r="AU2662" s="333"/>
      <c r="AV2662" s="333"/>
    </row>
    <row r="2663" spans="2:48" s="330" customFormat="1" ht="28.15" customHeight="1" x14ac:dyDescent="0.25">
      <c r="B2663" s="331"/>
      <c r="C2663" s="332"/>
      <c r="D2663" s="332"/>
      <c r="E2663" s="333"/>
      <c r="F2663" s="333"/>
      <c r="R2663" s="316"/>
      <c r="S2663" s="404"/>
      <c r="T2663" s="404"/>
      <c r="U2663" s="404"/>
      <c r="V2663" s="404"/>
      <c r="W2663" s="316"/>
      <c r="X2663" s="316"/>
      <c r="Y2663" s="316"/>
      <c r="Z2663" s="316"/>
      <c r="AA2663" s="404"/>
      <c r="AB2663" s="404"/>
      <c r="AC2663" s="404"/>
      <c r="AD2663" s="404"/>
      <c r="AE2663" s="316"/>
      <c r="AF2663" s="316"/>
      <c r="AG2663" s="404"/>
      <c r="AH2663" s="316"/>
      <c r="AI2663" s="316"/>
      <c r="AJ2663" s="316"/>
      <c r="AK2663" s="316"/>
      <c r="AL2663" s="316"/>
      <c r="AM2663" s="416"/>
      <c r="AR2663" s="333"/>
      <c r="AS2663" s="333"/>
      <c r="AT2663" s="333"/>
      <c r="AU2663" s="333"/>
      <c r="AV2663" s="333"/>
    </row>
    <row r="2664" spans="2:48" s="330" customFormat="1" ht="28.15" customHeight="1" x14ac:dyDescent="0.25">
      <c r="B2664" s="331"/>
      <c r="C2664" s="332"/>
      <c r="D2664" s="332"/>
      <c r="E2664" s="333"/>
      <c r="F2664" s="333"/>
      <c r="R2664" s="316"/>
      <c r="S2664" s="404"/>
      <c r="T2664" s="404"/>
      <c r="U2664" s="404"/>
      <c r="V2664" s="404"/>
      <c r="W2664" s="316"/>
      <c r="X2664" s="316"/>
      <c r="Y2664" s="316"/>
      <c r="Z2664" s="316"/>
      <c r="AA2664" s="404"/>
      <c r="AB2664" s="404"/>
      <c r="AC2664" s="404"/>
      <c r="AD2664" s="404"/>
      <c r="AE2664" s="316"/>
      <c r="AF2664" s="316"/>
      <c r="AG2664" s="404"/>
      <c r="AH2664" s="316"/>
      <c r="AI2664" s="316"/>
      <c r="AJ2664" s="316"/>
      <c r="AK2664" s="316"/>
      <c r="AL2664" s="316"/>
      <c r="AM2664" s="416"/>
      <c r="AR2664" s="333"/>
      <c r="AS2664" s="333"/>
      <c r="AT2664" s="333"/>
      <c r="AU2664" s="333"/>
      <c r="AV2664" s="333"/>
    </row>
    <row r="2665" spans="2:48" s="330" customFormat="1" ht="28.15" customHeight="1" x14ac:dyDescent="0.25">
      <c r="B2665" s="331"/>
      <c r="C2665" s="332"/>
      <c r="D2665" s="332"/>
      <c r="E2665" s="333"/>
      <c r="F2665" s="333"/>
      <c r="R2665" s="316"/>
      <c r="S2665" s="404"/>
      <c r="T2665" s="404"/>
      <c r="U2665" s="404"/>
      <c r="V2665" s="404"/>
      <c r="W2665" s="316"/>
      <c r="X2665" s="316"/>
      <c r="Y2665" s="316"/>
      <c r="Z2665" s="316"/>
      <c r="AA2665" s="404"/>
      <c r="AB2665" s="404"/>
      <c r="AC2665" s="404"/>
      <c r="AD2665" s="404"/>
      <c r="AE2665" s="316"/>
      <c r="AF2665" s="316"/>
      <c r="AG2665" s="404"/>
      <c r="AH2665" s="316"/>
      <c r="AI2665" s="316"/>
      <c r="AJ2665" s="316"/>
      <c r="AK2665" s="316"/>
      <c r="AL2665" s="316"/>
      <c r="AM2665" s="416"/>
      <c r="AR2665" s="333"/>
      <c r="AS2665" s="333"/>
      <c r="AT2665" s="333"/>
      <c r="AU2665" s="333"/>
      <c r="AV2665" s="333"/>
    </row>
    <row r="2666" spans="2:48" s="330" customFormat="1" ht="28.15" customHeight="1" x14ac:dyDescent="0.25">
      <c r="B2666" s="331"/>
      <c r="C2666" s="332"/>
      <c r="D2666" s="332"/>
      <c r="E2666" s="333"/>
      <c r="F2666" s="333"/>
      <c r="R2666" s="316"/>
      <c r="S2666" s="404"/>
      <c r="T2666" s="404"/>
      <c r="U2666" s="404"/>
      <c r="V2666" s="404"/>
      <c r="W2666" s="316"/>
      <c r="X2666" s="316"/>
      <c r="Y2666" s="316"/>
      <c r="Z2666" s="316"/>
      <c r="AA2666" s="404"/>
      <c r="AB2666" s="404"/>
      <c r="AC2666" s="404"/>
      <c r="AD2666" s="404"/>
      <c r="AE2666" s="316"/>
      <c r="AF2666" s="316"/>
      <c r="AG2666" s="404"/>
      <c r="AH2666" s="316"/>
      <c r="AI2666" s="316"/>
      <c r="AJ2666" s="316"/>
      <c r="AK2666" s="316"/>
      <c r="AL2666" s="316"/>
      <c r="AM2666" s="416"/>
      <c r="AR2666" s="333"/>
      <c r="AS2666" s="333"/>
      <c r="AT2666" s="333"/>
      <c r="AU2666" s="333"/>
      <c r="AV2666" s="333"/>
    </row>
    <row r="2667" spans="2:48" s="330" customFormat="1" ht="28.15" customHeight="1" x14ac:dyDescent="0.25">
      <c r="B2667" s="331"/>
      <c r="C2667" s="332"/>
      <c r="D2667" s="332"/>
      <c r="E2667" s="333"/>
      <c r="F2667" s="333"/>
      <c r="R2667" s="316"/>
      <c r="S2667" s="404"/>
      <c r="T2667" s="404"/>
      <c r="U2667" s="404"/>
      <c r="V2667" s="404"/>
      <c r="W2667" s="316"/>
      <c r="X2667" s="316"/>
      <c r="Y2667" s="316"/>
      <c r="Z2667" s="316"/>
      <c r="AA2667" s="404"/>
      <c r="AB2667" s="404"/>
      <c r="AC2667" s="404"/>
      <c r="AD2667" s="404"/>
      <c r="AE2667" s="316"/>
      <c r="AF2667" s="316"/>
      <c r="AG2667" s="404"/>
      <c r="AH2667" s="316"/>
      <c r="AI2667" s="316"/>
      <c r="AJ2667" s="316"/>
      <c r="AK2667" s="316"/>
      <c r="AL2667" s="316"/>
      <c r="AM2667" s="416"/>
      <c r="AR2667" s="333"/>
      <c r="AS2667" s="333"/>
      <c r="AT2667" s="333"/>
      <c r="AU2667" s="333"/>
      <c r="AV2667" s="333"/>
    </row>
    <row r="2668" spans="2:48" s="330" customFormat="1" ht="28.15" customHeight="1" x14ac:dyDescent="0.25">
      <c r="B2668" s="331"/>
      <c r="C2668" s="332"/>
      <c r="D2668" s="332"/>
      <c r="E2668" s="333"/>
      <c r="F2668" s="333"/>
      <c r="R2668" s="316"/>
      <c r="S2668" s="404"/>
      <c r="T2668" s="404"/>
      <c r="U2668" s="404"/>
      <c r="V2668" s="404"/>
      <c r="W2668" s="316"/>
      <c r="X2668" s="316"/>
      <c r="Y2668" s="316"/>
      <c r="Z2668" s="316"/>
      <c r="AA2668" s="404"/>
      <c r="AB2668" s="404"/>
      <c r="AC2668" s="404"/>
      <c r="AD2668" s="404"/>
      <c r="AE2668" s="316"/>
      <c r="AF2668" s="316"/>
      <c r="AG2668" s="404"/>
      <c r="AH2668" s="316"/>
      <c r="AI2668" s="316"/>
      <c r="AJ2668" s="316"/>
      <c r="AK2668" s="316"/>
      <c r="AL2668" s="316"/>
      <c r="AM2668" s="416"/>
      <c r="AR2668" s="333"/>
      <c r="AS2668" s="333"/>
      <c r="AT2668" s="333"/>
      <c r="AU2668" s="333"/>
      <c r="AV2668" s="333"/>
    </row>
    <row r="2669" spans="2:48" s="330" customFormat="1" ht="28.15" customHeight="1" x14ac:dyDescent="0.25">
      <c r="B2669" s="331"/>
      <c r="C2669" s="332"/>
      <c r="D2669" s="332"/>
      <c r="E2669" s="333"/>
      <c r="F2669" s="333"/>
      <c r="R2669" s="316"/>
      <c r="S2669" s="404"/>
      <c r="T2669" s="404"/>
      <c r="U2669" s="404"/>
      <c r="V2669" s="404"/>
      <c r="W2669" s="316"/>
      <c r="X2669" s="316"/>
      <c r="Y2669" s="316"/>
      <c r="Z2669" s="316"/>
      <c r="AA2669" s="404"/>
      <c r="AB2669" s="404"/>
      <c r="AC2669" s="404"/>
      <c r="AD2669" s="404"/>
      <c r="AE2669" s="316"/>
      <c r="AF2669" s="316"/>
      <c r="AG2669" s="404"/>
      <c r="AH2669" s="316"/>
      <c r="AI2669" s="316"/>
      <c r="AJ2669" s="316"/>
      <c r="AK2669" s="316"/>
      <c r="AL2669" s="316"/>
      <c r="AM2669" s="416"/>
      <c r="AR2669" s="333"/>
      <c r="AS2669" s="333"/>
      <c r="AT2669" s="333"/>
      <c r="AU2669" s="333"/>
      <c r="AV2669" s="333"/>
    </row>
    <row r="2670" spans="2:48" s="330" customFormat="1" ht="28.15" customHeight="1" x14ac:dyDescent="0.25">
      <c r="B2670" s="331"/>
      <c r="C2670" s="332"/>
      <c r="D2670" s="332"/>
      <c r="E2670" s="333"/>
      <c r="F2670" s="333"/>
      <c r="R2670" s="316"/>
      <c r="S2670" s="404"/>
      <c r="T2670" s="404"/>
      <c r="U2670" s="404"/>
      <c r="V2670" s="404"/>
      <c r="W2670" s="316"/>
      <c r="X2670" s="316"/>
      <c r="Y2670" s="316"/>
      <c r="Z2670" s="316"/>
      <c r="AA2670" s="404"/>
      <c r="AB2670" s="404"/>
      <c r="AC2670" s="404"/>
      <c r="AD2670" s="404"/>
      <c r="AE2670" s="316"/>
      <c r="AF2670" s="316"/>
      <c r="AG2670" s="404"/>
      <c r="AH2670" s="316"/>
      <c r="AI2670" s="316"/>
      <c r="AJ2670" s="316"/>
      <c r="AK2670" s="316"/>
      <c r="AL2670" s="316"/>
      <c r="AM2670" s="416"/>
      <c r="AR2670" s="333"/>
      <c r="AS2670" s="333"/>
      <c r="AT2670" s="333"/>
      <c r="AU2670" s="333"/>
      <c r="AV2670" s="333"/>
    </row>
    <row r="2671" spans="2:48" s="330" customFormat="1" ht="28.15" customHeight="1" x14ac:dyDescent="0.25">
      <c r="B2671" s="331"/>
      <c r="C2671" s="332"/>
      <c r="D2671" s="332"/>
      <c r="E2671" s="333"/>
      <c r="F2671" s="333"/>
      <c r="R2671" s="316"/>
      <c r="S2671" s="404"/>
      <c r="T2671" s="404"/>
      <c r="U2671" s="404"/>
      <c r="V2671" s="404"/>
      <c r="W2671" s="316"/>
      <c r="X2671" s="316"/>
      <c r="Y2671" s="316"/>
      <c r="Z2671" s="316"/>
      <c r="AA2671" s="404"/>
      <c r="AB2671" s="404"/>
      <c r="AC2671" s="404"/>
      <c r="AD2671" s="404"/>
      <c r="AE2671" s="316"/>
      <c r="AF2671" s="316"/>
      <c r="AG2671" s="404"/>
      <c r="AH2671" s="316"/>
      <c r="AI2671" s="316"/>
      <c r="AJ2671" s="316"/>
      <c r="AK2671" s="316"/>
      <c r="AL2671" s="316"/>
      <c r="AM2671" s="416"/>
      <c r="AR2671" s="333"/>
      <c r="AS2671" s="333"/>
      <c r="AT2671" s="333"/>
      <c r="AU2671" s="333"/>
      <c r="AV2671" s="333"/>
    </row>
    <row r="2672" spans="2:48" s="330" customFormat="1" ht="28.15" customHeight="1" x14ac:dyDescent="0.25">
      <c r="B2672" s="331"/>
      <c r="C2672" s="332"/>
      <c r="D2672" s="332"/>
      <c r="E2672" s="333"/>
      <c r="F2672" s="333"/>
      <c r="R2672" s="316"/>
      <c r="S2672" s="404"/>
      <c r="T2672" s="404"/>
      <c r="U2672" s="404"/>
      <c r="V2672" s="404"/>
      <c r="W2672" s="316"/>
      <c r="X2672" s="316"/>
      <c r="Y2672" s="316"/>
      <c r="Z2672" s="316"/>
      <c r="AA2672" s="404"/>
      <c r="AB2672" s="404"/>
      <c r="AC2672" s="404"/>
      <c r="AD2672" s="404"/>
      <c r="AE2672" s="316"/>
      <c r="AF2672" s="316"/>
      <c r="AG2672" s="404"/>
      <c r="AH2672" s="316"/>
      <c r="AI2672" s="316"/>
      <c r="AJ2672" s="316"/>
      <c r="AK2672" s="316"/>
      <c r="AL2672" s="316"/>
      <c r="AM2672" s="416"/>
      <c r="AR2672" s="333"/>
      <c r="AS2672" s="333"/>
      <c r="AT2672" s="333"/>
      <c r="AU2672" s="333"/>
      <c r="AV2672" s="333"/>
    </row>
    <row r="2673" spans="2:48" s="330" customFormat="1" ht="28.15" customHeight="1" x14ac:dyDescent="0.25">
      <c r="B2673" s="331"/>
      <c r="C2673" s="332"/>
      <c r="D2673" s="332"/>
      <c r="E2673" s="333"/>
      <c r="F2673" s="333"/>
      <c r="R2673" s="316"/>
      <c r="S2673" s="404"/>
      <c r="T2673" s="404"/>
      <c r="U2673" s="404"/>
      <c r="V2673" s="404"/>
      <c r="W2673" s="316"/>
      <c r="X2673" s="316"/>
      <c r="Y2673" s="316"/>
      <c r="Z2673" s="316"/>
      <c r="AA2673" s="404"/>
      <c r="AB2673" s="404"/>
      <c r="AC2673" s="404"/>
      <c r="AD2673" s="404"/>
      <c r="AE2673" s="316"/>
      <c r="AF2673" s="316"/>
      <c r="AG2673" s="404"/>
      <c r="AH2673" s="316"/>
      <c r="AI2673" s="316"/>
      <c r="AJ2673" s="316"/>
      <c r="AK2673" s="316"/>
      <c r="AL2673" s="316"/>
      <c r="AM2673" s="416"/>
      <c r="AR2673" s="333"/>
      <c r="AS2673" s="333"/>
      <c r="AT2673" s="333"/>
      <c r="AU2673" s="333"/>
      <c r="AV2673" s="333"/>
    </row>
    <row r="2674" spans="2:48" s="330" customFormat="1" ht="28.15" customHeight="1" x14ac:dyDescent="0.25">
      <c r="B2674" s="331"/>
      <c r="C2674" s="332"/>
      <c r="D2674" s="332"/>
      <c r="E2674" s="333"/>
      <c r="F2674" s="333"/>
      <c r="R2674" s="316"/>
      <c r="S2674" s="404"/>
      <c r="T2674" s="404"/>
      <c r="U2674" s="404"/>
      <c r="V2674" s="404"/>
      <c r="W2674" s="316"/>
      <c r="X2674" s="316"/>
      <c r="Y2674" s="316"/>
      <c r="Z2674" s="316"/>
      <c r="AA2674" s="404"/>
      <c r="AB2674" s="404"/>
      <c r="AC2674" s="404"/>
      <c r="AD2674" s="404"/>
      <c r="AE2674" s="316"/>
      <c r="AF2674" s="316"/>
      <c r="AG2674" s="404"/>
      <c r="AH2674" s="316"/>
      <c r="AI2674" s="316"/>
      <c r="AJ2674" s="316"/>
      <c r="AK2674" s="316"/>
      <c r="AL2674" s="316"/>
      <c r="AM2674" s="416"/>
      <c r="AR2674" s="333"/>
      <c r="AS2674" s="333"/>
      <c r="AT2674" s="333"/>
      <c r="AU2674" s="333"/>
      <c r="AV2674" s="333"/>
    </row>
    <row r="2675" spans="2:48" s="330" customFormat="1" ht="28.15" customHeight="1" x14ac:dyDescent="0.25">
      <c r="B2675" s="331"/>
      <c r="C2675" s="332"/>
      <c r="D2675" s="332"/>
      <c r="E2675" s="333"/>
      <c r="F2675" s="333"/>
      <c r="R2675" s="316"/>
      <c r="S2675" s="404"/>
      <c r="T2675" s="404"/>
      <c r="U2675" s="404"/>
      <c r="V2675" s="404"/>
      <c r="W2675" s="316"/>
      <c r="X2675" s="316"/>
      <c r="Y2675" s="316"/>
      <c r="Z2675" s="316"/>
      <c r="AA2675" s="404"/>
      <c r="AB2675" s="404"/>
      <c r="AC2675" s="404"/>
      <c r="AD2675" s="404"/>
      <c r="AE2675" s="316"/>
      <c r="AF2675" s="316"/>
      <c r="AG2675" s="404"/>
      <c r="AH2675" s="316"/>
      <c r="AI2675" s="316"/>
      <c r="AJ2675" s="316"/>
      <c r="AK2675" s="316"/>
      <c r="AL2675" s="316"/>
      <c r="AM2675" s="416"/>
      <c r="AR2675" s="333"/>
      <c r="AS2675" s="333"/>
      <c r="AT2675" s="333"/>
      <c r="AU2675" s="333"/>
      <c r="AV2675" s="333"/>
    </row>
    <row r="2676" spans="2:48" s="330" customFormat="1" ht="28.15" customHeight="1" x14ac:dyDescent="0.25">
      <c r="B2676" s="331"/>
      <c r="C2676" s="332"/>
      <c r="D2676" s="332"/>
      <c r="E2676" s="333"/>
      <c r="F2676" s="333"/>
      <c r="R2676" s="316"/>
      <c r="S2676" s="404"/>
      <c r="T2676" s="404"/>
      <c r="U2676" s="404"/>
      <c r="V2676" s="404"/>
      <c r="W2676" s="316"/>
      <c r="X2676" s="316"/>
      <c r="Y2676" s="316"/>
      <c r="Z2676" s="316"/>
      <c r="AA2676" s="404"/>
      <c r="AB2676" s="404"/>
      <c r="AC2676" s="404"/>
      <c r="AD2676" s="404"/>
      <c r="AE2676" s="316"/>
      <c r="AF2676" s="316"/>
      <c r="AG2676" s="404"/>
      <c r="AH2676" s="316"/>
      <c r="AI2676" s="316"/>
      <c r="AJ2676" s="316"/>
      <c r="AK2676" s="316"/>
      <c r="AL2676" s="316"/>
      <c r="AM2676" s="416"/>
      <c r="AR2676" s="333"/>
      <c r="AS2676" s="333"/>
      <c r="AT2676" s="333"/>
      <c r="AU2676" s="333"/>
      <c r="AV2676" s="333"/>
    </row>
    <row r="2677" spans="2:48" s="330" customFormat="1" ht="28.15" customHeight="1" x14ac:dyDescent="0.25">
      <c r="B2677" s="331"/>
      <c r="C2677" s="332"/>
      <c r="D2677" s="332"/>
      <c r="E2677" s="333"/>
      <c r="F2677" s="333"/>
      <c r="R2677" s="316"/>
      <c r="S2677" s="404"/>
      <c r="T2677" s="404"/>
      <c r="U2677" s="404"/>
      <c r="V2677" s="404"/>
      <c r="W2677" s="316"/>
      <c r="X2677" s="316"/>
      <c r="Y2677" s="316"/>
      <c r="Z2677" s="316"/>
      <c r="AA2677" s="404"/>
      <c r="AB2677" s="404"/>
      <c r="AC2677" s="404"/>
      <c r="AD2677" s="404"/>
      <c r="AE2677" s="316"/>
      <c r="AF2677" s="316"/>
      <c r="AG2677" s="404"/>
      <c r="AH2677" s="316"/>
      <c r="AI2677" s="316"/>
      <c r="AJ2677" s="316"/>
      <c r="AK2677" s="316"/>
      <c r="AL2677" s="316"/>
      <c r="AM2677" s="416"/>
      <c r="AR2677" s="333"/>
      <c r="AS2677" s="333"/>
      <c r="AT2677" s="333"/>
      <c r="AU2677" s="333"/>
      <c r="AV2677" s="333"/>
    </row>
    <row r="2678" spans="2:48" s="330" customFormat="1" ht="28.15" customHeight="1" x14ac:dyDescent="0.25">
      <c r="B2678" s="331"/>
      <c r="C2678" s="332"/>
      <c r="D2678" s="332"/>
      <c r="E2678" s="333"/>
      <c r="F2678" s="333"/>
      <c r="R2678" s="316"/>
      <c r="S2678" s="404"/>
      <c r="T2678" s="404"/>
      <c r="U2678" s="404"/>
      <c r="V2678" s="404"/>
      <c r="W2678" s="316"/>
      <c r="X2678" s="316"/>
      <c r="Y2678" s="316"/>
      <c r="Z2678" s="316"/>
      <c r="AA2678" s="404"/>
      <c r="AB2678" s="404"/>
      <c r="AC2678" s="404"/>
      <c r="AD2678" s="404"/>
      <c r="AE2678" s="316"/>
      <c r="AF2678" s="316"/>
      <c r="AG2678" s="404"/>
      <c r="AH2678" s="316"/>
      <c r="AI2678" s="316"/>
      <c r="AJ2678" s="316"/>
      <c r="AK2678" s="316"/>
      <c r="AL2678" s="316"/>
      <c r="AM2678" s="416"/>
      <c r="AR2678" s="333"/>
      <c r="AS2678" s="333"/>
      <c r="AT2678" s="333"/>
      <c r="AU2678" s="333"/>
      <c r="AV2678" s="333"/>
    </row>
    <row r="2679" spans="2:48" s="330" customFormat="1" ht="28.15" customHeight="1" x14ac:dyDescent="0.25">
      <c r="B2679" s="331"/>
      <c r="C2679" s="332"/>
      <c r="D2679" s="332"/>
      <c r="E2679" s="333"/>
      <c r="F2679" s="333"/>
      <c r="R2679" s="316"/>
      <c r="S2679" s="404"/>
      <c r="T2679" s="404"/>
      <c r="U2679" s="404"/>
      <c r="V2679" s="404"/>
      <c r="W2679" s="316"/>
      <c r="X2679" s="316"/>
      <c r="Y2679" s="316"/>
      <c r="Z2679" s="316"/>
      <c r="AA2679" s="404"/>
      <c r="AB2679" s="404"/>
      <c r="AC2679" s="404"/>
      <c r="AD2679" s="404"/>
      <c r="AE2679" s="316"/>
      <c r="AF2679" s="316"/>
      <c r="AG2679" s="404"/>
      <c r="AH2679" s="316"/>
      <c r="AI2679" s="316"/>
      <c r="AJ2679" s="316"/>
      <c r="AK2679" s="316"/>
      <c r="AL2679" s="316"/>
      <c r="AM2679" s="416"/>
      <c r="AR2679" s="333"/>
      <c r="AS2679" s="333"/>
      <c r="AT2679" s="333"/>
      <c r="AU2679" s="333"/>
      <c r="AV2679" s="333"/>
    </row>
    <row r="2680" spans="2:48" s="330" customFormat="1" ht="28.15" customHeight="1" x14ac:dyDescent="0.25">
      <c r="B2680" s="331"/>
      <c r="C2680" s="332"/>
      <c r="D2680" s="332"/>
      <c r="E2680" s="333"/>
      <c r="F2680" s="333"/>
      <c r="R2680" s="316"/>
      <c r="S2680" s="404"/>
      <c r="T2680" s="404"/>
      <c r="U2680" s="404"/>
      <c r="V2680" s="404"/>
      <c r="W2680" s="316"/>
      <c r="X2680" s="316"/>
      <c r="Y2680" s="316"/>
      <c r="Z2680" s="316"/>
      <c r="AA2680" s="404"/>
      <c r="AB2680" s="404"/>
      <c r="AC2680" s="404"/>
      <c r="AD2680" s="404"/>
      <c r="AE2680" s="316"/>
      <c r="AF2680" s="316"/>
      <c r="AG2680" s="404"/>
      <c r="AH2680" s="316"/>
      <c r="AI2680" s="316"/>
      <c r="AJ2680" s="316"/>
      <c r="AK2680" s="316"/>
      <c r="AL2680" s="316"/>
      <c r="AM2680" s="416"/>
      <c r="AR2680" s="333"/>
      <c r="AS2680" s="333"/>
      <c r="AT2680" s="333"/>
      <c r="AU2680" s="333"/>
      <c r="AV2680" s="333"/>
    </row>
    <row r="2681" spans="2:48" s="330" customFormat="1" ht="28.15" customHeight="1" x14ac:dyDescent="0.25">
      <c r="B2681" s="331"/>
      <c r="C2681" s="332"/>
      <c r="D2681" s="332"/>
      <c r="E2681" s="333"/>
      <c r="F2681" s="333"/>
      <c r="R2681" s="316"/>
      <c r="S2681" s="404"/>
      <c r="T2681" s="404"/>
      <c r="U2681" s="404"/>
      <c r="V2681" s="404"/>
      <c r="W2681" s="316"/>
      <c r="X2681" s="316"/>
      <c r="Y2681" s="316"/>
      <c r="Z2681" s="316"/>
      <c r="AA2681" s="404"/>
      <c r="AB2681" s="404"/>
      <c r="AC2681" s="404"/>
      <c r="AD2681" s="404"/>
      <c r="AE2681" s="316"/>
      <c r="AF2681" s="316"/>
      <c r="AG2681" s="404"/>
      <c r="AH2681" s="316"/>
      <c r="AI2681" s="316"/>
      <c r="AJ2681" s="316"/>
      <c r="AK2681" s="316"/>
      <c r="AL2681" s="316"/>
      <c r="AM2681" s="416"/>
      <c r="AR2681" s="333"/>
      <c r="AS2681" s="333"/>
      <c r="AT2681" s="333"/>
      <c r="AU2681" s="333"/>
      <c r="AV2681" s="333"/>
    </row>
    <row r="2682" spans="2:48" s="330" customFormat="1" ht="28.15" customHeight="1" x14ac:dyDescent="0.25">
      <c r="B2682" s="331"/>
      <c r="C2682" s="332"/>
      <c r="D2682" s="332"/>
      <c r="E2682" s="333"/>
      <c r="F2682" s="333"/>
      <c r="R2682" s="316"/>
      <c r="S2682" s="404"/>
      <c r="T2682" s="404"/>
      <c r="U2682" s="404"/>
      <c r="V2682" s="404"/>
      <c r="W2682" s="316"/>
      <c r="X2682" s="316"/>
      <c r="Y2682" s="316"/>
      <c r="Z2682" s="316"/>
      <c r="AA2682" s="404"/>
      <c r="AB2682" s="404"/>
      <c r="AC2682" s="404"/>
      <c r="AD2682" s="404"/>
      <c r="AE2682" s="316"/>
      <c r="AF2682" s="316"/>
      <c r="AG2682" s="404"/>
      <c r="AH2682" s="316"/>
      <c r="AI2682" s="316"/>
      <c r="AJ2682" s="316"/>
      <c r="AK2682" s="316"/>
      <c r="AL2682" s="316"/>
      <c r="AM2682" s="416"/>
      <c r="AR2682" s="333"/>
      <c r="AS2682" s="333"/>
      <c r="AT2682" s="333"/>
      <c r="AU2682" s="333"/>
      <c r="AV2682" s="333"/>
    </row>
    <row r="2683" spans="2:48" s="330" customFormat="1" ht="28.15" customHeight="1" x14ac:dyDescent="0.25">
      <c r="B2683" s="331"/>
      <c r="C2683" s="332"/>
      <c r="D2683" s="332"/>
      <c r="E2683" s="333"/>
      <c r="F2683" s="333"/>
      <c r="R2683" s="316"/>
      <c r="S2683" s="404"/>
      <c r="T2683" s="404"/>
      <c r="U2683" s="404"/>
      <c r="V2683" s="404"/>
      <c r="W2683" s="316"/>
      <c r="X2683" s="316"/>
      <c r="Y2683" s="316"/>
      <c r="Z2683" s="316"/>
      <c r="AA2683" s="404"/>
      <c r="AB2683" s="404"/>
      <c r="AC2683" s="404"/>
      <c r="AD2683" s="404"/>
      <c r="AE2683" s="316"/>
      <c r="AF2683" s="316"/>
      <c r="AG2683" s="404"/>
      <c r="AH2683" s="316"/>
      <c r="AI2683" s="316"/>
      <c r="AJ2683" s="316"/>
      <c r="AK2683" s="316"/>
      <c r="AL2683" s="316"/>
      <c r="AM2683" s="416"/>
      <c r="AR2683" s="333"/>
      <c r="AS2683" s="333"/>
      <c r="AT2683" s="333"/>
      <c r="AU2683" s="333"/>
      <c r="AV2683" s="333"/>
    </row>
    <row r="2684" spans="2:48" s="330" customFormat="1" ht="28.15" customHeight="1" x14ac:dyDescent="0.25">
      <c r="B2684" s="331"/>
      <c r="C2684" s="332"/>
      <c r="D2684" s="332"/>
      <c r="E2684" s="333"/>
      <c r="F2684" s="333"/>
      <c r="R2684" s="316"/>
      <c r="S2684" s="404"/>
      <c r="T2684" s="404"/>
      <c r="U2684" s="404"/>
      <c r="V2684" s="404"/>
      <c r="W2684" s="316"/>
      <c r="X2684" s="316"/>
      <c r="Y2684" s="316"/>
      <c r="Z2684" s="316"/>
      <c r="AA2684" s="404"/>
      <c r="AB2684" s="404"/>
      <c r="AC2684" s="404"/>
      <c r="AD2684" s="404"/>
      <c r="AE2684" s="316"/>
      <c r="AF2684" s="316"/>
      <c r="AG2684" s="404"/>
      <c r="AH2684" s="316"/>
      <c r="AI2684" s="316"/>
      <c r="AJ2684" s="316"/>
      <c r="AK2684" s="316"/>
      <c r="AL2684" s="316"/>
      <c r="AM2684" s="416"/>
      <c r="AR2684" s="333"/>
      <c r="AS2684" s="333"/>
      <c r="AT2684" s="333"/>
      <c r="AU2684" s="333"/>
      <c r="AV2684" s="333"/>
    </row>
    <row r="2685" spans="2:48" s="330" customFormat="1" ht="28.15" customHeight="1" x14ac:dyDescent="0.25">
      <c r="B2685" s="331"/>
      <c r="C2685" s="332"/>
      <c r="D2685" s="332"/>
      <c r="E2685" s="333"/>
      <c r="F2685" s="333"/>
      <c r="R2685" s="316"/>
      <c r="S2685" s="404"/>
      <c r="T2685" s="404"/>
      <c r="U2685" s="404"/>
      <c r="V2685" s="404"/>
      <c r="W2685" s="316"/>
      <c r="X2685" s="316"/>
      <c r="Y2685" s="316"/>
      <c r="Z2685" s="316"/>
      <c r="AA2685" s="404"/>
      <c r="AB2685" s="404"/>
      <c r="AC2685" s="404"/>
      <c r="AD2685" s="404"/>
      <c r="AE2685" s="316"/>
      <c r="AF2685" s="316"/>
      <c r="AG2685" s="404"/>
      <c r="AH2685" s="316"/>
      <c r="AI2685" s="316"/>
      <c r="AJ2685" s="316"/>
      <c r="AK2685" s="316"/>
      <c r="AL2685" s="316"/>
      <c r="AM2685" s="416"/>
      <c r="AR2685" s="333"/>
      <c r="AS2685" s="333"/>
      <c r="AT2685" s="333"/>
      <c r="AU2685" s="333"/>
      <c r="AV2685" s="333"/>
    </row>
    <row r="2686" spans="2:48" s="330" customFormat="1" ht="28.15" customHeight="1" x14ac:dyDescent="0.25">
      <c r="B2686" s="331"/>
      <c r="C2686" s="332"/>
      <c r="D2686" s="332"/>
      <c r="E2686" s="333"/>
      <c r="F2686" s="333"/>
      <c r="R2686" s="316"/>
      <c r="S2686" s="404"/>
      <c r="T2686" s="404"/>
      <c r="U2686" s="404"/>
      <c r="V2686" s="404"/>
      <c r="W2686" s="316"/>
      <c r="X2686" s="316"/>
      <c r="Y2686" s="316"/>
      <c r="Z2686" s="316"/>
      <c r="AA2686" s="404"/>
      <c r="AB2686" s="404"/>
      <c r="AC2686" s="404"/>
      <c r="AD2686" s="404"/>
      <c r="AE2686" s="316"/>
      <c r="AF2686" s="316"/>
      <c r="AG2686" s="404"/>
      <c r="AH2686" s="316"/>
      <c r="AI2686" s="316"/>
      <c r="AJ2686" s="316"/>
      <c r="AK2686" s="316"/>
      <c r="AL2686" s="316"/>
      <c r="AM2686" s="416"/>
      <c r="AR2686" s="333"/>
      <c r="AS2686" s="333"/>
      <c r="AT2686" s="333"/>
      <c r="AU2686" s="333"/>
      <c r="AV2686" s="333"/>
    </row>
    <row r="2687" spans="2:48" s="330" customFormat="1" ht="28.15" customHeight="1" x14ac:dyDescent="0.25">
      <c r="B2687" s="331"/>
      <c r="C2687" s="332"/>
      <c r="D2687" s="332"/>
      <c r="E2687" s="333"/>
      <c r="F2687" s="333"/>
      <c r="R2687" s="316"/>
      <c r="S2687" s="404"/>
      <c r="T2687" s="404"/>
      <c r="U2687" s="404"/>
      <c r="V2687" s="404"/>
      <c r="W2687" s="316"/>
      <c r="X2687" s="316"/>
      <c r="Y2687" s="316"/>
      <c r="Z2687" s="316"/>
      <c r="AA2687" s="404"/>
      <c r="AB2687" s="404"/>
      <c r="AC2687" s="404"/>
      <c r="AD2687" s="404"/>
      <c r="AE2687" s="316"/>
      <c r="AF2687" s="316"/>
      <c r="AG2687" s="404"/>
      <c r="AH2687" s="316"/>
      <c r="AI2687" s="316"/>
      <c r="AJ2687" s="316"/>
      <c r="AK2687" s="316"/>
      <c r="AL2687" s="316"/>
      <c r="AM2687" s="416"/>
      <c r="AR2687" s="333"/>
      <c r="AS2687" s="333"/>
      <c r="AT2687" s="333"/>
      <c r="AU2687" s="333"/>
      <c r="AV2687" s="333"/>
    </row>
    <row r="2688" spans="2:48" s="330" customFormat="1" ht="28.15" customHeight="1" x14ac:dyDescent="0.25">
      <c r="B2688" s="331"/>
      <c r="C2688" s="332"/>
      <c r="D2688" s="332"/>
      <c r="E2688" s="333"/>
      <c r="F2688" s="333"/>
      <c r="R2688" s="316"/>
      <c r="S2688" s="404"/>
      <c r="T2688" s="404"/>
      <c r="U2688" s="404"/>
      <c r="V2688" s="404"/>
      <c r="W2688" s="316"/>
      <c r="X2688" s="316"/>
      <c r="Y2688" s="316"/>
      <c r="Z2688" s="316"/>
      <c r="AA2688" s="404"/>
      <c r="AB2688" s="404"/>
      <c r="AC2688" s="404"/>
      <c r="AD2688" s="404"/>
      <c r="AE2688" s="316"/>
      <c r="AF2688" s="316"/>
      <c r="AG2688" s="404"/>
      <c r="AH2688" s="316"/>
      <c r="AI2688" s="316"/>
      <c r="AJ2688" s="316"/>
      <c r="AK2688" s="316"/>
      <c r="AL2688" s="316"/>
      <c r="AM2688" s="416"/>
      <c r="AR2688" s="333"/>
      <c r="AS2688" s="333"/>
      <c r="AT2688" s="333"/>
      <c r="AU2688" s="333"/>
      <c r="AV2688" s="333"/>
    </row>
    <row r="2689" spans="2:48" s="330" customFormat="1" ht="28.15" customHeight="1" x14ac:dyDescent="0.25">
      <c r="B2689" s="331"/>
      <c r="C2689" s="332"/>
      <c r="D2689" s="332"/>
      <c r="E2689" s="333"/>
      <c r="F2689" s="333"/>
      <c r="R2689" s="316"/>
      <c r="S2689" s="404"/>
      <c r="T2689" s="404"/>
      <c r="U2689" s="404"/>
      <c r="V2689" s="404"/>
      <c r="W2689" s="316"/>
      <c r="X2689" s="316"/>
      <c r="Y2689" s="316"/>
      <c r="Z2689" s="316"/>
      <c r="AA2689" s="404"/>
      <c r="AB2689" s="404"/>
      <c r="AC2689" s="404"/>
      <c r="AD2689" s="404"/>
      <c r="AE2689" s="316"/>
      <c r="AF2689" s="316"/>
      <c r="AG2689" s="404"/>
      <c r="AH2689" s="316"/>
      <c r="AI2689" s="316"/>
      <c r="AJ2689" s="316"/>
      <c r="AK2689" s="316"/>
      <c r="AL2689" s="316"/>
      <c r="AM2689" s="416"/>
      <c r="AR2689" s="333"/>
      <c r="AS2689" s="333"/>
      <c r="AT2689" s="333"/>
      <c r="AU2689" s="333"/>
      <c r="AV2689" s="333"/>
    </row>
    <row r="2690" spans="2:48" s="330" customFormat="1" ht="28.15" customHeight="1" x14ac:dyDescent="0.25">
      <c r="B2690" s="331"/>
      <c r="C2690" s="332"/>
      <c r="D2690" s="332"/>
      <c r="E2690" s="333"/>
      <c r="F2690" s="333"/>
      <c r="R2690" s="316"/>
      <c r="S2690" s="404"/>
      <c r="T2690" s="404"/>
      <c r="U2690" s="404"/>
      <c r="V2690" s="404"/>
      <c r="W2690" s="316"/>
      <c r="X2690" s="316"/>
      <c r="Y2690" s="316"/>
      <c r="Z2690" s="316"/>
      <c r="AA2690" s="404"/>
      <c r="AB2690" s="404"/>
      <c r="AC2690" s="404"/>
      <c r="AD2690" s="404"/>
      <c r="AE2690" s="316"/>
      <c r="AF2690" s="316"/>
      <c r="AG2690" s="404"/>
      <c r="AH2690" s="316"/>
      <c r="AI2690" s="316"/>
      <c r="AJ2690" s="316"/>
      <c r="AK2690" s="316"/>
      <c r="AL2690" s="316"/>
      <c r="AM2690" s="416"/>
      <c r="AR2690" s="333"/>
      <c r="AS2690" s="333"/>
      <c r="AT2690" s="333"/>
      <c r="AU2690" s="333"/>
      <c r="AV2690" s="333"/>
    </row>
    <row r="2691" spans="2:48" s="330" customFormat="1" ht="28.15" customHeight="1" x14ac:dyDescent="0.25">
      <c r="B2691" s="331"/>
      <c r="C2691" s="332"/>
      <c r="D2691" s="332"/>
      <c r="E2691" s="333"/>
      <c r="F2691" s="333"/>
      <c r="R2691" s="316"/>
      <c r="S2691" s="404"/>
      <c r="T2691" s="404"/>
      <c r="U2691" s="404"/>
      <c r="V2691" s="404"/>
      <c r="W2691" s="316"/>
      <c r="X2691" s="316"/>
      <c r="Y2691" s="316"/>
      <c r="Z2691" s="316"/>
      <c r="AA2691" s="404"/>
      <c r="AB2691" s="404"/>
      <c r="AC2691" s="404"/>
      <c r="AD2691" s="404"/>
      <c r="AE2691" s="316"/>
      <c r="AF2691" s="316"/>
      <c r="AG2691" s="404"/>
      <c r="AH2691" s="316"/>
      <c r="AI2691" s="316"/>
      <c r="AJ2691" s="316"/>
      <c r="AK2691" s="316"/>
      <c r="AL2691" s="316"/>
      <c r="AM2691" s="416"/>
      <c r="AR2691" s="333"/>
      <c r="AS2691" s="333"/>
      <c r="AT2691" s="333"/>
      <c r="AU2691" s="333"/>
      <c r="AV2691" s="333"/>
    </row>
    <row r="2692" spans="2:48" s="330" customFormat="1" ht="28.15" customHeight="1" x14ac:dyDescent="0.25">
      <c r="B2692" s="331"/>
      <c r="C2692" s="332"/>
      <c r="D2692" s="332"/>
      <c r="E2692" s="333"/>
      <c r="F2692" s="333"/>
      <c r="R2692" s="316"/>
      <c r="S2692" s="404"/>
      <c r="T2692" s="404"/>
      <c r="U2692" s="404"/>
      <c r="V2692" s="404"/>
      <c r="W2692" s="316"/>
      <c r="X2692" s="316"/>
      <c r="Y2692" s="316"/>
      <c r="Z2692" s="316"/>
      <c r="AA2692" s="404"/>
      <c r="AB2692" s="404"/>
      <c r="AC2692" s="404"/>
      <c r="AD2692" s="404"/>
      <c r="AE2692" s="316"/>
      <c r="AF2692" s="316"/>
      <c r="AG2692" s="404"/>
      <c r="AH2692" s="316"/>
      <c r="AI2692" s="316"/>
      <c r="AJ2692" s="316"/>
      <c r="AK2692" s="316"/>
      <c r="AL2692" s="316"/>
      <c r="AM2692" s="416"/>
      <c r="AR2692" s="333"/>
      <c r="AS2692" s="333"/>
      <c r="AT2692" s="333"/>
      <c r="AU2692" s="333"/>
      <c r="AV2692" s="333"/>
    </row>
    <row r="2693" spans="2:48" s="330" customFormat="1" ht="28.15" customHeight="1" x14ac:dyDescent="0.25">
      <c r="B2693" s="331"/>
      <c r="C2693" s="332"/>
      <c r="D2693" s="332"/>
      <c r="E2693" s="333"/>
      <c r="F2693" s="333"/>
      <c r="R2693" s="316"/>
      <c r="S2693" s="404"/>
      <c r="T2693" s="404"/>
      <c r="U2693" s="404"/>
      <c r="V2693" s="404"/>
      <c r="W2693" s="316"/>
      <c r="X2693" s="316"/>
      <c r="Y2693" s="316"/>
      <c r="Z2693" s="316"/>
      <c r="AA2693" s="404"/>
      <c r="AB2693" s="404"/>
      <c r="AC2693" s="404"/>
      <c r="AD2693" s="404"/>
      <c r="AE2693" s="316"/>
      <c r="AF2693" s="316"/>
      <c r="AG2693" s="404"/>
      <c r="AH2693" s="316"/>
      <c r="AI2693" s="316"/>
      <c r="AJ2693" s="316"/>
      <c r="AK2693" s="316"/>
      <c r="AL2693" s="316"/>
      <c r="AM2693" s="416"/>
      <c r="AR2693" s="333"/>
      <c r="AS2693" s="333"/>
      <c r="AT2693" s="333"/>
      <c r="AU2693" s="333"/>
      <c r="AV2693" s="333"/>
    </row>
    <row r="2694" spans="2:48" s="330" customFormat="1" ht="28.15" customHeight="1" x14ac:dyDescent="0.25">
      <c r="B2694" s="331"/>
      <c r="C2694" s="332"/>
      <c r="D2694" s="332"/>
      <c r="E2694" s="333"/>
      <c r="F2694" s="333"/>
      <c r="R2694" s="316"/>
      <c r="S2694" s="404"/>
      <c r="T2694" s="404"/>
      <c r="U2694" s="404"/>
      <c r="V2694" s="404"/>
      <c r="W2694" s="316"/>
      <c r="X2694" s="316"/>
      <c r="Y2694" s="316"/>
      <c r="Z2694" s="316"/>
      <c r="AA2694" s="404"/>
      <c r="AB2694" s="404"/>
      <c r="AC2694" s="404"/>
      <c r="AD2694" s="404"/>
      <c r="AE2694" s="316"/>
      <c r="AF2694" s="316"/>
      <c r="AG2694" s="404"/>
      <c r="AH2694" s="316"/>
      <c r="AI2694" s="316"/>
      <c r="AJ2694" s="316"/>
      <c r="AK2694" s="316"/>
      <c r="AL2694" s="316"/>
      <c r="AM2694" s="416"/>
      <c r="AR2694" s="333"/>
      <c r="AS2694" s="333"/>
      <c r="AT2694" s="333"/>
      <c r="AU2694" s="333"/>
      <c r="AV2694" s="333"/>
    </row>
    <row r="2695" spans="2:48" s="330" customFormat="1" ht="28.15" customHeight="1" x14ac:dyDescent="0.25">
      <c r="B2695" s="331"/>
      <c r="C2695" s="332"/>
      <c r="D2695" s="332"/>
      <c r="E2695" s="333"/>
      <c r="F2695" s="333"/>
      <c r="R2695" s="316"/>
      <c r="S2695" s="404"/>
      <c r="T2695" s="404"/>
      <c r="U2695" s="404"/>
      <c r="V2695" s="404"/>
      <c r="W2695" s="316"/>
      <c r="X2695" s="316"/>
      <c r="Y2695" s="316"/>
      <c r="Z2695" s="316"/>
      <c r="AA2695" s="404"/>
      <c r="AB2695" s="404"/>
      <c r="AC2695" s="404"/>
      <c r="AD2695" s="404"/>
      <c r="AE2695" s="316"/>
      <c r="AF2695" s="316"/>
      <c r="AG2695" s="404"/>
      <c r="AH2695" s="316"/>
      <c r="AI2695" s="316"/>
      <c r="AJ2695" s="316"/>
      <c r="AK2695" s="316"/>
      <c r="AL2695" s="316"/>
      <c r="AM2695" s="416"/>
      <c r="AR2695" s="333"/>
      <c r="AS2695" s="333"/>
      <c r="AT2695" s="333"/>
      <c r="AU2695" s="333"/>
      <c r="AV2695" s="333"/>
    </row>
    <row r="2696" spans="2:48" s="330" customFormat="1" ht="28.15" customHeight="1" x14ac:dyDescent="0.25">
      <c r="B2696" s="331"/>
      <c r="C2696" s="332"/>
      <c r="D2696" s="332"/>
      <c r="E2696" s="333"/>
      <c r="F2696" s="333"/>
      <c r="R2696" s="316"/>
      <c r="S2696" s="404"/>
      <c r="T2696" s="404"/>
      <c r="U2696" s="404"/>
      <c r="V2696" s="404"/>
      <c r="W2696" s="316"/>
      <c r="X2696" s="316"/>
      <c r="Y2696" s="316"/>
      <c r="Z2696" s="316"/>
      <c r="AA2696" s="404"/>
      <c r="AB2696" s="404"/>
      <c r="AC2696" s="404"/>
      <c r="AD2696" s="404"/>
      <c r="AE2696" s="316"/>
      <c r="AF2696" s="316"/>
      <c r="AG2696" s="404"/>
      <c r="AH2696" s="316"/>
      <c r="AI2696" s="316"/>
      <c r="AJ2696" s="316"/>
      <c r="AK2696" s="316"/>
      <c r="AL2696" s="316"/>
      <c r="AM2696" s="416"/>
      <c r="AR2696" s="333"/>
      <c r="AS2696" s="333"/>
      <c r="AT2696" s="333"/>
      <c r="AU2696" s="333"/>
      <c r="AV2696" s="333"/>
    </row>
    <row r="2697" spans="2:48" s="330" customFormat="1" ht="28.15" customHeight="1" x14ac:dyDescent="0.25">
      <c r="B2697" s="331"/>
      <c r="C2697" s="332"/>
      <c r="D2697" s="332"/>
      <c r="E2697" s="333"/>
      <c r="F2697" s="333"/>
      <c r="R2697" s="316"/>
      <c r="S2697" s="404"/>
      <c r="T2697" s="404"/>
      <c r="U2697" s="404"/>
      <c r="V2697" s="404"/>
      <c r="W2697" s="316"/>
      <c r="X2697" s="316"/>
      <c r="Y2697" s="316"/>
      <c r="Z2697" s="316"/>
      <c r="AA2697" s="404"/>
      <c r="AB2697" s="404"/>
      <c r="AC2697" s="404"/>
      <c r="AD2697" s="404"/>
      <c r="AE2697" s="316"/>
      <c r="AF2697" s="316"/>
      <c r="AG2697" s="404"/>
      <c r="AH2697" s="316"/>
      <c r="AI2697" s="316"/>
      <c r="AJ2697" s="316"/>
      <c r="AK2697" s="316"/>
      <c r="AL2697" s="316"/>
      <c r="AM2697" s="416"/>
      <c r="AR2697" s="333"/>
      <c r="AS2697" s="333"/>
      <c r="AT2697" s="333"/>
      <c r="AU2697" s="333"/>
      <c r="AV2697" s="333"/>
    </row>
    <row r="2698" spans="2:48" s="330" customFormat="1" ht="28.15" customHeight="1" x14ac:dyDescent="0.25">
      <c r="B2698" s="331"/>
      <c r="C2698" s="332"/>
      <c r="D2698" s="332"/>
      <c r="E2698" s="333"/>
      <c r="F2698" s="333"/>
      <c r="R2698" s="316"/>
      <c r="S2698" s="404"/>
      <c r="T2698" s="404"/>
      <c r="U2698" s="404"/>
      <c r="V2698" s="404"/>
      <c r="W2698" s="316"/>
      <c r="X2698" s="316"/>
      <c r="Y2698" s="316"/>
      <c r="Z2698" s="316"/>
      <c r="AA2698" s="404"/>
      <c r="AB2698" s="404"/>
      <c r="AC2698" s="404"/>
      <c r="AD2698" s="404"/>
      <c r="AE2698" s="316"/>
      <c r="AF2698" s="316"/>
      <c r="AG2698" s="404"/>
      <c r="AH2698" s="316"/>
      <c r="AI2698" s="316"/>
      <c r="AJ2698" s="316"/>
      <c r="AK2698" s="316"/>
      <c r="AL2698" s="316"/>
      <c r="AM2698" s="416"/>
      <c r="AR2698" s="333"/>
      <c r="AS2698" s="333"/>
      <c r="AT2698" s="333"/>
      <c r="AU2698" s="333"/>
      <c r="AV2698" s="333"/>
    </row>
    <row r="2699" spans="2:48" s="330" customFormat="1" ht="28.15" customHeight="1" x14ac:dyDescent="0.25">
      <c r="B2699" s="331"/>
      <c r="C2699" s="332"/>
      <c r="D2699" s="332"/>
      <c r="E2699" s="333"/>
      <c r="F2699" s="333"/>
      <c r="R2699" s="316"/>
      <c r="S2699" s="404"/>
      <c r="T2699" s="404"/>
      <c r="U2699" s="404"/>
      <c r="V2699" s="404"/>
      <c r="W2699" s="316"/>
      <c r="X2699" s="316"/>
      <c r="Y2699" s="316"/>
      <c r="Z2699" s="316"/>
      <c r="AA2699" s="404"/>
      <c r="AB2699" s="404"/>
      <c r="AC2699" s="404"/>
      <c r="AD2699" s="404"/>
      <c r="AE2699" s="316"/>
      <c r="AF2699" s="316"/>
      <c r="AG2699" s="404"/>
      <c r="AH2699" s="316"/>
      <c r="AI2699" s="316"/>
      <c r="AJ2699" s="316"/>
      <c r="AK2699" s="316"/>
      <c r="AL2699" s="316"/>
      <c r="AM2699" s="416"/>
      <c r="AR2699" s="333"/>
      <c r="AS2699" s="333"/>
      <c r="AT2699" s="333"/>
      <c r="AU2699" s="333"/>
      <c r="AV2699" s="333"/>
    </row>
    <row r="2700" spans="2:48" s="330" customFormat="1" ht="28.15" customHeight="1" x14ac:dyDescent="0.25">
      <c r="B2700" s="331"/>
      <c r="C2700" s="332"/>
      <c r="D2700" s="332"/>
      <c r="E2700" s="333"/>
      <c r="F2700" s="333"/>
      <c r="R2700" s="316"/>
      <c r="S2700" s="404"/>
      <c r="T2700" s="404"/>
      <c r="U2700" s="404"/>
      <c r="V2700" s="404"/>
      <c r="W2700" s="316"/>
      <c r="X2700" s="316"/>
      <c r="Y2700" s="316"/>
      <c r="Z2700" s="316"/>
      <c r="AA2700" s="404"/>
      <c r="AB2700" s="404"/>
      <c r="AC2700" s="404"/>
      <c r="AD2700" s="404"/>
      <c r="AE2700" s="316"/>
      <c r="AF2700" s="316"/>
      <c r="AG2700" s="404"/>
      <c r="AH2700" s="316"/>
      <c r="AI2700" s="316"/>
      <c r="AJ2700" s="316"/>
      <c r="AK2700" s="316"/>
      <c r="AL2700" s="316"/>
      <c r="AM2700" s="416"/>
      <c r="AR2700" s="333"/>
      <c r="AS2700" s="333"/>
      <c r="AT2700" s="333"/>
      <c r="AU2700" s="333"/>
      <c r="AV2700" s="333"/>
    </row>
    <row r="2701" spans="2:48" s="330" customFormat="1" ht="28.15" customHeight="1" x14ac:dyDescent="0.25">
      <c r="B2701" s="331"/>
      <c r="C2701" s="332"/>
      <c r="D2701" s="332"/>
      <c r="E2701" s="333"/>
      <c r="F2701" s="333"/>
      <c r="R2701" s="316"/>
      <c r="S2701" s="404"/>
      <c r="T2701" s="404"/>
      <c r="U2701" s="404"/>
      <c r="V2701" s="404"/>
      <c r="W2701" s="316"/>
      <c r="X2701" s="316"/>
      <c r="Y2701" s="316"/>
      <c r="Z2701" s="316"/>
      <c r="AA2701" s="404"/>
      <c r="AB2701" s="404"/>
      <c r="AC2701" s="404"/>
      <c r="AD2701" s="404"/>
      <c r="AE2701" s="316"/>
      <c r="AF2701" s="316"/>
      <c r="AG2701" s="404"/>
      <c r="AH2701" s="316"/>
      <c r="AI2701" s="316"/>
      <c r="AJ2701" s="316"/>
      <c r="AK2701" s="316"/>
      <c r="AL2701" s="316"/>
      <c r="AM2701" s="416"/>
      <c r="AR2701" s="333"/>
      <c r="AS2701" s="333"/>
      <c r="AT2701" s="333"/>
      <c r="AU2701" s="333"/>
      <c r="AV2701" s="333"/>
    </row>
    <row r="2702" spans="2:48" s="330" customFormat="1" ht="28.15" customHeight="1" x14ac:dyDescent="0.25">
      <c r="B2702" s="331"/>
      <c r="C2702" s="332"/>
      <c r="D2702" s="332"/>
      <c r="E2702" s="333"/>
      <c r="F2702" s="333"/>
      <c r="R2702" s="316"/>
      <c r="S2702" s="404"/>
      <c r="T2702" s="404"/>
      <c r="U2702" s="404"/>
      <c r="V2702" s="404"/>
      <c r="W2702" s="316"/>
      <c r="X2702" s="316"/>
      <c r="Y2702" s="316"/>
      <c r="Z2702" s="316"/>
      <c r="AA2702" s="404"/>
      <c r="AB2702" s="404"/>
      <c r="AC2702" s="404"/>
      <c r="AD2702" s="404"/>
      <c r="AE2702" s="316"/>
      <c r="AF2702" s="316"/>
      <c r="AG2702" s="404"/>
      <c r="AH2702" s="316"/>
      <c r="AI2702" s="316"/>
      <c r="AJ2702" s="316"/>
      <c r="AK2702" s="316"/>
      <c r="AL2702" s="316"/>
      <c r="AM2702" s="416"/>
      <c r="AR2702" s="333"/>
      <c r="AS2702" s="333"/>
      <c r="AT2702" s="333"/>
      <c r="AU2702" s="333"/>
      <c r="AV2702" s="333"/>
    </row>
    <row r="2703" spans="2:48" s="330" customFormat="1" ht="28.15" customHeight="1" x14ac:dyDescent="0.25">
      <c r="B2703" s="331"/>
      <c r="C2703" s="332"/>
      <c r="D2703" s="332"/>
      <c r="E2703" s="333"/>
      <c r="F2703" s="333"/>
      <c r="R2703" s="316"/>
      <c r="S2703" s="404"/>
      <c r="T2703" s="404"/>
      <c r="U2703" s="404"/>
      <c r="V2703" s="404"/>
      <c r="W2703" s="316"/>
      <c r="X2703" s="316"/>
      <c r="Y2703" s="316"/>
      <c r="Z2703" s="316"/>
      <c r="AA2703" s="404"/>
      <c r="AB2703" s="404"/>
      <c r="AC2703" s="404"/>
      <c r="AD2703" s="404"/>
      <c r="AE2703" s="316"/>
      <c r="AF2703" s="316"/>
      <c r="AG2703" s="404"/>
      <c r="AH2703" s="316"/>
      <c r="AI2703" s="316"/>
      <c r="AJ2703" s="316"/>
      <c r="AK2703" s="316"/>
      <c r="AL2703" s="316"/>
      <c r="AM2703" s="416"/>
      <c r="AR2703" s="333"/>
      <c r="AS2703" s="333"/>
      <c r="AT2703" s="333"/>
      <c r="AU2703" s="333"/>
      <c r="AV2703" s="333"/>
    </row>
    <row r="2704" spans="2:48" s="330" customFormat="1" ht="28.15" customHeight="1" x14ac:dyDescent="0.25">
      <c r="B2704" s="331"/>
      <c r="C2704" s="332"/>
      <c r="D2704" s="332"/>
      <c r="E2704" s="333"/>
      <c r="F2704" s="333"/>
      <c r="R2704" s="316"/>
      <c r="S2704" s="404"/>
      <c r="T2704" s="404"/>
      <c r="U2704" s="404"/>
      <c r="V2704" s="404"/>
      <c r="W2704" s="316"/>
      <c r="X2704" s="316"/>
      <c r="Y2704" s="316"/>
      <c r="Z2704" s="316"/>
      <c r="AA2704" s="404"/>
      <c r="AB2704" s="404"/>
      <c r="AC2704" s="404"/>
      <c r="AD2704" s="404"/>
      <c r="AE2704" s="316"/>
      <c r="AF2704" s="316"/>
      <c r="AG2704" s="404"/>
      <c r="AH2704" s="316"/>
      <c r="AI2704" s="316"/>
      <c r="AJ2704" s="316"/>
      <c r="AK2704" s="316"/>
      <c r="AL2704" s="316"/>
      <c r="AM2704" s="416"/>
      <c r="AR2704" s="333"/>
      <c r="AS2704" s="333"/>
      <c r="AT2704" s="333"/>
      <c r="AU2704" s="333"/>
      <c r="AV2704" s="333"/>
    </row>
    <row r="2705" spans="2:48" s="330" customFormat="1" ht="28.15" customHeight="1" x14ac:dyDescent="0.25">
      <c r="B2705" s="331"/>
      <c r="C2705" s="332"/>
      <c r="D2705" s="332"/>
      <c r="E2705" s="333"/>
      <c r="F2705" s="333"/>
      <c r="R2705" s="316"/>
      <c r="S2705" s="404"/>
      <c r="T2705" s="404"/>
      <c r="U2705" s="404"/>
      <c r="V2705" s="404"/>
      <c r="W2705" s="316"/>
      <c r="X2705" s="316"/>
      <c r="Y2705" s="316"/>
      <c r="Z2705" s="316"/>
      <c r="AA2705" s="404"/>
      <c r="AB2705" s="404"/>
      <c r="AC2705" s="404"/>
      <c r="AD2705" s="404"/>
      <c r="AE2705" s="316"/>
      <c r="AF2705" s="316"/>
      <c r="AG2705" s="404"/>
      <c r="AH2705" s="316"/>
      <c r="AI2705" s="316"/>
      <c r="AJ2705" s="316"/>
      <c r="AK2705" s="316"/>
      <c r="AL2705" s="316"/>
      <c r="AM2705" s="416"/>
      <c r="AR2705" s="333"/>
      <c r="AS2705" s="333"/>
      <c r="AT2705" s="333"/>
      <c r="AU2705" s="333"/>
      <c r="AV2705" s="333"/>
    </row>
    <row r="2706" spans="2:48" s="330" customFormat="1" ht="28.15" customHeight="1" x14ac:dyDescent="0.25">
      <c r="B2706" s="331"/>
      <c r="C2706" s="332"/>
      <c r="D2706" s="332"/>
      <c r="E2706" s="333"/>
      <c r="F2706" s="333"/>
      <c r="R2706" s="316"/>
      <c r="S2706" s="404"/>
      <c r="T2706" s="404"/>
      <c r="U2706" s="404"/>
      <c r="V2706" s="404"/>
      <c r="W2706" s="316"/>
      <c r="X2706" s="316"/>
      <c r="Y2706" s="316"/>
      <c r="Z2706" s="316"/>
      <c r="AA2706" s="404"/>
      <c r="AB2706" s="404"/>
      <c r="AC2706" s="404"/>
      <c r="AD2706" s="404"/>
      <c r="AE2706" s="316"/>
      <c r="AF2706" s="316"/>
      <c r="AG2706" s="404"/>
      <c r="AH2706" s="316"/>
      <c r="AI2706" s="316"/>
      <c r="AJ2706" s="316"/>
      <c r="AK2706" s="316"/>
      <c r="AL2706" s="316"/>
      <c r="AM2706" s="416"/>
      <c r="AR2706" s="333"/>
      <c r="AS2706" s="333"/>
      <c r="AT2706" s="333"/>
      <c r="AU2706" s="333"/>
      <c r="AV2706" s="333"/>
    </row>
    <row r="2707" spans="2:48" s="330" customFormat="1" ht="28.15" customHeight="1" x14ac:dyDescent="0.25">
      <c r="B2707" s="331"/>
      <c r="C2707" s="332"/>
      <c r="D2707" s="332"/>
      <c r="E2707" s="333"/>
      <c r="F2707" s="333"/>
      <c r="R2707" s="316"/>
      <c r="S2707" s="404"/>
      <c r="T2707" s="404"/>
      <c r="U2707" s="404"/>
      <c r="V2707" s="404"/>
      <c r="W2707" s="316"/>
      <c r="X2707" s="316"/>
      <c r="Y2707" s="316"/>
      <c r="Z2707" s="316"/>
      <c r="AA2707" s="404"/>
      <c r="AB2707" s="404"/>
      <c r="AC2707" s="404"/>
      <c r="AD2707" s="404"/>
      <c r="AE2707" s="316"/>
      <c r="AF2707" s="316"/>
      <c r="AG2707" s="404"/>
      <c r="AH2707" s="316"/>
      <c r="AI2707" s="316"/>
      <c r="AJ2707" s="316"/>
      <c r="AK2707" s="316"/>
      <c r="AL2707" s="316"/>
      <c r="AM2707" s="416"/>
      <c r="AR2707" s="333"/>
      <c r="AS2707" s="333"/>
      <c r="AT2707" s="333"/>
      <c r="AU2707" s="333"/>
      <c r="AV2707" s="333"/>
    </row>
    <row r="2708" spans="2:48" s="330" customFormat="1" ht="28.15" customHeight="1" x14ac:dyDescent="0.25">
      <c r="B2708" s="331"/>
      <c r="C2708" s="332"/>
      <c r="D2708" s="332"/>
      <c r="E2708" s="333"/>
      <c r="F2708" s="333"/>
      <c r="R2708" s="316"/>
      <c r="S2708" s="404"/>
      <c r="T2708" s="404"/>
      <c r="U2708" s="404"/>
      <c r="V2708" s="404"/>
      <c r="W2708" s="316"/>
      <c r="X2708" s="316"/>
      <c r="Y2708" s="316"/>
      <c r="Z2708" s="316"/>
      <c r="AA2708" s="404"/>
      <c r="AB2708" s="404"/>
      <c r="AC2708" s="404"/>
      <c r="AD2708" s="404"/>
      <c r="AE2708" s="316"/>
      <c r="AF2708" s="316"/>
      <c r="AG2708" s="404"/>
      <c r="AH2708" s="316"/>
      <c r="AI2708" s="316"/>
      <c r="AJ2708" s="316"/>
      <c r="AK2708" s="316"/>
      <c r="AL2708" s="316"/>
      <c r="AM2708" s="416"/>
      <c r="AR2708" s="333"/>
      <c r="AS2708" s="333"/>
      <c r="AT2708" s="333"/>
      <c r="AU2708" s="333"/>
      <c r="AV2708" s="333"/>
    </row>
    <row r="2709" spans="2:48" s="330" customFormat="1" ht="28.15" customHeight="1" x14ac:dyDescent="0.25">
      <c r="B2709" s="331"/>
      <c r="C2709" s="332"/>
      <c r="D2709" s="332"/>
      <c r="E2709" s="333"/>
      <c r="F2709" s="333"/>
      <c r="R2709" s="316"/>
      <c r="S2709" s="404"/>
      <c r="T2709" s="404"/>
      <c r="U2709" s="404"/>
      <c r="V2709" s="404"/>
      <c r="W2709" s="316"/>
      <c r="X2709" s="316"/>
      <c r="Y2709" s="316"/>
      <c r="Z2709" s="316"/>
      <c r="AA2709" s="404"/>
      <c r="AB2709" s="404"/>
      <c r="AC2709" s="404"/>
      <c r="AD2709" s="404"/>
      <c r="AE2709" s="316"/>
      <c r="AF2709" s="316"/>
      <c r="AG2709" s="404"/>
      <c r="AH2709" s="316"/>
      <c r="AI2709" s="316"/>
      <c r="AJ2709" s="316"/>
      <c r="AK2709" s="316"/>
      <c r="AL2709" s="316"/>
      <c r="AM2709" s="416"/>
      <c r="AR2709" s="333"/>
      <c r="AS2709" s="333"/>
      <c r="AT2709" s="333"/>
      <c r="AU2709" s="333"/>
      <c r="AV2709" s="333"/>
    </row>
    <row r="2710" spans="2:48" s="330" customFormat="1" ht="28.15" customHeight="1" x14ac:dyDescent="0.25">
      <c r="B2710" s="331"/>
      <c r="C2710" s="332"/>
      <c r="D2710" s="332"/>
      <c r="E2710" s="333"/>
      <c r="F2710" s="333"/>
      <c r="R2710" s="316"/>
      <c r="S2710" s="404"/>
      <c r="T2710" s="404"/>
      <c r="U2710" s="404"/>
      <c r="V2710" s="404"/>
      <c r="W2710" s="316"/>
      <c r="X2710" s="316"/>
      <c r="Y2710" s="316"/>
      <c r="Z2710" s="316"/>
      <c r="AA2710" s="404"/>
      <c r="AB2710" s="404"/>
      <c r="AC2710" s="404"/>
      <c r="AD2710" s="404"/>
      <c r="AE2710" s="316"/>
      <c r="AF2710" s="316"/>
      <c r="AG2710" s="404"/>
      <c r="AH2710" s="316"/>
      <c r="AI2710" s="316"/>
      <c r="AJ2710" s="316"/>
      <c r="AK2710" s="316"/>
      <c r="AL2710" s="316"/>
      <c r="AM2710" s="416"/>
      <c r="AR2710" s="333"/>
      <c r="AS2710" s="333"/>
      <c r="AT2710" s="333"/>
      <c r="AU2710" s="333"/>
      <c r="AV2710" s="333"/>
    </row>
    <row r="2711" spans="2:48" s="330" customFormat="1" ht="28.15" customHeight="1" x14ac:dyDescent="0.25">
      <c r="B2711" s="331"/>
      <c r="C2711" s="332"/>
      <c r="D2711" s="332"/>
      <c r="E2711" s="333"/>
      <c r="F2711" s="333"/>
      <c r="R2711" s="316"/>
      <c r="S2711" s="404"/>
      <c r="T2711" s="404"/>
      <c r="U2711" s="404"/>
      <c r="V2711" s="404"/>
      <c r="W2711" s="316"/>
      <c r="X2711" s="316"/>
      <c r="Y2711" s="316"/>
      <c r="Z2711" s="316"/>
      <c r="AA2711" s="404"/>
      <c r="AB2711" s="404"/>
      <c r="AC2711" s="404"/>
      <c r="AD2711" s="404"/>
      <c r="AE2711" s="316"/>
      <c r="AF2711" s="316"/>
      <c r="AG2711" s="404"/>
      <c r="AH2711" s="316"/>
      <c r="AI2711" s="316"/>
      <c r="AJ2711" s="316"/>
      <c r="AK2711" s="316"/>
      <c r="AL2711" s="316"/>
      <c r="AM2711" s="416"/>
      <c r="AR2711" s="333"/>
      <c r="AS2711" s="333"/>
      <c r="AT2711" s="333"/>
      <c r="AU2711" s="333"/>
      <c r="AV2711" s="333"/>
    </row>
    <row r="2712" spans="2:48" s="330" customFormat="1" ht="28.15" customHeight="1" x14ac:dyDescent="0.25">
      <c r="B2712" s="331"/>
      <c r="C2712" s="332"/>
      <c r="D2712" s="332"/>
      <c r="E2712" s="333"/>
      <c r="F2712" s="333"/>
      <c r="R2712" s="316"/>
      <c r="S2712" s="404"/>
      <c r="T2712" s="404"/>
      <c r="U2712" s="404"/>
      <c r="V2712" s="404"/>
      <c r="W2712" s="316"/>
      <c r="X2712" s="316"/>
      <c r="Y2712" s="316"/>
      <c r="Z2712" s="316"/>
      <c r="AA2712" s="404"/>
      <c r="AB2712" s="404"/>
      <c r="AC2712" s="404"/>
      <c r="AD2712" s="404"/>
      <c r="AE2712" s="316"/>
      <c r="AF2712" s="316"/>
      <c r="AG2712" s="404"/>
      <c r="AH2712" s="316"/>
      <c r="AI2712" s="316"/>
      <c r="AJ2712" s="316"/>
      <c r="AK2712" s="316"/>
      <c r="AL2712" s="316"/>
      <c r="AM2712" s="416"/>
      <c r="AR2712" s="333"/>
      <c r="AS2712" s="333"/>
      <c r="AT2712" s="333"/>
      <c r="AU2712" s="333"/>
      <c r="AV2712" s="333"/>
    </row>
    <row r="2713" spans="2:48" s="330" customFormat="1" ht="28.15" customHeight="1" x14ac:dyDescent="0.25">
      <c r="B2713" s="331"/>
      <c r="C2713" s="332"/>
      <c r="D2713" s="332"/>
      <c r="E2713" s="333"/>
      <c r="F2713" s="333"/>
      <c r="R2713" s="316"/>
      <c r="S2713" s="404"/>
      <c r="T2713" s="404"/>
      <c r="U2713" s="404"/>
      <c r="V2713" s="404"/>
      <c r="W2713" s="316"/>
      <c r="X2713" s="316"/>
      <c r="Y2713" s="316"/>
      <c r="Z2713" s="316"/>
      <c r="AA2713" s="404"/>
      <c r="AB2713" s="404"/>
      <c r="AC2713" s="404"/>
      <c r="AD2713" s="404"/>
      <c r="AE2713" s="316"/>
      <c r="AF2713" s="316"/>
      <c r="AG2713" s="404"/>
      <c r="AH2713" s="316"/>
      <c r="AI2713" s="316"/>
      <c r="AJ2713" s="316"/>
      <c r="AK2713" s="316"/>
      <c r="AL2713" s="316"/>
      <c r="AM2713" s="416"/>
      <c r="AR2713" s="333"/>
      <c r="AS2713" s="333"/>
      <c r="AT2713" s="333"/>
      <c r="AU2713" s="333"/>
      <c r="AV2713" s="333"/>
    </row>
    <row r="2714" spans="2:48" s="330" customFormat="1" ht="28.15" customHeight="1" x14ac:dyDescent="0.25">
      <c r="B2714" s="331"/>
      <c r="C2714" s="332"/>
      <c r="D2714" s="332"/>
      <c r="E2714" s="333"/>
      <c r="F2714" s="333"/>
      <c r="R2714" s="316"/>
      <c r="S2714" s="404"/>
      <c r="T2714" s="404"/>
      <c r="U2714" s="404"/>
      <c r="V2714" s="404"/>
      <c r="W2714" s="316"/>
      <c r="X2714" s="316"/>
      <c r="Y2714" s="316"/>
      <c r="Z2714" s="316"/>
      <c r="AA2714" s="404"/>
      <c r="AB2714" s="404"/>
      <c r="AC2714" s="404"/>
      <c r="AD2714" s="404"/>
      <c r="AE2714" s="316"/>
      <c r="AF2714" s="316"/>
      <c r="AG2714" s="404"/>
      <c r="AH2714" s="316"/>
      <c r="AI2714" s="316"/>
      <c r="AJ2714" s="316"/>
      <c r="AK2714" s="316"/>
      <c r="AL2714" s="316"/>
      <c r="AM2714" s="416"/>
      <c r="AR2714" s="333"/>
      <c r="AS2714" s="333"/>
      <c r="AT2714" s="333"/>
      <c r="AU2714" s="333"/>
      <c r="AV2714" s="333"/>
    </row>
    <row r="2715" spans="2:48" s="330" customFormat="1" ht="28.15" customHeight="1" x14ac:dyDescent="0.25">
      <c r="B2715" s="331"/>
      <c r="C2715" s="332"/>
      <c r="D2715" s="332"/>
      <c r="E2715" s="333"/>
      <c r="F2715" s="333"/>
      <c r="R2715" s="316"/>
      <c r="S2715" s="404"/>
      <c r="T2715" s="404"/>
      <c r="U2715" s="404"/>
      <c r="V2715" s="404"/>
      <c r="W2715" s="316"/>
      <c r="X2715" s="316"/>
      <c r="Y2715" s="316"/>
      <c r="Z2715" s="316"/>
      <c r="AA2715" s="404"/>
      <c r="AB2715" s="404"/>
      <c r="AC2715" s="404"/>
      <c r="AD2715" s="404"/>
      <c r="AE2715" s="316"/>
      <c r="AF2715" s="316"/>
      <c r="AG2715" s="404"/>
      <c r="AH2715" s="316"/>
      <c r="AI2715" s="316"/>
      <c r="AJ2715" s="316"/>
      <c r="AK2715" s="316"/>
      <c r="AL2715" s="316"/>
      <c r="AM2715" s="416"/>
      <c r="AR2715" s="333"/>
      <c r="AS2715" s="333"/>
      <c r="AT2715" s="333"/>
      <c r="AU2715" s="333"/>
      <c r="AV2715" s="333"/>
    </row>
    <row r="2716" spans="2:48" s="330" customFormat="1" ht="28.15" customHeight="1" x14ac:dyDescent="0.25">
      <c r="B2716" s="331"/>
      <c r="C2716" s="332"/>
      <c r="D2716" s="332"/>
      <c r="E2716" s="333"/>
      <c r="F2716" s="333"/>
      <c r="R2716" s="316"/>
      <c r="S2716" s="404"/>
      <c r="T2716" s="404"/>
      <c r="U2716" s="404"/>
      <c r="V2716" s="404"/>
      <c r="W2716" s="316"/>
      <c r="X2716" s="316"/>
      <c r="Y2716" s="316"/>
      <c r="Z2716" s="316"/>
      <c r="AA2716" s="404"/>
      <c r="AB2716" s="404"/>
      <c r="AC2716" s="404"/>
      <c r="AD2716" s="404"/>
      <c r="AE2716" s="316"/>
      <c r="AF2716" s="316"/>
      <c r="AG2716" s="404"/>
      <c r="AH2716" s="316"/>
      <c r="AI2716" s="316"/>
      <c r="AJ2716" s="316"/>
      <c r="AK2716" s="316"/>
      <c r="AL2716" s="316"/>
      <c r="AM2716" s="416"/>
      <c r="AR2716" s="333"/>
      <c r="AS2716" s="333"/>
      <c r="AT2716" s="333"/>
      <c r="AU2716" s="333"/>
      <c r="AV2716" s="333"/>
    </row>
    <row r="2717" spans="2:48" s="330" customFormat="1" ht="28.15" customHeight="1" x14ac:dyDescent="0.25">
      <c r="B2717" s="331"/>
      <c r="C2717" s="332"/>
      <c r="D2717" s="332"/>
      <c r="E2717" s="333"/>
      <c r="F2717" s="333"/>
      <c r="R2717" s="316"/>
      <c r="S2717" s="404"/>
      <c r="T2717" s="404"/>
      <c r="U2717" s="404"/>
      <c r="V2717" s="404"/>
      <c r="W2717" s="316"/>
      <c r="X2717" s="316"/>
      <c r="Y2717" s="316"/>
      <c r="Z2717" s="316"/>
      <c r="AA2717" s="404"/>
      <c r="AB2717" s="404"/>
      <c r="AC2717" s="404"/>
      <c r="AD2717" s="404"/>
      <c r="AE2717" s="316"/>
      <c r="AF2717" s="316"/>
      <c r="AG2717" s="404"/>
      <c r="AH2717" s="316"/>
      <c r="AI2717" s="316"/>
      <c r="AJ2717" s="316"/>
      <c r="AK2717" s="316"/>
      <c r="AL2717" s="316"/>
      <c r="AM2717" s="416"/>
      <c r="AR2717" s="333"/>
      <c r="AS2717" s="333"/>
      <c r="AT2717" s="333"/>
      <c r="AU2717" s="333"/>
      <c r="AV2717" s="333"/>
    </row>
    <row r="2718" spans="2:48" s="330" customFormat="1" ht="28.15" customHeight="1" x14ac:dyDescent="0.25">
      <c r="B2718" s="331"/>
      <c r="C2718" s="332"/>
      <c r="D2718" s="332"/>
      <c r="E2718" s="333"/>
      <c r="F2718" s="333"/>
      <c r="R2718" s="316"/>
      <c r="S2718" s="404"/>
      <c r="T2718" s="404"/>
      <c r="U2718" s="404"/>
      <c r="V2718" s="404"/>
      <c r="W2718" s="316"/>
      <c r="X2718" s="316"/>
      <c r="Y2718" s="316"/>
      <c r="Z2718" s="316"/>
      <c r="AA2718" s="404"/>
      <c r="AB2718" s="404"/>
      <c r="AC2718" s="404"/>
      <c r="AD2718" s="404"/>
      <c r="AE2718" s="316"/>
      <c r="AF2718" s="316"/>
      <c r="AG2718" s="404"/>
      <c r="AH2718" s="316"/>
      <c r="AI2718" s="316"/>
      <c r="AJ2718" s="316"/>
      <c r="AK2718" s="316"/>
      <c r="AL2718" s="316"/>
      <c r="AM2718" s="416"/>
      <c r="AR2718" s="333"/>
      <c r="AS2718" s="333"/>
      <c r="AT2718" s="333"/>
      <c r="AU2718" s="333"/>
      <c r="AV2718" s="333"/>
    </row>
    <row r="2719" spans="2:48" s="330" customFormat="1" ht="28.15" customHeight="1" x14ac:dyDescent="0.25">
      <c r="B2719" s="331"/>
      <c r="C2719" s="332"/>
      <c r="D2719" s="332"/>
      <c r="E2719" s="333"/>
      <c r="F2719" s="333"/>
      <c r="R2719" s="316"/>
      <c r="S2719" s="404"/>
      <c r="T2719" s="404"/>
      <c r="U2719" s="404"/>
      <c r="V2719" s="404"/>
      <c r="W2719" s="316"/>
      <c r="X2719" s="316"/>
      <c r="Y2719" s="316"/>
      <c r="Z2719" s="316"/>
      <c r="AA2719" s="404"/>
      <c r="AB2719" s="404"/>
      <c r="AC2719" s="404"/>
      <c r="AD2719" s="404"/>
      <c r="AE2719" s="316"/>
      <c r="AF2719" s="316"/>
      <c r="AG2719" s="404"/>
      <c r="AH2719" s="316"/>
      <c r="AI2719" s="316"/>
      <c r="AJ2719" s="316"/>
      <c r="AK2719" s="316"/>
      <c r="AL2719" s="316"/>
      <c r="AM2719" s="416"/>
      <c r="AR2719" s="333"/>
      <c r="AS2719" s="333"/>
      <c r="AT2719" s="333"/>
      <c r="AU2719" s="333"/>
      <c r="AV2719" s="333"/>
    </row>
    <row r="2720" spans="2:48" s="330" customFormat="1" ht="28.15" customHeight="1" x14ac:dyDescent="0.25">
      <c r="B2720" s="331"/>
      <c r="C2720" s="332"/>
      <c r="D2720" s="332"/>
      <c r="E2720" s="333"/>
      <c r="F2720" s="333"/>
      <c r="R2720" s="316"/>
      <c r="S2720" s="404"/>
      <c r="T2720" s="404"/>
      <c r="U2720" s="404"/>
      <c r="V2720" s="404"/>
      <c r="W2720" s="316"/>
      <c r="X2720" s="316"/>
      <c r="Y2720" s="316"/>
      <c r="Z2720" s="316"/>
      <c r="AA2720" s="404"/>
      <c r="AB2720" s="404"/>
      <c r="AC2720" s="404"/>
      <c r="AD2720" s="404"/>
      <c r="AE2720" s="316"/>
      <c r="AF2720" s="316"/>
      <c r="AG2720" s="404"/>
      <c r="AH2720" s="316"/>
      <c r="AI2720" s="316"/>
      <c r="AJ2720" s="316"/>
      <c r="AK2720" s="316"/>
      <c r="AL2720" s="316"/>
      <c r="AM2720" s="416"/>
      <c r="AR2720" s="333"/>
      <c r="AS2720" s="333"/>
      <c r="AT2720" s="333"/>
      <c r="AU2720" s="333"/>
      <c r="AV2720" s="333"/>
    </row>
    <row r="2721" spans="2:48" s="330" customFormat="1" ht="28.15" customHeight="1" x14ac:dyDescent="0.25">
      <c r="B2721" s="331"/>
      <c r="C2721" s="332"/>
      <c r="D2721" s="332"/>
      <c r="E2721" s="333"/>
      <c r="F2721" s="333"/>
      <c r="R2721" s="316"/>
      <c r="S2721" s="404"/>
      <c r="T2721" s="404"/>
      <c r="U2721" s="404"/>
      <c r="V2721" s="404"/>
      <c r="W2721" s="316"/>
      <c r="X2721" s="316"/>
      <c r="Y2721" s="316"/>
      <c r="Z2721" s="316"/>
      <c r="AA2721" s="404"/>
      <c r="AB2721" s="404"/>
      <c r="AC2721" s="404"/>
      <c r="AD2721" s="404"/>
      <c r="AE2721" s="316"/>
      <c r="AF2721" s="316"/>
      <c r="AG2721" s="404"/>
      <c r="AH2721" s="316"/>
      <c r="AI2721" s="316"/>
      <c r="AJ2721" s="316"/>
      <c r="AK2721" s="316"/>
      <c r="AL2721" s="316"/>
      <c r="AM2721" s="416"/>
      <c r="AR2721" s="333"/>
      <c r="AS2721" s="333"/>
      <c r="AT2721" s="333"/>
      <c r="AU2721" s="333"/>
      <c r="AV2721" s="333"/>
    </row>
    <row r="2722" spans="2:48" s="330" customFormat="1" ht="28.15" customHeight="1" x14ac:dyDescent="0.25">
      <c r="B2722" s="331"/>
      <c r="C2722" s="332"/>
      <c r="D2722" s="332"/>
      <c r="E2722" s="333"/>
      <c r="F2722" s="333"/>
      <c r="R2722" s="316"/>
      <c r="S2722" s="404"/>
      <c r="T2722" s="404"/>
      <c r="U2722" s="404"/>
      <c r="V2722" s="404"/>
      <c r="W2722" s="316"/>
      <c r="X2722" s="316"/>
      <c r="Y2722" s="316"/>
      <c r="Z2722" s="316"/>
      <c r="AA2722" s="404"/>
      <c r="AB2722" s="404"/>
      <c r="AC2722" s="404"/>
      <c r="AD2722" s="404"/>
      <c r="AE2722" s="316"/>
      <c r="AF2722" s="316"/>
      <c r="AG2722" s="404"/>
      <c r="AH2722" s="316"/>
      <c r="AI2722" s="316"/>
      <c r="AJ2722" s="316"/>
      <c r="AK2722" s="316"/>
      <c r="AL2722" s="316"/>
      <c r="AM2722" s="416"/>
      <c r="AR2722" s="333"/>
      <c r="AS2722" s="333"/>
      <c r="AT2722" s="333"/>
      <c r="AU2722" s="333"/>
      <c r="AV2722" s="333"/>
    </row>
    <row r="2723" spans="2:48" s="330" customFormat="1" ht="28.15" customHeight="1" x14ac:dyDescent="0.25">
      <c r="B2723" s="331"/>
      <c r="C2723" s="332"/>
      <c r="D2723" s="332"/>
      <c r="E2723" s="333"/>
      <c r="F2723" s="333"/>
      <c r="R2723" s="316"/>
      <c r="S2723" s="404"/>
      <c r="T2723" s="404"/>
      <c r="U2723" s="404"/>
      <c r="V2723" s="404"/>
      <c r="W2723" s="316"/>
      <c r="X2723" s="316"/>
      <c r="Y2723" s="316"/>
      <c r="Z2723" s="316"/>
      <c r="AA2723" s="404"/>
      <c r="AB2723" s="404"/>
      <c r="AC2723" s="404"/>
      <c r="AD2723" s="404"/>
      <c r="AE2723" s="316"/>
      <c r="AF2723" s="316"/>
      <c r="AG2723" s="404"/>
      <c r="AH2723" s="316"/>
      <c r="AI2723" s="316"/>
      <c r="AJ2723" s="316"/>
      <c r="AK2723" s="316"/>
      <c r="AL2723" s="316"/>
      <c r="AM2723" s="416"/>
      <c r="AR2723" s="333"/>
      <c r="AS2723" s="333"/>
      <c r="AT2723" s="333"/>
      <c r="AU2723" s="333"/>
      <c r="AV2723" s="333"/>
    </row>
    <row r="2724" spans="2:48" s="330" customFormat="1" ht="28.15" customHeight="1" x14ac:dyDescent="0.25">
      <c r="B2724" s="331"/>
      <c r="C2724" s="332"/>
      <c r="D2724" s="332"/>
      <c r="E2724" s="333"/>
      <c r="F2724" s="333"/>
      <c r="R2724" s="316"/>
      <c r="S2724" s="404"/>
      <c r="T2724" s="404"/>
      <c r="U2724" s="404"/>
      <c r="V2724" s="404"/>
      <c r="W2724" s="316"/>
      <c r="X2724" s="316"/>
      <c r="Y2724" s="316"/>
      <c r="Z2724" s="316"/>
      <c r="AA2724" s="404"/>
      <c r="AB2724" s="404"/>
      <c r="AC2724" s="404"/>
      <c r="AD2724" s="404"/>
      <c r="AE2724" s="316"/>
      <c r="AF2724" s="316"/>
      <c r="AG2724" s="404"/>
      <c r="AH2724" s="316"/>
      <c r="AI2724" s="316"/>
      <c r="AJ2724" s="316"/>
      <c r="AK2724" s="316"/>
      <c r="AL2724" s="316"/>
      <c r="AM2724" s="416"/>
      <c r="AR2724" s="333"/>
      <c r="AS2724" s="333"/>
      <c r="AT2724" s="333"/>
      <c r="AU2724" s="333"/>
      <c r="AV2724" s="333"/>
    </row>
    <row r="2725" spans="2:48" s="330" customFormat="1" ht="28.15" customHeight="1" x14ac:dyDescent="0.25">
      <c r="B2725" s="331"/>
      <c r="C2725" s="332"/>
      <c r="D2725" s="332"/>
      <c r="E2725" s="333"/>
      <c r="F2725" s="333"/>
      <c r="R2725" s="316"/>
      <c r="S2725" s="404"/>
      <c r="T2725" s="404"/>
      <c r="U2725" s="404"/>
      <c r="V2725" s="404"/>
      <c r="W2725" s="316"/>
      <c r="X2725" s="316"/>
      <c r="Y2725" s="316"/>
      <c r="Z2725" s="316"/>
      <c r="AA2725" s="404"/>
      <c r="AB2725" s="404"/>
      <c r="AC2725" s="404"/>
      <c r="AD2725" s="404"/>
      <c r="AE2725" s="316"/>
      <c r="AF2725" s="316"/>
      <c r="AG2725" s="404"/>
      <c r="AH2725" s="316"/>
      <c r="AI2725" s="316"/>
      <c r="AJ2725" s="316"/>
      <c r="AK2725" s="316"/>
      <c r="AL2725" s="316"/>
      <c r="AM2725" s="416"/>
      <c r="AR2725" s="333"/>
      <c r="AS2725" s="333"/>
      <c r="AT2725" s="333"/>
      <c r="AU2725" s="333"/>
      <c r="AV2725" s="333"/>
    </row>
    <row r="2726" spans="2:48" s="330" customFormat="1" ht="28.15" customHeight="1" x14ac:dyDescent="0.25">
      <c r="B2726" s="331"/>
      <c r="C2726" s="332"/>
      <c r="D2726" s="332"/>
      <c r="E2726" s="333"/>
      <c r="F2726" s="333"/>
      <c r="R2726" s="316"/>
      <c r="S2726" s="404"/>
      <c r="T2726" s="404"/>
      <c r="U2726" s="404"/>
      <c r="V2726" s="404"/>
      <c r="W2726" s="316"/>
      <c r="X2726" s="316"/>
      <c r="Y2726" s="316"/>
      <c r="Z2726" s="316"/>
      <c r="AA2726" s="404"/>
      <c r="AB2726" s="404"/>
      <c r="AC2726" s="404"/>
      <c r="AD2726" s="404"/>
      <c r="AE2726" s="316"/>
      <c r="AF2726" s="316"/>
      <c r="AG2726" s="404"/>
      <c r="AH2726" s="316"/>
      <c r="AI2726" s="316"/>
      <c r="AJ2726" s="316"/>
      <c r="AK2726" s="316"/>
      <c r="AL2726" s="316"/>
      <c r="AM2726" s="416"/>
      <c r="AR2726" s="333"/>
      <c r="AS2726" s="333"/>
      <c r="AT2726" s="333"/>
      <c r="AU2726" s="333"/>
      <c r="AV2726" s="333"/>
    </row>
    <row r="2727" spans="2:48" s="330" customFormat="1" ht="28.15" customHeight="1" x14ac:dyDescent="0.25">
      <c r="B2727" s="331"/>
      <c r="C2727" s="332"/>
      <c r="D2727" s="332"/>
      <c r="E2727" s="333"/>
      <c r="F2727" s="333"/>
      <c r="R2727" s="316"/>
      <c r="S2727" s="404"/>
      <c r="T2727" s="404"/>
      <c r="U2727" s="404"/>
      <c r="V2727" s="404"/>
      <c r="W2727" s="316"/>
      <c r="X2727" s="316"/>
      <c r="Y2727" s="316"/>
      <c r="Z2727" s="316"/>
      <c r="AA2727" s="404"/>
      <c r="AB2727" s="404"/>
      <c r="AC2727" s="404"/>
      <c r="AD2727" s="404"/>
      <c r="AE2727" s="316"/>
      <c r="AF2727" s="316"/>
      <c r="AG2727" s="404"/>
      <c r="AH2727" s="316"/>
      <c r="AI2727" s="316"/>
      <c r="AJ2727" s="316"/>
      <c r="AK2727" s="316"/>
      <c r="AL2727" s="316"/>
      <c r="AM2727" s="416"/>
      <c r="AR2727" s="333"/>
      <c r="AS2727" s="333"/>
      <c r="AT2727" s="333"/>
      <c r="AU2727" s="333"/>
      <c r="AV2727" s="333"/>
    </row>
    <row r="2728" spans="2:48" s="330" customFormat="1" ht="28.15" customHeight="1" x14ac:dyDescent="0.25">
      <c r="B2728" s="331"/>
      <c r="C2728" s="332"/>
      <c r="D2728" s="332"/>
      <c r="E2728" s="333"/>
      <c r="F2728" s="333"/>
      <c r="R2728" s="316"/>
      <c r="S2728" s="404"/>
      <c r="T2728" s="404"/>
      <c r="U2728" s="404"/>
      <c r="V2728" s="404"/>
      <c r="W2728" s="316"/>
      <c r="X2728" s="316"/>
      <c r="Y2728" s="316"/>
      <c r="Z2728" s="316"/>
      <c r="AA2728" s="404"/>
      <c r="AB2728" s="404"/>
      <c r="AC2728" s="404"/>
      <c r="AD2728" s="404"/>
      <c r="AE2728" s="316"/>
      <c r="AF2728" s="316"/>
      <c r="AG2728" s="404"/>
      <c r="AH2728" s="316"/>
      <c r="AI2728" s="316"/>
      <c r="AJ2728" s="316"/>
      <c r="AK2728" s="316"/>
      <c r="AL2728" s="316"/>
      <c r="AM2728" s="416"/>
      <c r="AR2728" s="333"/>
      <c r="AS2728" s="333"/>
      <c r="AT2728" s="333"/>
      <c r="AU2728" s="333"/>
      <c r="AV2728" s="333"/>
    </row>
    <row r="2729" spans="2:48" s="330" customFormat="1" ht="28.15" customHeight="1" x14ac:dyDescent="0.25">
      <c r="B2729" s="331"/>
      <c r="C2729" s="332"/>
      <c r="D2729" s="332"/>
      <c r="E2729" s="333"/>
      <c r="F2729" s="333"/>
      <c r="R2729" s="316"/>
      <c r="S2729" s="404"/>
      <c r="T2729" s="404"/>
      <c r="U2729" s="404"/>
      <c r="V2729" s="404"/>
      <c r="W2729" s="316"/>
      <c r="X2729" s="316"/>
      <c r="Y2729" s="316"/>
      <c r="Z2729" s="316"/>
      <c r="AA2729" s="404"/>
      <c r="AB2729" s="404"/>
      <c r="AC2729" s="404"/>
      <c r="AD2729" s="404"/>
      <c r="AE2729" s="316"/>
      <c r="AF2729" s="316"/>
      <c r="AG2729" s="404"/>
      <c r="AH2729" s="316"/>
      <c r="AI2729" s="316"/>
      <c r="AJ2729" s="316"/>
      <c r="AK2729" s="316"/>
      <c r="AL2729" s="316"/>
      <c r="AM2729" s="416"/>
      <c r="AR2729" s="333"/>
      <c r="AS2729" s="333"/>
      <c r="AT2729" s="333"/>
      <c r="AU2729" s="333"/>
      <c r="AV2729" s="333"/>
    </row>
    <row r="2730" spans="2:48" s="330" customFormat="1" ht="28.15" customHeight="1" x14ac:dyDescent="0.25">
      <c r="B2730" s="331"/>
      <c r="C2730" s="332"/>
      <c r="D2730" s="332"/>
      <c r="E2730" s="333"/>
      <c r="F2730" s="333"/>
      <c r="R2730" s="316"/>
      <c r="S2730" s="404"/>
      <c r="T2730" s="404"/>
      <c r="U2730" s="404"/>
      <c r="V2730" s="404"/>
      <c r="W2730" s="316"/>
      <c r="X2730" s="316"/>
      <c r="Y2730" s="316"/>
      <c r="Z2730" s="316"/>
      <c r="AA2730" s="404"/>
      <c r="AB2730" s="404"/>
      <c r="AC2730" s="404"/>
      <c r="AD2730" s="404"/>
      <c r="AE2730" s="316"/>
      <c r="AF2730" s="316"/>
      <c r="AG2730" s="404"/>
      <c r="AH2730" s="316"/>
      <c r="AI2730" s="316"/>
      <c r="AJ2730" s="316"/>
      <c r="AK2730" s="316"/>
      <c r="AL2730" s="316"/>
      <c r="AM2730" s="416"/>
      <c r="AR2730" s="333"/>
      <c r="AS2730" s="333"/>
      <c r="AT2730" s="333"/>
      <c r="AU2730" s="333"/>
      <c r="AV2730" s="333"/>
    </row>
    <row r="2731" spans="2:48" s="330" customFormat="1" ht="28.15" customHeight="1" x14ac:dyDescent="0.25">
      <c r="B2731" s="331"/>
      <c r="C2731" s="332"/>
      <c r="D2731" s="332"/>
      <c r="E2731" s="333"/>
      <c r="F2731" s="333"/>
      <c r="R2731" s="316"/>
      <c r="S2731" s="404"/>
      <c r="T2731" s="404"/>
      <c r="U2731" s="404"/>
      <c r="V2731" s="404"/>
      <c r="W2731" s="316"/>
      <c r="X2731" s="316"/>
      <c r="Y2731" s="316"/>
      <c r="Z2731" s="316"/>
      <c r="AA2731" s="404"/>
      <c r="AB2731" s="404"/>
      <c r="AC2731" s="404"/>
      <c r="AD2731" s="404"/>
      <c r="AE2731" s="316"/>
      <c r="AF2731" s="316"/>
      <c r="AG2731" s="404"/>
      <c r="AH2731" s="316"/>
      <c r="AI2731" s="316"/>
      <c r="AJ2731" s="316"/>
      <c r="AK2731" s="316"/>
      <c r="AL2731" s="316"/>
      <c r="AM2731" s="416"/>
      <c r="AR2731" s="333"/>
      <c r="AS2731" s="333"/>
      <c r="AT2731" s="333"/>
      <c r="AU2731" s="333"/>
      <c r="AV2731" s="333"/>
    </row>
    <row r="2732" spans="2:48" s="330" customFormat="1" ht="28.15" customHeight="1" x14ac:dyDescent="0.25">
      <c r="B2732" s="331"/>
      <c r="C2732" s="332"/>
      <c r="D2732" s="332"/>
      <c r="E2732" s="333"/>
      <c r="F2732" s="333"/>
      <c r="R2732" s="316"/>
      <c r="S2732" s="404"/>
      <c r="T2732" s="404"/>
      <c r="U2732" s="404"/>
      <c r="V2732" s="404"/>
      <c r="W2732" s="316"/>
      <c r="X2732" s="316"/>
      <c r="Y2732" s="316"/>
      <c r="Z2732" s="316"/>
      <c r="AA2732" s="404"/>
      <c r="AB2732" s="404"/>
      <c r="AC2732" s="404"/>
      <c r="AD2732" s="404"/>
      <c r="AE2732" s="316"/>
      <c r="AF2732" s="316"/>
      <c r="AG2732" s="404"/>
      <c r="AH2732" s="316"/>
      <c r="AI2732" s="316"/>
      <c r="AJ2732" s="316"/>
      <c r="AK2732" s="316"/>
      <c r="AL2732" s="316"/>
      <c r="AM2732" s="416"/>
      <c r="AR2732" s="333"/>
      <c r="AS2732" s="333"/>
      <c r="AT2732" s="333"/>
      <c r="AU2732" s="333"/>
      <c r="AV2732" s="333"/>
    </row>
    <row r="2733" spans="2:48" s="330" customFormat="1" ht="28.15" customHeight="1" x14ac:dyDescent="0.25">
      <c r="B2733" s="331"/>
      <c r="C2733" s="332"/>
      <c r="D2733" s="332"/>
      <c r="E2733" s="333"/>
      <c r="F2733" s="333"/>
      <c r="R2733" s="316"/>
      <c r="S2733" s="404"/>
      <c r="T2733" s="404"/>
      <c r="U2733" s="404"/>
      <c r="V2733" s="404"/>
      <c r="W2733" s="316"/>
      <c r="X2733" s="316"/>
      <c r="Y2733" s="316"/>
      <c r="Z2733" s="316"/>
      <c r="AA2733" s="404"/>
      <c r="AB2733" s="404"/>
      <c r="AC2733" s="404"/>
      <c r="AD2733" s="404"/>
      <c r="AE2733" s="316"/>
      <c r="AF2733" s="316"/>
      <c r="AG2733" s="404"/>
      <c r="AH2733" s="316"/>
      <c r="AI2733" s="316"/>
      <c r="AJ2733" s="316"/>
      <c r="AK2733" s="316"/>
      <c r="AL2733" s="316"/>
      <c r="AM2733" s="416"/>
      <c r="AR2733" s="333"/>
      <c r="AS2733" s="333"/>
      <c r="AT2733" s="333"/>
      <c r="AU2733" s="333"/>
      <c r="AV2733" s="333"/>
    </row>
    <row r="2734" spans="2:48" s="330" customFormat="1" ht="28.15" customHeight="1" x14ac:dyDescent="0.25">
      <c r="B2734" s="331"/>
      <c r="C2734" s="332"/>
      <c r="D2734" s="332"/>
      <c r="E2734" s="333"/>
      <c r="F2734" s="333"/>
      <c r="R2734" s="316"/>
      <c r="S2734" s="404"/>
      <c r="T2734" s="404"/>
      <c r="U2734" s="404"/>
      <c r="V2734" s="404"/>
      <c r="W2734" s="316"/>
      <c r="X2734" s="316"/>
      <c r="Y2734" s="316"/>
      <c r="Z2734" s="316"/>
      <c r="AA2734" s="404"/>
      <c r="AB2734" s="404"/>
      <c r="AC2734" s="404"/>
      <c r="AD2734" s="404"/>
      <c r="AE2734" s="316"/>
      <c r="AF2734" s="316"/>
      <c r="AG2734" s="404"/>
      <c r="AH2734" s="316"/>
      <c r="AI2734" s="316"/>
      <c r="AJ2734" s="316"/>
      <c r="AK2734" s="316"/>
      <c r="AL2734" s="316"/>
      <c r="AM2734" s="416"/>
      <c r="AR2734" s="333"/>
      <c r="AS2734" s="333"/>
      <c r="AT2734" s="333"/>
      <c r="AU2734" s="333"/>
      <c r="AV2734" s="333"/>
    </row>
    <row r="2735" spans="2:48" s="330" customFormat="1" ht="28.15" customHeight="1" x14ac:dyDescent="0.25">
      <c r="B2735" s="331"/>
      <c r="C2735" s="332"/>
      <c r="D2735" s="332"/>
      <c r="E2735" s="333"/>
      <c r="F2735" s="333"/>
      <c r="R2735" s="316"/>
      <c r="S2735" s="404"/>
      <c r="T2735" s="404"/>
      <c r="U2735" s="404"/>
      <c r="V2735" s="404"/>
      <c r="W2735" s="316"/>
      <c r="X2735" s="316"/>
      <c r="Y2735" s="316"/>
      <c r="Z2735" s="316"/>
      <c r="AA2735" s="404"/>
      <c r="AB2735" s="404"/>
      <c r="AC2735" s="404"/>
      <c r="AD2735" s="404"/>
      <c r="AE2735" s="316"/>
      <c r="AF2735" s="316"/>
      <c r="AG2735" s="404"/>
      <c r="AH2735" s="316"/>
      <c r="AI2735" s="316"/>
      <c r="AJ2735" s="316"/>
      <c r="AK2735" s="316"/>
      <c r="AL2735" s="316"/>
      <c r="AM2735" s="416"/>
      <c r="AR2735" s="333"/>
      <c r="AS2735" s="333"/>
      <c r="AT2735" s="333"/>
      <c r="AU2735" s="333"/>
      <c r="AV2735" s="333"/>
    </row>
    <row r="2736" spans="2:48" s="330" customFormat="1" ht="28.15" customHeight="1" x14ac:dyDescent="0.25">
      <c r="B2736" s="331"/>
      <c r="C2736" s="332"/>
      <c r="D2736" s="332"/>
      <c r="E2736" s="333"/>
      <c r="F2736" s="333"/>
      <c r="R2736" s="316"/>
      <c r="S2736" s="404"/>
      <c r="T2736" s="404"/>
      <c r="U2736" s="404"/>
      <c r="V2736" s="404"/>
      <c r="W2736" s="316"/>
      <c r="X2736" s="316"/>
      <c r="Y2736" s="316"/>
      <c r="Z2736" s="316"/>
      <c r="AA2736" s="404"/>
      <c r="AB2736" s="404"/>
      <c r="AC2736" s="404"/>
      <c r="AD2736" s="404"/>
      <c r="AE2736" s="316"/>
      <c r="AF2736" s="316"/>
      <c r="AG2736" s="404"/>
      <c r="AH2736" s="316"/>
      <c r="AI2736" s="316"/>
      <c r="AJ2736" s="316"/>
      <c r="AK2736" s="316"/>
      <c r="AL2736" s="316"/>
      <c r="AM2736" s="416"/>
      <c r="AR2736" s="333"/>
      <c r="AS2736" s="333"/>
      <c r="AT2736" s="333"/>
      <c r="AU2736" s="333"/>
      <c r="AV2736" s="333"/>
    </row>
    <row r="2737" spans="2:51" s="330" customFormat="1" ht="28.15" customHeight="1" x14ac:dyDescent="0.25">
      <c r="B2737" s="331"/>
      <c r="C2737" s="332"/>
      <c r="D2737" s="332"/>
      <c r="E2737" s="333"/>
      <c r="F2737" s="333"/>
      <c r="R2737" s="316"/>
      <c r="S2737" s="404"/>
      <c r="T2737" s="404"/>
      <c r="U2737" s="404"/>
      <c r="V2737" s="404"/>
      <c r="W2737" s="316"/>
      <c r="X2737" s="316"/>
      <c r="Y2737" s="316"/>
      <c r="Z2737" s="316"/>
      <c r="AA2737" s="404"/>
      <c r="AB2737" s="404"/>
      <c r="AC2737" s="404"/>
      <c r="AD2737" s="404"/>
      <c r="AE2737" s="316"/>
      <c r="AF2737" s="316"/>
      <c r="AG2737" s="404"/>
      <c r="AH2737" s="316"/>
      <c r="AI2737" s="316"/>
      <c r="AJ2737" s="316"/>
      <c r="AK2737" s="316"/>
      <c r="AL2737" s="316"/>
      <c r="AM2737" s="416"/>
      <c r="AR2737" s="333"/>
      <c r="AS2737" s="333"/>
      <c r="AT2737" s="333"/>
      <c r="AU2737" s="333"/>
      <c r="AV2737" s="333"/>
    </row>
    <row r="2738" spans="2:51" s="330" customFormat="1" ht="28.15" customHeight="1" x14ac:dyDescent="0.25">
      <c r="B2738" s="331"/>
      <c r="C2738" s="332"/>
      <c r="D2738" s="332"/>
      <c r="E2738" s="333"/>
      <c r="F2738" s="333"/>
      <c r="R2738" s="316"/>
      <c r="S2738" s="404"/>
      <c r="T2738" s="404"/>
      <c r="U2738" s="404"/>
      <c r="V2738" s="404"/>
      <c r="W2738" s="316"/>
      <c r="X2738" s="316"/>
      <c r="Y2738" s="316"/>
      <c r="Z2738" s="316"/>
      <c r="AA2738" s="404"/>
      <c r="AB2738" s="404"/>
      <c r="AC2738" s="404"/>
      <c r="AD2738" s="404"/>
      <c r="AE2738" s="316"/>
      <c r="AF2738" s="316"/>
      <c r="AG2738" s="404"/>
      <c r="AH2738" s="316"/>
      <c r="AI2738" s="316"/>
      <c r="AJ2738" s="316"/>
      <c r="AK2738" s="316"/>
      <c r="AL2738" s="316"/>
      <c r="AM2738" s="416"/>
      <c r="AR2738" s="333"/>
      <c r="AS2738" s="333"/>
      <c r="AT2738" s="333"/>
      <c r="AU2738" s="333"/>
      <c r="AV2738" s="333"/>
    </row>
    <row r="2739" spans="2:51" s="330" customFormat="1" ht="28.15" customHeight="1" x14ac:dyDescent="0.25">
      <c r="B2739" s="331"/>
      <c r="C2739" s="332"/>
      <c r="D2739" s="332"/>
      <c r="E2739" s="333"/>
      <c r="F2739" s="333"/>
      <c r="R2739" s="316"/>
      <c r="S2739" s="404"/>
      <c r="T2739" s="404"/>
      <c r="U2739" s="404"/>
      <c r="V2739" s="404"/>
      <c r="W2739" s="316"/>
      <c r="X2739" s="316"/>
      <c r="Y2739" s="316"/>
      <c r="Z2739" s="316"/>
      <c r="AA2739" s="404"/>
      <c r="AB2739" s="404"/>
      <c r="AC2739" s="404"/>
      <c r="AD2739" s="404"/>
      <c r="AE2739" s="316"/>
      <c r="AF2739" s="316"/>
      <c r="AG2739" s="404"/>
      <c r="AH2739" s="316"/>
      <c r="AI2739" s="316"/>
      <c r="AJ2739" s="316"/>
      <c r="AK2739" s="316"/>
      <c r="AL2739" s="316"/>
      <c r="AM2739" s="416"/>
      <c r="AR2739" s="333"/>
      <c r="AS2739" s="333"/>
      <c r="AT2739" s="333"/>
      <c r="AU2739" s="333"/>
      <c r="AV2739" s="333"/>
    </row>
    <row r="2740" spans="2:51" s="330" customFormat="1" ht="28.15" customHeight="1" x14ac:dyDescent="0.25">
      <c r="B2740" s="331"/>
      <c r="C2740" s="332"/>
      <c r="D2740" s="332"/>
      <c r="E2740" s="333"/>
      <c r="F2740" s="333"/>
      <c r="R2740" s="316"/>
      <c r="S2740" s="404"/>
      <c r="T2740" s="404"/>
      <c r="U2740" s="404"/>
      <c r="V2740" s="404"/>
      <c r="W2740" s="316"/>
      <c r="X2740" s="316"/>
      <c r="Y2740" s="316"/>
      <c r="Z2740" s="316"/>
      <c r="AA2740" s="404"/>
      <c r="AB2740" s="404"/>
      <c r="AC2740" s="404"/>
      <c r="AD2740" s="404"/>
      <c r="AE2740" s="316"/>
      <c r="AF2740" s="316"/>
      <c r="AG2740" s="404"/>
      <c r="AH2740" s="316"/>
      <c r="AI2740" s="316"/>
      <c r="AJ2740" s="316"/>
      <c r="AK2740" s="316"/>
      <c r="AL2740" s="316"/>
      <c r="AM2740" s="416"/>
      <c r="AR2740" s="333"/>
      <c r="AS2740" s="333"/>
      <c r="AT2740" s="333"/>
      <c r="AU2740" s="333"/>
      <c r="AV2740" s="333"/>
    </row>
    <row r="2741" spans="2:51" s="330" customFormat="1" ht="28.15" customHeight="1" x14ac:dyDescent="0.25">
      <c r="B2741" s="331"/>
      <c r="C2741" s="332"/>
      <c r="D2741" s="332"/>
      <c r="E2741" s="333"/>
      <c r="F2741" s="333"/>
      <c r="R2741" s="316"/>
      <c r="S2741" s="404"/>
      <c r="T2741" s="404"/>
      <c r="U2741" s="404"/>
      <c r="V2741" s="404"/>
      <c r="W2741" s="316"/>
      <c r="X2741" s="316"/>
      <c r="Y2741" s="316"/>
      <c r="Z2741" s="316"/>
      <c r="AA2741" s="404"/>
      <c r="AB2741" s="404"/>
      <c r="AC2741" s="404"/>
      <c r="AD2741" s="404"/>
      <c r="AE2741" s="316"/>
      <c r="AF2741" s="316"/>
      <c r="AG2741" s="404"/>
      <c r="AH2741" s="316"/>
      <c r="AI2741" s="316"/>
      <c r="AJ2741" s="316"/>
      <c r="AK2741" s="316"/>
      <c r="AL2741" s="316"/>
      <c r="AM2741" s="416"/>
      <c r="AR2741" s="333"/>
      <c r="AS2741" s="333"/>
      <c r="AT2741" s="333"/>
      <c r="AU2741" s="333"/>
      <c r="AV2741" s="333"/>
    </row>
    <row r="2742" spans="2:51" s="330" customFormat="1" ht="28.15" customHeight="1" x14ac:dyDescent="0.25">
      <c r="B2742" s="331"/>
      <c r="C2742" s="332"/>
      <c r="D2742" s="332"/>
      <c r="E2742" s="333"/>
      <c r="F2742" s="333"/>
      <c r="R2742" s="316"/>
      <c r="S2742" s="404"/>
      <c r="T2742" s="404"/>
      <c r="U2742" s="404"/>
      <c r="V2742" s="404"/>
      <c r="W2742" s="316"/>
      <c r="X2742" s="316"/>
      <c r="Y2742" s="316"/>
      <c r="Z2742" s="316"/>
      <c r="AA2742" s="404"/>
      <c r="AB2742" s="404"/>
      <c r="AC2742" s="404"/>
      <c r="AD2742" s="404"/>
      <c r="AE2742" s="316"/>
      <c r="AF2742" s="316"/>
      <c r="AG2742" s="404"/>
      <c r="AH2742" s="316"/>
      <c r="AI2742" s="316"/>
      <c r="AJ2742" s="316"/>
      <c r="AK2742" s="316"/>
      <c r="AL2742" s="316"/>
      <c r="AM2742" s="416"/>
      <c r="AR2742" s="333"/>
      <c r="AS2742" s="333"/>
      <c r="AT2742" s="333"/>
      <c r="AU2742" s="333"/>
      <c r="AV2742" s="333"/>
    </row>
    <row r="2743" spans="2:51" s="330" customFormat="1" ht="28.15" customHeight="1" x14ac:dyDescent="0.25">
      <c r="B2743" s="331"/>
      <c r="C2743" s="332"/>
      <c r="D2743" s="332"/>
      <c r="E2743" s="333"/>
      <c r="F2743" s="333"/>
      <c r="R2743" s="316"/>
      <c r="S2743" s="404"/>
      <c r="T2743" s="404"/>
      <c r="U2743" s="404"/>
      <c r="V2743" s="404"/>
      <c r="W2743" s="316"/>
      <c r="X2743" s="316"/>
      <c r="Y2743" s="316"/>
      <c r="Z2743" s="316"/>
      <c r="AA2743" s="404"/>
      <c r="AB2743" s="404"/>
      <c r="AC2743" s="404"/>
      <c r="AD2743" s="404"/>
      <c r="AE2743" s="316"/>
      <c r="AF2743" s="316"/>
      <c r="AG2743" s="404"/>
      <c r="AH2743" s="316"/>
      <c r="AI2743" s="316"/>
      <c r="AJ2743" s="316"/>
      <c r="AK2743" s="316"/>
      <c r="AL2743" s="316"/>
      <c r="AM2743" s="416"/>
      <c r="AR2743" s="333"/>
      <c r="AS2743" s="333"/>
      <c r="AT2743" s="333"/>
      <c r="AU2743" s="333"/>
      <c r="AV2743" s="333"/>
    </row>
    <row r="2744" spans="2:51" s="330" customFormat="1" ht="28.15" customHeight="1" x14ac:dyDescent="0.25">
      <c r="B2744" s="331"/>
      <c r="C2744" s="332"/>
      <c r="D2744" s="332"/>
      <c r="E2744" s="333"/>
      <c r="F2744" s="333"/>
      <c r="R2744" s="316"/>
      <c r="S2744" s="404"/>
      <c r="T2744" s="404"/>
      <c r="U2744" s="404"/>
      <c r="V2744" s="404"/>
      <c r="W2744" s="316"/>
      <c r="X2744" s="316"/>
      <c r="Y2744" s="316"/>
      <c r="Z2744" s="316"/>
      <c r="AA2744" s="404"/>
      <c r="AB2744" s="404"/>
      <c r="AC2744" s="404"/>
      <c r="AD2744" s="404"/>
      <c r="AE2744" s="316"/>
      <c r="AF2744" s="316"/>
      <c r="AG2744" s="404"/>
      <c r="AH2744" s="316"/>
      <c r="AI2744" s="316"/>
      <c r="AJ2744" s="316"/>
      <c r="AK2744" s="316"/>
      <c r="AL2744" s="316"/>
      <c r="AM2744" s="416"/>
      <c r="AR2744" s="333"/>
      <c r="AS2744" s="333"/>
      <c r="AT2744" s="333"/>
      <c r="AU2744" s="333"/>
      <c r="AV2744" s="333"/>
    </row>
    <row r="2745" spans="2:51" s="330" customFormat="1" ht="28.15" customHeight="1" x14ac:dyDescent="0.25">
      <c r="B2745" s="331"/>
      <c r="C2745" s="332"/>
      <c r="D2745" s="332"/>
      <c r="E2745" s="333"/>
      <c r="F2745" s="333"/>
      <c r="R2745" s="316"/>
      <c r="S2745" s="404"/>
      <c r="T2745" s="404"/>
      <c r="U2745" s="404"/>
      <c r="V2745" s="404"/>
      <c r="W2745" s="316"/>
      <c r="X2745" s="316"/>
      <c r="Y2745" s="316"/>
      <c r="Z2745" s="316"/>
      <c r="AA2745" s="404"/>
      <c r="AB2745" s="404"/>
      <c r="AC2745" s="404"/>
      <c r="AD2745" s="404"/>
      <c r="AE2745" s="316"/>
      <c r="AF2745" s="316"/>
      <c r="AG2745" s="404"/>
      <c r="AH2745" s="316"/>
      <c r="AI2745" s="316"/>
      <c r="AJ2745" s="316"/>
      <c r="AK2745" s="316"/>
      <c r="AL2745" s="316"/>
      <c r="AM2745" s="416"/>
      <c r="AR2745" s="333"/>
      <c r="AS2745" s="333"/>
      <c r="AT2745" s="333"/>
      <c r="AU2745" s="333"/>
      <c r="AV2745" s="333"/>
    </row>
    <row r="2746" spans="2:51" x14ac:dyDescent="0.25">
      <c r="B2746" s="331"/>
      <c r="C2746" s="332"/>
      <c r="D2746" s="332"/>
      <c r="E2746" s="333"/>
      <c r="F2746" s="333"/>
      <c r="G2746" s="330"/>
      <c r="H2746" s="330"/>
      <c r="I2746" s="330"/>
      <c r="J2746" s="330"/>
      <c r="K2746" s="330"/>
      <c r="L2746" s="330"/>
      <c r="M2746" s="330"/>
      <c r="N2746" s="330"/>
      <c r="O2746" s="330"/>
      <c r="P2746" s="330"/>
      <c r="Q2746" s="330"/>
      <c r="R2746" s="316"/>
      <c r="S2746" s="404"/>
      <c r="T2746" s="404"/>
      <c r="U2746" s="404"/>
      <c r="V2746" s="404"/>
      <c r="W2746" s="316"/>
      <c r="X2746" s="316"/>
      <c r="Y2746" s="316"/>
      <c r="Z2746" s="316"/>
      <c r="AA2746" s="404"/>
      <c r="AB2746" s="404"/>
      <c r="AC2746" s="404"/>
      <c r="AD2746" s="404"/>
      <c r="AE2746" s="316"/>
      <c r="AF2746" s="316"/>
      <c r="AG2746" s="404"/>
      <c r="AH2746" s="316"/>
      <c r="AI2746" s="316"/>
      <c r="AJ2746" s="316"/>
      <c r="AK2746" s="316"/>
      <c r="AL2746" s="316"/>
      <c r="AM2746" s="416"/>
      <c r="AN2746" s="330"/>
      <c r="AO2746" s="330"/>
      <c r="AP2746" s="330"/>
      <c r="AQ2746" s="330"/>
      <c r="AR2746" s="333"/>
      <c r="AS2746" s="333"/>
      <c r="AT2746" s="333"/>
      <c r="AU2746" s="333"/>
      <c r="AV2746" s="333"/>
      <c r="AW2746" s="330"/>
      <c r="AX2746" s="330"/>
      <c r="AY2746" s="330"/>
    </row>
    <row r="2747" spans="2:51" x14ac:dyDescent="0.25">
      <c r="B2747" s="331"/>
      <c r="C2747" s="332"/>
      <c r="D2747" s="332"/>
      <c r="E2747" s="333"/>
      <c r="F2747" s="333"/>
      <c r="G2747" s="330"/>
      <c r="H2747" s="330"/>
      <c r="I2747" s="330"/>
      <c r="J2747" s="330"/>
      <c r="K2747" s="330"/>
      <c r="L2747" s="330"/>
      <c r="M2747" s="330"/>
      <c r="N2747" s="330"/>
      <c r="O2747" s="330"/>
      <c r="P2747" s="330"/>
      <c r="Q2747" s="330"/>
      <c r="R2747" s="316"/>
      <c r="S2747" s="404"/>
      <c r="T2747" s="404"/>
      <c r="U2747" s="404"/>
      <c r="V2747" s="404"/>
      <c r="W2747" s="316"/>
      <c r="X2747" s="316"/>
      <c r="Y2747" s="316"/>
      <c r="Z2747" s="316"/>
      <c r="AA2747" s="404"/>
      <c r="AB2747" s="404"/>
      <c r="AC2747" s="404"/>
      <c r="AD2747" s="404"/>
      <c r="AE2747" s="316"/>
      <c r="AF2747" s="316"/>
      <c r="AG2747" s="404"/>
      <c r="AH2747" s="316"/>
      <c r="AI2747" s="316"/>
      <c r="AJ2747" s="316"/>
      <c r="AK2747" s="316"/>
      <c r="AL2747" s="316"/>
      <c r="AM2747" s="416"/>
      <c r="AN2747" s="330"/>
      <c r="AO2747" s="330"/>
      <c r="AP2747" s="330"/>
      <c r="AQ2747" s="330"/>
      <c r="AR2747" s="333"/>
      <c r="AS2747" s="333"/>
      <c r="AT2747" s="333"/>
      <c r="AU2747" s="333"/>
      <c r="AV2747" s="333"/>
      <c r="AW2747" s="330"/>
      <c r="AX2747" s="330"/>
      <c r="AY2747" s="330"/>
    </row>
    <row r="2748" spans="2:51" x14ac:dyDescent="0.25">
      <c r="B2748" s="331"/>
      <c r="C2748" s="332"/>
      <c r="D2748" s="332"/>
      <c r="E2748" s="333"/>
      <c r="F2748" s="333"/>
      <c r="G2748" s="330"/>
      <c r="H2748" s="330"/>
      <c r="I2748" s="330"/>
      <c r="J2748" s="330"/>
      <c r="K2748" s="330"/>
      <c r="L2748" s="330"/>
      <c r="M2748" s="330"/>
      <c r="N2748" s="330"/>
      <c r="O2748" s="330"/>
      <c r="P2748" s="330"/>
      <c r="Q2748" s="330"/>
      <c r="R2748" s="316"/>
      <c r="S2748" s="404"/>
      <c r="T2748" s="404"/>
      <c r="U2748" s="404"/>
      <c r="V2748" s="404"/>
      <c r="W2748" s="316"/>
      <c r="X2748" s="316"/>
      <c r="Y2748" s="316"/>
      <c r="Z2748" s="316"/>
      <c r="AA2748" s="404"/>
      <c r="AB2748" s="404"/>
      <c r="AC2748" s="404"/>
      <c r="AD2748" s="404"/>
      <c r="AE2748" s="316"/>
      <c r="AF2748" s="316"/>
      <c r="AG2748" s="404"/>
      <c r="AH2748" s="316"/>
      <c r="AI2748" s="316"/>
      <c r="AJ2748" s="316"/>
      <c r="AK2748" s="316"/>
      <c r="AL2748" s="316"/>
      <c r="AM2748" s="416"/>
      <c r="AN2748" s="330"/>
      <c r="AO2748" s="330"/>
      <c r="AP2748" s="330"/>
      <c r="AQ2748" s="330"/>
      <c r="AR2748" s="333"/>
      <c r="AS2748" s="333"/>
      <c r="AT2748" s="333"/>
      <c r="AU2748" s="333"/>
      <c r="AV2748" s="333"/>
      <c r="AW2748" s="330"/>
      <c r="AX2748" s="330"/>
      <c r="AY2748" s="330"/>
    </row>
    <row r="2749" spans="2:51" x14ac:dyDescent="0.25">
      <c r="B2749" s="331"/>
      <c r="C2749" s="332"/>
      <c r="D2749" s="332"/>
      <c r="E2749" s="333"/>
      <c r="F2749" s="333"/>
      <c r="G2749" s="330"/>
      <c r="H2749" s="330"/>
      <c r="I2749" s="330"/>
      <c r="J2749" s="330"/>
      <c r="K2749" s="330"/>
      <c r="L2749" s="330"/>
      <c r="M2749" s="330"/>
      <c r="N2749" s="330"/>
      <c r="O2749" s="330"/>
      <c r="P2749" s="330"/>
      <c r="Q2749" s="330"/>
      <c r="R2749" s="316"/>
      <c r="S2749" s="404"/>
      <c r="T2749" s="404"/>
      <c r="U2749" s="404"/>
      <c r="V2749" s="404"/>
      <c r="W2749" s="316"/>
      <c r="X2749" s="316"/>
      <c r="Y2749" s="316"/>
      <c r="Z2749" s="316"/>
      <c r="AA2749" s="404"/>
      <c r="AB2749" s="404"/>
      <c r="AC2749" s="404"/>
      <c r="AD2749" s="404"/>
      <c r="AE2749" s="316"/>
      <c r="AF2749" s="316"/>
      <c r="AG2749" s="404"/>
      <c r="AH2749" s="316"/>
      <c r="AI2749" s="316"/>
      <c r="AJ2749" s="316"/>
      <c r="AK2749" s="316"/>
      <c r="AL2749" s="316"/>
      <c r="AM2749" s="416"/>
      <c r="AN2749" s="330"/>
      <c r="AO2749" s="330"/>
      <c r="AP2749" s="330"/>
      <c r="AQ2749" s="330"/>
      <c r="AR2749" s="333"/>
      <c r="AS2749" s="333"/>
      <c r="AT2749" s="333"/>
      <c r="AU2749" s="333"/>
      <c r="AV2749" s="333"/>
      <c r="AW2749" s="330"/>
      <c r="AX2749" s="330"/>
      <c r="AY2749" s="330"/>
    </row>
    <row r="2750" spans="2:51" x14ac:dyDescent="0.25">
      <c r="B2750" s="331"/>
      <c r="C2750" s="332"/>
      <c r="D2750" s="332"/>
      <c r="E2750" s="333"/>
      <c r="F2750" s="333"/>
      <c r="G2750" s="330"/>
      <c r="H2750" s="330"/>
      <c r="I2750" s="330"/>
      <c r="J2750" s="330"/>
      <c r="K2750" s="330"/>
      <c r="L2750" s="330"/>
      <c r="M2750" s="330"/>
      <c r="N2750" s="330"/>
      <c r="O2750" s="330"/>
      <c r="P2750" s="330"/>
      <c r="Q2750" s="330"/>
      <c r="R2750" s="316"/>
      <c r="S2750" s="404"/>
      <c r="T2750" s="404"/>
      <c r="U2750" s="404"/>
      <c r="V2750" s="404"/>
      <c r="W2750" s="316"/>
      <c r="X2750" s="316"/>
      <c r="Y2750" s="316"/>
      <c r="Z2750" s="316"/>
      <c r="AA2750" s="404"/>
      <c r="AB2750" s="404"/>
      <c r="AC2750" s="404"/>
      <c r="AD2750" s="404"/>
      <c r="AE2750" s="316"/>
      <c r="AF2750" s="316"/>
      <c r="AG2750" s="404"/>
      <c r="AH2750" s="316"/>
      <c r="AI2750" s="316"/>
      <c r="AJ2750" s="316"/>
      <c r="AK2750" s="316"/>
      <c r="AL2750" s="316"/>
      <c r="AM2750" s="416"/>
      <c r="AN2750" s="330"/>
      <c r="AO2750" s="330"/>
      <c r="AP2750" s="330"/>
      <c r="AQ2750" s="330"/>
      <c r="AR2750" s="333"/>
      <c r="AS2750" s="333"/>
      <c r="AT2750" s="333"/>
      <c r="AU2750" s="333"/>
      <c r="AV2750" s="333"/>
      <c r="AW2750" s="330"/>
      <c r="AX2750" s="330"/>
      <c r="AY2750" s="330"/>
    </row>
    <row r="2751" spans="2:51" x14ac:dyDescent="0.25">
      <c r="B2751" s="331"/>
      <c r="C2751" s="332"/>
      <c r="D2751" s="332"/>
      <c r="E2751" s="333"/>
      <c r="F2751" s="333"/>
      <c r="G2751" s="330"/>
      <c r="H2751" s="330"/>
      <c r="I2751" s="330"/>
      <c r="J2751" s="330"/>
      <c r="K2751" s="330"/>
      <c r="L2751" s="330"/>
      <c r="M2751" s="330"/>
      <c r="N2751" s="330"/>
      <c r="O2751" s="330"/>
      <c r="P2751" s="330"/>
      <c r="Q2751" s="330"/>
      <c r="R2751" s="316"/>
      <c r="S2751" s="404"/>
      <c r="T2751" s="404"/>
      <c r="U2751" s="404"/>
      <c r="V2751" s="404"/>
      <c r="W2751" s="316"/>
      <c r="X2751" s="316"/>
      <c r="Y2751" s="316"/>
      <c r="Z2751" s="316"/>
      <c r="AA2751" s="404"/>
      <c r="AB2751" s="404"/>
      <c r="AC2751" s="404"/>
      <c r="AD2751" s="404"/>
      <c r="AE2751" s="316"/>
      <c r="AF2751" s="316"/>
      <c r="AG2751" s="404"/>
      <c r="AH2751" s="316"/>
      <c r="AI2751" s="316"/>
      <c r="AJ2751" s="316"/>
      <c r="AK2751" s="316"/>
      <c r="AL2751" s="316"/>
      <c r="AM2751" s="416"/>
      <c r="AN2751" s="330"/>
      <c r="AO2751" s="330"/>
      <c r="AP2751" s="330"/>
      <c r="AQ2751" s="330"/>
      <c r="AR2751" s="333"/>
      <c r="AS2751" s="333"/>
      <c r="AT2751" s="333"/>
      <c r="AU2751" s="333"/>
      <c r="AV2751" s="333"/>
      <c r="AW2751" s="330"/>
      <c r="AX2751" s="330"/>
      <c r="AY2751" s="330"/>
    </row>
    <row r="2752" spans="2:51" x14ac:dyDescent="0.25">
      <c r="B2752" s="331"/>
      <c r="C2752" s="332"/>
      <c r="D2752" s="332"/>
      <c r="E2752" s="333"/>
      <c r="F2752" s="333"/>
      <c r="G2752" s="330"/>
      <c r="H2752" s="330"/>
      <c r="I2752" s="330"/>
      <c r="J2752" s="330"/>
      <c r="K2752" s="330"/>
      <c r="L2752" s="330"/>
      <c r="M2752" s="330"/>
      <c r="N2752" s="330"/>
      <c r="O2752" s="330"/>
      <c r="P2752" s="330"/>
      <c r="Q2752" s="330"/>
      <c r="R2752" s="316"/>
      <c r="S2752" s="404"/>
      <c r="T2752" s="404"/>
      <c r="U2752" s="404"/>
      <c r="V2752" s="404"/>
      <c r="W2752" s="316"/>
      <c r="X2752" s="316"/>
      <c r="Y2752" s="316"/>
      <c r="Z2752" s="316"/>
      <c r="AA2752" s="404"/>
      <c r="AB2752" s="404"/>
      <c r="AC2752" s="404"/>
      <c r="AD2752" s="404"/>
      <c r="AE2752" s="316"/>
      <c r="AF2752" s="316"/>
      <c r="AG2752" s="404"/>
      <c r="AH2752" s="316"/>
      <c r="AI2752" s="316"/>
      <c r="AJ2752" s="316"/>
      <c r="AK2752" s="316"/>
      <c r="AL2752" s="316"/>
      <c r="AM2752" s="416"/>
      <c r="AN2752" s="330"/>
      <c r="AO2752" s="330"/>
      <c r="AP2752" s="330"/>
      <c r="AQ2752" s="330"/>
      <c r="AR2752" s="333"/>
      <c r="AS2752" s="333"/>
      <c r="AT2752" s="333"/>
      <c r="AU2752" s="333"/>
      <c r="AV2752" s="333"/>
      <c r="AW2752" s="330"/>
      <c r="AX2752" s="330"/>
      <c r="AY2752" s="330"/>
    </row>
    <row r="2753" spans="2:51" x14ac:dyDescent="0.25">
      <c r="B2753" s="331"/>
      <c r="C2753" s="332"/>
      <c r="D2753" s="332"/>
      <c r="E2753" s="333"/>
      <c r="F2753" s="333"/>
      <c r="G2753" s="330"/>
      <c r="H2753" s="330"/>
      <c r="I2753" s="330"/>
      <c r="J2753" s="330"/>
      <c r="K2753" s="330"/>
      <c r="L2753" s="330"/>
      <c r="M2753" s="330"/>
      <c r="N2753" s="330"/>
      <c r="O2753" s="330"/>
      <c r="P2753" s="330"/>
      <c r="Q2753" s="330"/>
      <c r="R2753" s="316"/>
      <c r="S2753" s="404"/>
      <c r="T2753" s="404"/>
      <c r="U2753" s="404"/>
      <c r="V2753" s="404"/>
      <c r="W2753" s="316"/>
      <c r="X2753" s="316"/>
      <c r="Y2753" s="316"/>
      <c r="Z2753" s="316"/>
      <c r="AA2753" s="404"/>
      <c r="AB2753" s="404"/>
      <c r="AC2753" s="404"/>
      <c r="AD2753" s="404"/>
      <c r="AE2753" s="316"/>
      <c r="AF2753" s="316"/>
      <c r="AG2753" s="404"/>
      <c r="AH2753" s="316"/>
      <c r="AI2753" s="316"/>
      <c r="AJ2753" s="316"/>
      <c r="AK2753" s="316"/>
      <c r="AL2753" s="316"/>
      <c r="AM2753" s="416"/>
      <c r="AN2753" s="330"/>
      <c r="AO2753" s="330"/>
      <c r="AP2753" s="330"/>
      <c r="AQ2753" s="330"/>
      <c r="AR2753" s="333"/>
      <c r="AS2753" s="333"/>
      <c r="AT2753" s="333"/>
      <c r="AU2753" s="333"/>
      <c r="AV2753" s="333"/>
      <c r="AW2753" s="330"/>
      <c r="AX2753" s="330"/>
      <c r="AY2753" s="330"/>
    </row>
    <row r="2754" spans="2:51" x14ac:dyDescent="0.25">
      <c r="B2754" s="331"/>
      <c r="C2754" s="332"/>
      <c r="D2754" s="332"/>
      <c r="E2754" s="333"/>
      <c r="F2754" s="333"/>
      <c r="G2754" s="330"/>
      <c r="H2754" s="330"/>
      <c r="I2754" s="330"/>
      <c r="J2754" s="330"/>
      <c r="K2754" s="330"/>
      <c r="L2754" s="330"/>
      <c r="M2754" s="330"/>
      <c r="N2754" s="330"/>
      <c r="O2754" s="330"/>
      <c r="P2754" s="330"/>
      <c r="Q2754" s="330"/>
      <c r="R2754" s="316"/>
      <c r="S2754" s="404"/>
      <c r="T2754" s="404"/>
      <c r="U2754" s="404"/>
      <c r="V2754" s="404"/>
      <c r="W2754" s="316"/>
      <c r="X2754" s="316"/>
      <c r="Y2754" s="316"/>
      <c r="Z2754" s="316"/>
      <c r="AA2754" s="404"/>
      <c r="AB2754" s="404"/>
      <c r="AC2754" s="404"/>
      <c r="AD2754" s="404"/>
      <c r="AE2754" s="316"/>
      <c r="AF2754" s="316"/>
      <c r="AG2754" s="404"/>
      <c r="AH2754" s="316"/>
      <c r="AI2754" s="316"/>
      <c r="AJ2754" s="316"/>
      <c r="AK2754" s="316"/>
      <c r="AL2754" s="316"/>
      <c r="AM2754" s="416"/>
      <c r="AN2754" s="330"/>
      <c r="AO2754" s="330"/>
      <c r="AP2754" s="330"/>
      <c r="AQ2754" s="330"/>
      <c r="AR2754" s="333"/>
      <c r="AS2754" s="333"/>
      <c r="AT2754" s="333"/>
      <c r="AU2754" s="333"/>
      <c r="AV2754" s="333"/>
      <c r="AW2754" s="330"/>
      <c r="AX2754" s="330"/>
      <c r="AY2754" s="330"/>
    </row>
    <row r="2755" spans="2:51" x14ac:dyDescent="0.25">
      <c r="B2755" s="331"/>
      <c r="C2755" s="332"/>
      <c r="D2755" s="332"/>
      <c r="E2755" s="333"/>
      <c r="F2755" s="333"/>
      <c r="G2755" s="330"/>
      <c r="H2755" s="330"/>
      <c r="I2755" s="330"/>
      <c r="J2755" s="330"/>
      <c r="K2755" s="330"/>
      <c r="L2755" s="330"/>
      <c r="M2755" s="330"/>
      <c r="N2755" s="330"/>
      <c r="O2755" s="330"/>
      <c r="P2755" s="330"/>
      <c r="Q2755" s="330"/>
      <c r="R2755" s="316"/>
      <c r="S2755" s="404"/>
      <c r="T2755" s="404"/>
      <c r="U2755" s="404"/>
      <c r="V2755" s="404"/>
      <c r="W2755" s="316"/>
      <c r="X2755" s="316"/>
      <c r="Y2755" s="316"/>
      <c r="Z2755" s="316"/>
      <c r="AA2755" s="404"/>
      <c r="AB2755" s="404"/>
      <c r="AC2755" s="404"/>
      <c r="AD2755" s="404"/>
      <c r="AE2755" s="316"/>
      <c r="AF2755" s="316"/>
      <c r="AG2755" s="404"/>
      <c r="AH2755" s="316"/>
      <c r="AI2755" s="316"/>
      <c r="AJ2755" s="316"/>
      <c r="AK2755" s="316"/>
      <c r="AL2755" s="316"/>
      <c r="AM2755" s="416"/>
      <c r="AN2755" s="330"/>
      <c r="AO2755" s="330"/>
      <c r="AP2755" s="330"/>
      <c r="AQ2755" s="330"/>
      <c r="AR2755" s="333"/>
      <c r="AS2755" s="333"/>
      <c r="AT2755" s="333"/>
      <c r="AU2755" s="333"/>
      <c r="AV2755" s="333"/>
      <c r="AW2755" s="330"/>
      <c r="AX2755" s="330"/>
      <c r="AY2755" s="330"/>
    </row>
    <row r="2756" spans="2:51" x14ac:dyDescent="0.25">
      <c r="B2756" s="331"/>
      <c r="C2756" s="332"/>
      <c r="D2756" s="332"/>
      <c r="E2756" s="333"/>
      <c r="F2756" s="333"/>
      <c r="G2756" s="330"/>
      <c r="H2756" s="330"/>
      <c r="I2756" s="330"/>
      <c r="J2756" s="330"/>
      <c r="K2756" s="330"/>
      <c r="L2756" s="330"/>
      <c r="M2756" s="330"/>
      <c r="N2756" s="330"/>
      <c r="O2756" s="330"/>
      <c r="P2756" s="330"/>
      <c r="Q2756" s="330"/>
      <c r="R2756" s="316"/>
      <c r="S2756" s="404"/>
      <c r="T2756" s="404"/>
      <c r="U2756" s="404"/>
      <c r="V2756" s="404"/>
      <c r="W2756" s="316"/>
      <c r="X2756" s="316"/>
      <c r="Y2756" s="316"/>
      <c r="Z2756" s="316"/>
      <c r="AA2756" s="404"/>
      <c r="AB2756" s="404"/>
      <c r="AC2756" s="404"/>
      <c r="AD2756" s="404"/>
      <c r="AE2756" s="316"/>
      <c r="AF2756" s="316"/>
      <c r="AG2756" s="404"/>
      <c r="AH2756" s="316"/>
      <c r="AI2756" s="316"/>
      <c r="AJ2756" s="316"/>
      <c r="AK2756" s="316"/>
      <c r="AL2756" s="316"/>
      <c r="AM2756" s="416"/>
      <c r="AN2756" s="330"/>
      <c r="AO2756" s="330"/>
      <c r="AP2756" s="330"/>
      <c r="AQ2756" s="330"/>
      <c r="AR2756" s="333"/>
      <c r="AS2756" s="333"/>
      <c r="AT2756" s="333"/>
      <c r="AU2756" s="333"/>
      <c r="AV2756" s="333"/>
      <c r="AW2756" s="330"/>
      <c r="AX2756" s="330"/>
      <c r="AY2756" s="330"/>
    </row>
    <row r="2757" spans="2:51" x14ac:dyDescent="0.25">
      <c r="B2757" s="331"/>
      <c r="C2757" s="332"/>
      <c r="D2757" s="332"/>
      <c r="E2757" s="333"/>
      <c r="F2757" s="333"/>
      <c r="G2757" s="330"/>
      <c r="H2757" s="330"/>
      <c r="I2757" s="330"/>
      <c r="J2757" s="330"/>
      <c r="K2757" s="330"/>
      <c r="L2757" s="330"/>
      <c r="M2757" s="330"/>
      <c r="N2757" s="330"/>
      <c r="O2757" s="330"/>
      <c r="P2757" s="330"/>
      <c r="Q2757" s="330"/>
      <c r="R2757" s="316"/>
      <c r="S2757" s="404"/>
      <c r="T2757" s="404"/>
      <c r="U2757" s="404"/>
      <c r="V2757" s="404"/>
      <c r="W2757" s="316"/>
      <c r="X2757" s="316"/>
      <c r="Y2757" s="316"/>
      <c r="Z2757" s="316"/>
      <c r="AA2757" s="404"/>
      <c r="AB2757" s="404"/>
      <c r="AC2757" s="404"/>
      <c r="AD2757" s="404"/>
      <c r="AE2757" s="316"/>
      <c r="AF2757" s="316"/>
      <c r="AG2757" s="404"/>
      <c r="AH2757" s="316"/>
      <c r="AI2757" s="316"/>
      <c r="AJ2757" s="316"/>
      <c r="AK2757" s="316"/>
      <c r="AL2757" s="316"/>
      <c r="AM2757" s="416"/>
      <c r="AN2757" s="330"/>
      <c r="AO2757" s="330"/>
      <c r="AP2757" s="330"/>
      <c r="AQ2757" s="330"/>
      <c r="AR2757" s="333"/>
      <c r="AS2757" s="333"/>
      <c r="AT2757" s="333"/>
      <c r="AU2757" s="333"/>
      <c r="AV2757" s="333"/>
      <c r="AW2757" s="330"/>
      <c r="AX2757" s="330"/>
      <c r="AY2757" s="330"/>
    </row>
    <row r="2758" spans="2:51" x14ac:dyDescent="0.25">
      <c r="B2758" s="331"/>
      <c r="C2758" s="332"/>
      <c r="D2758" s="332"/>
      <c r="E2758" s="333"/>
      <c r="F2758" s="333"/>
      <c r="G2758" s="330"/>
      <c r="H2758" s="330"/>
      <c r="I2758" s="330"/>
      <c r="J2758" s="330"/>
      <c r="K2758" s="330"/>
      <c r="L2758" s="330"/>
      <c r="M2758" s="330"/>
      <c r="N2758" s="330"/>
      <c r="O2758" s="330"/>
      <c r="P2758" s="330"/>
      <c r="Q2758" s="330"/>
      <c r="R2758" s="316"/>
      <c r="S2758" s="404"/>
      <c r="T2758" s="404"/>
      <c r="U2758" s="404"/>
      <c r="V2758" s="404"/>
      <c r="W2758" s="316"/>
      <c r="X2758" s="316"/>
      <c r="Y2758" s="316"/>
      <c r="Z2758" s="316"/>
      <c r="AA2758" s="404"/>
      <c r="AB2758" s="404"/>
      <c r="AC2758" s="404"/>
      <c r="AD2758" s="404"/>
      <c r="AE2758" s="316"/>
      <c r="AF2758" s="316"/>
      <c r="AG2758" s="404"/>
      <c r="AH2758" s="316"/>
      <c r="AI2758" s="316"/>
      <c r="AJ2758" s="316"/>
      <c r="AK2758" s="316"/>
      <c r="AL2758" s="316"/>
      <c r="AM2758" s="416"/>
      <c r="AN2758" s="330"/>
      <c r="AO2758" s="330"/>
      <c r="AP2758" s="330"/>
      <c r="AQ2758" s="330"/>
      <c r="AR2758" s="333"/>
      <c r="AS2758" s="333"/>
      <c r="AT2758" s="333"/>
      <c r="AU2758" s="333"/>
      <c r="AV2758" s="333"/>
      <c r="AW2758" s="330"/>
      <c r="AX2758" s="330"/>
      <c r="AY2758" s="330"/>
    </row>
    <row r="2759" spans="2:51" x14ac:dyDescent="0.25">
      <c r="B2759" s="331"/>
      <c r="C2759" s="332"/>
      <c r="D2759" s="332"/>
      <c r="E2759" s="333"/>
      <c r="F2759" s="333"/>
      <c r="G2759" s="330"/>
      <c r="H2759" s="330"/>
      <c r="I2759" s="330"/>
      <c r="J2759" s="330"/>
      <c r="K2759" s="330"/>
      <c r="L2759" s="330"/>
      <c r="M2759" s="330"/>
      <c r="N2759" s="330"/>
      <c r="O2759" s="330"/>
      <c r="P2759" s="330"/>
      <c r="Q2759" s="330"/>
      <c r="R2759" s="316"/>
      <c r="S2759" s="404"/>
      <c r="T2759" s="404"/>
      <c r="U2759" s="404"/>
      <c r="V2759" s="404"/>
      <c r="W2759" s="316"/>
      <c r="X2759" s="316"/>
      <c r="Y2759" s="316"/>
      <c r="Z2759" s="316"/>
      <c r="AA2759" s="404"/>
      <c r="AB2759" s="404"/>
      <c r="AC2759" s="404"/>
      <c r="AD2759" s="404"/>
      <c r="AE2759" s="316"/>
      <c r="AF2759" s="316"/>
      <c r="AG2759" s="404"/>
      <c r="AH2759" s="316"/>
      <c r="AI2759" s="316"/>
      <c r="AJ2759" s="316"/>
      <c r="AK2759" s="316"/>
      <c r="AL2759" s="316"/>
      <c r="AM2759" s="416"/>
      <c r="AN2759" s="330"/>
      <c r="AO2759" s="330"/>
      <c r="AP2759" s="330"/>
      <c r="AQ2759" s="330"/>
      <c r="AR2759" s="333"/>
      <c r="AS2759" s="333"/>
      <c r="AT2759" s="333"/>
      <c r="AU2759" s="333"/>
      <c r="AV2759" s="333"/>
      <c r="AW2759" s="330"/>
      <c r="AX2759" s="330"/>
      <c r="AY2759" s="330"/>
    </row>
    <row r="2760" spans="2:51" x14ac:dyDescent="0.25">
      <c r="B2760" s="331"/>
      <c r="C2760" s="332"/>
      <c r="D2760" s="332"/>
      <c r="E2760" s="333"/>
      <c r="F2760" s="333"/>
      <c r="G2760" s="330"/>
      <c r="H2760" s="330"/>
      <c r="I2760" s="330"/>
      <c r="J2760" s="330"/>
      <c r="K2760" s="330"/>
      <c r="L2760" s="330"/>
      <c r="M2760" s="330"/>
      <c r="N2760" s="330"/>
      <c r="O2760" s="330"/>
      <c r="P2760" s="330"/>
      <c r="Q2760" s="330"/>
      <c r="R2760" s="316"/>
      <c r="S2760" s="404"/>
      <c r="T2760" s="404"/>
      <c r="U2760" s="404"/>
      <c r="V2760" s="404"/>
      <c r="W2760" s="316"/>
      <c r="X2760" s="316"/>
      <c r="Y2760" s="316"/>
      <c r="Z2760" s="316"/>
      <c r="AA2760" s="404"/>
      <c r="AB2760" s="404"/>
      <c r="AC2760" s="404"/>
      <c r="AD2760" s="404"/>
      <c r="AE2760" s="316"/>
      <c r="AF2760" s="316"/>
      <c r="AG2760" s="404"/>
      <c r="AH2760" s="316"/>
      <c r="AI2760" s="316"/>
      <c r="AJ2760" s="316"/>
      <c r="AK2760" s="316"/>
      <c r="AL2760" s="316"/>
      <c r="AM2760" s="416"/>
      <c r="AN2760" s="330"/>
      <c r="AO2760" s="330"/>
      <c r="AP2760" s="330"/>
      <c r="AQ2760" s="330"/>
      <c r="AR2760" s="333"/>
      <c r="AS2760" s="333"/>
      <c r="AT2760" s="333"/>
      <c r="AU2760" s="333"/>
      <c r="AV2760" s="333"/>
      <c r="AW2760" s="330"/>
      <c r="AX2760" s="330"/>
      <c r="AY2760" s="330"/>
    </row>
    <row r="2761" spans="2:51" x14ac:dyDescent="0.25">
      <c r="B2761" s="331"/>
      <c r="C2761" s="332"/>
      <c r="D2761" s="332"/>
      <c r="E2761" s="333"/>
      <c r="F2761" s="333"/>
      <c r="G2761" s="330"/>
      <c r="H2761" s="330"/>
      <c r="I2761" s="330"/>
      <c r="J2761" s="330"/>
      <c r="K2761" s="330"/>
      <c r="L2761" s="330"/>
      <c r="M2761" s="330"/>
      <c r="N2761" s="330"/>
      <c r="O2761" s="330"/>
      <c r="P2761" s="330"/>
      <c r="Q2761" s="330"/>
      <c r="R2761" s="316"/>
      <c r="S2761" s="404"/>
      <c r="T2761" s="404"/>
      <c r="U2761" s="404"/>
      <c r="V2761" s="404"/>
      <c r="W2761" s="316"/>
      <c r="X2761" s="316"/>
      <c r="Y2761" s="316"/>
      <c r="Z2761" s="316"/>
      <c r="AA2761" s="404"/>
      <c r="AB2761" s="404"/>
      <c r="AC2761" s="404"/>
      <c r="AD2761" s="404"/>
      <c r="AE2761" s="316"/>
      <c r="AF2761" s="316"/>
      <c r="AG2761" s="404"/>
      <c r="AH2761" s="316"/>
      <c r="AI2761" s="316"/>
      <c r="AJ2761" s="316"/>
      <c r="AK2761" s="316"/>
      <c r="AL2761" s="316"/>
      <c r="AM2761" s="416"/>
      <c r="AN2761" s="330"/>
      <c r="AO2761" s="330"/>
      <c r="AP2761" s="330"/>
      <c r="AQ2761" s="330"/>
      <c r="AR2761" s="333"/>
      <c r="AS2761" s="333"/>
      <c r="AT2761" s="333"/>
      <c r="AU2761" s="333"/>
      <c r="AV2761" s="333"/>
      <c r="AW2761" s="330"/>
      <c r="AX2761" s="330"/>
      <c r="AY2761" s="330"/>
    </row>
    <row r="2762" spans="2:51" x14ac:dyDescent="0.25">
      <c r="B2762" s="331"/>
      <c r="C2762" s="332"/>
      <c r="D2762" s="332"/>
      <c r="E2762" s="333"/>
      <c r="F2762" s="333"/>
      <c r="G2762" s="330"/>
      <c r="H2762" s="330"/>
      <c r="I2762" s="330"/>
      <c r="J2762" s="330"/>
      <c r="K2762" s="330"/>
      <c r="L2762" s="330"/>
      <c r="M2762" s="330"/>
      <c r="N2762" s="330"/>
      <c r="O2762" s="330"/>
      <c r="P2762" s="330"/>
      <c r="Q2762" s="330"/>
      <c r="R2762" s="316"/>
      <c r="S2762" s="404"/>
      <c r="T2762" s="404"/>
      <c r="U2762" s="404"/>
      <c r="V2762" s="404"/>
      <c r="W2762" s="316"/>
      <c r="X2762" s="316"/>
      <c r="Y2762" s="316"/>
      <c r="Z2762" s="316"/>
      <c r="AA2762" s="404"/>
      <c r="AB2762" s="404"/>
      <c r="AC2762" s="404"/>
      <c r="AD2762" s="404"/>
      <c r="AE2762" s="316"/>
      <c r="AF2762" s="316"/>
      <c r="AG2762" s="404"/>
      <c r="AH2762" s="316"/>
      <c r="AI2762" s="316"/>
      <c r="AJ2762" s="316"/>
      <c r="AK2762" s="316"/>
      <c r="AL2762" s="316"/>
      <c r="AM2762" s="416"/>
      <c r="AN2762" s="330"/>
      <c r="AO2762" s="330"/>
      <c r="AP2762" s="330"/>
      <c r="AQ2762" s="330"/>
      <c r="AR2762" s="333"/>
      <c r="AS2762" s="333"/>
      <c r="AT2762" s="333"/>
      <c r="AU2762" s="333"/>
      <c r="AV2762" s="333"/>
      <c r="AW2762" s="330"/>
      <c r="AX2762" s="330"/>
      <c r="AY2762" s="330"/>
    </row>
    <row r="2763" spans="2:51" x14ac:dyDescent="0.25">
      <c r="B2763" s="331"/>
      <c r="C2763" s="332"/>
      <c r="D2763" s="332"/>
      <c r="E2763" s="333"/>
      <c r="F2763" s="333"/>
      <c r="G2763" s="330"/>
      <c r="H2763" s="330"/>
      <c r="I2763" s="330"/>
      <c r="J2763" s="330"/>
      <c r="K2763" s="330"/>
      <c r="L2763" s="330"/>
      <c r="M2763" s="330"/>
      <c r="N2763" s="330"/>
      <c r="O2763" s="330"/>
      <c r="P2763" s="330"/>
      <c r="Q2763" s="330"/>
      <c r="R2763" s="316"/>
      <c r="S2763" s="404"/>
      <c r="T2763" s="404"/>
      <c r="U2763" s="404"/>
      <c r="V2763" s="404"/>
      <c r="W2763" s="316"/>
      <c r="X2763" s="316"/>
      <c r="Y2763" s="316"/>
      <c r="Z2763" s="316"/>
      <c r="AA2763" s="404"/>
      <c r="AB2763" s="404"/>
      <c r="AC2763" s="404"/>
      <c r="AD2763" s="404"/>
      <c r="AE2763" s="316"/>
      <c r="AF2763" s="316"/>
      <c r="AG2763" s="404"/>
      <c r="AH2763" s="316"/>
      <c r="AI2763" s="316"/>
      <c r="AJ2763" s="316"/>
      <c r="AK2763" s="316"/>
      <c r="AL2763" s="316"/>
      <c r="AM2763" s="416"/>
      <c r="AN2763" s="330"/>
      <c r="AO2763" s="330"/>
      <c r="AP2763" s="330"/>
      <c r="AQ2763" s="330"/>
      <c r="AR2763" s="333"/>
      <c r="AS2763" s="333"/>
      <c r="AT2763" s="333"/>
      <c r="AU2763" s="333"/>
      <c r="AV2763" s="333"/>
      <c r="AW2763" s="330"/>
      <c r="AX2763" s="330"/>
      <c r="AY2763" s="330"/>
    </row>
    <row r="2764" spans="2:51" x14ac:dyDescent="0.25">
      <c r="B2764" s="331"/>
      <c r="C2764" s="332"/>
      <c r="D2764" s="332"/>
      <c r="E2764" s="333"/>
      <c r="F2764" s="333"/>
      <c r="G2764" s="330"/>
      <c r="H2764" s="330"/>
      <c r="I2764" s="330"/>
      <c r="J2764" s="330"/>
      <c r="K2764" s="330"/>
      <c r="L2764" s="330"/>
      <c r="M2764" s="330"/>
      <c r="N2764" s="330"/>
      <c r="O2764" s="330"/>
      <c r="P2764" s="330"/>
      <c r="Q2764" s="330"/>
      <c r="R2764" s="316"/>
      <c r="S2764" s="404"/>
      <c r="T2764" s="404"/>
      <c r="U2764" s="404"/>
      <c r="V2764" s="404"/>
      <c r="W2764" s="316"/>
      <c r="X2764" s="316"/>
      <c r="Y2764" s="316"/>
      <c r="Z2764" s="316"/>
      <c r="AA2764" s="404"/>
      <c r="AB2764" s="404"/>
      <c r="AC2764" s="404"/>
      <c r="AD2764" s="404"/>
      <c r="AE2764" s="316"/>
      <c r="AF2764" s="316"/>
      <c r="AG2764" s="404"/>
      <c r="AH2764" s="316"/>
      <c r="AI2764" s="316"/>
      <c r="AJ2764" s="316"/>
      <c r="AK2764" s="316"/>
      <c r="AL2764" s="316"/>
      <c r="AM2764" s="416"/>
      <c r="AN2764" s="330"/>
      <c r="AO2764" s="330"/>
      <c r="AP2764" s="330"/>
      <c r="AQ2764" s="330"/>
      <c r="AR2764" s="333"/>
      <c r="AS2764" s="333"/>
      <c r="AT2764" s="333"/>
      <c r="AU2764" s="333"/>
      <c r="AV2764" s="333"/>
      <c r="AW2764" s="330"/>
      <c r="AX2764" s="330"/>
      <c r="AY2764" s="330"/>
    </row>
    <row r="2765" spans="2:51" x14ac:dyDescent="0.25">
      <c r="B2765" s="331"/>
      <c r="C2765" s="332"/>
      <c r="D2765" s="332"/>
      <c r="E2765" s="333"/>
      <c r="F2765" s="333"/>
      <c r="G2765" s="330"/>
      <c r="H2765" s="330"/>
      <c r="I2765" s="330"/>
      <c r="J2765" s="330"/>
      <c r="K2765" s="330"/>
      <c r="L2765" s="330"/>
      <c r="M2765" s="330"/>
      <c r="N2765" s="330"/>
      <c r="O2765" s="330"/>
      <c r="P2765" s="330"/>
      <c r="Q2765" s="330"/>
      <c r="R2765" s="316"/>
      <c r="S2765" s="404"/>
      <c r="T2765" s="404"/>
      <c r="U2765" s="404"/>
      <c r="V2765" s="404"/>
      <c r="W2765" s="316"/>
      <c r="X2765" s="316"/>
      <c r="Y2765" s="316"/>
      <c r="Z2765" s="316"/>
      <c r="AA2765" s="404"/>
      <c r="AB2765" s="404"/>
      <c r="AC2765" s="404"/>
      <c r="AD2765" s="404"/>
      <c r="AE2765" s="316"/>
      <c r="AF2765" s="316"/>
      <c r="AG2765" s="404"/>
      <c r="AH2765" s="316"/>
      <c r="AI2765" s="316"/>
      <c r="AJ2765" s="316"/>
      <c r="AK2765" s="316"/>
      <c r="AL2765" s="316"/>
      <c r="AM2765" s="416"/>
      <c r="AN2765" s="330"/>
      <c r="AO2765" s="330"/>
      <c r="AP2765" s="330"/>
      <c r="AQ2765" s="330"/>
      <c r="AR2765" s="333"/>
      <c r="AS2765" s="333"/>
      <c r="AT2765" s="333"/>
      <c r="AU2765" s="333"/>
      <c r="AV2765" s="333"/>
      <c r="AW2765" s="330"/>
      <c r="AX2765" s="330"/>
      <c r="AY2765" s="330"/>
    </row>
    <row r="2766" spans="2:51" x14ac:dyDescent="0.25">
      <c r="B2766" s="331"/>
      <c r="C2766" s="332"/>
      <c r="D2766" s="332"/>
      <c r="E2766" s="333"/>
      <c r="F2766" s="333"/>
      <c r="G2766" s="330"/>
      <c r="H2766" s="330"/>
      <c r="I2766" s="330"/>
      <c r="J2766" s="330"/>
      <c r="K2766" s="330"/>
      <c r="L2766" s="330"/>
      <c r="M2766" s="330"/>
      <c r="N2766" s="330"/>
      <c r="O2766" s="330"/>
      <c r="P2766" s="330"/>
      <c r="Q2766" s="330"/>
      <c r="R2766" s="316"/>
      <c r="S2766" s="404"/>
      <c r="T2766" s="404"/>
      <c r="U2766" s="404"/>
      <c r="V2766" s="404"/>
      <c r="W2766" s="316"/>
      <c r="X2766" s="316"/>
      <c r="Y2766" s="316"/>
      <c r="Z2766" s="316"/>
      <c r="AA2766" s="404"/>
      <c r="AB2766" s="404"/>
      <c r="AC2766" s="404"/>
      <c r="AD2766" s="404"/>
      <c r="AE2766" s="316"/>
      <c r="AF2766" s="316"/>
      <c r="AG2766" s="404"/>
      <c r="AH2766" s="316"/>
      <c r="AI2766" s="316"/>
      <c r="AJ2766" s="316"/>
      <c r="AK2766" s="316"/>
      <c r="AL2766" s="316"/>
      <c r="AM2766" s="416"/>
      <c r="AN2766" s="330"/>
      <c r="AO2766" s="330"/>
      <c r="AP2766" s="330"/>
      <c r="AQ2766" s="330"/>
      <c r="AR2766" s="333"/>
      <c r="AS2766" s="333"/>
      <c r="AT2766" s="333"/>
      <c r="AU2766" s="333"/>
      <c r="AV2766" s="333"/>
      <c r="AW2766" s="330"/>
      <c r="AX2766" s="330"/>
      <c r="AY2766" s="330"/>
    </row>
    <row r="2767" spans="2:51" x14ac:dyDescent="0.25">
      <c r="B2767" s="331"/>
      <c r="C2767" s="332"/>
      <c r="D2767" s="332"/>
      <c r="E2767" s="333"/>
      <c r="F2767" s="333"/>
      <c r="G2767" s="330"/>
      <c r="H2767" s="330"/>
      <c r="I2767" s="330"/>
      <c r="J2767" s="330"/>
      <c r="K2767" s="330"/>
      <c r="L2767" s="330"/>
      <c r="M2767" s="330"/>
      <c r="N2767" s="330"/>
      <c r="O2767" s="330"/>
      <c r="P2767" s="330"/>
      <c r="Q2767" s="330"/>
      <c r="R2767" s="316"/>
      <c r="S2767" s="404"/>
      <c r="T2767" s="404"/>
      <c r="U2767" s="404"/>
      <c r="V2767" s="404"/>
      <c r="W2767" s="316"/>
      <c r="X2767" s="316"/>
      <c r="Y2767" s="316"/>
      <c r="Z2767" s="316"/>
      <c r="AA2767" s="404"/>
      <c r="AB2767" s="404"/>
      <c r="AC2767" s="404"/>
      <c r="AD2767" s="404"/>
      <c r="AE2767" s="316"/>
      <c r="AF2767" s="316"/>
      <c r="AG2767" s="404"/>
      <c r="AH2767" s="316"/>
      <c r="AI2767" s="316"/>
      <c r="AJ2767" s="316"/>
      <c r="AK2767" s="316"/>
      <c r="AL2767" s="316"/>
      <c r="AM2767" s="416"/>
      <c r="AN2767" s="330"/>
      <c r="AO2767" s="330"/>
      <c r="AP2767" s="330"/>
      <c r="AQ2767" s="330"/>
      <c r="AR2767" s="333"/>
      <c r="AS2767" s="333"/>
      <c r="AT2767" s="333"/>
      <c r="AU2767" s="333"/>
      <c r="AV2767" s="333"/>
      <c r="AW2767" s="330"/>
      <c r="AX2767" s="330"/>
      <c r="AY2767" s="330"/>
    </row>
    <row r="2768" spans="2:51" x14ac:dyDescent="0.25">
      <c r="B2768" s="331"/>
      <c r="C2768" s="332"/>
      <c r="D2768" s="332"/>
      <c r="E2768" s="333"/>
      <c r="F2768" s="333"/>
      <c r="G2768" s="330"/>
      <c r="H2768" s="330"/>
      <c r="I2768" s="330"/>
      <c r="J2768" s="330"/>
      <c r="K2768" s="330"/>
      <c r="L2768" s="330"/>
      <c r="M2768" s="330"/>
      <c r="N2768" s="330"/>
      <c r="O2768" s="330"/>
      <c r="P2768" s="330"/>
      <c r="Q2768" s="330"/>
      <c r="R2768" s="316"/>
      <c r="S2768" s="404"/>
      <c r="T2768" s="404"/>
      <c r="U2768" s="404"/>
      <c r="V2768" s="404"/>
      <c r="W2768" s="316"/>
      <c r="X2768" s="316"/>
      <c r="Y2768" s="316"/>
      <c r="Z2768" s="316"/>
      <c r="AA2768" s="404"/>
      <c r="AB2768" s="404"/>
      <c r="AC2768" s="404"/>
      <c r="AD2768" s="404"/>
      <c r="AE2768" s="316"/>
      <c r="AF2768" s="316"/>
      <c r="AG2768" s="404"/>
      <c r="AH2768" s="316"/>
      <c r="AI2768" s="316"/>
      <c r="AJ2768" s="316"/>
      <c r="AK2768" s="316"/>
      <c r="AL2768" s="316"/>
      <c r="AM2768" s="416"/>
      <c r="AN2768" s="330"/>
      <c r="AO2768" s="330"/>
      <c r="AP2768" s="330"/>
      <c r="AQ2768" s="330"/>
      <c r="AR2768" s="333"/>
      <c r="AS2768" s="333"/>
      <c r="AT2768" s="333"/>
      <c r="AU2768" s="333"/>
      <c r="AV2768" s="333"/>
      <c r="AW2768" s="330"/>
      <c r="AX2768" s="330"/>
      <c r="AY2768" s="330"/>
    </row>
    <row r="2769" spans="2:51" x14ac:dyDescent="0.25">
      <c r="B2769" s="331"/>
      <c r="C2769" s="332"/>
      <c r="D2769" s="332"/>
      <c r="E2769" s="333"/>
      <c r="F2769" s="333"/>
      <c r="G2769" s="330"/>
      <c r="H2769" s="330"/>
      <c r="I2769" s="330"/>
      <c r="J2769" s="330"/>
      <c r="K2769" s="330"/>
      <c r="L2769" s="330"/>
      <c r="M2769" s="330"/>
      <c r="N2769" s="330"/>
      <c r="O2769" s="330"/>
      <c r="P2769" s="330"/>
      <c r="Q2769" s="330"/>
      <c r="R2769" s="316"/>
      <c r="S2769" s="404"/>
      <c r="T2769" s="404"/>
      <c r="U2769" s="404"/>
      <c r="V2769" s="404"/>
      <c r="W2769" s="316"/>
      <c r="X2769" s="316"/>
      <c r="Y2769" s="316"/>
      <c r="Z2769" s="316"/>
      <c r="AA2769" s="404"/>
      <c r="AB2769" s="404"/>
      <c r="AC2769" s="404"/>
      <c r="AD2769" s="404"/>
      <c r="AE2769" s="316"/>
      <c r="AF2769" s="316"/>
      <c r="AG2769" s="404"/>
      <c r="AH2769" s="316"/>
      <c r="AI2769" s="316"/>
      <c r="AJ2769" s="316"/>
      <c r="AK2769" s="316"/>
      <c r="AL2769" s="316"/>
      <c r="AM2769" s="416"/>
      <c r="AN2769" s="330"/>
      <c r="AO2769" s="330"/>
      <c r="AP2769" s="330"/>
      <c r="AQ2769" s="330"/>
      <c r="AR2769" s="333"/>
      <c r="AS2769" s="333"/>
      <c r="AT2769" s="333"/>
      <c r="AU2769" s="333"/>
      <c r="AV2769" s="333"/>
      <c r="AW2769" s="330"/>
      <c r="AX2769" s="330"/>
      <c r="AY2769" s="330"/>
    </row>
    <row r="2770" spans="2:51" x14ac:dyDescent="0.25">
      <c r="B2770" s="331"/>
      <c r="C2770" s="332"/>
      <c r="D2770" s="332"/>
      <c r="E2770" s="333"/>
      <c r="F2770" s="333"/>
      <c r="G2770" s="330"/>
      <c r="H2770" s="330"/>
      <c r="I2770" s="330"/>
      <c r="J2770" s="330"/>
      <c r="K2770" s="330"/>
      <c r="L2770" s="330"/>
      <c r="M2770" s="330"/>
      <c r="N2770" s="330"/>
      <c r="O2770" s="330"/>
      <c r="P2770" s="330"/>
      <c r="Q2770" s="330"/>
      <c r="R2770" s="316"/>
      <c r="S2770" s="404"/>
      <c r="T2770" s="404"/>
      <c r="U2770" s="404"/>
      <c r="V2770" s="404"/>
      <c r="W2770" s="316"/>
      <c r="X2770" s="316"/>
      <c r="Y2770" s="316"/>
      <c r="Z2770" s="316"/>
      <c r="AA2770" s="404"/>
      <c r="AB2770" s="404"/>
      <c r="AC2770" s="404"/>
      <c r="AD2770" s="404"/>
      <c r="AE2770" s="316"/>
      <c r="AF2770" s="316"/>
      <c r="AG2770" s="404"/>
      <c r="AH2770" s="316"/>
      <c r="AI2770" s="316"/>
      <c r="AJ2770" s="316"/>
      <c r="AK2770" s="316"/>
      <c r="AL2770" s="316"/>
      <c r="AM2770" s="416"/>
      <c r="AN2770" s="330"/>
      <c r="AO2770" s="330"/>
      <c r="AP2770" s="330"/>
      <c r="AQ2770" s="330"/>
      <c r="AR2770" s="333"/>
      <c r="AS2770" s="333"/>
      <c r="AT2770" s="333"/>
      <c r="AU2770" s="333"/>
      <c r="AV2770" s="333"/>
      <c r="AW2770" s="330"/>
      <c r="AX2770" s="330"/>
      <c r="AY2770" s="330"/>
    </row>
    <row r="2771" spans="2:51" x14ac:dyDescent="0.25">
      <c r="B2771" s="331"/>
      <c r="C2771" s="332"/>
      <c r="D2771" s="332"/>
      <c r="E2771" s="333"/>
      <c r="F2771" s="333"/>
      <c r="G2771" s="330"/>
      <c r="H2771" s="330"/>
      <c r="I2771" s="330"/>
      <c r="J2771" s="330"/>
      <c r="K2771" s="330"/>
      <c r="L2771" s="330"/>
      <c r="M2771" s="330"/>
      <c r="N2771" s="330"/>
      <c r="O2771" s="330"/>
      <c r="P2771" s="330"/>
      <c r="Q2771" s="330"/>
      <c r="R2771" s="316"/>
      <c r="S2771" s="404"/>
      <c r="T2771" s="404"/>
      <c r="U2771" s="404"/>
      <c r="V2771" s="404"/>
      <c r="W2771" s="316"/>
      <c r="X2771" s="316"/>
      <c r="Y2771" s="316"/>
      <c r="Z2771" s="316"/>
      <c r="AA2771" s="404"/>
      <c r="AB2771" s="404"/>
      <c r="AC2771" s="404"/>
      <c r="AD2771" s="404"/>
      <c r="AE2771" s="316"/>
      <c r="AF2771" s="316"/>
      <c r="AG2771" s="404"/>
      <c r="AH2771" s="316"/>
      <c r="AI2771" s="316"/>
      <c r="AJ2771" s="316"/>
      <c r="AK2771" s="316"/>
      <c r="AL2771" s="316"/>
      <c r="AM2771" s="416"/>
      <c r="AN2771" s="330"/>
      <c r="AO2771" s="330"/>
      <c r="AP2771" s="330"/>
      <c r="AQ2771" s="330"/>
      <c r="AR2771" s="333"/>
      <c r="AS2771" s="333"/>
      <c r="AT2771" s="333"/>
      <c r="AU2771" s="333"/>
      <c r="AV2771" s="333"/>
      <c r="AW2771" s="330"/>
      <c r="AX2771" s="330"/>
      <c r="AY2771" s="330"/>
    </row>
    <row r="2772" spans="2:51" x14ac:dyDescent="0.25">
      <c r="B2772" s="331"/>
      <c r="C2772" s="332"/>
      <c r="D2772" s="332"/>
      <c r="E2772" s="333"/>
      <c r="F2772" s="333"/>
      <c r="G2772" s="330"/>
      <c r="H2772" s="330"/>
      <c r="I2772" s="330"/>
      <c r="J2772" s="330"/>
      <c r="K2772" s="330"/>
      <c r="L2772" s="330"/>
      <c r="M2772" s="330"/>
      <c r="N2772" s="330"/>
      <c r="O2772" s="330"/>
      <c r="P2772" s="330"/>
      <c r="Q2772" s="330"/>
      <c r="R2772" s="316"/>
      <c r="S2772" s="404"/>
      <c r="T2772" s="404"/>
      <c r="U2772" s="404"/>
      <c r="V2772" s="404"/>
      <c r="W2772" s="316"/>
      <c r="X2772" s="316"/>
      <c r="Y2772" s="316"/>
      <c r="Z2772" s="316"/>
      <c r="AA2772" s="404"/>
      <c r="AB2772" s="404"/>
      <c r="AC2772" s="404"/>
      <c r="AD2772" s="404"/>
      <c r="AE2772" s="316"/>
      <c r="AF2772" s="316"/>
      <c r="AG2772" s="404"/>
      <c r="AH2772" s="316"/>
      <c r="AI2772" s="316"/>
      <c r="AJ2772" s="316"/>
      <c r="AK2772" s="316"/>
      <c r="AL2772" s="316"/>
      <c r="AM2772" s="416"/>
      <c r="AN2772" s="330"/>
      <c r="AO2772" s="330"/>
      <c r="AP2772" s="330"/>
      <c r="AQ2772" s="330"/>
      <c r="AR2772" s="333"/>
      <c r="AS2772" s="333"/>
      <c r="AT2772" s="333"/>
      <c r="AU2772" s="333"/>
      <c r="AV2772" s="333"/>
      <c r="AW2772" s="330"/>
      <c r="AX2772" s="330"/>
      <c r="AY2772" s="330"/>
    </row>
    <row r="2773" spans="2:51" x14ac:dyDescent="0.25">
      <c r="B2773" s="331"/>
      <c r="C2773" s="332"/>
      <c r="D2773" s="332"/>
      <c r="E2773" s="333"/>
      <c r="F2773" s="333"/>
      <c r="G2773" s="330"/>
      <c r="H2773" s="330"/>
      <c r="I2773" s="330"/>
      <c r="J2773" s="330"/>
      <c r="K2773" s="330"/>
      <c r="L2773" s="330"/>
      <c r="M2773" s="330"/>
      <c r="N2773" s="330"/>
      <c r="O2773" s="330"/>
      <c r="P2773" s="330"/>
      <c r="Q2773" s="330"/>
      <c r="R2773" s="316"/>
      <c r="S2773" s="404"/>
      <c r="T2773" s="404"/>
      <c r="U2773" s="404"/>
      <c r="V2773" s="404"/>
      <c r="W2773" s="316"/>
      <c r="X2773" s="316"/>
      <c r="Y2773" s="316"/>
      <c r="Z2773" s="316"/>
      <c r="AA2773" s="404"/>
      <c r="AB2773" s="404"/>
      <c r="AC2773" s="404"/>
      <c r="AD2773" s="404"/>
      <c r="AE2773" s="316"/>
      <c r="AF2773" s="316"/>
      <c r="AG2773" s="404"/>
      <c r="AH2773" s="316"/>
      <c r="AI2773" s="316"/>
      <c r="AJ2773" s="316"/>
      <c r="AK2773" s="316"/>
      <c r="AL2773" s="316"/>
      <c r="AM2773" s="416"/>
      <c r="AN2773" s="330"/>
      <c r="AO2773" s="330"/>
      <c r="AP2773" s="330"/>
      <c r="AQ2773" s="330"/>
      <c r="AR2773" s="333"/>
      <c r="AS2773" s="333"/>
      <c r="AT2773" s="333"/>
      <c r="AU2773" s="333"/>
      <c r="AV2773" s="333"/>
      <c r="AW2773" s="330"/>
      <c r="AX2773" s="330"/>
      <c r="AY2773" s="330"/>
    </row>
    <row r="2774" spans="2:51" x14ac:dyDescent="0.25">
      <c r="B2774" s="331"/>
      <c r="C2774" s="332"/>
      <c r="D2774" s="332"/>
      <c r="E2774" s="333"/>
      <c r="F2774" s="333"/>
      <c r="G2774" s="330"/>
      <c r="H2774" s="330"/>
      <c r="I2774" s="330"/>
      <c r="J2774" s="330"/>
      <c r="K2774" s="330"/>
      <c r="L2774" s="330"/>
      <c r="M2774" s="330"/>
      <c r="N2774" s="330"/>
      <c r="O2774" s="330"/>
      <c r="P2774" s="330"/>
      <c r="Q2774" s="330"/>
      <c r="R2774" s="316"/>
      <c r="S2774" s="404"/>
      <c r="T2774" s="404"/>
      <c r="U2774" s="404"/>
      <c r="V2774" s="404"/>
      <c r="W2774" s="316"/>
      <c r="X2774" s="316"/>
      <c r="Y2774" s="316"/>
      <c r="Z2774" s="316"/>
      <c r="AA2774" s="404"/>
      <c r="AB2774" s="404"/>
      <c r="AC2774" s="404"/>
      <c r="AD2774" s="404"/>
      <c r="AE2774" s="316"/>
      <c r="AF2774" s="316"/>
      <c r="AG2774" s="404"/>
      <c r="AH2774" s="316"/>
      <c r="AI2774" s="316"/>
      <c r="AJ2774" s="316"/>
      <c r="AK2774" s="316"/>
      <c r="AL2774" s="316"/>
      <c r="AM2774" s="416"/>
      <c r="AN2774" s="330"/>
      <c r="AO2774" s="330"/>
      <c r="AP2774" s="330"/>
      <c r="AQ2774" s="330"/>
      <c r="AR2774" s="333"/>
      <c r="AS2774" s="333"/>
      <c r="AT2774" s="333"/>
      <c r="AU2774" s="333"/>
      <c r="AV2774" s="333"/>
      <c r="AW2774" s="330"/>
      <c r="AX2774" s="330"/>
      <c r="AY2774" s="330"/>
    </row>
    <row r="2775" spans="2:51" x14ac:dyDescent="0.25">
      <c r="B2775" s="331"/>
      <c r="C2775" s="332"/>
      <c r="D2775" s="332"/>
      <c r="E2775" s="333"/>
      <c r="F2775" s="333"/>
      <c r="G2775" s="330"/>
      <c r="H2775" s="330"/>
      <c r="I2775" s="330"/>
      <c r="J2775" s="330"/>
      <c r="K2775" s="330"/>
      <c r="L2775" s="330"/>
      <c r="M2775" s="330"/>
      <c r="N2775" s="330"/>
      <c r="O2775" s="330"/>
      <c r="P2775" s="330"/>
      <c r="Q2775" s="330"/>
      <c r="R2775" s="316"/>
      <c r="S2775" s="404"/>
      <c r="T2775" s="404"/>
      <c r="U2775" s="404"/>
      <c r="V2775" s="404"/>
      <c r="W2775" s="316"/>
      <c r="X2775" s="316"/>
      <c r="Y2775" s="316"/>
      <c r="Z2775" s="316"/>
      <c r="AA2775" s="404"/>
      <c r="AB2775" s="404"/>
      <c r="AC2775" s="404"/>
      <c r="AD2775" s="404"/>
      <c r="AE2775" s="316"/>
      <c r="AF2775" s="316"/>
      <c r="AG2775" s="404"/>
      <c r="AH2775" s="316"/>
      <c r="AI2775" s="316"/>
      <c r="AJ2775" s="316"/>
      <c r="AK2775" s="316"/>
      <c r="AL2775" s="316"/>
      <c r="AM2775" s="416"/>
      <c r="AN2775" s="330"/>
      <c r="AO2775" s="330"/>
      <c r="AP2775" s="330"/>
      <c r="AQ2775" s="330"/>
      <c r="AR2775" s="333"/>
      <c r="AS2775" s="333"/>
      <c r="AT2775" s="333"/>
      <c r="AU2775" s="333"/>
      <c r="AV2775" s="333"/>
      <c r="AW2775" s="330"/>
      <c r="AX2775" s="330"/>
      <c r="AY2775" s="330"/>
    </row>
    <row r="2776" spans="2:51" x14ac:dyDescent="0.25">
      <c r="B2776" s="331"/>
      <c r="C2776" s="332"/>
      <c r="D2776" s="332"/>
      <c r="E2776" s="333"/>
      <c r="F2776" s="333"/>
      <c r="G2776" s="330"/>
      <c r="H2776" s="330"/>
      <c r="I2776" s="330"/>
      <c r="J2776" s="330"/>
      <c r="K2776" s="330"/>
      <c r="L2776" s="330"/>
      <c r="M2776" s="330"/>
      <c r="N2776" s="330"/>
      <c r="O2776" s="330"/>
      <c r="P2776" s="330"/>
      <c r="Q2776" s="330"/>
      <c r="R2776" s="316"/>
      <c r="S2776" s="404"/>
      <c r="T2776" s="404"/>
      <c r="U2776" s="404"/>
      <c r="V2776" s="404"/>
      <c r="W2776" s="316"/>
      <c r="X2776" s="316"/>
      <c r="Y2776" s="316"/>
      <c r="Z2776" s="316"/>
      <c r="AA2776" s="404"/>
      <c r="AB2776" s="404"/>
      <c r="AC2776" s="404"/>
      <c r="AD2776" s="404"/>
      <c r="AE2776" s="316"/>
      <c r="AF2776" s="316"/>
      <c r="AG2776" s="404"/>
      <c r="AH2776" s="316"/>
      <c r="AI2776" s="316"/>
      <c r="AJ2776" s="316"/>
      <c r="AK2776" s="316"/>
      <c r="AL2776" s="316"/>
      <c r="AM2776" s="416"/>
      <c r="AN2776" s="330"/>
      <c r="AO2776" s="330"/>
      <c r="AP2776" s="330"/>
      <c r="AQ2776" s="330"/>
      <c r="AR2776" s="333"/>
      <c r="AS2776" s="333"/>
      <c r="AT2776" s="333"/>
      <c r="AU2776" s="333"/>
      <c r="AV2776" s="333"/>
      <c r="AW2776" s="330"/>
      <c r="AX2776" s="330"/>
      <c r="AY2776" s="330"/>
    </row>
    <row r="2777" spans="2:51" x14ac:dyDescent="0.25">
      <c r="B2777" s="331"/>
      <c r="C2777" s="332"/>
      <c r="D2777" s="332"/>
      <c r="E2777" s="333"/>
      <c r="F2777" s="333"/>
      <c r="G2777" s="330"/>
      <c r="H2777" s="330"/>
      <c r="I2777" s="330"/>
      <c r="J2777" s="330"/>
      <c r="K2777" s="330"/>
      <c r="L2777" s="330"/>
      <c r="M2777" s="330"/>
      <c r="N2777" s="330"/>
      <c r="O2777" s="330"/>
      <c r="P2777" s="330"/>
      <c r="Q2777" s="330"/>
      <c r="R2777" s="316"/>
      <c r="S2777" s="404"/>
      <c r="T2777" s="404"/>
      <c r="U2777" s="404"/>
      <c r="V2777" s="404"/>
      <c r="W2777" s="316"/>
      <c r="X2777" s="316"/>
      <c r="Y2777" s="316"/>
      <c r="Z2777" s="316"/>
      <c r="AA2777" s="404"/>
      <c r="AB2777" s="404"/>
      <c r="AC2777" s="404"/>
      <c r="AD2777" s="404"/>
      <c r="AE2777" s="316"/>
      <c r="AF2777" s="316"/>
      <c r="AG2777" s="404"/>
      <c r="AH2777" s="316"/>
      <c r="AI2777" s="316"/>
      <c r="AJ2777" s="316"/>
      <c r="AK2777" s="316"/>
      <c r="AL2777" s="316"/>
      <c r="AM2777" s="416"/>
      <c r="AN2777" s="330"/>
      <c r="AO2777" s="330"/>
      <c r="AP2777" s="330"/>
      <c r="AQ2777" s="330"/>
      <c r="AR2777" s="333"/>
      <c r="AS2777" s="333"/>
      <c r="AT2777" s="333"/>
      <c r="AU2777" s="333"/>
      <c r="AV2777" s="333"/>
      <c r="AW2777" s="330"/>
      <c r="AX2777" s="330"/>
      <c r="AY2777" s="330"/>
    </row>
    <row r="2778" spans="2:51" x14ac:dyDescent="0.25">
      <c r="B2778" s="331"/>
      <c r="C2778" s="332"/>
      <c r="D2778" s="332"/>
      <c r="E2778" s="333"/>
      <c r="F2778" s="333"/>
      <c r="G2778" s="330"/>
      <c r="H2778" s="330"/>
      <c r="I2778" s="330"/>
      <c r="J2778" s="330"/>
      <c r="K2778" s="330"/>
      <c r="L2778" s="330"/>
      <c r="M2778" s="330"/>
      <c r="N2778" s="330"/>
      <c r="O2778" s="330"/>
      <c r="P2778" s="330"/>
      <c r="Q2778" s="330"/>
      <c r="R2778" s="316"/>
      <c r="S2778" s="404"/>
      <c r="T2778" s="404"/>
      <c r="U2778" s="404"/>
      <c r="V2778" s="404"/>
      <c r="W2778" s="316"/>
      <c r="X2778" s="316"/>
      <c r="Y2778" s="316"/>
      <c r="Z2778" s="316"/>
      <c r="AA2778" s="404"/>
      <c r="AB2778" s="404"/>
      <c r="AC2778" s="404"/>
      <c r="AD2778" s="404"/>
      <c r="AE2778" s="316"/>
      <c r="AF2778" s="316"/>
      <c r="AG2778" s="404"/>
      <c r="AH2778" s="316"/>
      <c r="AI2778" s="316"/>
      <c r="AJ2778" s="316"/>
      <c r="AK2778" s="316"/>
      <c r="AL2778" s="316"/>
      <c r="AM2778" s="416"/>
      <c r="AN2778" s="330"/>
      <c r="AO2778" s="330"/>
      <c r="AP2778" s="330"/>
      <c r="AQ2778" s="330"/>
      <c r="AR2778" s="333"/>
      <c r="AS2778" s="333"/>
      <c r="AT2778" s="333"/>
      <c r="AU2778" s="333"/>
      <c r="AV2778" s="333"/>
      <c r="AW2778" s="330"/>
      <c r="AX2778" s="330"/>
      <c r="AY2778" s="330"/>
    </row>
    <row r="2779" spans="2:51" x14ac:dyDescent="0.25">
      <c r="B2779" s="331"/>
      <c r="C2779" s="332"/>
      <c r="D2779" s="332"/>
      <c r="E2779" s="333"/>
      <c r="F2779" s="333"/>
      <c r="G2779" s="330"/>
      <c r="H2779" s="330"/>
      <c r="I2779" s="330"/>
      <c r="J2779" s="330"/>
      <c r="K2779" s="330"/>
      <c r="L2779" s="330"/>
      <c r="M2779" s="330"/>
      <c r="N2779" s="330"/>
      <c r="O2779" s="330"/>
      <c r="P2779" s="330"/>
      <c r="Q2779" s="330"/>
      <c r="R2779" s="316"/>
      <c r="S2779" s="404"/>
      <c r="T2779" s="404"/>
      <c r="U2779" s="404"/>
      <c r="V2779" s="404"/>
      <c r="W2779" s="316"/>
      <c r="X2779" s="316"/>
      <c r="Y2779" s="316"/>
      <c r="Z2779" s="316"/>
      <c r="AA2779" s="404"/>
      <c r="AB2779" s="404"/>
      <c r="AC2779" s="404"/>
      <c r="AD2779" s="404"/>
      <c r="AE2779" s="316"/>
      <c r="AF2779" s="316"/>
      <c r="AG2779" s="404"/>
      <c r="AH2779" s="316"/>
      <c r="AI2779" s="316"/>
      <c r="AJ2779" s="316"/>
      <c r="AK2779" s="316"/>
      <c r="AL2779" s="316"/>
      <c r="AM2779" s="416"/>
      <c r="AN2779" s="330"/>
      <c r="AO2779" s="330"/>
      <c r="AP2779" s="330"/>
      <c r="AQ2779" s="330"/>
      <c r="AR2779" s="333"/>
      <c r="AS2779" s="333"/>
      <c r="AT2779" s="333"/>
      <c r="AU2779" s="333"/>
      <c r="AV2779" s="333"/>
      <c r="AW2779" s="330"/>
      <c r="AX2779" s="330"/>
      <c r="AY2779" s="330"/>
    </row>
    <row r="2780" spans="2:51" x14ac:dyDescent="0.25">
      <c r="B2780" s="331"/>
      <c r="C2780" s="332"/>
      <c r="D2780" s="332"/>
      <c r="E2780" s="333"/>
      <c r="F2780" s="333"/>
      <c r="G2780" s="330"/>
      <c r="H2780" s="330"/>
      <c r="I2780" s="330"/>
      <c r="J2780" s="330"/>
      <c r="K2780" s="330"/>
      <c r="L2780" s="330"/>
      <c r="M2780" s="330"/>
      <c r="N2780" s="330"/>
      <c r="O2780" s="330"/>
      <c r="P2780" s="330"/>
      <c r="Q2780" s="330"/>
      <c r="R2780" s="316"/>
      <c r="S2780" s="404"/>
      <c r="T2780" s="404"/>
      <c r="U2780" s="404"/>
      <c r="V2780" s="404"/>
      <c r="W2780" s="316"/>
      <c r="X2780" s="316"/>
      <c r="Y2780" s="316"/>
      <c r="Z2780" s="316"/>
      <c r="AA2780" s="404"/>
      <c r="AB2780" s="404"/>
      <c r="AC2780" s="404"/>
      <c r="AD2780" s="404"/>
      <c r="AE2780" s="316"/>
      <c r="AF2780" s="316"/>
      <c r="AG2780" s="404"/>
      <c r="AH2780" s="316"/>
      <c r="AI2780" s="316"/>
      <c r="AJ2780" s="316"/>
      <c r="AK2780" s="316"/>
      <c r="AL2780" s="316"/>
      <c r="AM2780" s="416"/>
      <c r="AN2780" s="330"/>
      <c r="AO2780" s="330"/>
      <c r="AP2780" s="330"/>
      <c r="AQ2780" s="330"/>
      <c r="AR2780" s="333"/>
      <c r="AS2780" s="333"/>
      <c r="AT2780" s="333"/>
      <c r="AU2780" s="333"/>
      <c r="AV2780" s="333"/>
      <c r="AW2780" s="330"/>
      <c r="AX2780" s="330"/>
      <c r="AY2780" s="330"/>
    </row>
    <row r="2781" spans="2:51" x14ac:dyDescent="0.25">
      <c r="B2781" s="331"/>
      <c r="C2781" s="332"/>
      <c r="D2781" s="332"/>
      <c r="E2781" s="333"/>
      <c r="F2781" s="333"/>
      <c r="G2781" s="330"/>
      <c r="H2781" s="330"/>
      <c r="I2781" s="330"/>
      <c r="J2781" s="330"/>
      <c r="K2781" s="330"/>
      <c r="L2781" s="330"/>
      <c r="M2781" s="330"/>
      <c r="N2781" s="330"/>
      <c r="O2781" s="330"/>
      <c r="P2781" s="330"/>
      <c r="Q2781" s="330"/>
      <c r="R2781" s="316"/>
      <c r="S2781" s="404"/>
      <c r="T2781" s="404"/>
      <c r="U2781" s="404"/>
      <c r="V2781" s="404"/>
      <c r="W2781" s="316"/>
      <c r="X2781" s="316"/>
      <c r="Y2781" s="316"/>
      <c r="Z2781" s="316"/>
      <c r="AA2781" s="404"/>
      <c r="AB2781" s="404"/>
      <c r="AC2781" s="404"/>
      <c r="AD2781" s="404"/>
      <c r="AE2781" s="316"/>
      <c r="AF2781" s="316"/>
      <c r="AG2781" s="404"/>
      <c r="AH2781" s="316"/>
      <c r="AI2781" s="316"/>
      <c r="AJ2781" s="316"/>
      <c r="AK2781" s="316"/>
      <c r="AL2781" s="316"/>
      <c r="AM2781" s="416"/>
      <c r="AN2781" s="330"/>
      <c r="AO2781" s="330"/>
      <c r="AP2781" s="330"/>
      <c r="AQ2781" s="330"/>
      <c r="AR2781" s="333"/>
      <c r="AS2781" s="333"/>
      <c r="AT2781" s="333"/>
      <c r="AU2781" s="333"/>
      <c r="AV2781" s="333"/>
      <c r="AW2781" s="330"/>
      <c r="AX2781" s="330"/>
      <c r="AY2781" s="330"/>
    </row>
    <row r="2782" spans="2:51" x14ac:dyDescent="0.25">
      <c r="B2782" s="331"/>
      <c r="C2782" s="332"/>
      <c r="D2782" s="332"/>
      <c r="E2782" s="333"/>
      <c r="F2782" s="333"/>
      <c r="G2782" s="330"/>
      <c r="H2782" s="330"/>
      <c r="I2782" s="330"/>
      <c r="J2782" s="330"/>
      <c r="K2782" s="330"/>
      <c r="L2782" s="330"/>
      <c r="M2782" s="330"/>
      <c r="N2782" s="330"/>
      <c r="O2782" s="330"/>
      <c r="P2782" s="330"/>
      <c r="Q2782" s="330"/>
      <c r="R2782" s="316"/>
      <c r="S2782" s="404"/>
      <c r="T2782" s="404"/>
      <c r="U2782" s="404"/>
      <c r="V2782" s="404"/>
      <c r="W2782" s="316"/>
      <c r="X2782" s="316"/>
      <c r="Y2782" s="316"/>
      <c r="Z2782" s="316"/>
      <c r="AA2782" s="404"/>
      <c r="AB2782" s="404"/>
      <c r="AC2782" s="404"/>
      <c r="AD2782" s="404"/>
      <c r="AE2782" s="316"/>
      <c r="AF2782" s="316"/>
      <c r="AG2782" s="404"/>
      <c r="AH2782" s="316"/>
      <c r="AI2782" s="316"/>
      <c r="AJ2782" s="316"/>
      <c r="AK2782" s="316"/>
      <c r="AL2782" s="316"/>
      <c r="AM2782" s="416"/>
      <c r="AN2782" s="330"/>
      <c r="AO2782" s="330"/>
      <c r="AP2782" s="330"/>
      <c r="AQ2782" s="330"/>
      <c r="AR2782" s="333"/>
      <c r="AS2782" s="333"/>
      <c r="AT2782" s="333"/>
      <c r="AU2782" s="333"/>
      <c r="AV2782" s="333"/>
      <c r="AW2782" s="330"/>
      <c r="AX2782" s="330"/>
      <c r="AY2782" s="330"/>
    </row>
    <row r="2783" spans="2:51" x14ac:dyDescent="0.25">
      <c r="B2783" s="331"/>
      <c r="C2783" s="332"/>
      <c r="D2783" s="332"/>
      <c r="E2783" s="333"/>
      <c r="F2783" s="333"/>
      <c r="G2783" s="330"/>
      <c r="H2783" s="330"/>
      <c r="I2783" s="330"/>
      <c r="J2783" s="330"/>
      <c r="K2783" s="330"/>
      <c r="L2783" s="330"/>
      <c r="M2783" s="330"/>
      <c r="N2783" s="330"/>
      <c r="O2783" s="330"/>
      <c r="P2783" s="330"/>
      <c r="Q2783" s="330"/>
      <c r="R2783" s="316"/>
      <c r="S2783" s="404"/>
      <c r="T2783" s="404"/>
      <c r="U2783" s="404"/>
      <c r="V2783" s="404"/>
      <c r="W2783" s="316"/>
      <c r="X2783" s="316"/>
      <c r="Y2783" s="316"/>
      <c r="Z2783" s="316"/>
      <c r="AA2783" s="404"/>
      <c r="AB2783" s="404"/>
      <c r="AC2783" s="404"/>
      <c r="AD2783" s="404"/>
      <c r="AE2783" s="316"/>
      <c r="AF2783" s="316"/>
      <c r="AG2783" s="404"/>
      <c r="AH2783" s="316"/>
      <c r="AI2783" s="316"/>
      <c r="AJ2783" s="316"/>
      <c r="AK2783" s="316"/>
      <c r="AL2783" s="316"/>
      <c r="AM2783" s="416"/>
      <c r="AN2783" s="330"/>
      <c r="AO2783" s="330"/>
      <c r="AP2783" s="330"/>
      <c r="AQ2783" s="330"/>
      <c r="AR2783" s="333"/>
      <c r="AS2783" s="333"/>
      <c r="AT2783" s="333"/>
      <c r="AU2783" s="333"/>
      <c r="AV2783" s="333"/>
      <c r="AW2783" s="330"/>
      <c r="AX2783" s="330"/>
      <c r="AY2783" s="330"/>
    </row>
    <row r="2784" spans="2:51" x14ac:dyDescent="0.25">
      <c r="B2784" s="331"/>
      <c r="C2784" s="332"/>
      <c r="D2784" s="332"/>
      <c r="E2784" s="333"/>
      <c r="F2784" s="333"/>
      <c r="G2784" s="330"/>
      <c r="H2784" s="330"/>
      <c r="I2784" s="330"/>
      <c r="J2784" s="330"/>
      <c r="K2784" s="330"/>
      <c r="L2784" s="330"/>
      <c r="M2784" s="330"/>
      <c r="N2784" s="330"/>
      <c r="O2784" s="330"/>
      <c r="P2784" s="330"/>
      <c r="Q2784" s="330"/>
      <c r="R2784" s="316"/>
      <c r="S2784" s="404"/>
      <c r="T2784" s="404"/>
      <c r="U2784" s="404"/>
      <c r="V2784" s="404"/>
      <c r="W2784" s="316"/>
      <c r="X2784" s="316"/>
      <c r="Y2784" s="316"/>
      <c r="Z2784" s="316"/>
      <c r="AA2784" s="404"/>
      <c r="AB2784" s="404"/>
      <c r="AC2784" s="404"/>
      <c r="AD2784" s="404"/>
      <c r="AE2784" s="316"/>
      <c r="AF2784" s="316"/>
      <c r="AG2784" s="404"/>
      <c r="AH2784" s="316"/>
      <c r="AI2784" s="316"/>
      <c r="AJ2784" s="316"/>
      <c r="AK2784" s="316"/>
      <c r="AL2784" s="316"/>
      <c r="AM2784" s="416"/>
      <c r="AN2784" s="330"/>
      <c r="AO2784" s="330"/>
      <c r="AP2784" s="330"/>
      <c r="AQ2784" s="330"/>
      <c r="AR2784" s="333"/>
      <c r="AS2784" s="333"/>
      <c r="AT2784" s="333"/>
      <c r="AU2784" s="333"/>
      <c r="AV2784" s="333"/>
      <c r="AW2784" s="330"/>
      <c r="AX2784" s="330"/>
      <c r="AY2784" s="330"/>
    </row>
    <row r="2785" spans="2:51" x14ac:dyDescent="0.25">
      <c r="B2785" s="331"/>
      <c r="C2785" s="332"/>
      <c r="D2785" s="332"/>
      <c r="E2785" s="333"/>
      <c r="F2785" s="333"/>
      <c r="G2785" s="330"/>
      <c r="H2785" s="330"/>
      <c r="I2785" s="330"/>
      <c r="J2785" s="330"/>
      <c r="K2785" s="330"/>
      <c r="L2785" s="330"/>
      <c r="M2785" s="330"/>
      <c r="N2785" s="330"/>
      <c r="O2785" s="330"/>
      <c r="P2785" s="330"/>
      <c r="Q2785" s="330"/>
      <c r="R2785" s="316"/>
      <c r="S2785" s="404"/>
      <c r="T2785" s="404"/>
      <c r="U2785" s="404"/>
      <c r="V2785" s="404"/>
      <c r="W2785" s="316"/>
      <c r="X2785" s="316"/>
      <c r="Y2785" s="316"/>
      <c r="Z2785" s="316"/>
      <c r="AA2785" s="404"/>
      <c r="AB2785" s="404"/>
      <c r="AC2785" s="404"/>
      <c r="AD2785" s="404"/>
      <c r="AE2785" s="316"/>
      <c r="AF2785" s="316"/>
      <c r="AG2785" s="404"/>
      <c r="AH2785" s="316"/>
      <c r="AI2785" s="316"/>
      <c r="AJ2785" s="316"/>
      <c r="AK2785" s="316"/>
      <c r="AL2785" s="316"/>
      <c r="AM2785" s="416"/>
      <c r="AN2785" s="330"/>
      <c r="AO2785" s="330"/>
      <c r="AP2785" s="330"/>
      <c r="AQ2785" s="330"/>
      <c r="AR2785" s="333"/>
      <c r="AS2785" s="333"/>
      <c r="AT2785" s="333"/>
      <c r="AU2785" s="333"/>
      <c r="AV2785" s="333"/>
      <c r="AW2785" s="330"/>
      <c r="AX2785" s="330"/>
      <c r="AY2785" s="330"/>
    </row>
    <row r="2786" spans="2:51" x14ac:dyDescent="0.25">
      <c r="B2786" s="331"/>
      <c r="C2786" s="332"/>
      <c r="D2786" s="332"/>
      <c r="E2786" s="333"/>
      <c r="F2786" s="333"/>
      <c r="G2786" s="330"/>
      <c r="H2786" s="330"/>
      <c r="I2786" s="330"/>
      <c r="J2786" s="330"/>
      <c r="K2786" s="330"/>
      <c r="L2786" s="330"/>
      <c r="M2786" s="330"/>
      <c r="N2786" s="330"/>
      <c r="O2786" s="330"/>
      <c r="P2786" s="330"/>
      <c r="Q2786" s="330"/>
      <c r="R2786" s="316"/>
      <c r="S2786" s="404"/>
      <c r="T2786" s="404"/>
      <c r="U2786" s="404"/>
      <c r="V2786" s="404"/>
      <c r="W2786" s="316"/>
      <c r="X2786" s="316"/>
      <c r="Y2786" s="316"/>
      <c r="Z2786" s="316"/>
      <c r="AA2786" s="404"/>
      <c r="AB2786" s="404"/>
      <c r="AC2786" s="404"/>
      <c r="AD2786" s="404"/>
      <c r="AE2786" s="316"/>
      <c r="AF2786" s="316"/>
      <c r="AG2786" s="404"/>
      <c r="AH2786" s="316"/>
      <c r="AI2786" s="316"/>
      <c r="AJ2786" s="316"/>
      <c r="AK2786" s="316"/>
      <c r="AL2786" s="316"/>
      <c r="AM2786" s="416"/>
      <c r="AN2786" s="330"/>
      <c r="AO2786" s="330"/>
      <c r="AP2786" s="330"/>
      <c r="AQ2786" s="330"/>
      <c r="AR2786" s="333"/>
      <c r="AS2786" s="333"/>
      <c r="AT2786" s="333"/>
      <c r="AU2786" s="333"/>
      <c r="AV2786" s="333"/>
      <c r="AW2786" s="330"/>
      <c r="AX2786" s="330"/>
      <c r="AY2786" s="330"/>
    </row>
    <row r="2787" spans="2:51" x14ac:dyDescent="0.25">
      <c r="B2787" s="331"/>
      <c r="C2787" s="332"/>
      <c r="D2787" s="332"/>
      <c r="E2787" s="333"/>
      <c r="F2787" s="333"/>
      <c r="G2787" s="330"/>
      <c r="H2787" s="330"/>
      <c r="I2787" s="330"/>
      <c r="J2787" s="330"/>
      <c r="K2787" s="330"/>
      <c r="L2787" s="330"/>
      <c r="M2787" s="330"/>
      <c r="N2787" s="330"/>
      <c r="O2787" s="330"/>
      <c r="P2787" s="330"/>
      <c r="Q2787" s="330"/>
      <c r="R2787" s="316"/>
      <c r="S2787" s="404"/>
      <c r="T2787" s="404"/>
      <c r="U2787" s="404"/>
      <c r="V2787" s="404"/>
      <c r="W2787" s="316"/>
      <c r="X2787" s="316"/>
      <c r="Y2787" s="316"/>
      <c r="Z2787" s="316"/>
      <c r="AA2787" s="404"/>
      <c r="AB2787" s="404"/>
      <c r="AC2787" s="404"/>
      <c r="AD2787" s="404"/>
      <c r="AE2787" s="316"/>
      <c r="AF2787" s="316"/>
      <c r="AG2787" s="404"/>
      <c r="AH2787" s="316"/>
      <c r="AI2787" s="316"/>
      <c r="AJ2787" s="316"/>
      <c r="AK2787" s="316"/>
      <c r="AL2787" s="316"/>
      <c r="AM2787" s="416"/>
      <c r="AN2787" s="330"/>
      <c r="AO2787" s="330"/>
      <c r="AP2787" s="330"/>
      <c r="AQ2787" s="330"/>
      <c r="AR2787" s="333"/>
      <c r="AS2787" s="333"/>
      <c r="AT2787" s="333"/>
      <c r="AU2787" s="333"/>
      <c r="AV2787" s="333"/>
      <c r="AW2787" s="330"/>
      <c r="AX2787" s="330"/>
      <c r="AY2787" s="330"/>
    </row>
    <row r="2788" spans="2:51" x14ac:dyDescent="0.25">
      <c r="B2788" s="331"/>
      <c r="C2788" s="332"/>
      <c r="D2788" s="332"/>
      <c r="E2788" s="333"/>
      <c r="F2788" s="333"/>
      <c r="G2788" s="330"/>
      <c r="H2788" s="330"/>
      <c r="I2788" s="330"/>
      <c r="J2788" s="330"/>
      <c r="K2788" s="330"/>
      <c r="L2788" s="330"/>
      <c r="M2788" s="330"/>
      <c r="N2788" s="330"/>
      <c r="O2788" s="330"/>
      <c r="P2788" s="330"/>
      <c r="Q2788" s="330"/>
      <c r="R2788" s="316"/>
      <c r="S2788" s="404"/>
      <c r="T2788" s="404"/>
      <c r="U2788" s="404"/>
      <c r="V2788" s="404"/>
      <c r="W2788" s="316"/>
      <c r="X2788" s="316"/>
      <c r="Y2788" s="316"/>
      <c r="Z2788" s="316"/>
      <c r="AA2788" s="404"/>
      <c r="AB2788" s="404"/>
      <c r="AC2788" s="404"/>
      <c r="AD2788" s="404"/>
      <c r="AE2788" s="316"/>
      <c r="AF2788" s="316"/>
      <c r="AG2788" s="404"/>
      <c r="AH2788" s="316"/>
      <c r="AI2788" s="316"/>
      <c r="AJ2788" s="316"/>
      <c r="AK2788" s="316"/>
      <c r="AL2788" s="316"/>
      <c r="AM2788" s="416"/>
      <c r="AN2788" s="330"/>
      <c r="AO2788" s="330"/>
      <c r="AP2788" s="330"/>
      <c r="AQ2788" s="330"/>
      <c r="AR2788" s="333"/>
      <c r="AS2788" s="333"/>
      <c r="AT2788" s="333"/>
      <c r="AU2788" s="333"/>
      <c r="AV2788" s="333"/>
      <c r="AW2788" s="330"/>
      <c r="AX2788" s="330"/>
      <c r="AY2788" s="330"/>
    </row>
    <row r="2789" spans="2:51" x14ac:dyDescent="0.25">
      <c r="B2789" s="331"/>
      <c r="C2789" s="332"/>
      <c r="D2789" s="332"/>
      <c r="E2789" s="333"/>
      <c r="F2789" s="333"/>
      <c r="G2789" s="330"/>
      <c r="H2789" s="330"/>
      <c r="I2789" s="330"/>
      <c r="J2789" s="330"/>
      <c r="K2789" s="330"/>
      <c r="L2789" s="330"/>
      <c r="M2789" s="330"/>
      <c r="N2789" s="330"/>
      <c r="O2789" s="330"/>
      <c r="P2789" s="330"/>
      <c r="Q2789" s="330"/>
      <c r="R2789" s="316"/>
      <c r="S2789" s="404"/>
      <c r="T2789" s="404"/>
      <c r="U2789" s="404"/>
      <c r="V2789" s="404"/>
      <c r="W2789" s="316"/>
      <c r="X2789" s="316"/>
      <c r="Y2789" s="316"/>
      <c r="Z2789" s="316"/>
      <c r="AA2789" s="404"/>
      <c r="AB2789" s="404"/>
      <c r="AC2789" s="404"/>
      <c r="AD2789" s="404"/>
      <c r="AE2789" s="316"/>
      <c r="AF2789" s="316"/>
      <c r="AG2789" s="404"/>
      <c r="AH2789" s="316"/>
      <c r="AI2789" s="316"/>
      <c r="AJ2789" s="316"/>
      <c r="AK2789" s="316"/>
      <c r="AL2789" s="316"/>
      <c r="AM2789" s="416"/>
      <c r="AN2789" s="330"/>
      <c r="AO2789" s="330"/>
      <c r="AP2789" s="330"/>
      <c r="AQ2789" s="330"/>
      <c r="AR2789" s="333"/>
      <c r="AS2789" s="333"/>
      <c r="AT2789" s="333"/>
      <c r="AU2789" s="333"/>
      <c r="AV2789" s="333"/>
      <c r="AW2789" s="330"/>
      <c r="AX2789" s="330"/>
      <c r="AY2789" s="330"/>
    </row>
    <row r="2790" spans="2:51" x14ac:dyDescent="0.25">
      <c r="B2790" s="331"/>
      <c r="C2790" s="332"/>
      <c r="D2790" s="332"/>
      <c r="E2790" s="333"/>
      <c r="F2790" s="333"/>
      <c r="G2790" s="330"/>
      <c r="H2790" s="330"/>
      <c r="I2790" s="330"/>
      <c r="J2790" s="330"/>
      <c r="K2790" s="330"/>
      <c r="L2790" s="330"/>
      <c r="M2790" s="330"/>
      <c r="N2790" s="330"/>
      <c r="O2790" s="330"/>
      <c r="P2790" s="330"/>
      <c r="Q2790" s="330"/>
      <c r="R2790" s="316"/>
      <c r="S2790" s="404"/>
      <c r="T2790" s="404"/>
      <c r="U2790" s="404"/>
      <c r="V2790" s="404"/>
      <c r="W2790" s="316"/>
      <c r="X2790" s="316"/>
      <c r="Y2790" s="316"/>
      <c r="Z2790" s="316"/>
      <c r="AA2790" s="404"/>
      <c r="AB2790" s="404"/>
      <c r="AC2790" s="404"/>
      <c r="AD2790" s="404"/>
      <c r="AE2790" s="316"/>
      <c r="AF2790" s="316"/>
      <c r="AG2790" s="404"/>
      <c r="AH2790" s="316"/>
      <c r="AI2790" s="316"/>
      <c r="AJ2790" s="316"/>
      <c r="AK2790" s="316"/>
      <c r="AL2790" s="316"/>
      <c r="AM2790" s="416"/>
      <c r="AN2790" s="330"/>
      <c r="AO2790" s="330"/>
      <c r="AP2790" s="330"/>
      <c r="AQ2790" s="330"/>
      <c r="AR2790" s="333"/>
      <c r="AS2790" s="333"/>
      <c r="AT2790" s="333"/>
      <c r="AU2790" s="333"/>
      <c r="AV2790" s="333"/>
      <c r="AW2790" s="330"/>
      <c r="AX2790" s="330"/>
      <c r="AY2790" s="330"/>
    </row>
    <row r="2791" spans="2:51" x14ac:dyDescent="0.25">
      <c r="B2791" s="331"/>
      <c r="C2791" s="332"/>
      <c r="D2791" s="332"/>
      <c r="E2791" s="333"/>
      <c r="F2791" s="333"/>
      <c r="G2791" s="330"/>
      <c r="H2791" s="330"/>
      <c r="I2791" s="330"/>
      <c r="J2791" s="330"/>
      <c r="K2791" s="330"/>
      <c r="L2791" s="330"/>
      <c r="M2791" s="330"/>
      <c r="N2791" s="330"/>
      <c r="O2791" s="330"/>
      <c r="P2791" s="330"/>
      <c r="Q2791" s="330"/>
      <c r="R2791" s="316"/>
      <c r="S2791" s="404"/>
      <c r="T2791" s="404"/>
      <c r="U2791" s="404"/>
      <c r="V2791" s="404"/>
      <c r="W2791" s="316"/>
      <c r="X2791" s="316"/>
      <c r="Y2791" s="316"/>
      <c r="Z2791" s="316"/>
      <c r="AA2791" s="404"/>
      <c r="AB2791" s="404"/>
      <c r="AC2791" s="404"/>
      <c r="AD2791" s="404"/>
      <c r="AE2791" s="316"/>
      <c r="AF2791" s="316"/>
      <c r="AG2791" s="404"/>
      <c r="AH2791" s="316"/>
      <c r="AI2791" s="316"/>
      <c r="AJ2791" s="316"/>
      <c r="AK2791" s="316"/>
      <c r="AL2791" s="316"/>
      <c r="AM2791" s="416"/>
      <c r="AN2791" s="330"/>
      <c r="AO2791" s="330"/>
      <c r="AP2791" s="330"/>
      <c r="AQ2791" s="330"/>
      <c r="AR2791" s="333"/>
      <c r="AS2791" s="333"/>
      <c r="AT2791" s="333"/>
      <c r="AU2791" s="333"/>
      <c r="AV2791" s="333"/>
      <c r="AW2791" s="330"/>
      <c r="AX2791" s="330"/>
      <c r="AY2791" s="330"/>
    </row>
    <row r="2792" spans="2:51" x14ac:dyDescent="0.25">
      <c r="B2792" s="331"/>
      <c r="C2792" s="332"/>
      <c r="D2792" s="332"/>
      <c r="E2792" s="333"/>
      <c r="F2792" s="333"/>
      <c r="G2792" s="330"/>
      <c r="H2792" s="330"/>
      <c r="I2792" s="330"/>
      <c r="J2792" s="330"/>
      <c r="K2792" s="330"/>
      <c r="L2792" s="330"/>
      <c r="M2792" s="330"/>
      <c r="N2792" s="330"/>
      <c r="O2792" s="330"/>
      <c r="P2792" s="330"/>
      <c r="Q2792" s="330"/>
      <c r="R2792" s="316"/>
      <c r="S2792" s="404"/>
      <c r="T2792" s="404"/>
      <c r="U2792" s="404"/>
      <c r="V2792" s="404"/>
      <c r="W2792" s="316"/>
      <c r="X2792" s="316"/>
      <c r="Y2792" s="316"/>
      <c r="Z2792" s="316"/>
      <c r="AA2792" s="404"/>
      <c r="AB2792" s="404"/>
      <c r="AC2792" s="404"/>
      <c r="AD2792" s="404"/>
      <c r="AE2792" s="316"/>
      <c r="AF2792" s="316"/>
      <c r="AG2792" s="404"/>
      <c r="AH2792" s="316"/>
      <c r="AI2792" s="316"/>
      <c r="AJ2792" s="316"/>
      <c r="AK2792" s="316"/>
      <c r="AL2792" s="316"/>
      <c r="AM2792" s="416"/>
      <c r="AN2792" s="330"/>
      <c r="AO2792" s="330"/>
      <c r="AP2792" s="330"/>
      <c r="AQ2792" s="330"/>
      <c r="AR2792" s="333"/>
      <c r="AS2792" s="333"/>
      <c r="AT2792" s="333"/>
      <c r="AU2792" s="333"/>
      <c r="AV2792" s="333"/>
      <c r="AW2792" s="330"/>
      <c r="AX2792" s="330"/>
      <c r="AY2792" s="330"/>
    </row>
    <row r="2793" spans="2:51" x14ac:dyDescent="0.25">
      <c r="B2793" s="331"/>
      <c r="C2793" s="332"/>
      <c r="D2793" s="332"/>
      <c r="E2793" s="333"/>
      <c r="F2793" s="333"/>
      <c r="G2793" s="330"/>
      <c r="H2793" s="330"/>
      <c r="I2793" s="330"/>
      <c r="J2793" s="330"/>
      <c r="K2793" s="330"/>
      <c r="L2793" s="330"/>
      <c r="M2793" s="330"/>
      <c r="N2793" s="330"/>
      <c r="O2793" s="330"/>
      <c r="P2793" s="330"/>
      <c r="Q2793" s="330"/>
      <c r="R2793" s="316"/>
      <c r="S2793" s="404"/>
      <c r="T2793" s="404"/>
      <c r="U2793" s="404"/>
      <c r="V2793" s="404"/>
      <c r="W2793" s="316"/>
      <c r="X2793" s="316"/>
      <c r="Y2793" s="316"/>
      <c r="Z2793" s="316"/>
      <c r="AA2793" s="404"/>
      <c r="AB2793" s="404"/>
      <c r="AC2793" s="404"/>
      <c r="AD2793" s="404"/>
      <c r="AE2793" s="316"/>
      <c r="AF2793" s="316"/>
      <c r="AG2793" s="404"/>
      <c r="AH2793" s="316"/>
      <c r="AI2793" s="316"/>
      <c r="AJ2793" s="316"/>
      <c r="AK2793" s="316"/>
      <c r="AL2793" s="316"/>
      <c r="AM2793" s="416"/>
      <c r="AN2793" s="330"/>
      <c r="AO2793" s="330"/>
      <c r="AP2793" s="330"/>
      <c r="AQ2793" s="330"/>
      <c r="AR2793" s="333"/>
      <c r="AS2793" s="333"/>
      <c r="AT2793" s="333"/>
      <c r="AU2793" s="333"/>
      <c r="AV2793" s="333"/>
      <c r="AW2793" s="330"/>
      <c r="AX2793" s="330"/>
      <c r="AY2793" s="330"/>
    </row>
    <row r="2794" spans="2:51" x14ac:dyDescent="0.25">
      <c r="B2794" s="331"/>
      <c r="C2794" s="332"/>
      <c r="D2794" s="332"/>
      <c r="E2794" s="333"/>
      <c r="F2794" s="333"/>
      <c r="G2794" s="330"/>
      <c r="H2794" s="330"/>
      <c r="I2794" s="330"/>
      <c r="J2794" s="330"/>
      <c r="K2794" s="330"/>
      <c r="L2794" s="330"/>
      <c r="M2794" s="330"/>
      <c r="N2794" s="330"/>
      <c r="O2794" s="330"/>
      <c r="P2794" s="330"/>
      <c r="Q2794" s="330"/>
      <c r="R2794" s="316"/>
      <c r="S2794" s="404"/>
      <c r="T2794" s="404"/>
      <c r="U2794" s="404"/>
      <c r="V2794" s="404"/>
      <c r="W2794" s="316"/>
      <c r="X2794" s="316"/>
      <c r="Y2794" s="316"/>
      <c r="Z2794" s="316"/>
      <c r="AA2794" s="404"/>
      <c r="AB2794" s="404"/>
      <c r="AC2794" s="404"/>
      <c r="AD2794" s="404"/>
      <c r="AE2794" s="316"/>
      <c r="AF2794" s="316"/>
      <c r="AG2794" s="404"/>
      <c r="AH2794" s="316"/>
      <c r="AI2794" s="316"/>
      <c r="AJ2794" s="316"/>
      <c r="AK2794" s="316"/>
      <c r="AL2794" s="316"/>
      <c r="AM2794" s="416"/>
      <c r="AN2794" s="330"/>
      <c r="AO2794" s="330"/>
      <c r="AP2794" s="330"/>
      <c r="AQ2794" s="330"/>
      <c r="AR2794" s="333"/>
      <c r="AS2794" s="333"/>
      <c r="AT2794" s="333"/>
      <c r="AU2794" s="333"/>
      <c r="AV2794" s="333"/>
      <c r="AW2794" s="330"/>
      <c r="AX2794" s="330"/>
      <c r="AY2794" s="330"/>
    </row>
    <row r="2795" spans="2:51" x14ac:dyDescent="0.25">
      <c r="B2795" s="331"/>
      <c r="C2795" s="332"/>
      <c r="D2795" s="332"/>
      <c r="E2795" s="333"/>
      <c r="F2795" s="333"/>
      <c r="G2795" s="330"/>
      <c r="H2795" s="330"/>
      <c r="I2795" s="330"/>
      <c r="J2795" s="330"/>
      <c r="K2795" s="330"/>
      <c r="L2795" s="330"/>
      <c r="M2795" s="330"/>
      <c r="N2795" s="330"/>
      <c r="O2795" s="330"/>
      <c r="P2795" s="330"/>
      <c r="Q2795" s="330"/>
      <c r="R2795" s="316"/>
      <c r="S2795" s="404"/>
      <c r="T2795" s="404"/>
      <c r="U2795" s="404"/>
      <c r="V2795" s="404"/>
      <c r="W2795" s="316"/>
      <c r="X2795" s="316"/>
      <c r="Y2795" s="316"/>
      <c r="Z2795" s="316"/>
      <c r="AA2795" s="404"/>
      <c r="AB2795" s="404"/>
      <c r="AC2795" s="404"/>
      <c r="AD2795" s="404"/>
      <c r="AE2795" s="316"/>
      <c r="AF2795" s="316"/>
      <c r="AG2795" s="404"/>
      <c r="AH2795" s="316"/>
      <c r="AI2795" s="316"/>
      <c r="AJ2795" s="316"/>
      <c r="AK2795" s="316"/>
      <c r="AL2795" s="316"/>
      <c r="AM2795" s="416"/>
      <c r="AN2795" s="330"/>
      <c r="AO2795" s="330"/>
      <c r="AP2795" s="330"/>
      <c r="AQ2795" s="330"/>
      <c r="AR2795" s="333"/>
      <c r="AS2795" s="333"/>
      <c r="AT2795" s="333"/>
      <c r="AU2795" s="333"/>
      <c r="AV2795" s="333"/>
      <c r="AW2795" s="330"/>
      <c r="AX2795" s="330"/>
      <c r="AY2795" s="330"/>
    </row>
    <row r="2796" spans="2:51" x14ac:dyDescent="0.25">
      <c r="B2796" s="331"/>
      <c r="C2796" s="332"/>
      <c r="D2796" s="332"/>
      <c r="E2796" s="333"/>
      <c r="F2796" s="333"/>
      <c r="G2796" s="330"/>
      <c r="H2796" s="330"/>
      <c r="I2796" s="330"/>
      <c r="J2796" s="330"/>
      <c r="K2796" s="330"/>
      <c r="L2796" s="330"/>
      <c r="M2796" s="330"/>
      <c r="N2796" s="330"/>
      <c r="O2796" s="330"/>
      <c r="P2796" s="330"/>
      <c r="Q2796" s="330"/>
      <c r="R2796" s="316"/>
      <c r="S2796" s="404"/>
      <c r="T2796" s="404"/>
      <c r="U2796" s="404"/>
      <c r="V2796" s="404"/>
      <c r="W2796" s="316"/>
      <c r="X2796" s="316"/>
      <c r="Y2796" s="316"/>
      <c r="Z2796" s="316"/>
      <c r="AA2796" s="404"/>
      <c r="AB2796" s="404"/>
      <c r="AC2796" s="404"/>
      <c r="AD2796" s="404"/>
      <c r="AE2796" s="316"/>
      <c r="AF2796" s="316"/>
      <c r="AG2796" s="404"/>
      <c r="AH2796" s="316"/>
      <c r="AI2796" s="316"/>
      <c r="AJ2796" s="316"/>
      <c r="AK2796" s="316"/>
      <c r="AL2796" s="316"/>
      <c r="AM2796" s="416"/>
      <c r="AN2796" s="330"/>
      <c r="AO2796" s="330"/>
      <c r="AP2796" s="330"/>
      <c r="AQ2796" s="330"/>
      <c r="AR2796" s="333"/>
      <c r="AS2796" s="333"/>
      <c r="AT2796" s="333"/>
      <c r="AU2796" s="333"/>
      <c r="AV2796" s="333"/>
      <c r="AW2796" s="330"/>
      <c r="AX2796" s="330"/>
      <c r="AY2796" s="330"/>
    </row>
    <row r="2797" spans="2:51" x14ac:dyDescent="0.25">
      <c r="B2797" s="331"/>
      <c r="C2797" s="332"/>
      <c r="D2797" s="332"/>
      <c r="E2797" s="333"/>
      <c r="F2797" s="333"/>
      <c r="G2797" s="330"/>
      <c r="H2797" s="330"/>
      <c r="I2797" s="330"/>
      <c r="J2797" s="330"/>
      <c r="K2797" s="330"/>
      <c r="L2797" s="330"/>
      <c r="M2797" s="330"/>
      <c r="N2797" s="330"/>
      <c r="O2797" s="330"/>
      <c r="P2797" s="330"/>
      <c r="Q2797" s="330"/>
      <c r="R2797" s="316"/>
      <c r="S2797" s="404"/>
      <c r="T2797" s="404"/>
      <c r="U2797" s="404"/>
      <c r="V2797" s="404"/>
      <c r="W2797" s="316"/>
      <c r="X2797" s="316"/>
      <c r="Y2797" s="316"/>
      <c r="Z2797" s="316"/>
      <c r="AA2797" s="404"/>
      <c r="AB2797" s="404"/>
      <c r="AC2797" s="404"/>
      <c r="AD2797" s="404"/>
      <c r="AE2797" s="316"/>
      <c r="AF2797" s="316"/>
      <c r="AG2797" s="404"/>
      <c r="AH2797" s="316"/>
      <c r="AI2797" s="316"/>
      <c r="AJ2797" s="316"/>
      <c r="AK2797" s="316"/>
      <c r="AL2797" s="316"/>
      <c r="AM2797" s="416"/>
      <c r="AN2797" s="330"/>
      <c r="AO2797" s="330"/>
      <c r="AP2797" s="330"/>
      <c r="AQ2797" s="330"/>
      <c r="AR2797" s="333"/>
      <c r="AS2797" s="333"/>
      <c r="AT2797" s="333"/>
      <c r="AU2797" s="333"/>
      <c r="AV2797" s="333"/>
      <c r="AW2797" s="330"/>
      <c r="AX2797" s="330"/>
      <c r="AY2797" s="330"/>
    </row>
    <row r="2798" spans="2:51" x14ac:dyDescent="0.25">
      <c r="B2798" s="331"/>
      <c r="C2798" s="332"/>
      <c r="D2798" s="332"/>
      <c r="E2798" s="333"/>
      <c r="F2798" s="333"/>
      <c r="G2798" s="330"/>
      <c r="H2798" s="330"/>
      <c r="I2798" s="330"/>
      <c r="J2798" s="330"/>
      <c r="K2798" s="330"/>
      <c r="L2798" s="330"/>
      <c r="M2798" s="330"/>
      <c r="N2798" s="330"/>
      <c r="O2798" s="330"/>
      <c r="P2798" s="330"/>
      <c r="Q2798" s="330"/>
      <c r="R2798" s="316"/>
      <c r="S2798" s="404"/>
      <c r="T2798" s="404"/>
      <c r="U2798" s="404"/>
      <c r="V2798" s="404"/>
      <c r="W2798" s="316"/>
      <c r="X2798" s="316"/>
      <c r="Y2798" s="316"/>
      <c r="Z2798" s="316"/>
      <c r="AA2798" s="404"/>
      <c r="AB2798" s="404"/>
      <c r="AC2798" s="404"/>
      <c r="AD2798" s="404"/>
      <c r="AE2798" s="316"/>
      <c r="AF2798" s="316"/>
      <c r="AG2798" s="404"/>
      <c r="AH2798" s="316"/>
      <c r="AI2798" s="316"/>
      <c r="AJ2798" s="316"/>
      <c r="AK2798" s="316"/>
      <c r="AL2798" s="316"/>
      <c r="AM2798" s="416"/>
      <c r="AN2798" s="330"/>
      <c r="AO2798" s="330"/>
      <c r="AP2798" s="330"/>
      <c r="AQ2798" s="330"/>
      <c r="AR2798" s="333"/>
      <c r="AS2798" s="333"/>
      <c r="AT2798" s="333"/>
      <c r="AU2798" s="333"/>
      <c r="AV2798" s="333"/>
      <c r="AW2798" s="330"/>
      <c r="AX2798" s="330"/>
      <c r="AY2798" s="330"/>
    </row>
    <row r="2799" spans="2:51" x14ac:dyDescent="0.25">
      <c r="B2799" s="331"/>
      <c r="C2799" s="332"/>
      <c r="D2799" s="332"/>
      <c r="E2799" s="333"/>
      <c r="F2799" s="333"/>
      <c r="G2799" s="330"/>
      <c r="H2799" s="330"/>
      <c r="I2799" s="330"/>
      <c r="J2799" s="330"/>
      <c r="K2799" s="330"/>
      <c r="L2799" s="330"/>
      <c r="M2799" s="330"/>
      <c r="N2799" s="330"/>
      <c r="O2799" s="330"/>
      <c r="P2799" s="330"/>
      <c r="Q2799" s="330"/>
      <c r="R2799" s="316"/>
      <c r="S2799" s="404"/>
      <c r="T2799" s="404"/>
      <c r="U2799" s="404"/>
      <c r="V2799" s="404"/>
      <c r="W2799" s="316"/>
      <c r="X2799" s="316"/>
      <c r="Y2799" s="316"/>
      <c r="Z2799" s="316"/>
      <c r="AA2799" s="404"/>
      <c r="AB2799" s="404"/>
      <c r="AC2799" s="404"/>
      <c r="AD2799" s="404"/>
      <c r="AE2799" s="316"/>
      <c r="AF2799" s="316"/>
      <c r="AG2799" s="404"/>
      <c r="AH2799" s="316"/>
      <c r="AI2799" s="316"/>
      <c r="AJ2799" s="316"/>
      <c r="AK2799" s="316"/>
      <c r="AL2799" s="316"/>
      <c r="AM2799" s="416"/>
      <c r="AN2799" s="330"/>
      <c r="AO2799" s="330"/>
      <c r="AP2799" s="330"/>
      <c r="AQ2799" s="330"/>
      <c r="AR2799" s="333"/>
      <c r="AS2799" s="333"/>
      <c r="AT2799" s="333"/>
      <c r="AU2799" s="333"/>
      <c r="AV2799" s="333"/>
      <c r="AW2799" s="330"/>
      <c r="AX2799" s="330"/>
      <c r="AY2799" s="330"/>
    </row>
    <row r="2800" spans="2:51" x14ac:dyDescent="0.25">
      <c r="B2800" s="331"/>
      <c r="C2800" s="332"/>
      <c r="D2800" s="332"/>
      <c r="E2800" s="333"/>
      <c r="F2800" s="333"/>
      <c r="G2800" s="330"/>
      <c r="H2800" s="330"/>
      <c r="I2800" s="330"/>
      <c r="J2800" s="330"/>
      <c r="K2800" s="330"/>
      <c r="L2800" s="330"/>
      <c r="M2800" s="330"/>
      <c r="N2800" s="330"/>
      <c r="O2800" s="330"/>
      <c r="P2800" s="330"/>
      <c r="Q2800" s="330"/>
      <c r="R2800" s="316"/>
      <c r="S2800" s="404"/>
      <c r="T2800" s="404"/>
      <c r="U2800" s="404"/>
      <c r="V2800" s="404"/>
      <c r="W2800" s="316"/>
      <c r="X2800" s="316"/>
      <c r="Y2800" s="316"/>
      <c r="Z2800" s="316"/>
      <c r="AA2800" s="404"/>
      <c r="AB2800" s="404"/>
      <c r="AC2800" s="404"/>
      <c r="AD2800" s="404"/>
      <c r="AE2800" s="316"/>
      <c r="AF2800" s="316"/>
      <c r="AG2800" s="404"/>
      <c r="AH2800" s="316"/>
      <c r="AI2800" s="316"/>
      <c r="AJ2800" s="316"/>
      <c r="AK2800" s="316"/>
      <c r="AL2800" s="316"/>
      <c r="AM2800" s="416"/>
      <c r="AN2800" s="330"/>
      <c r="AO2800" s="330"/>
      <c r="AP2800" s="330"/>
      <c r="AQ2800" s="330"/>
      <c r="AR2800" s="333"/>
      <c r="AS2800" s="333"/>
      <c r="AT2800" s="333"/>
      <c r="AU2800" s="333"/>
      <c r="AV2800" s="333"/>
      <c r="AW2800" s="330"/>
      <c r="AX2800" s="330"/>
      <c r="AY2800" s="330"/>
    </row>
    <row r="2801" spans="2:51" x14ac:dyDescent="0.25">
      <c r="B2801" s="331"/>
      <c r="C2801" s="332"/>
      <c r="D2801" s="332"/>
      <c r="E2801" s="333"/>
      <c r="F2801" s="333"/>
      <c r="G2801" s="330"/>
      <c r="H2801" s="330"/>
      <c r="I2801" s="330"/>
      <c r="J2801" s="330"/>
      <c r="K2801" s="330"/>
      <c r="L2801" s="330"/>
      <c r="M2801" s="330"/>
      <c r="N2801" s="330"/>
      <c r="O2801" s="330"/>
      <c r="P2801" s="330"/>
      <c r="Q2801" s="330"/>
      <c r="R2801" s="316"/>
      <c r="S2801" s="404"/>
      <c r="T2801" s="404"/>
      <c r="U2801" s="404"/>
      <c r="V2801" s="404"/>
      <c r="W2801" s="316"/>
      <c r="X2801" s="316"/>
      <c r="Y2801" s="316"/>
      <c r="Z2801" s="316"/>
      <c r="AA2801" s="404"/>
      <c r="AB2801" s="404"/>
      <c r="AC2801" s="404"/>
      <c r="AD2801" s="404"/>
      <c r="AE2801" s="316"/>
      <c r="AF2801" s="316"/>
      <c r="AG2801" s="404"/>
      <c r="AH2801" s="316"/>
      <c r="AI2801" s="316"/>
      <c r="AJ2801" s="316"/>
      <c r="AK2801" s="316"/>
      <c r="AL2801" s="316"/>
      <c r="AM2801" s="416"/>
      <c r="AN2801" s="330"/>
      <c r="AO2801" s="330"/>
      <c r="AP2801" s="330"/>
      <c r="AQ2801" s="330"/>
      <c r="AR2801" s="333"/>
      <c r="AS2801" s="333"/>
      <c r="AT2801" s="333"/>
      <c r="AU2801" s="333"/>
      <c r="AV2801" s="333"/>
      <c r="AW2801" s="330"/>
      <c r="AX2801" s="330"/>
      <c r="AY2801" s="330"/>
    </row>
    <row r="2802" spans="2:51" x14ac:dyDescent="0.25">
      <c r="B2802" s="331"/>
      <c r="C2802" s="332"/>
      <c r="D2802" s="332"/>
      <c r="E2802" s="333"/>
      <c r="F2802" s="333"/>
      <c r="G2802" s="330"/>
      <c r="H2802" s="330"/>
      <c r="I2802" s="330"/>
      <c r="J2802" s="330"/>
      <c r="K2802" s="330"/>
      <c r="L2802" s="330"/>
      <c r="M2802" s="330"/>
      <c r="N2802" s="330"/>
      <c r="O2802" s="330"/>
      <c r="P2802" s="330"/>
      <c r="Q2802" s="330"/>
      <c r="R2802" s="316"/>
      <c r="S2802" s="404"/>
      <c r="T2802" s="404"/>
      <c r="U2802" s="404"/>
      <c r="V2802" s="404"/>
      <c r="W2802" s="316"/>
      <c r="X2802" s="316"/>
      <c r="Y2802" s="316"/>
      <c r="Z2802" s="316"/>
      <c r="AA2802" s="404"/>
      <c r="AB2802" s="404"/>
      <c r="AC2802" s="404"/>
      <c r="AD2802" s="404"/>
      <c r="AE2802" s="316"/>
      <c r="AF2802" s="316"/>
      <c r="AG2802" s="404"/>
      <c r="AH2802" s="316"/>
      <c r="AI2802" s="316"/>
      <c r="AJ2802" s="316"/>
      <c r="AK2802" s="316"/>
      <c r="AL2802" s="316"/>
      <c r="AM2802" s="416"/>
      <c r="AN2802" s="330"/>
      <c r="AO2802" s="330"/>
      <c r="AP2802" s="330"/>
      <c r="AQ2802" s="330"/>
      <c r="AR2802" s="333"/>
      <c r="AS2802" s="333"/>
      <c r="AT2802" s="333"/>
      <c r="AU2802" s="333"/>
      <c r="AV2802" s="333"/>
      <c r="AW2802" s="330"/>
      <c r="AX2802" s="330"/>
      <c r="AY2802" s="330"/>
    </row>
    <row r="2803" spans="2:51" x14ac:dyDescent="0.25">
      <c r="B2803" s="331"/>
      <c r="C2803" s="332"/>
      <c r="D2803" s="332"/>
      <c r="E2803" s="333"/>
      <c r="F2803" s="333"/>
      <c r="G2803" s="330"/>
      <c r="H2803" s="330"/>
      <c r="I2803" s="330"/>
      <c r="J2803" s="330"/>
      <c r="K2803" s="330"/>
      <c r="L2803" s="330"/>
      <c r="M2803" s="330"/>
      <c r="N2803" s="330"/>
      <c r="O2803" s="330"/>
      <c r="P2803" s="330"/>
      <c r="Q2803" s="330"/>
      <c r="R2803" s="316"/>
      <c r="S2803" s="404"/>
      <c r="T2803" s="404"/>
      <c r="U2803" s="404"/>
      <c r="V2803" s="404"/>
      <c r="W2803" s="316"/>
      <c r="X2803" s="316"/>
      <c r="Y2803" s="316"/>
      <c r="Z2803" s="316"/>
      <c r="AA2803" s="404"/>
      <c r="AB2803" s="404"/>
      <c r="AC2803" s="404"/>
      <c r="AD2803" s="404"/>
      <c r="AE2803" s="316"/>
      <c r="AF2803" s="316"/>
      <c r="AG2803" s="404"/>
      <c r="AH2803" s="316"/>
      <c r="AI2803" s="316"/>
      <c r="AJ2803" s="316"/>
      <c r="AK2803" s="316"/>
      <c r="AL2803" s="316"/>
      <c r="AM2803" s="416"/>
      <c r="AN2803" s="330"/>
      <c r="AO2803" s="330"/>
      <c r="AP2803" s="330"/>
      <c r="AQ2803" s="330"/>
      <c r="AR2803" s="333"/>
      <c r="AS2803" s="333"/>
      <c r="AT2803" s="333"/>
      <c r="AU2803" s="333"/>
      <c r="AV2803" s="333"/>
      <c r="AW2803" s="330"/>
      <c r="AX2803" s="330"/>
      <c r="AY2803" s="330"/>
    </row>
    <row r="2804" spans="2:51" x14ac:dyDescent="0.25">
      <c r="B2804" s="331"/>
      <c r="C2804" s="332"/>
      <c r="D2804" s="332"/>
      <c r="E2804" s="333"/>
      <c r="F2804" s="333"/>
      <c r="G2804" s="330"/>
      <c r="H2804" s="330"/>
      <c r="I2804" s="330"/>
      <c r="J2804" s="330"/>
      <c r="K2804" s="330"/>
      <c r="L2804" s="330"/>
      <c r="M2804" s="330"/>
      <c r="N2804" s="330"/>
      <c r="O2804" s="330"/>
      <c r="P2804" s="330"/>
      <c r="Q2804" s="330"/>
      <c r="R2804" s="316"/>
      <c r="S2804" s="404"/>
      <c r="T2804" s="404"/>
      <c r="U2804" s="404"/>
      <c r="V2804" s="404"/>
      <c r="W2804" s="316"/>
      <c r="X2804" s="316"/>
      <c r="Y2804" s="316"/>
      <c r="Z2804" s="316"/>
      <c r="AA2804" s="404"/>
      <c r="AB2804" s="404"/>
      <c r="AC2804" s="404"/>
      <c r="AD2804" s="404"/>
      <c r="AE2804" s="316"/>
      <c r="AF2804" s="316"/>
      <c r="AG2804" s="404"/>
      <c r="AH2804" s="316"/>
      <c r="AI2804" s="316"/>
      <c r="AJ2804" s="316"/>
      <c r="AK2804" s="316"/>
      <c r="AL2804" s="316"/>
      <c r="AM2804" s="416"/>
      <c r="AN2804" s="330"/>
      <c r="AO2804" s="330"/>
      <c r="AP2804" s="330"/>
      <c r="AQ2804" s="330"/>
      <c r="AR2804" s="333"/>
      <c r="AS2804" s="333"/>
      <c r="AT2804" s="333"/>
      <c r="AU2804" s="333"/>
      <c r="AV2804" s="333"/>
      <c r="AW2804" s="330"/>
      <c r="AX2804" s="330"/>
      <c r="AY2804" s="330"/>
    </row>
    <row r="2805" spans="2:51" x14ac:dyDescent="0.25">
      <c r="B2805" s="331"/>
      <c r="C2805" s="332"/>
      <c r="D2805" s="332"/>
      <c r="E2805" s="333"/>
      <c r="F2805" s="333"/>
      <c r="G2805" s="330"/>
      <c r="H2805" s="330"/>
      <c r="I2805" s="330"/>
      <c r="J2805" s="330"/>
      <c r="K2805" s="330"/>
      <c r="L2805" s="330"/>
      <c r="M2805" s="330"/>
      <c r="N2805" s="330"/>
      <c r="O2805" s="330"/>
      <c r="P2805" s="330"/>
      <c r="Q2805" s="330"/>
      <c r="R2805" s="316"/>
      <c r="S2805" s="404"/>
      <c r="T2805" s="404"/>
      <c r="U2805" s="404"/>
      <c r="V2805" s="404"/>
      <c r="W2805" s="316"/>
      <c r="X2805" s="316"/>
      <c r="Y2805" s="316"/>
      <c r="Z2805" s="316"/>
      <c r="AA2805" s="404"/>
      <c r="AB2805" s="404"/>
      <c r="AC2805" s="404"/>
      <c r="AD2805" s="404"/>
      <c r="AE2805" s="316"/>
      <c r="AF2805" s="316"/>
      <c r="AG2805" s="404"/>
      <c r="AH2805" s="316"/>
      <c r="AI2805" s="316"/>
      <c r="AJ2805" s="316"/>
      <c r="AK2805" s="316"/>
      <c r="AL2805" s="316"/>
      <c r="AM2805" s="416"/>
      <c r="AN2805" s="330"/>
      <c r="AO2805" s="330"/>
      <c r="AP2805" s="330"/>
      <c r="AQ2805" s="330"/>
      <c r="AR2805" s="333"/>
      <c r="AS2805" s="333"/>
      <c r="AT2805" s="333"/>
      <c r="AU2805" s="333"/>
      <c r="AV2805" s="333"/>
      <c r="AW2805" s="330"/>
      <c r="AX2805" s="330"/>
      <c r="AY2805" s="330"/>
    </row>
    <row r="2806" spans="2:51" x14ac:dyDescent="0.25">
      <c r="B2806" s="331"/>
      <c r="C2806" s="332"/>
      <c r="D2806" s="332"/>
      <c r="E2806" s="333"/>
      <c r="F2806" s="333"/>
      <c r="G2806" s="330"/>
      <c r="H2806" s="330"/>
      <c r="I2806" s="330"/>
      <c r="J2806" s="330"/>
      <c r="K2806" s="330"/>
      <c r="L2806" s="330"/>
      <c r="M2806" s="330"/>
      <c r="N2806" s="330"/>
      <c r="O2806" s="330"/>
      <c r="P2806" s="330"/>
      <c r="Q2806" s="330"/>
      <c r="R2806" s="316"/>
      <c r="S2806" s="404"/>
      <c r="T2806" s="404"/>
      <c r="U2806" s="404"/>
      <c r="V2806" s="404"/>
      <c r="W2806" s="316"/>
      <c r="X2806" s="316"/>
      <c r="Y2806" s="316"/>
      <c r="Z2806" s="316"/>
      <c r="AA2806" s="404"/>
      <c r="AB2806" s="404"/>
      <c r="AC2806" s="404"/>
      <c r="AD2806" s="404"/>
      <c r="AE2806" s="316"/>
      <c r="AF2806" s="316"/>
      <c r="AG2806" s="404"/>
      <c r="AH2806" s="316"/>
      <c r="AI2806" s="316"/>
      <c r="AJ2806" s="316"/>
      <c r="AK2806" s="316"/>
      <c r="AL2806" s="316"/>
      <c r="AM2806" s="416"/>
      <c r="AN2806" s="330"/>
      <c r="AO2806" s="330"/>
      <c r="AP2806" s="330"/>
      <c r="AQ2806" s="330"/>
      <c r="AR2806" s="333"/>
      <c r="AS2806" s="333"/>
      <c r="AT2806" s="333"/>
      <c r="AU2806" s="333"/>
      <c r="AV2806" s="333"/>
      <c r="AW2806" s="330"/>
      <c r="AX2806" s="330"/>
      <c r="AY2806" s="330"/>
    </row>
    <row r="2807" spans="2:51" x14ac:dyDescent="0.25">
      <c r="B2807" s="331"/>
      <c r="C2807" s="332"/>
      <c r="D2807" s="332"/>
      <c r="E2807" s="333"/>
      <c r="F2807" s="333"/>
      <c r="G2807" s="330"/>
      <c r="H2807" s="330"/>
      <c r="I2807" s="330"/>
      <c r="J2807" s="330"/>
      <c r="K2807" s="330"/>
      <c r="L2807" s="330"/>
      <c r="M2807" s="330"/>
      <c r="N2807" s="330"/>
      <c r="O2807" s="330"/>
      <c r="P2807" s="330"/>
      <c r="Q2807" s="330"/>
      <c r="R2807" s="316"/>
      <c r="S2807" s="404"/>
      <c r="T2807" s="404"/>
      <c r="U2807" s="404"/>
      <c r="V2807" s="404"/>
      <c r="W2807" s="316"/>
      <c r="X2807" s="316"/>
      <c r="Y2807" s="316"/>
      <c r="Z2807" s="316"/>
      <c r="AA2807" s="404"/>
      <c r="AB2807" s="404"/>
      <c r="AC2807" s="404"/>
      <c r="AD2807" s="404"/>
      <c r="AE2807" s="316"/>
      <c r="AF2807" s="316"/>
      <c r="AG2807" s="404"/>
      <c r="AH2807" s="316"/>
      <c r="AI2807" s="316"/>
      <c r="AJ2807" s="316"/>
      <c r="AK2807" s="316"/>
      <c r="AL2807" s="316"/>
      <c r="AM2807" s="416"/>
      <c r="AN2807" s="330"/>
      <c r="AO2807" s="330"/>
      <c r="AP2807" s="330"/>
      <c r="AQ2807" s="330"/>
      <c r="AR2807" s="333"/>
      <c r="AS2807" s="333"/>
      <c r="AT2807" s="333"/>
      <c r="AU2807" s="333"/>
      <c r="AV2807" s="333"/>
      <c r="AW2807" s="330"/>
      <c r="AX2807" s="330"/>
      <c r="AY2807" s="330"/>
    </row>
    <row r="2808" spans="2:51" x14ac:dyDescent="0.25">
      <c r="B2808" s="331"/>
      <c r="C2808" s="332"/>
      <c r="D2808" s="332"/>
      <c r="E2808" s="333"/>
      <c r="F2808" s="333"/>
      <c r="G2808" s="330"/>
      <c r="H2808" s="330"/>
      <c r="I2808" s="330"/>
      <c r="J2808" s="330"/>
      <c r="K2808" s="330"/>
      <c r="L2808" s="330"/>
      <c r="M2808" s="330"/>
      <c r="N2808" s="330"/>
      <c r="O2808" s="330"/>
      <c r="P2808" s="330"/>
      <c r="Q2808" s="330"/>
      <c r="R2808" s="316"/>
      <c r="S2808" s="404"/>
      <c r="T2808" s="404"/>
      <c r="U2808" s="404"/>
      <c r="V2808" s="404"/>
      <c r="W2808" s="316"/>
      <c r="X2808" s="316"/>
      <c r="Y2808" s="316"/>
      <c r="Z2808" s="316"/>
      <c r="AA2808" s="404"/>
      <c r="AB2808" s="404"/>
      <c r="AC2808" s="404"/>
      <c r="AD2808" s="404"/>
      <c r="AE2808" s="316"/>
      <c r="AF2808" s="316"/>
      <c r="AG2808" s="404"/>
      <c r="AH2808" s="316"/>
      <c r="AI2808" s="316"/>
      <c r="AJ2808" s="316"/>
      <c r="AK2808" s="316"/>
      <c r="AL2808" s="316"/>
      <c r="AM2808" s="416"/>
      <c r="AN2808" s="330"/>
      <c r="AO2808" s="330"/>
      <c r="AP2808" s="330"/>
      <c r="AQ2808" s="330"/>
      <c r="AR2808" s="333"/>
      <c r="AS2808" s="333"/>
      <c r="AT2808" s="333"/>
      <c r="AU2808" s="333"/>
      <c r="AV2808" s="333"/>
      <c r="AW2808" s="330"/>
      <c r="AX2808" s="330"/>
      <c r="AY2808" s="330"/>
    </row>
    <row r="2809" spans="2:51" x14ac:dyDescent="0.25">
      <c r="B2809" s="331"/>
      <c r="C2809" s="332"/>
      <c r="D2809" s="332"/>
      <c r="E2809" s="333"/>
      <c r="F2809" s="333"/>
      <c r="G2809" s="330"/>
      <c r="H2809" s="330"/>
      <c r="I2809" s="330"/>
      <c r="J2809" s="330"/>
      <c r="K2809" s="330"/>
      <c r="L2809" s="330"/>
      <c r="M2809" s="330"/>
      <c r="N2809" s="330"/>
      <c r="O2809" s="330"/>
      <c r="P2809" s="330"/>
      <c r="Q2809" s="330"/>
      <c r="R2809" s="316"/>
      <c r="S2809" s="404"/>
      <c r="T2809" s="404"/>
      <c r="U2809" s="404"/>
      <c r="V2809" s="404"/>
      <c r="W2809" s="316"/>
      <c r="X2809" s="316"/>
      <c r="Y2809" s="316"/>
      <c r="Z2809" s="316"/>
      <c r="AA2809" s="404"/>
      <c r="AB2809" s="404"/>
      <c r="AC2809" s="404"/>
      <c r="AD2809" s="404"/>
      <c r="AE2809" s="316"/>
      <c r="AF2809" s="316"/>
      <c r="AG2809" s="404"/>
      <c r="AH2809" s="316"/>
      <c r="AI2809" s="316"/>
      <c r="AJ2809" s="316"/>
      <c r="AK2809" s="316"/>
      <c r="AL2809" s="316"/>
      <c r="AM2809" s="416"/>
      <c r="AN2809" s="330"/>
      <c r="AO2809" s="330"/>
      <c r="AP2809" s="330"/>
      <c r="AQ2809" s="330"/>
      <c r="AR2809" s="333"/>
      <c r="AS2809" s="333"/>
      <c r="AT2809" s="333"/>
      <c r="AU2809" s="333"/>
      <c r="AV2809" s="333"/>
      <c r="AW2809" s="330"/>
      <c r="AX2809" s="330"/>
      <c r="AY2809" s="330"/>
    </row>
    <row r="2810" spans="2:51" x14ac:dyDescent="0.25">
      <c r="B2810" s="331"/>
      <c r="C2810" s="332"/>
      <c r="D2810" s="332"/>
      <c r="E2810" s="333"/>
      <c r="F2810" s="333"/>
      <c r="G2810" s="330"/>
      <c r="H2810" s="330"/>
      <c r="I2810" s="330"/>
      <c r="J2810" s="330"/>
      <c r="K2810" s="330"/>
      <c r="L2810" s="330"/>
      <c r="M2810" s="330"/>
      <c r="N2810" s="330"/>
      <c r="O2810" s="330"/>
      <c r="P2810" s="330"/>
      <c r="Q2810" s="330"/>
      <c r="R2810" s="316"/>
      <c r="S2810" s="404"/>
      <c r="T2810" s="404"/>
      <c r="U2810" s="404"/>
      <c r="V2810" s="404"/>
      <c r="W2810" s="316"/>
      <c r="X2810" s="316"/>
      <c r="Y2810" s="316"/>
      <c r="Z2810" s="316"/>
      <c r="AA2810" s="404"/>
      <c r="AB2810" s="404"/>
      <c r="AC2810" s="404"/>
      <c r="AD2810" s="404"/>
      <c r="AE2810" s="316"/>
      <c r="AF2810" s="316"/>
      <c r="AG2810" s="404"/>
      <c r="AH2810" s="316"/>
      <c r="AI2810" s="316"/>
      <c r="AJ2810" s="316"/>
      <c r="AK2810" s="316"/>
      <c r="AL2810" s="316"/>
      <c r="AM2810" s="416"/>
      <c r="AN2810" s="330"/>
      <c r="AO2810" s="330"/>
      <c r="AP2810" s="330"/>
      <c r="AQ2810" s="330"/>
      <c r="AR2810" s="333"/>
      <c r="AS2810" s="333"/>
      <c r="AT2810" s="333"/>
      <c r="AU2810" s="333"/>
      <c r="AV2810" s="333"/>
      <c r="AW2810" s="330"/>
      <c r="AX2810" s="330"/>
      <c r="AY2810" s="330"/>
    </row>
    <row r="2811" spans="2:51" x14ac:dyDescent="0.25">
      <c r="B2811" s="331"/>
      <c r="C2811" s="332"/>
      <c r="D2811" s="332"/>
      <c r="E2811" s="333"/>
      <c r="F2811" s="333"/>
      <c r="G2811" s="330"/>
      <c r="H2811" s="330"/>
      <c r="I2811" s="330"/>
      <c r="J2811" s="330"/>
      <c r="K2811" s="330"/>
      <c r="L2811" s="330"/>
      <c r="M2811" s="330"/>
      <c r="N2811" s="330"/>
      <c r="O2811" s="330"/>
      <c r="P2811" s="330"/>
      <c r="Q2811" s="330"/>
      <c r="R2811" s="316"/>
      <c r="S2811" s="404"/>
      <c r="T2811" s="404"/>
      <c r="U2811" s="404"/>
      <c r="V2811" s="404"/>
      <c r="W2811" s="316"/>
      <c r="X2811" s="316"/>
      <c r="Y2811" s="316"/>
      <c r="Z2811" s="316"/>
      <c r="AA2811" s="404"/>
      <c r="AB2811" s="404"/>
      <c r="AC2811" s="404"/>
      <c r="AD2811" s="404"/>
      <c r="AE2811" s="316"/>
      <c r="AF2811" s="316"/>
      <c r="AG2811" s="404"/>
      <c r="AH2811" s="316"/>
      <c r="AI2811" s="316"/>
      <c r="AJ2811" s="316"/>
      <c r="AK2811" s="316"/>
      <c r="AL2811" s="316"/>
      <c r="AM2811" s="416"/>
      <c r="AN2811" s="330"/>
      <c r="AO2811" s="330"/>
      <c r="AP2811" s="330"/>
      <c r="AQ2811" s="330"/>
      <c r="AR2811" s="333"/>
      <c r="AS2811" s="333"/>
      <c r="AT2811" s="333"/>
      <c r="AU2811" s="333"/>
      <c r="AV2811" s="333"/>
      <c r="AW2811" s="330"/>
      <c r="AX2811" s="330"/>
      <c r="AY2811" s="330"/>
    </row>
    <row r="2812" spans="2:51" x14ac:dyDescent="0.25">
      <c r="B2812" s="331"/>
      <c r="C2812" s="332"/>
      <c r="D2812" s="332"/>
      <c r="E2812" s="333"/>
      <c r="F2812" s="333"/>
      <c r="G2812" s="330"/>
      <c r="H2812" s="330"/>
      <c r="I2812" s="330"/>
      <c r="J2812" s="330"/>
      <c r="K2812" s="330"/>
      <c r="L2812" s="330"/>
      <c r="M2812" s="330"/>
      <c r="N2812" s="330"/>
      <c r="O2812" s="330"/>
      <c r="P2812" s="330"/>
      <c r="Q2812" s="330"/>
      <c r="R2812" s="316"/>
      <c r="S2812" s="404"/>
      <c r="T2812" s="404"/>
      <c r="U2812" s="404"/>
      <c r="V2812" s="404"/>
      <c r="W2812" s="316"/>
      <c r="X2812" s="316"/>
      <c r="Y2812" s="316"/>
      <c r="Z2812" s="316"/>
      <c r="AA2812" s="404"/>
      <c r="AB2812" s="404"/>
      <c r="AC2812" s="404"/>
      <c r="AD2812" s="404"/>
      <c r="AE2812" s="316"/>
      <c r="AF2812" s="316"/>
      <c r="AG2812" s="404"/>
      <c r="AH2812" s="316"/>
      <c r="AI2812" s="316"/>
      <c r="AJ2812" s="316"/>
      <c r="AK2812" s="316"/>
      <c r="AL2812" s="316"/>
      <c r="AM2812" s="416"/>
      <c r="AN2812" s="330"/>
      <c r="AO2812" s="330"/>
      <c r="AP2812" s="330"/>
      <c r="AQ2812" s="330"/>
      <c r="AR2812" s="333"/>
      <c r="AS2812" s="333"/>
      <c r="AT2812" s="333"/>
      <c r="AU2812" s="333"/>
      <c r="AV2812" s="333"/>
      <c r="AW2812" s="330"/>
      <c r="AX2812" s="330"/>
      <c r="AY2812" s="330"/>
    </row>
    <row r="2813" spans="2:51" x14ac:dyDescent="0.25">
      <c r="B2813" s="331"/>
      <c r="C2813" s="332"/>
      <c r="D2813" s="332"/>
      <c r="E2813" s="333"/>
      <c r="F2813" s="333"/>
      <c r="G2813" s="330"/>
      <c r="H2813" s="330"/>
      <c r="I2813" s="330"/>
      <c r="J2813" s="330"/>
      <c r="K2813" s="330"/>
      <c r="L2813" s="330"/>
      <c r="M2813" s="330"/>
      <c r="N2813" s="330"/>
      <c r="O2813" s="330"/>
      <c r="P2813" s="330"/>
      <c r="Q2813" s="330"/>
      <c r="R2813" s="316"/>
      <c r="S2813" s="404"/>
      <c r="T2813" s="404"/>
      <c r="U2813" s="404"/>
      <c r="V2813" s="404"/>
      <c r="W2813" s="316"/>
      <c r="X2813" s="316"/>
      <c r="Y2813" s="316"/>
      <c r="Z2813" s="316"/>
      <c r="AA2813" s="404"/>
      <c r="AB2813" s="404"/>
      <c r="AC2813" s="404"/>
      <c r="AD2813" s="404"/>
      <c r="AE2813" s="316"/>
      <c r="AF2813" s="316"/>
      <c r="AG2813" s="404"/>
      <c r="AH2813" s="316"/>
      <c r="AI2813" s="316"/>
      <c r="AJ2813" s="316"/>
      <c r="AK2813" s="316"/>
      <c r="AL2813" s="316"/>
      <c r="AM2813" s="416"/>
      <c r="AN2813" s="330"/>
      <c r="AO2813" s="330"/>
      <c r="AP2813" s="330"/>
      <c r="AQ2813" s="330"/>
      <c r="AR2813" s="333"/>
      <c r="AS2813" s="333"/>
      <c r="AT2813" s="333"/>
      <c r="AU2813" s="333"/>
      <c r="AV2813" s="333"/>
      <c r="AW2813" s="330"/>
      <c r="AX2813" s="330"/>
      <c r="AY2813" s="330"/>
    </row>
    <row r="2814" spans="2:51" x14ac:dyDescent="0.25">
      <c r="B2814" s="331"/>
      <c r="C2814" s="332"/>
      <c r="D2814" s="332"/>
      <c r="E2814" s="333"/>
      <c r="F2814" s="333"/>
      <c r="G2814" s="330"/>
      <c r="H2814" s="330"/>
      <c r="I2814" s="330"/>
      <c r="J2814" s="330"/>
      <c r="K2814" s="330"/>
      <c r="L2814" s="330"/>
      <c r="M2814" s="330"/>
      <c r="N2814" s="330"/>
      <c r="O2814" s="330"/>
      <c r="P2814" s="330"/>
      <c r="Q2814" s="330"/>
      <c r="R2814" s="316"/>
      <c r="S2814" s="404"/>
      <c r="T2814" s="404"/>
      <c r="U2814" s="404"/>
      <c r="V2814" s="404"/>
      <c r="W2814" s="316"/>
      <c r="X2814" s="316"/>
      <c r="Y2814" s="316"/>
      <c r="Z2814" s="316"/>
      <c r="AA2814" s="404"/>
      <c r="AB2814" s="404"/>
      <c r="AC2814" s="404"/>
      <c r="AD2814" s="404"/>
      <c r="AE2814" s="316"/>
      <c r="AF2814" s="316"/>
      <c r="AG2814" s="404"/>
      <c r="AH2814" s="316"/>
      <c r="AI2814" s="316"/>
      <c r="AJ2814" s="316"/>
      <c r="AK2814" s="316"/>
      <c r="AL2814" s="316"/>
      <c r="AM2814" s="416"/>
      <c r="AN2814" s="330"/>
      <c r="AO2814" s="330"/>
      <c r="AP2814" s="330"/>
      <c r="AQ2814" s="330"/>
      <c r="AR2814" s="333"/>
      <c r="AS2814" s="333"/>
      <c r="AT2814" s="333"/>
      <c r="AU2814" s="333"/>
      <c r="AV2814" s="333"/>
      <c r="AW2814" s="330"/>
      <c r="AX2814" s="330"/>
      <c r="AY2814" s="330"/>
    </row>
    <row r="2815" spans="2:51" x14ac:dyDescent="0.25">
      <c r="B2815" s="331"/>
      <c r="C2815" s="332"/>
      <c r="D2815" s="332"/>
      <c r="E2815" s="333"/>
      <c r="F2815" s="333"/>
      <c r="G2815" s="330"/>
      <c r="H2815" s="330"/>
      <c r="I2815" s="330"/>
      <c r="J2815" s="330"/>
      <c r="K2815" s="330"/>
      <c r="L2815" s="330"/>
      <c r="M2815" s="330"/>
      <c r="N2815" s="330"/>
      <c r="O2815" s="330"/>
      <c r="P2815" s="330"/>
      <c r="Q2815" s="330"/>
      <c r="R2815" s="316"/>
      <c r="S2815" s="404"/>
      <c r="T2815" s="404"/>
      <c r="U2815" s="404"/>
      <c r="V2815" s="404"/>
      <c r="W2815" s="316"/>
      <c r="X2815" s="316"/>
      <c r="Y2815" s="316"/>
      <c r="Z2815" s="316"/>
      <c r="AA2815" s="404"/>
      <c r="AB2815" s="404"/>
      <c r="AC2815" s="404"/>
      <c r="AD2815" s="404"/>
      <c r="AE2815" s="316"/>
      <c r="AF2815" s="316"/>
      <c r="AG2815" s="404"/>
      <c r="AH2815" s="316"/>
      <c r="AI2815" s="316"/>
      <c r="AJ2815" s="316"/>
      <c r="AK2815" s="316"/>
      <c r="AL2815" s="316"/>
      <c r="AM2815" s="416"/>
      <c r="AN2815" s="330"/>
      <c r="AO2815" s="330"/>
      <c r="AP2815" s="330"/>
      <c r="AQ2815" s="330"/>
      <c r="AR2815" s="333"/>
      <c r="AS2815" s="333"/>
      <c r="AT2815" s="333"/>
      <c r="AU2815" s="333"/>
      <c r="AV2815" s="333"/>
      <c r="AW2815" s="330"/>
      <c r="AX2815" s="330"/>
      <c r="AY2815" s="330"/>
    </row>
    <row r="2816" spans="2:51" x14ac:dyDescent="0.25">
      <c r="B2816" s="331"/>
      <c r="C2816" s="332"/>
      <c r="D2816" s="332"/>
      <c r="E2816" s="333"/>
      <c r="F2816" s="333"/>
      <c r="G2816" s="330"/>
      <c r="H2816" s="330"/>
      <c r="I2816" s="330"/>
      <c r="J2816" s="330"/>
      <c r="K2816" s="330"/>
      <c r="L2816" s="330"/>
      <c r="M2816" s="330"/>
      <c r="N2816" s="330"/>
      <c r="O2816" s="330"/>
      <c r="P2816" s="330"/>
      <c r="Q2816" s="330"/>
      <c r="R2816" s="316"/>
      <c r="S2816" s="404"/>
      <c r="T2816" s="404"/>
      <c r="U2816" s="404"/>
      <c r="V2816" s="404"/>
      <c r="W2816" s="316"/>
      <c r="X2816" s="316"/>
      <c r="Y2816" s="316"/>
      <c r="Z2816" s="316"/>
      <c r="AA2816" s="404"/>
      <c r="AB2816" s="404"/>
      <c r="AC2816" s="404"/>
      <c r="AD2816" s="404"/>
      <c r="AE2816" s="316"/>
      <c r="AF2816" s="316"/>
      <c r="AG2816" s="404"/>
      <c r="AH2816" s="316"/>
      <c r="AI2816" s="316"/>
      <c r="AJ2816" s="316"/>
      <c r="AK2816" s="316"/>
      <c r="AL2816" s="316"/>
      <c r="AM2816" s="416"/>
      <c r="AN2816" s="330"/>
      <c r="AO2816" s="330"/>
      <c r="AP2816" s="330"/>
      <c r="AQ2816" s="330"/>
      <c r="AR2816" s="333"/>
      <c r="AS2816" s="333"/>
      <c r="AT2816" s="333"/>
      <c r="AU2816" s="333"/>
      <c r="AV2816" s="333"/>
      <c r="AW2816" s="330"/>
      <c r="AX2816" s="330"/>
      <c r="AY2816" s="330"/>
    </row>
    <row r="2817" spans="2:51" x14ac:dyDescent="0.25">
      <c r="B2817" s="331"/>
      <c r="C2817" s="332"/>
      <c r="D2817" s="332"/>
      <c r="E2817" s="333"/>
      <c r="F2817" s="333"/>
      <c r="G2817" s="330"/>
      <c r="H2817" s="330"/>
      <c r="I2817" s="330"/>
      <c r="J2817" s="330"/>
      <c r="K2817" s="330"/>
      <c r="L2817" s="330"/>
      <c r="M2817" s="330"/>
      <c r="N2817" s="330"/>
      <c r="O2817" s="330"/>
      <c r="P2817" s="330"/>
      <c r="Q2817" s="330"/>
      <c r="R2817" s="316"/>
      <c r="S2817" s="404"/>
      <c r="T2817" s="404"/>
      <c r="U2817" s="404"/>
      <c r="V2817" s="404"/>
      <c r="W2817" s="316"/>
      <c r="X2817" s="316"/>
      <c r="Y2817" s="316"/>
      <c r="Z2817" s="316"/>
      <c r="AA2817" s="404"/>
      <c r="AB2817" s="404"/>
      <c r="AC2817" s="404"/>
      <c r="AD2817" s="404"/>
      <c r="AE2817" s="316"/>
      <c r="AF2817" s="316"/>
      <c r="AG2817" s="404"/>
      <c r="AH2817" s="316"/>
      <c r="AI2817" s="316"/>
      <c r="AJ2817" s="316"/>
      <c r="AK2817" s="316"/>
      <c r="AL2817" s="316"/>
      <c r="AM2817" s="416"/>
      <c r="AN2817" s="330"/>
      <c r="AO2817" s="330"/>
      <c r="AP2817" s="330"/>
      <c r="AQ2817" s="330"/>
      <c r="AR2817" s="333"/>
      <c r="AS2817" s="333"/>
      <c r="AT2817" s="333"/>
      <c r="AU2817" s="333"/>
      <c r="AV2817" s="333"/>
      <c r="AW2817" s="330"/>
      <c r="AX2817" s="330"/>
      <c r="AY2817" s="330"/>
    </row>
    <row r="2818" spans="2:51" x14ac:dyDescent="0.25">
      <c r="B2818" s="331"/>
      <c r="C2818" s="332"/>
      <c r="D2818" s="332"/>
      <c r="E2818" s="333"/>
      <c r="F2818" s="333"/>
      <c r="G2818" s="330"/>
      <c r="H2818" s="330"/>
      <c r="I2818" s="330"/>
      <c r="J2818" s="330"/>
      <c r="K2818" s="330"/>
      <c r="L2818" s="330"/>
      <c r="M2818" s="330"/>
      <c r="N2818" s="330"/>
      <c r="O2818" s="330"/>
      <c r="P2818" s="330"/>
      <c r="Q2818" s="330"/>
      <c r="R2818" s="316"/>
      <c r="S2818" s="404"/>
      <c r="T2818" s="404"/>
      <c r="U2818" s="404"/>
      <c r="V2818" s="404"/>
      <c r="W2818" s="316"/>
      <c r="X2818" s="316"/>
      <c r="Y2818" s="316"/>
      <c r="Z2818" s="316"/>
      <c r="AA2818" s="404"/>
      <c r="AB2818" s="404"/>
      <c r="AC2818" s="404"/>
      <c r="AD2818" s="404"/>
      <c r="AE2818" s="316"/>
      <c r="AF2818" s="316"/>
      <c r="AG2818" s="404"/>
      <c r="AH2818" s="316"/>
      <c r="AI2818" s="316"/>
      <c r="AJ2818" s="316"/>
      <c r="AK2818" s="316"/>
      <c r="AL2818" s="316"/>
      <c r="AM2818" s="416"/>
      <c r="AN2818" s="330"/>
      <c r="AO2818" s="330"/>
      <c r="AP2818" s="330"/>
      <c r="AQ2818" s="330"/>
      <c r="AR2818" s="333"/>
      <c r="AS2818" s="333"/>
      <c r="AT2818" s="333"/>
      <c r="AU2818" s="333"/>
      <c r="AV2818" s="333"/>
      <c r="AW2818" s="330"/>
      <c r="AX2818" s="330"/>
      <c r="AY2818" s="330"/>
    </row>
    <row r="2819" spans="2:51" x14ac:dyDescent="0.25">
      <c r="B2819" s="331"/>
      <c r="C2819" s="332"/>
      <c r="D2819" s="332"/>
      <c r="E2819" s="333"/>
      <c r="F2819" s="333"/>
      <c r="G2819" s="330"/>
      <c r="H2819" s="330"/>
      <c r="I2819" s="330"/>
      <c r="J2819" s="330"/>
      <c r="K2819" s="330"/>
      <c r="L2819" s="330"/>
      <c r="M2819" s="330"/>
      <c r="N2819" s="330"/>
      <c r="O2819" s="330"/>
      <c r="P2819" s="330"/>
      <c r="Q2819" s="330"/>
      <c r="R2819" s="316"/>
      <c r="S2819" s="404"/>
      <c r="T2819" s="404"/>
      <c r="U2819" s="404"/>
      <c r="V2819" s="404"/>
      <c r="W2819" s="316"/>
      <c r="X2819" s="316"/>
      <c r="Y2819" s="316"/>
      <c r="Z2819" s="316"/>
      <c r="AA2819" s="404"/>
      <c r="AB2819" s="404"/>
      <c r="AC2819" s="404"/>
      <c r="AD2819" s="404"/>
      <c r="AE2819" s="316"/>
      <c r="AF2819" s="316"/>
      <c r="AG2819" s="404"/>
      <c r="AH2819" s="316"/>
      <c r="AI2819" s="316"/>
      <c r="AJ2819" s="316"/>
      <c r="AK2819" s="316"/>
      <c r="AL2819" s="316"/>
      <c r="AM2819" s="416"/>
      <c r="AN2819" s="330"/>
      <c r="AO2819" s="330"/>
      <c r="AP2819" s="330"/>
      <c r="AQ2819" s="330"/>
      <c r="AR2819" s="333"/>
      <c r="AS2819" s="333"/>
      <c r="AT2819" s="333"/>
      <c r="AU2819" s="333"/>
      <c r="AV2819" s="333"/>
      <c r="AW2819" s="330"/>
      <c r="AX2819" s="330"/>
      <c r="AY2819" s="330"/>
    </row>
    <row r="2820" spans="2:51" x14ac:dyDescent="0.25">
      <c r="B2820" s="331"/>
      <c r="C2820" s="332"/>
      <c r="D2820" s="332"/>
      <c r="E2820" s="333"/>
      <c r="F2820" s="333"/>
      <c r="G2820" s="330"/>
      <c r="H2820" s="330"/>
      <c r="I2820" s="330"/>
      <c r="J2820" s="330"/>
      <c r="K2820" s="330"/>
      <c r="L2820" s="330"/>
      <c r="M2820" s="330"/>
      <c r="N2820" s="330"/>
      <c r="O2820" s="330"/>
      <c r="P2820" s="330"/>
      <c r="Q2820" s="330"/>
      <c r="R2820" s="316"/>
      <c r="S2820" s="404"/>
      <c r="T2820" s="404"/>
      <c r="U2820" s="404"/>
      <c r="V2820" s="404"/>
      <c r="W2820" s="316"/>
      <c r="X2820" s="316"/>
      <c r="Y2820" s="316"/>
      <c r="Z2820" s="316"/>
      <c r="AA2820" s="404"/>
      <c r="AB2820" s="404"/>
      <c r="AC2820" s="404"/>
      <c r="AD2820" s="404"/>
      <c r="AE2820" s="316"/>
      <c r="AF2820" s="316"/>
      <c r="AG2820" s="404"/>
      <c r="AH2820" s="316"/>
      <c r="AI2820" s="316"/>
      <c r="AJ2820" s="316"/>
      <c r="AK2820" s="316"/>
      <c r="AL2820" s="316"/>
      <c r="AM2820" s="416"/>
      <c r="AN2820" s="330"/>
      <c r="AO2820" s="330"/>
      <c r="AP2820" s="330"/>
      <c r="AQ2820" s="330"/>
      <c r="AR2820" s="333"/>
      <c r="AS2820" s="333"/>
      <c r="AT2820" s="333"/>
      <c r="AU2820" s="333"/>
      <c r="AV2820" s="333"/>
      <c r="AW2820" s="330"/>
      <c r="AX2820" s="330"/>
      <c r="AY2820" s="330"/>
    </row>
    <row r="2821" spans="2:51" x14ac:dyDescent="0.25">
      <c r="B2821" s="331"/>
      <c r="C2821" s="332"/>
      <c r="D2821" s="332"/>
      <c r="E2821" s="333"/>
      <c r="F2821" s="333"/>
      <c r="G2821" s="330"/>
      <c r="H2821" s="330"/>
      <c r="I2821" s="330"/>
      <c r="J2821" s="330"/>
      <c r="K2821" s="330"/>
      <c r="L2821" s="330"/>
      <c r="M2821" s="330"/>
      <c r="N2821" s="330"/>
      <c r="O2821" s="330"/>
      <c r="P2821" s="330"/>
      <c r="Q2821" s="330"/>
      <c r="R2821" s="316"/>
      <c r="S2821" s="404"/>
      <c r="T2821" s="404"/>
      <c r="U2821" s="404"/>
      <c r="V2821" s="404"/>
      <c r="W2821" s="316"/>
      <c r="X2821" s="316"/>
      <c r="Y2821" s="316"/>
      <c r="Z2821" s="316"/>
      <c r="AA2821" s="404"/>
      <c r="AB2821" s="404"/>
      <c r="AC2821" s="404"/>
      <c r="AD2821" s="404"/>
      <c r="AE2821" s="316"/>
      <c r="AF2821" s="316"/>
      <c r="AG2821" s="404"/>
      <c r="AH2821" s="316"/>
      <c r="AI2821" s="316"/>
      <c r="AJ2821" s="316"/>
      <c r="AK2821" s="316"/>
      <c r="AL2821" s="316"/>
      <c r="AM2821" s="416"/>
      <c r="AN2821" s="330"/>
      <c r="AO2821" s="330"/>
      <c r="AP2821" s="330"/>
      <c r="AQ2821" s="330"/>
      <c r="AR2821" s="333"/>
      <c r="AS2821" s="333"/>
      <c r="AT2821" s="333"/>
      <c r="AU2821" s="333"/>
      <c r="AV2821" s="333"/>
      <c r="AW2821" s="330"/>
      <c r="AX2821" s="330"/>
      <c r="AY2821" s="330"/>
    </row>
    <row r="2822" spans="2:51" x14ac:dyDescent="0.25">
      <c r="B2822" s="331"/>
      <c r="C2822" s="332"/>
      <c r="D2822" s="332"/>
      <c r="E2822" s="333"/>
      <c r="F2822" s="333"/>
      <c r="G2822" s="330"/>
      <c r="H2822" s="330"/>
      <c r="I2822" s="330"/>
      <c r="J2822" s="330"/>
      <c r="K2822" s="330"/>
      <c r="L2822" s="330"/>
      <c r="M2822" s="330"/>
      <c r="N2822" s="330"/>
      <c r="O2822" s="330"/>
      <c r="P2822" s="330"/>
      <c r="Q2822" s="330"/>
      <c r="R2822" s="316"/>
      <c r="S2822" s="404"/>
      <c r="T2822" s="404"/>
      <c r="U2822" s="404"/>
      <c r="V2822" s="404"/>
      <c r="W2822" s="316"/>
      <c r="X2822" s="316"/>
      <c r="Y2822" s="316"/>
      <c r="Z2822" s="316"/>
      <c r="AA2822" s="404"/>
      <c r="AB2822" s="404"/>
      <c r="AC2822" s="404"/>
      <c r="AD2822" s="404"/>
      <c r="AE2822" s="316"/>
      <c r="AF2822" s="316"/>
      <c r="AG2822" s="404"/>
      <c r="AH2822" s="316"/>
      <c r="AI2822" s="316"/>
      <c r="AJ2822" s="316"/>
      <c r="AK2822" s="316"/>
      <c r="AL2822" s="316"/>
      <c r="AM2822" s="416"/>
      <c r="AN2822" s="330"/>
      <c r="AO2822" s="330"/>
      <c r="AP2822" s="330"/>
      <c r="AQ2822" s="330"/>
      <c r="AR2822" s="333"/>
      <c r="AS2822" s="333"/>
      <c r="AT2822" s="333"/>
      <c r="AU2822" s="333"/>
      <c r="AV2822" s="333"/>
      <c r="AW2822" s="330"/>
      <c r="AX2822" s="330"/>
      <c r="AY2822" s="330"/>
    </row>
    <row r="2823" spans="2:51" x14ac:dyDescent="0.25">
      <c r="B2823" s="331"/>
      <c r="C2823" s="332"/>
      <c r="D2823" s="332"/>
      <c r="E2823" s="333"/>
      <c r="F2823" s="333"/>
      <c r="G2823" s="330"/>
      <c r="H2823" s="330"/>
      <c r="I2823" s="330"/>
      <c r="J2823" s="330"/>
      <c r="K2823" s="330"/>
      <c r="L2823" s="330"/>
      <c r="M2823" s="330"/>
      <c r="N2823" s="330"/>
      <c r="O2823" s="330"/>
      <c r="P2823" s="330"/>
      <c r="Q2823" s="330"/>
      <c r="R2823" s="316"/>
      <c r="S2823" s="404"/>
      <c r="T2823" s="404"/>
      <c r="U2823" s="404"/>
      <c r="V2823" s="404"/>
      <c r="W2823" s="316"/>
      <c r="X2823" s="316"/>
      <c r="Y2823" s="316"/>
      <c r="Z2823" s="316"/>
      <c r="AA2823" s="404"/>
      <c r="AB2823" s="404"/>
      <c r="AC2823" s="404"/>
      <c r="AD2823" s="404"/>
      <c r="AE2823" s="316"/>
      <c r="AF2823" s="316"/>
      <c r="AG2823" s="404"/>
      <c r="AH2823" s="316"/>
      <c r="AI2823" s="316"/>
      <c r="AJ2823" s="316"/>
      <c r="AK2823" s="316"/>
      <c r="AL2823" s="316"/>
      <c r="AM2823" s="416"/>
      <c r="AN2823" s="330"/>
      <c r="AO2823" s="330"/>
      <c r="AP2823" s="330"/>
      <c r="AQ2823" s="330"/>
      <c r="AR2823" s="333"/>
      <c r="AS2823" s="333"/>
      <c r="AT2823" s="333"/>
      <c r="AU2823" s="333"/>
      <c r="AV2823" s="333"/>
      <c r="AW2823" s="330"/>
      <c r="AX2823" s="330"/>
      <c r="AY2823" s="330"/>
    </row>
    <row r="2824" spans="2:51" x14ac:dyDescent="0.25">
      <c r="B2824" s="331"/>
      <c r="C2824" s="332"/>
      <c r="D2824" s="332"/>
      <c r="E2824" s="333"/>
      <c r="F2824" s="333"/>
      <c r="G2824" s="330"/>
      <c r="H2824" s="330"/>
      <c r="I2824" s="330"/>
      <c r="J2824" s="330"/>
      <c r="K2824" s="330"/>
      <c r="L2824" s="330"/>
      <c r="M2824" s="330"/>
      <c r="N2824" s="330"/>
      <c r="O2824" s="330"/>
      <c r="P2824" s="330"/>
      <c r="Q2824" s="330"/>
      <c r="R2824" s="316"/>
      <c r="S2824" s="404"/>
      <c r="T2824" s="404"/>
      <c r="U2824" s="404"/>
      <c r="V2824" s="404"/>
      <c r="W2824" s="316"/>
      <c r="X2824" s="316"/>
      <c r="Y2824" s="316"/>
      <c r="Z2824" s="316"/>
      <c r="AA2824" s="404"/>
      <c r="AB2824" s="404"/>
      <c r="AC2824" s="404"/>
      <c r="AD2824" s="404"/>
      <c r="AE2824" s="316"/>
      <c r="AF2824" s="316"/>
      <c r="AG2824" s="404"/>
      <c r="AH2824" s="316"/>
      <c r="AI2824" s="316"/>
      <c r="AJ2824" s="316"/>
      <c r="AK2824" s="316"/>
      <c r="AL2824" s="316"/>
      <c r="AM2824" s="416"/>
      <c r="AN2824" s="330"/>
      <c r="AO2824" s="330"/>
      <c r="AP2824" s="330"/>
      <c r="AQ2824" s="330"/>
      <c r="AR2824" s="333"/>
      <c r="AS2824" s="333"/>
      <c r="AT2824" s="333"/>
      <c r="AU2824" s="333"/>
      <c r="AV2824" s="333"/>
      <c r="AW2824" s="330"/>
      <c r="AX2824" s="330"/>
      <c r="AY2824" s="330"/>
    </row>
    <row r="2825" spans="2:51" x14ac:dyDescent="0.25">
      <c r="B2825" s="331"/>
      <c r="C2825" s="332"/>
      <c r="D2825" s="332"/>
      <c r="E2825" s="333"/>
      <c r="F2825" s="333"/>
      <c r="G2825" s="330"/>
      <c r="H2825" s="330"/>
      <c r="I2825" s="330"/>
      <c r="J2825" s="330"/>
      <c r="K2825" s="330"/>
      <c r="L2825" s="330"/>
      <c r="M2825" s="330"/>
      <c r="N2825" s="330"/>
      <c r="O2825" s="330"/>
      <c r="P2825" s="330"/>
      <c r="Q2825" s="330"/>
      <c r="R2825" s="316"/>
      <c r="S2825" s="404"/>
      <c r="T2825" s="404"/>
      <c r="U2825" s="404"/>
      <c r="V2825" s="404"/>
      <c r="W2825" s="316"/>
      <c r="X2825" s="316"/>
      <c r="Y2825" s="316"/>
      <c r="Z2825" s="316"/>
      <c r="AA2825" s="404"/>
      <c r="AB2825" s="404"/>
      <c r="AC2825" s="404"/>
      <c r="AD2825" s="404"/>
      <c r="AE2825" s="316"/>
      <c r="AF2825" s="316"/>
      <c r="AG2825" s="404"/>
      <c r="AH2825" s="316"/>
      <c r="AI2825" s="316"/>
      <c r="AJ2825" s="316"/>
      <c r="AK2825" s="316"/>
      <c r="AL2825" s="316"/>
      <c r="AM2825" s="416"/>
      <c r="AN2825" s="330"/>
      <c r="AO2825" s="330"/>
      <c r="AP2825" s="330"/>
      <c r="AQ2825" s="330"/>
      <c r="AR2825" s="333"/>
      <c r="AS2825" s="333"/>
      <c r="AT2825" s="333"/>
      <c r="AU2825" s="333"/>
      <c r="AV2825" s="333"/>
      <c r="AW2825" s="330"/>
      <c r="AX2825" s="330"/>
      <c r="AY2825" s="330"/>
    </row>
    <row r="2826" spans="2:51" x14ac:dyDescent="0.25">
      <c r="B2826" s="331"/>
      <c r="C2826" s="332"/>
      <c r="D2826" s="332"/>
      <c r="E2826" s="333"/>
      <c r="F2826" s="333"/>
      <c r="G2826" s="330"/>
      <c r="H2826" s="330"/>
      <c r="I2826" s="330"/>
      <c r="J2826" s="330"/>
      <c r="K2826" s="330"/>
      <c r="L2826" s="330"/>
      <c r="M2826" s="330"/>
      <c r="N2826" s="330"/>
      <c r="O2826" s="330"/>
      <c r="P2826" s="330"/>
      <c r="Q2826" s="330"/>
      <c r="R2826" s="316"/>
      <c r="S2826" s="404"/>
      <c r="T2826" s="404"/>
      <c r="U2826" s="404"/>
      <c r="V2826" s="404"/>
      <c r="W2826" s="316"/>
      <c r="X2826" s="316"/>
      <c r="Y2826" s="316"/>
      <c r="Z2826" s="316"/>
      <c r="AA2826" s="404"/>
      <c r="AB2826" s="404"/>
      <c r="AC2826" s="404"/>
      <c r="AD2826" s="404"/>
      <c r="AE2826" s="316"/>
      <c r="AF2826" s="316"/>
      <c r="AG2826" s="404"/>
      <c r="AH2826" s="316"/>
      <c r="AI2826" s="316"/>
      <c r="AJ2826" s="316"/>
      <c r="AK2826" s="316"/>
      <c r="AL2826" s="316"/>
      <c r="AM2826" s="416"/>
      <c r="AN2826" s="330"/>
      <c r="AO2826" s="330"/>
      <c r="AP2826" s="330"/>
      <c r="AQ2826" s="330"/>
      <c r="AR2826" s="333"/>
      <c r="AS2826" s="333"/>
      <c r="AT2826" s="333"/>
      <c r="AU2826" s="333"/>
      <c r="AV2826" s="333"/>
      <c r="AW2826" s="330"/>
      <c r="AX2826" s="330"/>
      <c r="AY2826" s="330"/>
    </row>
    <row r="2827" spans="2:51" x14ac:dyDescent="0.25">
      <c r="B2827" s="331"/>
      <c r="C2827" s="332"/>
      <c r="D2827" s="332"/>
      <c r="E2827" s="333"/>
      <c r="F2827" s="333"/>
      <c r="G2827" s="330"/>
      <c r="H2827" s="330"/>
      <c r="I2827" s="330"/>
      <c r="J2827" s="330"/>
      <c r="K2827" s="330"/>
      <c r="L2827" s="330"/>
      <c r="M2827" s="330"/>
      <c r="N2827" s="330"/>
      <c r="O2827" s="330"/>
      <c r="P2827" s="330"/>
      <c r="Q2827" s="330"/>
      <c r="R2827" s="316"/>
      <c r="S2827" s="404"/>
      <c r="T2827" s="404"/>
      <c r="U2827" s="404"/>
      <c r="V2827" s="404"/>
      <c r="W2827" s="316"/>
      <c r="X2827" s="316"/>
      <c r="Y2827" s="316"/>
      <c r="Z2827" s="316"/>
      <c r="AA2827" s="404"/>
      <c r="AB2827" s="404"/>
      <c r="AC2827" s="404"/>
      <c r="AD2827" s="404"/>
      <c r="AE2827" s="316"/>
      <c r="AF2827" s="316"/>
      <c r="AG2827" s="404"/>
      <c r="AH2827" s="316"/>
      <c r="AI2827" s="316"/>
      <c r="AJ2827" s="316"/>
      <c r="AK2827" s="316"/>
      <c r="AL2827" s="316"/>
      <c r="AM2827" s="416"/>
      <c r="AN2827" s="330"/>
      <c r="AO2827" s="330"/>
      <c r="AP2827" s="330"/>
      <c r="AQ2827" s="330"/>
      <c r="AR2827" s="333"/>
      <c r="AS2827" s="333"/>
      <c r="AT2827" s="333"/>
      <c r="AU2827" s="333"/>
      <c r="AV2827" s="333"/>
      <c r="AW2827" s="330"/>
      <c r="AX2827" s="330"/>
      <c r="AY2827" s="330"/>
    </row>
    <row r="2828" spans="2:51" x14ac:dyDescent="0.25">
      <c r="B2828" s="331"/>
      <c r="C2828" s="332"/>
      <c r="D2828" s="332"/>
      <c r="E2828" s="333"/>
      <c r="F2828" s="333"/>
      <c r="G2828" s="330"/>
      <c r="H2828" s="330"/>
      <c r="I2828" s="330"/>
      <c r="J2828" s="330"/>
      <c r="K2828" s="330"/>
      <c r="L2828" s="330"/>
      <c r="M2828" s="330"/>
      <c r="N2828" s="330"/>
      <c r="O2828" s="330"/>
      <c r="P2828" s="330"/>
      <c r="Q2828" s="330"/>
      <c r="R2828" s="316"/>
      <c r="S2828" s="404"/>
      <c r="T2828" s="404"/>
      <c r="U2828" s="404"/>
      <c r="V2828" s="404"/>
      <c r="W2828" s="316"/>
      <c r="X2828" s="316"/>
      <c r="Y2828" s="316"/>
      <c r="Z2828" s="316"/>
      <c r="AA2828" s="404"/>
      <c r="AB2828" s="404"/>
      <c r="AC2828" s="404"/>
      <c r="AD2828" s="404"/>
      <c r="AE2828" s="316"/>
      <c r="AF2828" s="316"/>
      <c r="AG2828" s="404"/>
      <c r="AH2828" s="316"/>
      <c r="AI2828" s="316"/>
      <c r="AJ2828" s="316"/>
      <c r="AK2828" s="316"/>
      <c r="AL2828" s="316"/>
      <c r="AM2828" s="416"/>
      <c r="AN2828" s="330"/>
      <c r="AO2828" s="330"/>
      <c r="AP2828" s="330"/>
      <c r="AQ2828" s="330"/>
      <c r="AR2828" s="333"/>
      <c r="AS2828" s="333"/>
      <c r="AT2828" s="333"/>
      <c r="AU2828" s="333"/>
      <c r="AV2828" s="333"/>
      <c r="AW2828" s="330"/>
      <c r="AX2828" s="330"/>
      <c r="AY2828" s="330"/>
    </row>
    <row r="2829" spans="2:51" x14ac:dyDescent="0.25">
      <c r="B2829" s="331"/>
      <c r="C2829" s="332"/>
      <c r="D2829" s="332"/>
      <c r="E2829" s="333"/>
      <c r="F2829" s="333"/>
      <c r="G2829" s="330"/>
      <c r="H2829" s="330"/>
      <c r="I2829" s="330"/>
      <c r="J2829" s="330"/>
      <c r="K2829" s="330"/>
      <c r="L2829" s="330"/>
      <c r="M2829" s="330"/>
      <c r="N2829" s="330"/>
      <c r="O2829" s="330"/>
      <c r="P2829" s="330"/>
      <c r="Q2829" s="330"/>
      <c r="R2829" s="316"/>
      <c r="S2829" s="404"/>
      <c r="T2829" s="404"/>
      <c r="U2829" s="404"/>
      <c r="V2829" s="404"/>
      <c r="W2829" s="316"/>
      <c r="X2829" s="316"/>
      <c r="Y2829" s="316"/>
      <c r="Z2829" s="316"/>
      <c r="AA2829" s="404"/>
      <c r="AB2829" s="404"/>
      <c r="AC2829" s="404"/>
      <c r="AD2829" s="404"/>
      <c r="AE2829" s="316"/>
      <c r="AF2829" s="316"/>
      <c r="AG2829" s="404"/>
      <c r="AH2829" s="316"/>
      <c r="AI2829" s="316"/>
      <c r="AJ2829" s="316"/>
      <c r="AK2829" s="316"/>
      <c r="AL2829" s="316"/>
      <c r="AM2829" s="416"/>
      <c r="AN2829" s="330"/>
      <c r="AO2829" s="330"/>
      <c r="AP2829" s="330"/>
      <c r="AQ2829" s="330"/>
      <c r="AR2829" s="333"/>
      <c r="AS2829" s="333"/>
      <c r="AT2829" s="333"/>
      <c r="AU2829" s="333"/>
      <c r="AV2829" s="333"/>
      <c r="AW2829" s="330"/>
      <c r="AX2829" s="330"/>
      <c r="AY2829" s="330"/>
    </row>
    <row r="2830" spans="2:51" x14ac:dyDescent="0.25">
      <c r="B2830" s="331"/>
      <c r="C2830" s="332"/>
      <c r="D2830" s="332"/>
      <c r="E2830" s="333"/>
      <c r="F2830" s="333"/>
      <c r="G2830" s="330"/>
      <c r="H2830" s="330"/>
      <c r="I2830" s="330"/>
      <c r="J2830" s="330"/>
      <c r="K2830" s="330"/>
      <c r="L2830" s="330"/>
      <c r="M2830" s="330"/>
      <c r="N2830" s="330"/>
      <c r="O2830" s="330"/>
      <c r="P2830" s="330"/>
      <c r="Q2830" s="330"/>
      <c r="R2830" s="316"/>
      <c r="S2830" s="404"/>
      <c r="T2830" s="404"/>
      <c r="U2830" s="404"/>
      <c r="V2830" s="404"/>
      <c r="W2830" s="316"/>
      <c r="X2830" s="316"/>
      <c r="Y2830" s="316"/>
      <c r="Z2830" s="316"/>
      <c r="AA2830" s="404"/>
      <c r="AB2830" s="404"/>
      <c r="AC2830" s="404"/>
      <c r="AD2830" s="404"/>
      <c r="AE2830" s="316"/>
      <c r="AF2830" s="316"/>
      <c r="AG2830" s="404"/>
      <c r="AH2830" s="316"/>
      <c r="AI2830" s="316"/>
      <c r="AJ2830" s="316"/>
      <c r="AK2830" s="316"/>
      <c r="AL2830" s="316"/>
      <c r="AM2830" s="416"/>
      <c r="AN2830" s="330"/>
      <c r="AO2830" s="330"/>
      <c r="AP2830" s="330"/>
      <c r="AQ2830" s="330"/>
      <c r="AR2830" s="333"/>
      <c r="AS2830" s="333"/>
      <c r="AT2830" s="333"/>
      <c r="AU2830" s="333"/>
      <c r="AV2830" s="333"/>
      <c r="AW2830" s="330"/>
      <c r="AX2830" s="330"/>
      <c r="AY2830" s="330"/>
    </row>
    <row r="2831" spans="2:51" x14ac:dyDescent="0.25">
      <c r="B2831" s="331"/>
      <c r="C2831" s="332"/>
      <c r="D2831" s="332"/>
      <c r="E2831" s="333"/>
      <c r="F2831" s="333"/>
      <c r="G2831" s="330"/>
      <c r="H2831" s="330"/>
      <c r="I2831" s="330"/>
      <c r="J2831" s="330"/>
      <c r="K2831" s="330"/>
      <c r="L2831" s="330"/>
      <c r="M2831" s="330"/>
      <c r="N2831" s="330"/>
      <c r="O2831" s="330"/>
      <c r="P2831" s="330"/>
      <c r="Q2831" s="330"/>
      <c r="R2831" s="316"/>
      <c r="S2831" s="404"/>
      <c r="T2831" s="404"/>
      <c r="U2831" s="404"/>
      <c r="V2831" s="404"/>
      <c r="W2831" s="316"/>
      <c r="X2831" s="316"/>
      <c r="Y2831" s="316"/>
      <c r="Z2831" s="316"/>
      <c r="AA2831" s="404"/>
      <c r="AB2831" s="404"/>
      <c r="AC2831" s="404"/>
      <c r="AD2831" s="404"/>
      <c r="AE2831" s="316"/>
      <c r="AF2831" s="316"/>
      <c r="AG2831" s="404"/>
      <c r="AH2831" s="316"/>
      <c r="AI2831" s="316"/>
      <c r="AJ2831" s="316"/>
      <c r="AK2831" s="316"/>
      <c r="AL2831" s="316"/>
      <c r="AM2831" s="416"/>
      <c r="AN2831" s="330"/>
      <c r="AO2831" s="330"/>
      <c r="AP2831" s="330"/>
      <c r="AQ2831" s="330"/>
      <c r="AR2831" s="333"/>
      <c r="AS2831" s="333"/>
      <c r="AT2831" s="333"/>
      <c r="AU2831" s="333"/>
      <c r="AV2831" s="333"/>
      <c r="AW2831" s="330"/>
      <c r="AX2831" s="330"/>
      <c r="AY2831" s="330"/>
    </row>
    <row r="2832" spans="2:51" x14ac:dyDescent="0.25">
      <c r="B2832" s="331"/>
      <c r="C2832" s="332"/>
      <c r="D2832" s="332"/>
      <c r="E2832" s="333"/>
      <c r="F2832" s="333"/>
      <c r="G2832" s="330"/>
      <c r="H2832" s="330"/>
      <c r="I2832" s="330"/>
      <c r="J2832" s="330"/>
      <c r="K2832" s="330"/>
      <c r="L2832" s="330"/>
      <c r="M2832" s="330"/>
      <c r="N2832" s="330"/>
      <c r="O2832" s="330"/>
      <c r="P2832" s="330"/>
      <c r="Q2832" s="330"/>
      <c r="R2832" s="316"/>
      <c r="S2832" s="404"/>
      <c r="T2832" s="404"/>
      <c r="U2832" s="404"/>
      <c r="V2832" s="404"/>
      <c r="W2832" s="316"/>
      <c r="X2832" s="316"/>
      <c r="Y2832" s="316"/>
      <c r="Z2832" s="316"/>
      <c r="AA2832" s="404"/>
      <c r="AB2832" s="404"/>
      <c r="AC2832" s="404"/>
      <c r="AD2832" s="404"/>
      <c r="AE2832" s="316"/>
      <c r="AF2832" s="316"/>
      <c r="AG2832" s="404"/>
      <c r="AH2832" s="316"/>
      <c r="AI2832" s="316"/>
      <c r="AJ2832" s="316"/>
      <c r="AK2832" s="316"/>
      <c r="AL2832" s="316"/>
      <c r="AM2832" s="416"/>
      <c r="AN2832" s="330"/>
      <c r="AO2832" s="330"/>
      <c r="AP2832" s="330"/>
      <c r="AQ2832" s="330"/>
      <c r="AR2832" s="333"/>
      <c r="AS2832" s="333"/>
      <c r="AT2832" s="333"/>
      <c r="AU2832" s="333"/>
      <c r="AV2832" s="333"/>
      <c r="AW2832" s="330"/>
      <c r="AX2832" s="330"/>
      <c r="AY2832" s="330"/>
    </row>
    <row r="2833" spans="2:51" x14ac:dyDescent="0.25">
      <c r="B2833" s="331"/>
      <c r="C2833" s="332"/>
      <c r="D2833" s="332"/>
      <c r="E2833" s="333"/>
      <c r="F2833" s="333"/>
      <c r="G2833" s="330"/>
      <c r="H2833" s="330"/>
      <c r="I2833" s="330"/>
      <c r="J2833" s="330"/>
      <c r="K2833" s="330"/>
      <c r="L2833" s="330"/>
      <c r="M2833" s="330"/>
      <c r="N2833" s="330"/>
      <c r="O2833" s="330"/>
      <c r="P2833" s="330"/>
      <c r="Q2833" s="330"/>
      <c r="R2833" s="316"/>
      <c r="S2833" s="404"/>
      <c r="T2833" s="404"/>
      <c r="U2833" s="404"/>
      <c r="V2833" s="404"/>
      <c r="W2833" s="316"/>
      <c r="X2833" s="316"/>
      <c r="Y2833" s="316"/>
      <c r="Z2833" s="316"/>
      <c r="AA2833" s="404"/>
      <c r="AB2833" s="404"/>
      <c r="AC2833" s="404"/>
      <c r="AD2833" s="404"/>
      <c r="AE2833" s="316"/>
      <c r="AF2833" s="316"/>
      <c r="AG2833" s="404"/>
      <c r="AH2833" s="316"/>
      <c r="AI2833" s="316"/>
      <c r="AJ2833" s="316"/>
      <c r="AK2833" s="316"/>
      <c r="AL2833" s="316"/>
      <c r="AM2833" s="416"/>
      <c r="AN2833" s="330"/>
      <c r="AO2833" s="330"/>
      <c r="AP2833" s="330"/>
      <c r="AQ2833" s="330"/>
      <c r="AR2833" s="333"/>
      <c r="AS2833" s="333"/>
      <c r="AT2833" s="333"/>
      <c r="AU2833" s="333"/>
      <c r="AV2833" s="333"/>
      <c r="AW2833" s="330"/>
      <c r="AX2833" s="330"/>
      <c r="AY2833" s="330"/>
    </row>
    <row r="2834" spans="2:51" x14ac:dyDescent="0.25">
      <c r="B2834" s="331"/>
      <c r="C2834" s="332"/>
      <c r="D2834" s="332"/>
      <c r="E2834" s="333"/>
      <c r="F2834" s="333"/>
      <c r="G2834" s="330"/>
      <c r="H2834" s="330"/>
      <c r="I2834" s="330"/>
      <c r="J2834" s="330"/>
      <c r="K2834" s="330"/>
      <c r="L2834" s="330"/>
      <c r="M2834" s="330"/>
      <c r="N2834" s="330"/>
      <c r="O2834" s="330"/>
      <c r="P2834" s="330"/>
      <c r="Q2834" s="330"/>
      <c r="R2834" s="316"/>
      <c r="S2834" s="404"/>
      <c r="T2834" s="404"/>
      <c r="U2834" s="404"/>
      <c r="V2834" s="404"/>
      <c r="W2834" s="316"/>
      <c r="X2834" s="316"/>
      <c r="Y2834" s="316"/>
      <c r="Z2834" s="316"/>
      <c r="AA2834" s="404"/>
      <c r="AB2834" s="404"/>
      <c r="AC2834" s="404"/>
      <c r="AD2834" s="404"/>
      <c r="AE2834" s="316"/>
      <c r="AF2834" s="316"/>
      <c r="AG2834" s="404"/>
      <c r="AH2834" s="316"/>
      <c r="AI2834" s="316"/>
      <c r="AJ2834" s="316"/>
      <c r="AK2834" s="316"/>
      <c r="AL2834" s="316"/>
      <c r="AM2834" s="416"/>
      <c r="AN2834" s="330"/>
      <c r="AO2834" s="330"/>
      <c r="AP2834" s="330"/>
      <c r="AQ2834" s="330"/>
      <c r="AR2834" s="333"/>
      <c r="AS2834" s="333"/>
      <c r="AT2834" s="333"/>
      <c r="AU2834" s="333"/>
      <c r="AV2834" s="333"/>
      <c r="AW2834" s="330"/>
      <c r="AX2834" s="330"/>
      <c r="AY2834" s="330"/>
    </row>
    <row r="2835" spans="2:51" x14ac:dyDescent="0.25">
      <c r="B2835" s="331"/>
      <c r="C2835" s="332"/>
      <c r="D2835" s="332"/>
      <c r="E2835" s="333"/>
      <c r="F2835" s="333"/>
      <c r="G2835" s="330"/>
      <c r="H2835" s="330"/>
      <c r="I2835" s="330"/>
      <c r="J2835" s="330"/>
      <c r="K2835" s="330"/>
      <c r="L2835" s="330"/>
      <c r="M2835" s="330"/>
      <c r="N2835" s="330"/>
      <c r="O2835" s="330"/>
      <c r="P2835" s="330"/>
      <c r="Q2835" s="330"/>
      <c r="R2835" s="316"/>
      <c r="S2835" s="404"/>
      <c r="T2835" s="404"/>
      <c r="U2835" s="404"/>
      <c r="V2835" s="404"/>
      <c r="W2835" s="316"/>
      <c r="X2835" s="316"/>
      <c r="Y2835" s="316"/>
      <c r="Z2835" s="316"/>
      <c r="AA2835" s="404"/>
      <c r="AB2835" s="404"/>
      <c r="AC2835" s="404"/>
      <c r="AD2835" s="404"/>
      <c r="AE2835" s="316"/>
      <c r="AF2835" s="316"/>
      <c r="AG2835" s="404"/>
      <c r="AH2835" s="316"/>
      <c r="AI2835" s="316"/>
      <c r="AJ2835" s="316"/>
      <c r="AK2835" s="316"/>
      <c r="AL2835" s="316"/>
      <c r="AM2835" s="416"/>
      <c r="AN2835" s="330"/>
      <c r="AO2835" s="330"/>
      <c r="AP2835" s="330"/>
      <c r="AQ2835" s="330"/>
      <c r="AR2835" s="333"/>
      <c r="AS2835" s="333"/>
      <c r="AT2835" s="333"/>
      <c r="AU2835" s="333"/>
      <c r="AV2835" s="333"/>
      <c r="AW2835" s="330"/>
      <c r="AX2835" s="330"/>
      <c r="AY2835" s="330"/>
    </row>
    <row r="2836" spans="2:51" x14ac:dyDescent="0.25">
      <c r="B2836" s="331"/>
      <c r="C2836" s="332"/>
      <c r="D2836" s="332"/>
      <c r="E2836" s="333"/>
      <c r="F2836" s="333"/>
      <c r="G2836" s="330"/>
      <c r="H2836" s="330"/>
      <c r="I2836" s="330"/>
      <c r="J2836" s="330"/>
      <c r="K2836" s="330"/>
      <c r="L2836" s="330"/>
      <c r="M2836" s="330"/>
      <c r="N2836" s="330"/>
      <c r="O2836" s="330"/>
      <c r="P2836" s="330"/>
      <c r="Q2836" s="330"/>
      <c r="R2836" s="316"/>
      <c r="S2836" s="404"/>
      <c r="T2836" s="404"/>
      <c r="U2836" s="404"/>
      <c r="V2836" s="404"/>
      <c r="W2836" s="316"/>
      <c r="X2836" s="316"/>
      <c r="Y2836" s="316"/>
      <c r="Z2836" s="316"/>
      <c r="AA2836" s="404"/>
      <c r="AB2836" s="404"/>
      <c r="AC2836" s="404"/>
      <c r="AD2836" s="404"/>
      <c r="AE2836" s="316"/>
      <c r="AF2836" s="316"/>
      <c r="AG2836" s="404"/>
      <c r="AH2836" s="316"/>
      <c r="AI2836" s="316"/>
      <c r="AJ2836" s="316"/>
      <c r="AK2836" s="316"/>
      <c r="AL2836" s="316"/>
      <c r="AM2836" s="416"/>
      <c r="AN2836" s="330"/>
      <c r="AO2836" s="330"/>
      <c r="AP2836" s="330"/>
      <c r="AQ2836" s="330"/>
      <c r="AR2836" s="333"/>
      <c r="AS2836" s="333"/>
      <c r="AT2836" s="333"/>
      <c r="AU2836" s="333"/>
      <c r="AV2836" s="333"/>
      <c r="AW2836" s="330"/>
      <c r="AX2836" s="330"/>
      <c r="AY2836" s="330"/>
    </row>
    <row r="2837" spans="2:51" x14ac:dyDescent="0.25">
      <c r="B2837" s="331"/>
      <c r="C2837" s="332"/>
      <c r="D2837" s="332"/>
      <c r="E2837" s="333"/>
      <c r="F2837" s="333"/>
      <c r="G2837" s="330"/>
      <c r="H2837" s="330"/>
      <c r="I2837" s="330"/>
      <c r="J2837" s="330"/>
      <c r="K2837" s="330"/>
      <c r="L2837" s="330"/>
      <c r="M2837" s="330"/>
      <c r="N2837" s="330"/>
      <c r="O2837" s="330"/>
      <c r="P2837" s="330"/>
      <c r="Q2837" s="330"/>
      <c r="R2837" s="316"/>
      <c r="S2837" s="404"/>
      <c r="T2837" s="404"/>
      <c r="U2837" s="404"/>
      <c r="V2837" s="404"/>
      <c r="W2837" s="316"/>
      <c r="X2837" s="316"/>
      <c r="Y2837" s="316"/>
      <c r="Z2837" s="316"/>
      <c r="AA2837" s="404"/>
      <c r="AB2837" s="404"/>
      <c r="AC2837" s="404"/>
      <c r="AD2837" s="404"/>
      <c r="AE2837" s="316"/>
      <c r="AF2837" s="316"/>
      <c r="AG2837" s="404"/>
      <c r="AH2837" s="316"/>
      <c r="AI2837" s="316"/>
      <c r="AJ2837" s="316"/>
      <c r="AK2837" s="316"/>
      <c r="AL2837" s="316"/>
      <c r="AM2837" s="416"/>
      <c r="AN2837" s="330"/>
      <c r="AO2837" s="330"/>
      <c r="AP2837" s="330"/>
      <c r="AQ2837" s="330"/>
      <c r="AR2837" s="333"/>
      <c r="AS2837" s="333"/>
      <c r="AT2837" s="333"/>
      <c r="AU2837" s="333"/>
      <c r="AV2837" s="333"/>
      <c r="AW2837" s="330"/>
      <c r="AX2837" s="330"/>
      <c r="AY2837" s="330"/>
    </row>
    <row r="2838" spans="2:51" x14ac:dyDescent="0.25">
      <c r="B2838" s="331"/>
      <c r="C2838" s="332"/>
      <c r="D2838" s="332"/>
      <c r="E2838" s="333"/>
      <c r="F2838" s="333"/>
      <c r="G2838" s="330"/>
      <c r="H2838" s="330"/>
      <c r="I2838" s="330"/>
      <c r="J2838" s="330"/>
      <c r="K2838" s="330"/>
      <c r="L2838" s="330"/>
      <c r="M2838" s="330"/>
      <c r="N2838" s="330"/>
      <c r="O2838" s="330"/>
      <c r="P2838" s="330"/>
      <c r="Q2838" s="330"/>
      <c r="R2838" s="316"/>
      <c r="S2838" s="404"/>
      <c r="T2838" s="404"/>
      <c r="U2838" s="404"/>
      <c r="V2838" s="404"/>
      <c r="W2838" s="316"/>
      <c r="X2838" s="316"/>
      <c r="Y2838" s="316"/>
      <c r="Z2838" s="316"/>
      <c r="AA2838" s="404"/>
      <c r="AB2838" s="404"/>
      <c r="AC2838" s="404"/>
      <c r="AD2838" s="404"/>
      <c r="AE2838" s="316"/>
      <c r="AF2838" s="316"/>
      <c r="AG2838" s="404"/>
      <c r="AH2838" s="316"/>
      <c r="AI2838" s="316"/>
      <c r="AJ2838" s="316"/>
      <c r="AK2838" s="316"/>
      <c r="AL2838" s="316"/>
      <c r="AM2838" s="416"/>
      <c r="AN2838" s="330"/>
      <c r="AO2838" s="330"/>
      <c r="AP2838" s="330"/>
      <c r="AQ2838" s="330"/>
      <c r="AR2838" s="333"/>
      <c r="AS2838" s="333"/>
      <c r="AT2838" s="333"/>
      <c r="AU2838" s="333"/>
      <c r="AV2838" s="333"/>
      <c r="AW2838" s="330"/>
      <c r="AX2838" s="330"/>
      <c r="AY2838" s="330"/>
    </row>
    <row r="2839" spans="2:51" x14ac:dyDescent="0.25">
      <c r="B2839" s="331"/>
      <c r="C2839" s="332"/>
      <c r="D2839" s="332"/>
      <c r="E2839" s="333"/>
      <c r="F2839" s="333"/>
      <c r="G2839" s="330"/>
      <c r="H2839" s="330"/>
      <c r="I2839" s="330"/>
      <c r="J2839" s="330"/>
      <c r="K2839" s="330"/>
      <c r="L2839" s="330"/>
      <c r="M2839" s="330"/>
      <c r="N2839" s="330"/>
      <c r="O2839" s="330"/>
      <c r="P2839" s="330"/>
      <c r="Q2839" s="330"/>
      <c r="R2839" s="316"/>
      <c r="S2839" s="404"/>
      <c r="T2839" s="404"/>
      <c r="U2839" s="404"/>
      <c r="V2839" s="404"/>
      <c r="W2839" s="316"/>
      <c r="X2839" s="316"/>
      <c r="Y2839" s="316"/>
      <c r="Z2839" s="316"/>
      <c r="AA2839" s="404"/>
      <c r="AB2839" s="404"/>
      <c r="AC2839" s="404"/>
      <c r="AD2839" s="404"/>
      <c r="AE2839" s="316"/>
      <c r="AF2839" s="316"/>
      <c r="AG2839" s="404"/>
      <c r="AH2839" s="316"/>
      <c r="AI2839" s="316"/>
      <c r="AJ2839" s="316"/>
      <c r="AK2839" s="316"/>
      <c r="AL2839" s="316"/>
      <c r="AM2839" s="416"/>
      <c r="AN2839" s="330"/>
      <c r="AO2839" s="330"/>
      <c r="AP2839" s="330"/>
      <c r="AQ2839" s="330"/>
      <c r="AR2839" s="333"/>
      <c r="AS2839" s="333"/>
      <c r="AT2839" s="333"/>
      <c r="AU2839" s="333"/>
      <c r="AV2839" s="333"/>
      <c r="AW2839" s="330"/>
      <c r="AX2839" s="330"/>
      <c r="AY2839" s="330"/>
    </row>
    <row r="2840" spans="2:51" x14ac:dyDescent="0.25">
      <c r="B2840" s="331"/>
      <c r="C2840" s="332"/>
      <c r="D2840" s="332"/>
      <c r="E2840" s="333"/>
      <c r="F2840" s="333"/>
      <c r="G2840" s="330"/>
      <c r="H2840" s="330"/>
      <c r="I2840" s="330"/>
      <c r="J2840" s="330"/>
      <c r="K2840" s="330"/>
      <c r="L2840" s="330"/>
      <c r="M2840" s="330"/>
      <c r="N2840" s="330"/>
      <c r="O2840" s="330"/>
      <c r="P2840" s="330"/>
      <c r="Q2840" s="330"/>
      <c r="R2840" s="316"/>
      <c r="S2840" s="404"/>
      <c r="T2840" s="404"/>
      <c r="U2840" s="404"/>
      <c r="V2840" s="404"/>
      <c r="W2840" s="316"/>
      <c r="X2840" s="316"/>
      <c r="Y2840" s="316"/>
      <c r="Z2840" s="316"/>
      <c r="AA2840" s="404"/>
      <c r="AB2840" s="404"/>
      <c r="AC2840" s="404"/>
      <c r="AD2840" s="404"/>
      <c r="AE2840" s="316"/>
      <c r="AF2840" s="316"/>
      <c r="AG2840" s="404"/>
      <c r="AH2840" s="316"/>
      <c r="AI2840" s="316"/>
      <c r="AJ2840" s="316"/>
      <c r="AK2840" s="316"/>
      <c r="AL2840" s="316"/>
      <c r="AM2840" s="416"/>
      <c r="AN2840" s="330"/>
      <c r="AO2840" s="330"/>
      <c r="AP2840" s="330"/>
      <c r="AQ2840" s="330"/>
      <c r="AR2840" s="333"/>
      <c r="AS2840" s="333"/>
      <c r="AT2840" s="333"/>
      <c r="AU2840" s="333"/>
      <c r="AV2840" s="333"/>
      <c r="AW2840" s="330"/>
      <c r="AX2840" s="330"/>
      <c r="AY2840" s="330"/>
    </row>
    <row r="2841" spans="2:51" x14ac:dyDescent="0.25">
      <c r="B2841" s="331"/>
      <c r="C2841" s="332"/>
      <c r="D2841" s="332"/>
      <c r="E2841" s="333"/>
      <c r="F2841" s="333"/>
      <c r="G2841" s="330"/>
      <c r="H2841" s="330"/>
      <c r="I2841" s="330"/>
      <c r="J2841" s="330"/>
      <c r="K2841" s="330"/>
      <c r="L2841" s="330"/>
      <c r="M2841" s="330"/>
      <c r="N2841" s="330"/>
      <c r="O2841" s="330"/>
      <c r="P2841" s="330"/>
      <c r="Q2841" s="330"/>
      <c r="R2841" s="316"/>
      <c r="S2841" s="404"/>
      <c r="T2841" s="404"/>
      <c r="U2841" s="404"/>
      <c r="V2841" s="404"/>
      <c r="W2841" s="316"/>
      <c r="X2841" s="316"/>
      <c r="Y2841" s="316"/>
      <c r="Z2841" s="316"/>
      <c r="AA2841" s="404"/>
      <c r="AB2841" s="404"/>
      <c r="AC2841" s="404"/>
      <c r="AD2841" s="404"/>
      <c r="AE2841" s="316"/>
      <c r="AF2841" s="316"/>
      <c r="AG2841" s="404"/>
      <c r="AH2841" s="316"/>
      <c r="AI2841" s="316"/>
      <c r="AJ2841" s="316"/>
      <c r="AK2841" s="316"/>
      <c r="AL2841" s="316"/>
      <c r="AM2841" s="416"/>
      <c r="AN2841" s="330"/>
      <c r="AO2841" s="330"/>
      <c r="AP2841" s="330"/>
      <c r="AQ2841" s="330"/>
      <c r="AR2841" s="333"/>
      <c r="AS2841" s="333"/>
      <c r="AT2841" s="333"/>
      <c r="AU2841" s="333"/>
      <c r="AV2841" s="333"/>
      <c r="AW2841" s="330"/>
      <c r="AX2841" s="330"/>
      <c r="AY2841" s="330"/>
    </row>
    <row r="2842" spans="2:51" x14ac:dyDescent="0.25">
      <c r="B2842" s="331"/>
      <c r="C2842" s="332"/>
      <c r="D2842" s="332"/>
      <c r="E2842" s="333"/>
      <c r="F2842" s="333"/>
      <c r="G2842" s="330"/>
      <c r="H2842" s="330"/>
      <c r="I2842" s="330"/>
      <c r="J2842" s="330"/>
      <c r="K2842" s="330"/>
      <c r="L2842" s="330"/>
      <c r="M2842" s="330"/>
      <c r="N2842" s="330"/>
      <c r="O2842" s="330"/>
      <c r="P2842" s="330"/>
      <c r="Q2842" s="330"/>
      <c r="R2842" s="316"/>
      <c r="S2842" s="404"/>
      <c r="T2842" s="404"/>
      <c r="U2842" s="404"/>
      <c r="V2842" s="404"/>
      <c r="W2842" s="316"/>
      <c r="X2842" s="316"/>
      <c r="Y2842" s="316"/>
      <c r="Z2842" s="316"/>
      <c r="AA2842" s="404"/>
      <c r="AB2842" s="404"/>
      <c r="AC2842" s="404"/>
      <c r="AD2842" s="404"/>
      <c r="AE2842" s="316"/>
      <c r="AF2842" s="316"/>
      <c r="AG2842" s="404"/>
      <c r="AH2842" s="316"/>
      <c r="AI2842" s="316"/>
      <c r="AJ2842" s="316"/>
      <c r="AK2842" s="316"/>
      <c r="AL2842" s="316"/>
      <c r="AM2842" s="416"/>
      <c r="AN2842" s="330"/>
      <c r="AO2842" s="330"/>
      <c r="AP2842" s="330"/>
      <c r="AQ2842" s="330"/>
      <c r="AR2842" s="333"/>
      <c r="AS2842" s="333"/>
      <c r="AT2842" s="333"/>
      <c r="AU2842" s="333"/>
      <c r="AV2842" s="333"/>
      <c r="AW2842" s="330"/>
      <c r="AX2842" s="330"/>
      <c r="AY2842" s="330"/>
    </row>
    <row r="2843" spans="2:51" x14ac:dyDescent="0.25">
      <c r="B2843" s="331"/>
      <c r="C2843" s="332"/>
      <c r="D2843" s="332"/>
      <c r="E2843" s="333"/>
      <c r="F2843" s="333"/>
      <c r="G2843" s="330"/>
      <c r="H2843" s="330"/>
      <c r="I2843" s="330"/>
      <c r="J2843" s="330"/>
      <c r="K2843" s="330"/>
      <c r="L2843" s="330"/>
      <c r="M2843" s="330"/>
      <c r="N2843" s="330"/>
      <c r="O2843" s="330"/>
      <c r="P2843" s="330"/>
      <c r="Q2843" s="330"/>
      <c r="R2843" s="316"/>
      <c r="S2843" s="404"/>
      <c r="T2843" s="404"/>
      <c r="U2843" s="404"/>
      <c r="V2843" s="404"/>
      <c r="W2843" s="316"/>
      <c r="X2843" s="316"/>
      <c r="Y2843" s="316"/>
      <c r="Z2843" s="316"/>
      <c r="AA2843" s="404"/>
      <c r="AB2843" s="404"/>
      <c r="AC2843" s="404"/>
      <c r="AD2843" s="404"/>
      <c r="AE2843" s="316"/>
      <c r="AF2843" s="316"/>
      <c r="AG2843" s="404"/>
      <c r="AH2843" s="316"/>
      <c r="AI2843" s="316"/>
      <c r="AJ2843" s="316"/>
      <c r="AK2843" s="316"/>
      <c r="AL2843" s="316"/>
      <c r="AM2843" s="416"/>
      <c r="AN2843" s="330"/>
      <c r="AO2843" s="330"/>
      <c r="AP2843" s="330"/>
      <c r="AQ2843" s="330"/>
      <c r="AR2843" s="333"/>
      <c r="AS2843" s="333"/>
      <c r="AT2843" s="333"/>
      <c r="AU2843" s="333"/>
      <c r="AV2843" s="333"/>
      <c r="AW2843" s="330"/>
      <c r="AX2843" s="330"/>
      <c r="AY2843" s="330"/>
    </row>
    <row r="2844" spans="2:51" x14ac:dyDescent="0.25">
      <c r="B2844" s="331"/>
      <c r="C2844" s="332"/>
      <c r="D2844" s="332"/>
      <c r="E2844" s="333"/>
      <c r="F2844" s="333"/>
      <c r="G2844" s="330"/>
      <c r="H2844" s="330"/>
      <c r="I2844" s="330"/>
      <c r="J2844" s="330"/>
      <c r="K2844" s="330"/>
      <c r="L2844" s="330"/>
      <c r="M2844" s="330"/>
      <c r="N2844" s="330"/>
      <c r="O2844" s="330"/>
      <c r="P2844" s="330"/>
      <c r="Q2844" s="330"/>
      <c r="R2844" s="316"/>
      <c r="S2844" s="404"/>
      <c r="T2844" s="404"/>
      <c r="U2844" s="404"/>
      <c r="V2844" s="404"/>
      <c r="W2844" s="316"/>
      <c r="X2844" s="316"/>
      <c r="Y2844" s="316"/>
      <c r="Z2844" s="316"/>
      <c r="AA2844" s="404"/>
      <c r="AB2844" s="404"/>
      <c r="AC2844" s="404"/>
      <c r="AD2844" s="404"/>
      <c r="AE2844" s="316"/>
      <c r="AF2844" s="316"/>
      <c r="AG2844" s="404"/>
      <c r="AH2844" s="316"/>
      <c r="AI2844" s="316"/>
      <c r="AJ2844" s="316"/>
      <c r="AK2844" s="316"/>
      <c r="AL2844" s="316"/>
      <c r="AM2844" s="416"/>
      <c r="AN2844" s="330"/>
      <c r="AO2844" s="330"/>
      <c r="AP2844" s="330"/>
      <c r="AQ2844" s="330"/>
      <c r="AR2844" s="333"/>
      <c r="AS2844" s="333"/>
      <c r="AT2844" s="333"/>
      <c r="AU2844" s="333"/>
      <c r="AV2844" s="333"/>
      <c r="AW2844" s="330"/>
      <c r="AX2844" s="330"/>
      <c r="AY2844" s="330"/>
    </row>
    <row r="2845" spans="2:51" x14ac:dyDescent="0.25">
      <c r="B2845" s="331"/>
      <c r="C2845" s="332"/>
      <c r="D2845" s="332"/>
      <c r="E2845" s="333"/>
      <c r="F2845" s="333"/>
      <c r="G2845" s="330"/>
      <c r="H2845" s="330"/>
      <c r="I2845" s="330"/>
      <c r="J2845" s="330"/>
      <c r="K2845" s="330"/>
      <c r="L2845" s="330"/>
      <c r="M2845" s="330"/>
      <c r="N2845" s="330"/>
      <c r="O2845" s="330"/>
      <c r="P2845" s="330"/>
      <c r="Q2845" s="330"/>
      <c r="R2845" s="316"/>
      <c r="S2845" s="404"/>
      <c r="T2845" s="404"/>
      <c r="U2845" s="404"/>
      <c r="V2845" s="404"/>
      <c r="W2845" s="316"/>
      <c r="X2845" s="316"/>
      <c r="Y2845" s="316"/>
      <c r="Z2845" s="316"/>
      <c r="AA2845" s="404"/>
      <c r="AB2845" s="404"/>
      <c r="AC2845" s="404"/>
      <c r="AD2845" s="404"/>
      <c r="AE2845" s="316"/>
      <c r="AF2845" s="316"/>
      <c r="AG2845" s="404"/>
      <c r="AH2845" s="316"/>
      <c r="AI2845" s="316"/>
      <c r="AJ2845" s="316"/>
      <c r="AK2845" s="316"/>
      <c r="AL2845" s="316"/>
      <c r="AM2845" s="416"/>
      <c r="AN2845" s="330"/>
      <c r="AO2845" s="330"/>
      <c r="AP2845" s="330"/>
      <c r="AQ2845" s="330"/>
      <c r="AR2845" s="333"/>
      <c r="AS2845" s="333"/>
      <c r="AT2845" s="333"/>
      <c r="AU2845" s="333"/>
      <c r="AV2845" s="333"/>
      <c r="AW2845" s="330"/>
      <c r="AX2845" s="330"/>
      <c r="AY2845" s="330"/>
    </row>
    <row r="2846" spans="2:51" x14ac:dyDescent="0.25">
      <c r="B2846" s="331"/>
      <c r="C2846" s="332"/>
      <c r="D2846" s="332"/>
      <c r="E2846" s="333"/>
      <c r="F2846" s="333"/>
      <c r="G2846" s="330"/>
      <c r="H2846" s="330"/>
      <c r="I2846" s="330"/>
      <c r="J2846" s="330"/>
      <c r="K2846" s="330"/>
      <c r="L2846" s="330"/>
      <c r="M2846" s="330"/>
      <c r="N2846" s="330"/>
      <c r="O2846" s="330"/>
      <c r="P2846" s="330"/>
      <c r="Q2846" s="330"/>
      <c r="R2846" s="316"/>
      <c r="S2846" s="404"/>
      <c r="T2846" s="404"/>
      <c r="U2846" s="404"/>
      <c r="V2846" s="404"/>
      <c r="W2846" s="316"/>
      <c r="X2846" s="316"/>
      <c r="Y2846" s="316"/>
      <c r="Z2846" s="316"/>
      <c r="AA2846" s="404"/>
      <c r="AB2846" s="404"/>
      <c r="AC2846" s="404"/>
      <c r="AD2846" s="404"/>
      <c r="AE2846" s="316"/>
      <c r="AF2846" s="316"/>
      <c r="AG2846" s="404"/>
      <c r="AH2846" s="316"/>
      <c r="AI2846" s="316"/>
      <c r="AJ2846" s="316"/>
      <c r="AK2846" s="316"/>
      <c r="AL2846" s="316"/>
      <c r="AM2846" s="416"/>
      <c r="AN2846" s="330"/>
      <c r="AO2846" s="330"/>
      <c r="AP2846" s="330"/>
      <c r="AQ2846" s="330"/>
      <c r="AR2846" s="333"/>
      <c r="AS2846" s="333"/>
      <c r="AT2846" s="333"/>
      <c r="AU2846" s="333"/>
      <c r="AV2846" s="333"/>
      <c r="AW2846" s="330"/>
      <c r="AX2846" s="330"/>
      <c r="AY2846" s="330"/>
    </row>
    <row r="2847" spans="2:51" x14ac:dyDescent="0.25">
      <c r="B2847" s="331"/>
      <c r="C2847" s="332"/>
      <c r="D2847" s="332"/>
      <c r="E2847" s="333"/>
      <c r="F2847" s="333"/>
      <c r="G2847" s="330"/>
      <c r="H2847" s="330"/>
      <c r="I2847" s="330"/>
      <c r="J2847" s="330"/>
      <c r="K2847" s="330"/>
      <c r="L2847" s="330"/>
      <c r="M2847" s="330"/>
      <c r="N2847" s="330"/>
      <c r="O2847" s="330"/>
      <c r="P2847" s="330"/>
      <c r="Q2847" s="330"/>
      <c r="R2847" s="316"/>
      <c r="S2847" s="404"/>
      <c r="T2847" s="404"/>
      <c r="U2847" s="404"/>
      <c r="V2847" s="404"/>
      <c r="W2847" s="316"/>
      <c r="X2847" s="316"/>
      <c r="Y2847" s="316"/>
      <c r="Z2847" s="316"/>
      <c r="AA2847" s="404"/>
      <c r="AB2847" s="404"/>
      <c r="AC2847" s="404"/>
      <c r="AD2847" s="404"/>
      <c r="AE2847" s="316"/>
      <c r="AF2847" s="316"/>
      <c r="AG2847" s="404"/>
      <c r="AH2847" s="316"/>
      <c r="AI2847" s="316"/>
      <c r="AJ2847" s="316"/>
      <c r="AK2847" s="316"/>
      <c r="AL2847" s="316"/>
      <c r="AM2847" s="416"/>
      <c r="AN2847" s="330"/>
      <c r="AO2847" s="330"/>
      <c r="AP2847" s="330"/>
      <c r="AQ2847" s="330"/>
      <c r="AR2847" s="333"/>
      <c r="AS2847" s="333"/>
      <c r="AT2847" s="333"/>
      <c r="AU2847" s="333"/>
      <c r="AV2847" s="333"/>
      <c r="AW2847" s="330"/>
      <c r="AX2847" s="330"/>
      <c r="AY2847" s="330"/>
    </row>
    <row r="2848" spans="2:51" x14ac:dyDescent="0.25">
      <c r="B2848" s="331"/>
      <c r="C2848" s="332"/>
      <c r="D2848" s="332"/>
      <c r="E2848" s="333"/>
      <c r="F2848" s="333"/>
      <c r="G2848" s="330"/>
      <c r="H2848" s="330"/>
      <c r="I2848" s="330"/>
      <c r="J2848" s="330"/>
      <c r="K2848" s="330"/>
      <c r="L2848" s="330"/>
      <c r="M2848" s="330"/>
      <c r="N2848" s="330"/>
      <c r="O2848" s="330"/>
      <c r="P2848" s="330"/>
      <c r="Q2848" s="330"/>
      <c r="R2848" s="316"/>
      <c r="S2848" s="404"/>
      <c r="T2848" s="404"/>
      <c r="U2848" s="404"/>
      <c r="V2848" s="404"/>
      <c r="W2848" s="316"/>
      <c r="X2848" s="316"/>
      <c r="Y2848" s="316"/>
      <c r="Z2848" s="316"/>
      <c r="AA2848" s="404"/>
      <c r="AB2848" s="404"/>
      <c r="AC2848" s="404"/>
      <c r="AD2848" s="404"/>
      <c r="AE2848" s="316"/>
      <c r="AF2848" s="316"/>
      <c r="AG2848" s="404"/>
      <c r="AH2848" s="316"/>
      <c r="AI2848" s="316"/>
      <c r="AJ2848" s="316"/>
      <c r="AK2848" s="316"/>
      <c r="AL2848" s="316"/>
      <c r="AM2848" s="416"/>
      <c r="AN2848" s="330"/>
      <c r="AO2848" s="330"/>
      <c r="AP2848" s="330"/>
      <c r="AQ2848" s="330"/>
      <c r="AR2848" s="333"/>
      <c r="AS2848" s="333"/>
      <c r="AT2848" s="333"/>
      <c r="AU2848" s="333"/>
      <c r="AV2848" s="333"/>
      <c r="AW2848" s="330"/>
      <c r="AX2848" s="330"/>
      <c r="AY2848" s="330"/>
    </row>
    <row r="2849" spans="2:51" x14ac:dyDescent="0.25">
      <c r="B2849" s="331"/>
      <c r="C2849" s="332"/>
      <c r="D2849" s="332"/>
      <c r="E2849" s="333"/>
      <c r="F2849" s="333"/>
      <c r="G2849" s="330"/>
      <c r="H2849" s="330"/>
      <c r="I2849" s="330"/>
      <c r="J2849" s="330"/>
      <c r="K2849" s="330"/>
      <c r="L2849" s="330"/>
      <c r="M2849" s="330"/>
      <c r="N2849" s="330"/>
      <c r="O2849" s="330"/>
      <c r="P2849" s="330"/>
      <c r="Q2849" s="330"/>
      <c r="R2849" s="316"/>
      <c r="S2849" s="404"/>
      <c r="T2849" s="404"/>
      <c r="U2849" s="404"/>
      <c r="V2849" s="404"/>
      <c r="W2849" s="316"/>
      <c r="X2849" s="316"/>
      <c r="Y2849" s="316"/>
      <c r="Z2849" s="316"/>
      <c r="AA2849" s="404"/>
      <c r="AB2849" s="404"/>
      <c r="AC2849" s="404"/>
      <c r="AD2849" s="404"/>
      <c r="AE2849" s="316"/>
      <c r="AF2849" s="316"/>
      <c r="AG2849" s="404"/>
      <c r="AH2849" s="316"/>
      <c r="AI2849" s="316"/>
      <c r="AJ2849" s="316"/>
      <c r="AK2849" s="316"/>
      <c r="AL2849" s="316"/>
      <c r="AM2849" s="416"/>
      <c r="AN2849" s="330"/>
      <c r="AO2849" s="330"/>
      <c r="AP2849" s="330"/>
      <c r="AQ2849" s="330"/>
      <c r="AR2849" s="333"/>
      <c r="AS2849" s="333"/>
      <c r="AT2849" s="333"/>
      <c r="AU2849" s="333"/>
      <c r="AV2849" s="333"/>
      <c r="AW2849" s="330"/>
      <c r="AX2849" s="330"/>
      <c r="AY2849" s="330"/>
    </row>
    <row r="2850" spans="2:51" x14ac:dyDescent="0.25">
      <c r="B2850" s="331"/>
      <c r="C2850" s="332"/>
      <c r="D2850" s="332"/>
      <c r="E2850" s="333"/>
      <c r="F2850" s="333"/>
      <c r="G2850" s="330"/>
      <c r="H2850" s="330"/>
      <c r="I2850" s="330"/>
      <c r="J2850" s="330"/>
      <c r="K2850" s="330"/>
      <c r="L2850" s="330"/>
      <c r="M2850" s="330"/>
      <c r="N2850" s="330"/>
      <c r="O2850" s="330"/>
      <c r="P2850" s="330"/>
      <c r="Q2850" s="330"/>
      <c r="R2850" s="316"/>
      <c r="S2850" s="404"/>
      <c r="T2850" s="404"/>
      <c r="U2850" s="404"/>
      <c r="V2850" s="404"/>
      <c r="W2850" s="316"/>
      <c r="X2850" s="316"/>
      <c r="Y2850" s="316"/>
      <c r="Z2850" s="316"/>
      <c r="AA2850" s="404"/>
      <c r="AB2850" s="404"/>
      <c r="AC2850" s="404"/>
      <c r="AD2850" s="404"/>
      <c r="AE2850" s="316"/>
      <c r="AF2850" s="316"/>
      <c r="AG2850" s="404"/>
      <c r="AH2850" s="316"/>
      <c r="AI2850" s="316"/>
      <c r="AJ2850" s="316"/>
      <c r="AK2850" s="316"/>
      <c r="AL2850" s="316"/>
      <c r="AM2850" s="416"/>
      <c r="AN2850" s="330"/>
      <c r="AO2850" s="330"/>
      <c r="AP2850" s="330"/>
      <c r="AQ2850" s="330"/>
      <c r="AR2850" s="333"/>
      <c r="AS2850" s="333"/>
      <c r="AT2850" s="333"/>
      <c r="AU2850" s="333"/>
      <c r="AV2850" s="333"/>
      <c r="AW2850" s="330"/>
      <c r="AX2850" s="330"/>
      <c r="AY2850" s="330"/>
    </row>
    <row r="2851" spans="2:51" x14ac:dyDescent="0.25">
      <c r="B2851" s="331"/>
      <c r="C2851" s="332"/>
      <c r="D2851" s="332"/>
      <c r="E2851" s="333"/>
      <c r="F2851" s="333"/>
      <c r="G2851" s="330"/>
      <c r="H2851" s="330"/>
      <c r="I2851" s="330"/>
      <c r="J2851" s="330"/>
      <c r="K2851" s="330"/>
      <c r="L2851" s="330"/>
      <c r="M2851" s="330"/>
      <c r="N2851" s="330"/>
      <c r="O2851" s="330"/>
      <c r="P2851" s="330"/>
      <c r="Q2851" s="330"/>
      <c r="R2851" s="316"/>
      <c r="S2851" s="404"/>
      <c r="T2851" s="404"/>
      <c r="U2851" s="404"/>
      <c r="V2851" s="404"/>
      <c r="W2851" s="316"/>
      <c r="X2851" s="316"/>
      <c r="Y2851" s="316"/>
      <c r="Z2851" s="316"/>
      <c r="AA2851" s="404"/>
      <c r="AB2851" s="404"/>
      <c r="AC2851" s="404"/>
      <c r="AD2851" s="404"/>
      <c r="AE2851" s="316"/>
      <c r="AF2851" s="316"/>
      <c r="AG2851" s="404"/>
      <c r="AH2851" s="316"/>
      <c r="AI2851" s="316"/>
      <c r="AJ2851" s="316"/>
      <c r="AK2851" s="316"/>
      <c r="AL2851" s="316"/>
      <c r="AM2851" s="416"/>
      <c r="AN2851" s="330"/>
      <c r="AO2851" s="330"/>
      <c r="AP2851" s="330"/>
      <c r="AQ2851" s="330"/>
      <c r="AR2851" s="333"/>
      <c r="AS2851" s="333"/>
      <c r="AT2851" s="333"/>
      <c r="AU2851" s="333"/>
      <c r="AV2851" s="333"/>
      <c r="AW2851" s="330"/>
      <c r="AX2851" s="330"/>
      <c r="AY2851" s="330"/>
    </row>
    <row r="2852" spans="2:51" x14ac:dyDescent="0.25">
      <c r="B2852" s="331"/>
      <c r="C2852" s="332"/>
      <c r="D2852" s="332"/>
      <c r="E2852" s="333"/>
      <c r="F2852" s="333"/>
      <c r="G2852" s="330"/>
      <c r="H2852" s="330"/>
      <c r="I2852" s="330"/>
      <c r="J2852" s="330"/>
      <c r="K2852" s="330"/>
      <c r="L2852" s="330"/>
      <c r="M2852" s="330"/>
      <c r="N2852" s="330"/>
      <c r="O2852" s="330"/>
      <c r="P2852" s="330"/>
      <c r="Q2852" s="330"/>
      <c r="R2852" s="316"/>
      <c r="S2852" s="404"/>
      <c r="T2852" s="404"/>
      <c r="U2852" s="404"/>
      <c r="V2852" s="404"/>
      <c r="W2852" s="316"/>
      <c r="X2852" s="316"/>
      <c r="Y2852" s="316"/>
      <c r="Z2852" s="316"/>
      <c r="AA2852" s="404"/>
      <c r="AB2852" s="404"/>
      <c r="AC2852" s="404"/>
      <c r="AD2852" s="404"/>
      <c r="AE2852" s="316"/>
      <c r="AF2852" s="316"/>
      <c r="AG2852" s="404"/>
      <c r="AH2852" s="316"/>
      <c r="AI2852" s="316"/>
      <c r="AJ2852" s="316"/>
      <c r="AK2852" s="316"/>
      <c r="AL2852" s="316"/>
      <c r="AM2852" s="416"/>
      <c r="AN2852" s="330"/>
      <c r="AO2852" s="330"/>
      <c r="AP2852" s="330"/>
      <c r="AQ2852" s="330"/>
      <c r="AR2852" s="333"/>
      <c r="AS2852" s="333"/>
      <c r="AT2852" s="333"/>
      <c r="AU2852" s="333"/>
      <c r="AV2852" s="333"/>
      <c r="AW2852" s="330"/>
      <c r="AX2852" s="330"/>
      <c r="AY2852" s="330"/>
    </row>
    <row r="2853" spans="2:51" x14ac:dyDescent="0.25">
      <c r="B2853" s="331"/>
      <c r="C2853" s="332"/>
      <c r="D2853" s="332"/>
      <c r="E2853" s="333"/>
      <c r="F2853" s="333"/>
      <c r="G2853" s="330"/>
      <c r="H2853" s="330"/>
      <c r="I2853" s="330"/>
      <c r="J2853" s="330"/>
      <c r="K2853" s="330"/>
      <c r="L2853" s="330"/>
      <c r="M2853" s="330"/>
      <c r="N2853" s="330"/>
      <c r="O2853" s="330"/>
      <c r="P2853" s="330"/>
      <c r="Q2853" s="330"/>
      <c r="R2853" s="316"/>
      <c r="S2853" s="404"/>
      <c r="T2853" s="404"/>
      <c r="U2853" s="404"/>
      <c r="V2853" s="404"/>
      <c r="W2853" s="316"/>
      <c r="X2853" s="316"/>
      <c r="Y2853" s="316"/>
      <c r="Z2853" s="316"/>
      <c r="AA2853" s="404"/>
      <c r="AB2853" s="404"/>
      <c r="AC2853" s="404"/>
      <c r="AD2853" s="404"/>
      <c r="AE2853" s="316"/>
      <c r="AF2853" s="316"/>
      <c r="AG2853" s="404"/>
      <c r="AH2853" s="316"/>
      <c r="AI2853" s="316"/>
      <c r="AJ2853" s="316"/>
      <c r="AK2853" s="316"/>
      <c r="AL2853" s="316"/>
      <c r="AM2853" s="416"/>
      <c r="AN2853" s="330"/>
      <c r="AO2853" s="330"/>
      <c r="AP2853" s="330"/>
      <c r="AQ2853" s="330"/>
      <c r="AR2853" s="333"/>
      <c r="AS2853" s="333"/>
      <c r="AT2853" s="333"/>
      <c r="AU2853" s="333"/>
      <c r="AV2853" s="333"/>
      <c r="AW2853" s="330"/>
      <c r="AX2853" s="330"/>
      <c r="AY2853" s="330"/>
    </row>
    <row r="2854" spans="2:51" x14ac:dyDescent="0.25">
      <c r="B2854" s="331"/>
      <c r="C2854" s="332"/>
      <c r="D2854" s="332"/>
      <c r="E2854" s="333"/>
      <c r="F2854" s="333"/>
      <c r="G2854" s="330"/>
      <c r="H2854" s="330"/>
      <c r="I2854" s="330"/>
      <c r="J2854" s="330"/>
      <c r="K2854" s="330"/>
      <c r="L2854" s="330"/>
      <c r="M2854" s="330"/>
      <c r="N2854" s="330"/>
      <c r="O2854" s="330"/>
      <c r="P2854" s="330"/>
      <c r="Q2854" s="330"/>
      <c r="R2854" s="316"/>
      <c r="S2854" s="404"/>
      <c r="T2854" s="404"/>
      <c r="U2854" s="404"/>
      <c r="V2854" s="404"/>
      <c r="W2854" s="316"/>
      <c r="X2854" s="316"/>
      <c r="Y2854" s="316"/>
      <c r="Z2854" s="316"/>
      <c r="AA2854" s="404"/>
      <c r="AB2854" s="404"/>
      <c r="AC2854" s="404"/>
      <c r="AD2854" s="404"/>
      <c r="AE2854" s="316"/>
      <c r="AF2854" s="316"/>
      <c r="AG2854" s="404"/>
      <c r="AH2854" s="316"/>
      <c r="AI2854" s="316"/>
      <c r="AJ2854" s="316"/>
      <c r="AK2854" s="316"/>
      <c r="AL2854" s="316"/>
      <c r="AM2854" s="416"/>
      <c r="AN2854" s="330"/>
      <c r="AO2854" s="330"/>
      <c r="AP2854" s="330"/>
      <c r="AQ2854" s="330"/>
      <c r="AR2854" s="333"/>
      <c r="AS2854" s="333"/>
      <c r="AT2854" s="333"/>
      <c r="AU2854" s="333"/>
      <c r="AV2854" s="333"/>
      <c r="AW2854" s="330"/>
      <c r="AX2854" s="330"/>
      <c r="AY2854" s="330"/>
    </row>
    <row r="2855" spans="2:51" x14ac:dyDescent="0.25">
      <c r="B2855" s="331"/>
      <c r="C2855" s="332"/>
      <c r="D2855" s="332"/>
      <c r="E2855" s="333"/>
      <c r="F2855" s="333"/>
      <c r="G2855" s="330"/>
      <c r="H2855" s="330"/>
      <c r="I2855" s="330"/>
      <c r="J2855" s="330"/>
      <c r="K2855" s="330"/>
      <c r="L2855" s="330"/>
      <c r="M2855" s="330"/>
      <c r="N2855" s="330"/>
      <c r="O2855" s="330"/>
      <c r="P2855" s="330"/>
      <c r="Q2855" s="330"/>
      <c r="R2855" s="316"/>
      <c r="S2855" s="404"/>
      <c r="T2855" s="404"/>
      <c r="U2855" s="404"/>
      <c r="V2855" s="404"/>
      <c r="W2855" s="316"/>
      <c r="X2855" s="316"/>
      <c r="Y2855" s="316"/>
      <c r="Z2855" s="316"/>
      <c r="AA2855" s="404"/>
      <c r="AB2855" s="404"/>
      <c r="AC2855" s="404"/>
      <c r="AD2855" s="404"/>
      <c r="AE2855" s="316"/>
      <c r="AF2855" s="316"/>
      <c r="AG2855" s="404"/>
      <c r="AH2855" s="316"/>
      <c r="AI2855" s="316"/>
      <c r="AJ2855" s="316"/>
      <c r="AK2855" s="316"/>
      <c r="AL2855" s="316"/>
      <c r="AM2855" s="416"/>
      <c r="AN2855" s="330"/>
      <c r="AO2855" s="330"/>
      <c r="AP2855" s="330"/>
      <c r="AQ2855" s="330"/>
      <c r="AR2855" s="333"/>
      <c r="AS2855" s="333"/>
      <c r="AT2855" s="333"/>
      <c r="AU2855" s="333"/>
      <c r="AV2855" s="333"/>
      <c r="AW2855" s="330"/>
      <c r="AX2855" s="330"/>
    </row>
    <row r="2856" spans="2:51" x14ac:dyDescent="0.25">
      <c r="B2856" s="331"/>
      <c r="C2856" s="332"/>
      <c r="D2856" s="332"/>
      <c r="E2856" s="333"/>
      <c r="F2856" s="333"/>
      <c r="G2856" s="330"/>
      <c r="H2856" s="330"/>
      <c r="I2856" s="330"/>
      <c r="J2856" s="330"/>
      <c r="K2856" s="330"/>
      <c r="L2856" s="330"/>
      <c r="M2856" s="330"/>
      <c r="N2856" s="330"/>
      <c r="O2856" s="330"/>
      <c r="P2856" s="330"/>
      <c r="Q2856" s="330"/>
      <c r="R2856" s="316"/>
      <c r="S2856" s="404"/>
      <c r="T2856" s="404"/>
      <c r="U2856" s="404"/>
      <c r="V2856" s="404"/>
      <c r="W2856" s="316"/>
      <c r="X2856" s="316"/>
      <c r="Y2856" s="316"/>
      <c r="Z2856" s="316"/>
      <c r="AA2856" s="404"/>
      <c r="AB2856" s="404"/>
      <c r="AC2856" s="404"/>
      <c r="AD2856" s="404"/>
      <c r="AE2856" s="316"/>
      <c r="AF2856" s="316"/>
      <c r="AG2856" s="404"/>
      <c r="AH2856" s="316"/>
      <c r="AI2856" s="316"/>
      <c r="AJ2856" s="316"/>
      <c r="AK2856" s="316"/>
      <c r="AL2856" s="316"/>
      <c r="AM2856" s="416"/>
      <c r="AN2856" s="330"/>
      <c r="AO2856" s="330"/>
      <c r="AP2856" s="330"/>
      <c r="AQ2856" s="330"/>
      <c r="AR2856" s="333"/>
      <c r="AS2856" s="333"/>
      <c r="AT2856" s="333"/>
      <c r="AU2856" s="333"/>
      <c r="AV2856" s="333"/>
      <c r="AW2856" s="330"/>
      <c r="AX2856" s="330"/>
    </row>
    <row r="2857" spans="2:51" x14ac:dyDescent="0.25">
      <c r="B2857" s="331"/>
      <c r="C2857" s="332"/>
      <c r="D2857" s="332"/>
      <c r="E2857" s="333"/>
      <c r="F2857" s="333"/>
      <c r="G2857" s="330"/>
      <c r="H2857" s="330"/>
      <c r="I2857" s="330"/>
      <c r="J2857" s="330"/>
      <c r="K2857" s="330"/>
      <c r="L2857" s="330"/>
      <c r="M2857" s="330"/>
      <c r="N2857" s="330"/>
      <c r="O2857" s="330"/>
      <c r="P2857" s="330"/>
      <c r="Q2857" s="330"/>
      <c r="R2857" s="316"/>
      <c r="S2857" s="404"/>
      <c r="T2857" s="404"/>
      <c r="U2857" s="404"/>
      <c r="V2857" s="404"/>
      <c r="W2857" s="316"/>
      <c r="X2857" s="316"/>
      <c r="Y2857" s="316"/>
      <c r="Z2857" s="316"/>
      <c r="AA2857" s="404"/>
      <c r="AB2857" s="404"/>
      <c r="AC2857" s="404"/>
      <c r="AD2857" s="404"/>
      <c r="AE2857" s="316"/>
      <c r="AF2857" s="316"/>
      <c r="AG2857" s="404"/>
      <c r="AH2857" s="316"/>
      <c r="AI2857" s="316"/>
      <c r="AJ2857" s="316"/>
      <c r="AK2857" s="316"/>
      <c r="AL2857" s="316"/>
      <c r="AM2857" s="416"/>
      <c r="AN2857" s="330"/>
      <c r="AO2857" s="330"/>
      <c r="AP2857" s="330"/>
      <c r="AQ2857" s="330"/>
      <c r="AR2857" s="333"/>
      <c r="AS2857" s="333"/>
      <c r="AT2857" s="333"/>
      <c r="AU2857" s="333"/>
      <c r="AV2857" s="333"/>
      <c r="AW2857" s="330"/>
      <c r="AX2857" s="330"/>
    </row>
    <row r="2858" spans="2:51" x14ac:dyDescent="0.25">
      <c r="B2858" s="331"/>
      <c r="C2858" s="332"/>
      <c r="D2858" s="332"/>
      <c r="E2858" s="333"/>
      <c r="F2858" s="333"/>
      <c r="G2858" s="330"/>
      <c r="H2858" s="330"/>
      <c r="I2858" s="330"/>
      <c r="J2858" s="330"/>
      <c r="K2858" s="330"/>
      <c r="L2858" s="330"/>
      <c r="M2858" s="330"/>
      <c r="N2858" s="330"/>
      <c r="O2858" s="330"/>
      <c r="P2858" s="330"/>
      <c r="Q2858" s="330"/>
      <c r="R2858" s="316"/>
      <c r="S2858" s="404"/>
      <c r="T2858" s="404"/>
      <c r="U2858" s="404"/>
      <c r="V2858" s="404"/>
      <c r="W2858" s="316"/>
      <c r="X2858" s="316"/>
      <c r="Y2858" s="316"/>
      <c r="Z2858" s="316"/>
      <c r="AA2858" s="404"/>
      <c r="AB2858" s="404"/>
      <c r="AC2858" s="404"/>
      <c r="AD2858" s="404"/>
      <c r="AE2858" s="316"/>
      <c r="AF2858" s="316"/>
      <c r="AG2858" s="404"/>
      <c r="AH2858" s="316"/>
      <c r="AI2858" s="316"/>
      <c r="AJ2858" s="316"/>
      <c r="AK2858" s="316"/>
      <c r="AL2858" s="316"/>
      <c r="AM2858" s="416"/>
      <c r="AN2858" s="330"/>
      <c r="AO2858" s="330"/>
      <c r="AP2858" s="330"/>
      <c r="AQ2858" s="330"/>
      <c r="AR2858" s="333"/>
      <c r="AS2858" s="333"/>
      <c r="AT2858" s="333"/>
      <c r="AU2858" s="333"/>
      <c r="AV2858" s="333"/>
      <c r="AW2858" s="330"/>
      <c r="AX2858" s="330"/>
    </row>
    <row r="2859" spans="2:51" x14ac:dyDescent="0.25">
      <c r="B2859" s="331"/>
      <c r="C2859" s="332"/>
      <c r="D2859" s="332"/>
      <c r="E2859" s="333"/>
      <c r="F2859" s="333"/>
      <c r="G2859" s="330"/>
      <c r="H2859" s="330"/>
      <c r="I2859" s="330"/>
      <c r="J2859" s="330"/>
      <c r="K2859" s="330"/>
      <c r="L2859" s="330"/>
      <c r="M2859" s="330"/>
      <c r="N2859" s="330"/>
      <c r="O2859" s="330"/>
      <c r="P2859" s="330"/>
      <c r="Q2859" s="330"/>
      <c r="R2859" s="316"/>
      <c r="S2859" s="404"/>
      <c r="T2859" s="404"/>
      <c r="U2859" s="404"/>
      <c r="V2859" s="404"/>
      <c r="W2859" s="316"/>
      <c r="X2859" s="316"/>
      <c r="Y2859" s="316"/>
      <c r="Z2859" s="316"/>
      <c r="AA2859" s="404"/>
      <c r="AB2859" s="404"/>
      <c r="AC2859" s="404"/>
      <c r="AD2859" s="404"/>
      <c r="AE2859" s="316"/>
      <c r="AF2859" s="316"/>
      <c r="AG2859" s="404"/>
      <c r="AH2859" s="316"/>
      <c r="AI2859" s="316"/>
      <c r="AJ2859" s="316"/>
      <c r="AK2859" s="316"/>
      <c r="AL2859" s="316"/>
      <c r="AM2859" s="416"/>
      <c r="AN2859" s="330"/>
      <c r="AO2859" s="330"/>
      <c r="AP2859" s="330"/>
      <c r="AQ2859" s="330"/>
      <c r="AR2859" s="333"/>
      <c r="AS2859" s="333"/>
      <c r="AT2859" s="333"/>
      <c r="AU2859" s="333"/>
      <c r="AV2859" s="333"/>
      <c r="AW2859" s="330"/>
      <c r="AX2859" s="330"/>
    </row>
    <row r="2860" spans="2:51" x14ac:dyDescent="0.25">
      <c r="B2860" s="331"/>
      <c r="C2860" s="332"/>
      <c r="D2860" s="332"/>
      <c r="E2860" s="333"/>
      <c r="F2860" s="333"/>
      <c r="G2860" s="330"/>
      <c r="H2860" s="330"/>
      <c r="I2860" s="330"/>
      <c r="J2860" s="330"/>
      <c r="K2860" s="330"/>
      <c r="L2860" s="330"/>
      <c r="M2860" s="330"/>
      <c r="N2860" s="330"/>
      <c r="O2860" s="330"/>
      <c r="P2860" s="330"/>
      <c r="Q2860" s="330"/>
      <c r="R2860" s="316"/>
      <c r="S2860" s="404"/>
      <c r="T2860" s="404"/>
      <c r="U2860" s="404"/>
      <c r="V2860" s="404"/>
      <c r="W2860" s="316"/>
      <c r="X2860" s="316"/>
      <c r="Y2860" s="316"/>
      <c r="Z2860" s="316"/>
      <c r="AA2860" s="404"/>
      <c r="AB2860" s="404"/>
      <c r="AC2860" s="404"/>
      <c r="AD2860" s="404"/>
      <c r="AE2860" s="316"/>
      <c r="AF2860" s="316"/>
      <c r="AG2860" s="404"/>
      <c r="AH2860" s="316"/>
      <c r="AI2860" s="316"/>
      <c r="AJ2860" s="316"/>
      <c r="AK2860" s="316"/>
      <c r="AL2860" s="316"/>
      <c r="AM2860" s="416"/>
      <c r="AN2860" s="330"/>
      <c r="AO2860" s="330"/>
      <c r="AP2860" s="330"/>
      <c r="AQ2860" s="330"/>
      <c r="AR2860" s="333"/>
      <c r="AS2860" s="333"/>
      <c r="AT2860" s="333"/>
      <c r="AU2860" s="333"/>
      <c r="AV2860" s="333"/>
      <c r="AW2860" s="330"/>
      <c r="AX2860" s="330"/>
    </row>
    <row r="2861" spans="2:51" x14ac:dyDescent="0.25">
      <c r="B2861" s="331"/>
      <c r="C2861" s="332"/>
      <c r="D2861" s="332"/>
      <c r="E2861" s="333"/>
      <c r="F2861" s="333"/>
      <c r="G2861" s="330"/>
      <c r="H2861" s="330"/>
      <c r="I2861" s="330"/>
      <c r="J2861" s="330"/>
      <c r="K2861" s="330"/>
      <c r="L2861" s="330"/>
      <c r="M2861" s="330"/>
      <c r="N2861" s="330"/>
      <c r="O2861" s="330"/>
      <c r="P2861" s="330"/>
      <c r="Q2861" s="330"/>
      <c r="R2861" s="316"/>
      <c r="S2861" s="404"/>
      <c r="T2861" s="404"/>
      <c r="U2861" s="404"/>
      <c r="V2861" s="404"/>
      <c r="W2861" s="316"/>
      <c r="X2861" s="316"/>
      <c r="Y2861" s="316"/>
      <c r="Z2861" s="316"/>
      <c r="AA2861" s="404"/>
      <c r="AB2861" s="404"/>
      <c r="AC2861" s="404"/>
      <c r="AD2861" s="404"/>
      <c r="AE2861" s="316"/>
      <c r="AF2861" s="316"/>
      <c r="AG2861" s="404"/>
      <c r="AH2861" s="316"/>
      <c r="AI2861" s="316"/>
      <c r="AJ2861" s="316"/>
      <c r="AK2861" s="316"/>
      <c r="AL2861" s="316"/>
      <c r="AM2861" s="416"/>
      <c r="AN2861" s="330"/>
      <c r="AO2861" s="330"/>
      <c r="AP2861" s="330"/>
      <c r="AQ2861" s="330"/>
      <c r="AR2861" s="333"/>
      <c r="AS2861" s="333"/>
      <c r="AT2861" s="333"/>
      <c r="AU2861" s="333"/>
      <c r="AV2861" s="333"/>
      <c r="AW2861" s="330"/>
      <c r="AX2861" s="330"/>
    </row>
    <row r="2862" spans="2:51" x14ac:dyDescent="0.25">
      <c r="B2862" s="331"/>
      <c r="C2862" s="332"/>
      <c r="D2862" s="332"/>
      <c r="E2862" s="333"/>
      <c r="F2862" s="333"/>
      <c r="G2862" s="330"/>
      <c r="H2862" s="330"/>
      <c r="I2862" s="330"/>
      <c r="J2862" s="330"/>
      <c r="K2862" s="330"/>
      <c r="L2862" s="330"/>
      <c r="M2862" s="330"/>
      <c r="N2862" s="330"/>
      <c r="O2862" s="330"/>
      <c r="P2862" s="330"/>
      <c r="Q2862" s="330"/>
      <c r="R2862" s="316"/>
      <c r="S2862" s="404"/>
      <c r="T2862" s="404"/>
      <c r="U2862" s="404"/>
      <c r="V2862" s="404"/>
      <c r="W2862" s="316"/>
      <c r="X2862" s="316"/>
      <c r="Y2862" s="316"/>
      <c r="Z2862" s="316"/>
      <c r="AA2862" s="404"/>
      <c r="AB2862" s="404"/>
      <c r="AC2862" s="404"/>
      <c r="AD2862" s="404"/>
      <c r="AE2862" s="316"/>
      <c r="AF2862" s="316"/>
      <c r="AG2862" s="404"/>
      <c r="AH2862" s="316"/>
      <c r="AI2862" s="316"/>
      <c r="AJ2862" s="316"/>
      <c r="AK2862" s="316"/>
      <c r="AL2862" s="316"/>
      <c r="AM2862" s="416"/>
      <c r="AN2862" s="330"/>
      <c r="AO2862" s="330"/>
      <c r="AP2862" s="330"/>
      <c r="AQ2862" s="330"/>
      <c r="AR2862" s="333"/>
      <c r="AS2862" s="333"/>
      <c r="AT2862" s="333"/>
      <c r="AU2862" s="333"/>
      <c r="AV2862" s="333"/>
      <c r="AW2862" s="330"/>
      <c r="AX2862" s="330"/>
    </row>
    <row r="2863" spans="2:51" x14ac:dyDescent="0.25">
      <c r="B2863" s="331"/>
      <c r="C2863" s="332"/>
      <c r="D2863" s="332"/>
      <c r="E2863" s="333"/>
      <c r="F2863" s="333"/>
      <c r="G2863" s="330"/>
      <c r="H2863" s="330"/>
      <c r="I2863" s="330"/>
      <c r="J2863" s="330"/>
      <c r="K2863" s="330"/>
      <c r="L2863" s="330"/>
      <c r="M2863" s="330"/>
      <c r="N2863" s="330"/>
      <c r="O2863" s="330"/>
      <c r="P2863" s="330"/>
      <c r="Q2863" s="330"/>
      <c r="R2863" s="316"/>
      <c r="S2863" s="404"/>
      <c r="T2863" s="404"/>
      <c r="U2863" s="404"/>
      <c r="V2863" s="404"/>
      <c r="W2863" s="316"/>
      <c r="X2863" s="316"/>
      <c r="Y2863" s="316"/>
      <c r="Z2863" s="316"/>
      <c r="AA2863" s="404"/>
      <c r="AB2863" s="404"/>
      <c r="AC2863" s="404"/>
      <c r="AD2863" s="404"/>
      <c r="AE2863" s="316"/>
      <c r="AF2863" s="316"/>
      <c r="AG2863" s="404"/>
      <c r="AH2863" s="316"/>
      <c r="AI2863" s="316"/>
      <c r="AJ2863" s="316"/>
      <c r="AK2863" s="316"/>
      <c r="AL2863" s="316"/>
      <c r="AM2863" s="416"/>
      <c r="AN2863" s="330"/>
      <c r="AO2863" s="330"/>
      <c r="AP2863" s="330"/>
      <c r="AQ2863" s="330"/>
      <c r="AR2863" s="333"/>
      <c r="AS2863" s="333"/>
      <c r="AT2863" s="333"/>
      <c r="AU2863" s="333"/>
      <c r="AV2863" s="333"/>
      <c r="AW2863" s="330"/>
      <c r="AX2863" s="330"/>
    </row>
    <row r="2864" spans="2:51" x14ac:dyDescent="0.25">
      <c r="B2864" s="331"/>
      <c r="C2864" s="332"/>
      <c r="D2864" s="332"/>
      <c r="E2864" s="333"/>
      <c r="F2864" s="333"/>
      <c r="G2864" s="330"/>
      <c r="H2864" s="330"/>
      <c r="I2864" s="330"/>
      <c r="J2864" s="330"/>
      <c r="K2864" s="330"/>
      <c r="L2864" s="330"/>
      <c r="M2864" s="330"/>
      <c r="N2864" s="330"/>
      <c r="O2864" s="330"/>
      <c r="P2864" s="330"/>
      <c r="Q2864" s="330"/>
      <c r="R2864" s="316"/>
      <c r="S2864" s="404"/>
      <c r="T2864" s="404"/>
      <c r="U2864" s="404"/>
      <c r="V2864" s="404"/>
      <c r="W2864" s="316"/>
      <c r="X2864" s="316"/>
      <c r="Y2864" s="316"/>
      <c r="Z2864" s="316"/>
      <c r="AA2864" s="404"/>
      <c r="AB2864" s="404"/>
      <c r="AC2864" s="404"/>
      <c r="AD2864" s="404"/>
      <c r="AE2864" s="316"/>
      <c r="AF2864" s="316"/>
      <c r="AG2864" s="404"/>
      <c r="AH2864" s="316"/>
      <c r="AI2864" s="316"/>
      <c r="AJ2864" s="316"/>
      <c r="AK2864" s="316"/>
      <c r="AL2864" s="316"/>
      <c r="AM2864" s="416"/>
      <c r="AN2864" s="330"/>
      <c r="AO2864" s="330"/>
      <c r="AP2864" s="330"/>
      <c r="AQ2864" s="330"/>
      <c r="AR2864" s="333"/>
      <c r="AS2864" s="333"/>
      <c r="AT2864" s="333"/>
      <c r="AU2864" s="333"/>
      <c r="AV2864" s="333"/>
      <c r="AW2864" s="330"/>
      <c r="AX2864" s="330"/>
    </row>
    <row r="2865" spans="2:50" x14ac:dyDescent="0.25">
      <c r="B2865" s="331"/>
      <c r="C2865" s="332"/>
      <c r="D2865" s="332"/>
      <c r="E2865" s="333"/>
      <c r="F2865" s="333"/>
      <c r="G2865" s="330"/>
      <c r="H2865" s="330"/>
      <c r="I2865" s="330"/>
      <c r="J2865" s="330"/>
      <c r="K2865" s="330"/>
      <c r="L2865" s="330"/>
      <c r="M2865" s="330"/>
      <c r="N2865" s="330"/>
      <c r="O2865" s="330"/>
      <c r="P2865" s="330"/>
      <c r="Q2865" s="330"/>
      <c r="R2865" s="316"/>
      <c r="S2865" s="404"/>
      <c r="T2865" s="404"/>
      <c r="U2865" s="404"/>
      <c r="V2865" s="404"/>
      <c r="W2865" s="316"/>
      <c r="X2865" s="316"/>
      <c r="Y2865" s="316"/>
      <c r="Z2865" s="316"/>
      <c r="AA2865" s="404"/>
      <c r="AB2865" s="404"/>
      <c r="AC2865" s="404"/>
      <c r="AD2865" s="404"/>
      <c r="AE2865" s="316"/>
      <c r="AF2865" s="316"/>
      <c r="AG2865" s="404"/>
      <c r="AH2865" s="316"/>
      <c r="AI2865" s="316"/>
      <c r="AJ2865" s="316"/>
      <c r="AK2865" s="316"/>
      <c r="AL2865" s="316"/>
      <c r="AM2865" s="416"/>
      <c r="AN2865" s="330"/>
      <c r="AO2865" s="330"/>
      <c r="AP2865" s="330"/>
      <c r="AQ2865" s="330"/>
      <c r="AR2865" s="333"/>
      <c r="AS2865" s="333"/>
      <c r="AT2865" s="333"/>
      <c r="AU2865" s="333"/>
      <c r="AV2865" s="333"/>
      <c r="AW2865" s="330"/>
      <c r="AX2865" s="330"/>
    </row>
    <row r="2866" spans="2:50" x14ac:dyDescent="0.25">
      <c r="B2866" s="331"/>
      <c r="C2866" s="332"/>
      <c r="D2866" s="332"/>
      <c r="E2866" s="333"/>
      <c r="F2866" s="333"/>
      <c r="G2866" s="330"/>
      <c r="H2866" s="330"/>
      <c r="I2866" s="330"/>
      <c r="J2866" s="330"/>
      <c r="K2866" s="330"/>
      <c r="L2866" s="330"/>
      <c r="M2866" s="330"/>
      <c r="N2866" s="330"/>
      <c r="O2866" s="330"/>
      <c r="P2866" s="330"/>
      <c r="Q2866" s="330"/>
      <c r="R2866" s="316"/>
      <c r="S2866" s="404"/>
      <c r="T2866" s="404"/>
      <c r="U2866" s="404"/>
      <c r="V2866" s="404"/>
      <c r="W2866" s="316"/>
      <c r="X2866" s="316"/>
      <c r="Y2866" s="316"/>
      <c r="Z2866" s="316"/>
      <c r="AA2866" s="404"/>
      <c r="AB2866" s="404"/>
      <c r="AC2866" s="404"/>
      <c r="AD2866" s="404"/>
      <c r="AE2866" s="316"/>
      <c r="AF2866" s="316"/>
      <c r="AG2866" s="404"/>
      <c r="AH2866" s="316"/>
      <c r="AI2866" s="316"/>
      <c r="AJ2866" s="316"/>
      <c r="AK2866" s="316"/>
      <c r="AL2866" s="316"/>
      <c r="AM2866" s="416"/>
      <c r="AN2866" s="330"/>
      <c r="AO2866" s="330"/>
      <c r="AP2866" s="330"/>
      <c r="AQ2866" s="330"/>
      <c r="AR2866" s="333"/>
      <c r="AS2866" s="333"/>
      <c r="AT2866" s="333"/>
      <c r="AU2866" s="333"/>
      <c r="AV2866" s="333"/>
      <c r="AW2866" s="330"/>
      <c r="AX2866" s="330"/>
    </row>
    <row r="2867" spans="2:50" x14ac:dyDescent="0.25">
      <c r="B2867" s="331"/>
      <c r="C2867" s="332"/>
      <c r="D2867" s="332"/>
      <c r="E2867" s="333"/>
      <c r="F2867" s="333"/>
      <c r="G2867" s="330"/>
      <c r="H2867" s="330"/>
      <c r="I2867" s="330"/>
      <c r="J2867" s="330"/>
      <c r="K2867" s="330"/>
      <c r="L2867" s="330"/>
      <c r="M2867" s="330"/>
      <c r="N2867" s="330"/>
      <c r="O2867" s="330"/>
      <c r="P2867" s="330"/>
      <c r="Q2867" s="330"/>
      <c r="R2867" s="316"/>
      <c r="S2867" s="404"/>
      <c r="T2867" s="404"/>
      <c r="U2867" s="404"/>
      <c r="V2867" s="404"/>
      <c r="W2867" s="316"/>
      <c r="X2867" s="316"/>
      <c r="Y2867" s="316"/>
      <c r="Z2867" s="316"/>
      <c r="AA2867" s="404"/>
      <c r="AB2867" s="404"/>
      <c r="AC2867" s="404"/>
      <c r="AD2867" s="404"/>
      <c r="AE2867" s="316"/>
      <c r="AF2867" s="316"/>
      <c r="AG2867" s="404"/>
      <c r="AH2867" s="316"/>
      <c r="AI2867" s="316"/>
      <c r="AJ2867" s="316"/>
      <c r="AK2867" s="316"/>
      <c r="AL2867" s="316"/>
      <c r="AM2867" s="416"/>
      <c r="AN2867" s="330"/>
      <c r="AO2867" s="330"/>
      <c r="AP2867" s="330"/>
      <c r="AQ2867" s="330"/>
      <c r="AR2867" s="333"/>
      <c r="AS2867" s="333"/>
      <c r="AT2867" s="333"/>
      <c r="AU2867" s="333"/>
      <c r="AV2867" s="333"/>
      <c r="AW2867" s="330"/>
      <c r="AX2867" s="330"/>
    </row>
    <row r="2868" spans="2:50" x14ac:dyDescent="0.25">
      <c r="B2868" s="331"/>
      <c r="C2868" s="332"/>
      <c r="D2868" s="332"/>
      <c r="E2868" s="333"/>
      <c r="F2868" s="333"/>
      <c r="G2868" s="330"/>
      <c r="H2868" s="330"/>
      <c r="I2868" s="330"/>
      <c r="J2868" s="330"/>
      <c r="K2868" s="330"/>
      <c r="L2868" s="330"/>
      <c r="M2868" s="330"/>
      <c r="N2868" s="330"/>
      <c r="O2868" s="330"/>
      <c r="P2868" s="330"/>
      <c r="Q2868" s="330"/>
      <c r="R2868" s="316"/>
      <c r="S2868" s="404"/>
      <c r="T2868" s="404"/>
      <c r="U2868" s="404"/>
      <c r="V2868" s="404"/>
      <c r="W2868" s="316"/>
      <c r="X2868" s="316"/>
      <c r="Y2868" s="316"/>
      <c r="Z2868" s="316"/>
      <c r="AA2868" s="404"/>
      <c r="AB2868" s="404"/>
      <c r="AC2868" s="404"/>
      <c r="AD2868" s="404"/>
      <c r="AE2868" s="316"/>
      <c r="AF2868" s="316"/>
      <c r="AG2868" s="404"/>
      <c r="AH2868" s="316"/>
      <c r="AI2868" s="316"/>
      <c r="AJ2868" s="316"/>
      <c r="AK2868" s="316"/>
      <c r="AL2868" s="316"/>
      <c r="AM2868" s="416"/>
      <c r="AN2868" s="330"/>
      <c r="AO2868" s="330"/>
      <c r="AP2868" s="330"/>
      <c r="AQ2868" s="330"/>
      <c r="AR2868" s="333"/>
      <c r="AS2868" s="333"/>
      <c r="AT2868" s="333"/>
      <c r="AU2868" s="333"/>
      <c r="AV2868" s="333"/>
      <c r="AW2868" s="330"/>
      <c r="AX2868" s="330"/>
    </row>
    <row r="2869" spans="2:50" x14ac:dyDescent="0.25">
      <c r="B2869" s="331"/>
      <c r="C2869" s="332"/>
      <c r="D2869" s="332"/>
      <c r="E2869" s="333"/>
      <c r="F2869" s="333"/>
      <c r="G2869" s="330"/>
      <c r="H2869" s="330"/>
      <c r="I2869" s="330"/>
      <c r="J2869" s="330"/>
      <c r="K2869" s="330"/>
      <c r="L2869" s="330"/>
      <c r="M2869" s="330"/>
      <c r="N2869" s="330"/>
      <c r="O2869" s="330"/>
      <c r="P2869" s="330"/>
      <c r="Q2869" s="330"/>
      <c r="R2869" s="316"/>
      <c r="S2869" s="404"/>
      <c r="T2869" s="404"/>
      <c r="U2869" s="404"/>
      <c r="V2869" s="404"/>
      <c r="W2869" s="316"/>
      <c r="X2869" s="316"/>
      <c r="Y2869" s="316"/>
      <c r="Z2869" s="316"/>
      <c r="AA2869" s="404"/>
      <c r="AB2869" s="404"/>
      <c r="AC2869" s="404"/>
      <c r="AD2869" s="404"/>
      <c r="AE2869" s="316"/>
      <c r="AF2869" s="316"/>
      <c r="AG2869" s="404"/>
      <c r="AH2869" s="316"/>
      <c r="AI2869" s="316"/>
      <c r="AJ2869" s="316"/>
      <c r="AK2869" s="316"/>
      <c r="AL2869" s="316"/>
      <c r="AM2869" s="416"/>
      <c r="AN2869" s="330"/>
      <c r="AO2869" s="330"/>
      <c r="AP2869" s="330"/>
      <c r="AQ2869" s="330"/>
      <c r="AR2869" s="333"/>
      <c r="AS2869" s="333"/>
      <c r="AT2869" s="333"/>
      <c r="AU2869" s="333"/>
      <c r="AV2869" s="333"/>
      <c r="AW2869" s="330"/>
      <c r="AX2869" s="330"/>
    </row>
    <row r="2870" spans="2:50" x14ac:dyDescent="0.25">
      <c r="B2870" s="331"/>
      <c r="C2870" s="332"/>
      <c r="D2870" s="332"/>
      <c r="E2870" s="333"/>
      <c r="F2870" s="333"/>
      <c r="G2870" s="330"/>
      <c r="H2870" s="330"/>
      <c r="I2870" s="330"/>
      <c r="J2870" s="330"/>
      <c r="K2870" s="330"/>
      <c r="L2870" s="330"/>
      <c r="M2870" s="330"/>
      <c r="N2870" s="330"/>
      <c r="O2870" s="330"/>
      <c r="P2870" s="330"/>
      <c r="Q2870" s="330"/>
      <c r="R2870" s="316"/>
      <c r="S2870" s="404"/>
      <c r="T2870" s="404"/>
      <c r="U2870" s="404"/>
      <c r="V2870" s="404"/>
      <c r="W2870" s="316"/>
      <c r="X2870" s="316"/>
      <c r="Y2870" s="316"/>
      <c r="Z2870" s="316"/>
      <c r="AA2870" s="404"/>
      <c r="AB2870" s="404"/>
      <c r="AC2870" s="404"/>
      <c r="AD2870" s="404"/>
      <c r="AE2870" s="316"/>
      <c r="AF2870" s="316"/>
      <c r="AG2870" s="404"/>
      <c r="AH2870" s="316"/>
      <c r="AI2870" s="316"/>
      <c r="AJ2870" s="316"/>
      <c r="AK2870" s="316"/>
      <c r="AL2870" s="316"/>
      <c r="AM2870" s="416"/>
      <c r="AN2870" s="330"/>
      <c r="AO2870" s="330"/>
      <c r="AP2870" s="330"/>
      <c r="AQ2870" s="330"/>
      <c r="AR2870" s="333"/>
      <c r="AS2870" s="333"/>
      <c r="AT2870" s="333"/>
      <c r="AU2870" s="333"/>
      <c r="AV2870" s="333"/>
      <c r="AW2870" s="330"/>
      <c r="AX2870" s="330"/>
    </row>
    <row r="2871" spans="2:50" x14ac:dyDescent="0.25">
      <c r="B2871" s="331"/>
      <c r="C2871" s="332"/>
      <c r="D2871" s="332"/>
      <c r="E2871" s="333"/>
      <c r="F2871" s="333"/>
      <c r="G2871" s="330"/>
      <c r="H2871" s="330"/>
      <c r="I2871" s="330"/>
      <c r="J2871" s="330"/>
      <c r="K2871" s="330"/>
      <c r="L2871" s="330"/>
      <c r="M2871" s="330"/>
      <c r="N2871" s="330"/>
      <c r="O2871" s="330"/>
      <c r="P2871" s="330"/>
      <c r="Q2871" s="330"/>
      <c r="R2871" s="316"/>
      <c r="S2871" s="404"/>
      <c r="T2871" s="404"/>
      <c r="U2871" s="404"/>
      <c r="V2871" s="404"/>
      <c r="W2871" s="316"/>
      <c r="X2871" s="316"/>
      <c r="Y2871" s="316"/>
      <c r="Z2871" s="316"/>
      <c r="AA2871" s="404"/>
      <c r="AB2871" s="404"/>
      <c r="AC2871" s="404"/>
      <c r="AD2871" s="404"/>
      <c r="AE2871" s="316"/>
      <c r="AF2871" s="316"/>
      <c r="AG2871" s="404"/>
      <c r="AH2871" s="316"/>
      <c r="AI2871" s="316"/>
      <c r="AJ2871" s="316"/>
      <c r="AK2871" s="316"/>
      <c r="AL2871" s="316"/>
      <c r="AM2871" s="416"/>
      <c r="AN2871" s="330"/>
      <c r="AO2871" s="330"/>
      <c r="AP2871" s="330"/>
      <c r="AQ2871" s="330"/>
      <c r="AR2871" s="333"/>
      <c r="AS2871" s="333"/>
      <c r="AT2871" s="333"/>
      <c r="AU2871" s="333"/>
      <c r="AV2871" s="333"/>
      <c r="AW2871" s="330"/>
      <c r="AX2871" s="330"/>
    </row>
    <row r="2872" spans="2:50" x14ac:dyDescent="0.25">
      <c r="B2872" s="331"/>
      <c r="C2872" s="332"/>
      <c r="D2872" s="332"/>
      <c r="E2872" s="333"/>
      <c r="F2872" s="333"/>
      <c r="G2872" s="330"/>
      <c r="H2872" s="330"/>
      <c r="I2872" s="330"/>
      <c r="J2872" s="330"/>
      <c r="K2872" s="330"/>
      <c r="L2872" s="330"/>
      <c r="M2872" s="330"/>
      <c r="N2872" s="330"/>
      <c r="O2872" s="330"/>
      <c r="P2872" s="330"/>
      <c r="Q2872" s="330"/>
      <c r="R2872" s="316"/>
      <c r="S2872" s="404"/>
      <c r="T2872" s="404"/>
      <c r="U2872" s="404"/>
      <c r="V2872" s="404"/>
      <c r="W2872" s="316"/>
      <c r="X2872" s="316"/>
      <c r="Y2872" s="316"/>
      <c r="Z2872" s="316"/>
      <c r="AA2872" s="404"/>
      <c r="AB2872" s="404"/>
      <c r="AC2872" s="404"/>
      <c r="AD2872" s="404"/>
      <c r="AE2872" s="316"/>
      <c r="AF2872" s="316"/>
      <c r="AG2872" s="404"/>
      <c r="AH2872" s="316"/>
      <c r="AI2872" s="316"/>
      <c r="AJ2872" s="316"/>
      <c r="AK2872" s="316"/>
      <c r="AL2872" s="316"/>
      <c r="AM2872" s="416"/>
      <c r="AN2872" s="330"/>
      <c r="AO2872" s="330"/>
      <c r="AP2872" s="330"/>
      <c r="AQ2872" s="330"/>
      <c r="AR2872" s="333"/>
      <c r="AS2872" s="333"/>
      <c r="AT2872" s="333"/>
      <c r="AU2872" s="333"/>
      <c r="AV2872" s="333"/>
      <c r="AW2872" s="330"/>
      <c r="AX2872" s="330"/>
    </row>
    <row r="2873" spans="2:50" x14ac:dyDescent="0.25">
      <c r="B2873" s="331"/>
      <c r="C2873" s="332"/>
      <c r="D2873" s="332"/>
      <c r="E2873" s="333"/>
      <c r="F2873" s="333"/>
      <c r="G2873" s="330"/>
      <c r="H2873" s="330"/>
      <c r="I2873" s="330"/>
      <c r="J2873" s="330"/>
      <c r="K2873" s="330"/>
      <c r="L2873" s="330"/>
      <c r="M2873" s="330"/>
      <c r="N2873" s="330"/>
      <c r="O2873" s="330"/>
      <c r="P2873" s="330"/>
      <c r="Q2873" s="330"/>
      <c r="R2873" s="316"/>
      <c r="S2873" s="404"/>
      <c r="T2873" s="404"/>
      <c r="U2873" s="404"/>
      <c r="V2873" s="404"/>
      <c r="W2873" s="316"/>
      <c r="X2873" s="316"/>
      <c r="Y2873" s="316"/>
      <c r="Z2873" s="316"/>
      <c r="AA2873" s="404"/>
      <c r="AB2873" s="404"/>
      <c r="AC2873" s="404"/>
      <c r="AD2873" s="404"/>
      <c r="AE2873" s="316"/>
      <c r="AF2873" s="316"/>
      <c r="AG2873" s="404"/>
      <c r="AH2873" s="316"/>
      <c r="AI2873" s="316"/>
      <c r="AJ2873" s="316"/>
      <c r="AK2873" s="316"/>
      <c r="AL2873" s="316"/>
      <c r="AM2873" s="416"/>
      <c r="AN2873" s="330"/>
      <c r="AO2873" s="330"/>
      <c r="AP2873" s="330"/>
      <c r="AQ2873" s="330"/>
      <c r="AR2873" s="333"/>
      <c r="AS2873" s="333"/>
      <c r="AT2873" s="333"/>
      <c r="AU2873" s="333"/>
      <c r="AV2873" s="333"/>
      <c r="AW2873" s="330"/>
      <c r="AX2873" s="330"/>
    </row>
    <row r="2874" spans="2:50" x14ac:dyDescent="0.25">
      <c r="B2874" s="331"/>
      <c r="C2874" s="332"/>
      <c r="D2874" s="332"/>
      <c r="E2874" s="333"/>
      <c r="F2874" s="333"/>
      <c r="G2874" s="330"/>
      <c r="H2874" s="330"/>
      <c r="I2874" s="330"/>
      <c r="J2874" s="330"/>
      <c r="K2874" s="330"/>
      <c r="L2874" s="330"/>
      <c r="M2874" s="330"/>
      <c r="N2874" s="330"/>
      <c r="O2874" s="330"/>
      <c r="P2874" s="330"/>
      <c r="Q2874" s="330"/>
      <c r="R2874" s="316"/>
      <c r="S2874" s="404"/>
      <c r="T2874" s="404"/>
      <c r="U2874" s="404"/>
      <c r="V2874" s="404"/>
      <c r="W2874" s="316"/>
      <c r="X2874" s="316"/>
      <c r="Y2874" s="316"/>
      <c r="Z2874" s="316"/>
      <c r="AA2874" s="404"/>
      <c r="AB2874" s="404"/>
      <c r="AC2874" s="404"/>
      <c r="AD2874" s="404"/>
      <c r="AE2874" s="316"/>
      <c r="AF2874" s="316"/>
      <c r="AG2874" s="404"/>
      <c r="AH2874" s="316"/>
      <c r="AI2874" s="316"/>
      <c r="AJ2874" s="316"/>
      <c r="AK2874" s="316"/>
      <c r="AL2874" s="316"/>
      <c r="AM2874" s="416"/>
      <c r="AN2874" s="330"/>
      <c r="AO2874" s="330"/>
      <c r="AP2874" s="330"/>
      <c r="AQ2874" s="330"/>
      <c r="AR2874" s="333"/>
      <c r="AS2874" s="333"/>
      <c r="AT2874" s="333"/>
      <c r="AU2874" s="333"/>
      <c r="AV2874" s="333"/>
      <c r="AW2874" s="330"/>
      <c r="AX2874" s="330"/>
    </row>
    <row r="2875" spans="2:50" x14ac:dyDescent="0.25">
      <c r="B2875" s="331"/>
      <c r="C2875" s="332"/>
      <c r="D2875" s="332"/>
      <c r="E2875" s="333"/>
      <c r="F2875" s="333"/>
      <c r="G2875" s="330"/>
      <c r="H2875" s="330"/>
      <c r="I2875" s="330"/>
      <c r="J2875" s="330"/>
      <c r="K2875" s="330"/>
      <c r="L2875" s="330"/>
      <c r="M2875" s="330"/>
      <c r="N2875" s="330"/>
      <c r="O2875" s="330"/>
      <c r="P2875" s="330"/>
      <c r="Q2875" s="330"/>
      <c r="R2875" s="316"/>
      <c r="S2875" s="404"/>
      <c r="T2875" s="404"/>
      <c r="U2875" s="404"/>
      <c r="V2875" s="404"/>
      <c r="W2875" s="316"/>
      <c r="X2875" s="316"/>
      <c r="Y2875" s="316"/>
      <c r="Z2875" s="316"/>
      <c r="AA2875" s="404"/>
      <c r="AB2875" s="404"/>
      <c r="AC2875" s="404"/>
      <c r="AD2875" s="404"/>
      <c r="AE2875" s="316"/>
      <c r="AF2875" s="316"/>
      <c r="AG2875" s="404"/>
      <c r="AH2875" s="316"/>
      <c r="AI2875" s="316"/>
      <c r="AJ2875" s="316"/>
      <c r="AK2875" s="316"/>
      <c r="AL2875" s="316"/>
      <c r="AM2875" s="416"/>
      <c r="AN2875" s="330"/>
      <c r="AO2875" s="330"/>
      <c r="AP2875" s="330"/>
      <c r="AQ2875" s="330"/>
      <c r="AR2875" s="333"/>
      <c r="AS2875" s="333"/>
      <c r="AT2875" s="333"/>
      <c r="AU2875" s="333"/>
      <c r="AV2875" s="333"/>
      <c r="AW2875" s="330"/>
      <c r="AX2875" s="330"/>
    </row>
    <row r="2876" spans="2:50" x14ac:dyDescent="0.25">
      <c r="B2876" s="331"/>
      <c r="C2876" s="332"/>
      <c r="D2876" s="332"/>
      <c r="E2876" s="333"/>
      <c r="F2876" s="333"/>
      <c r="G2876" s="330"/>
      <c r="H2876" s="330"/>
      <c r="I2876" s="330"/>
      <c r="J2876" s="330"/>
      <c r="K2876" s="330"/>
      <c r="L2876" s="330"/>
      <c r="M2876" s="330"/>
      <c r="N2876" s="330"/>
      <c r="O2876" s="330"/>
      <c r="P2876" s="330"/>
      <c r="Q2876" s="330"/>
      <c r="R2876" s="316"/>
      <c r="S2876" s="404"/>
      <c r="T2876" s="404"/>
      <c r="U2876" s="404"/>
      <c r="V2876" s="404"/>
      <c r="W2876" s="316"/>
      <c r="X2876" s="316"/>
      <c r="Y2876" s="316"/>
      <c r="Z2876" s="316"/>
      <c r="AA2876" s="404"/>
      <c r="AB2876" s="404"/>
      <c r="AC2876" s="404"/>
      <c r="AD2876" s="404"/>
      <c r="AE2876" s="316"/>
      <c r="AF2876" s="316"/>
      <c r="AG2876" s="404"/>
      <c r="AH2876" s="316"/>
      <c r="AI2876" s="316"/>
      <c r="AJ2876" s="316"/>
      <c r="AK2876" s="316"/>
      <c r="AL2876" s="316"/>
      <c r="AM2876" s="416"/>
      <c r="AN2876" s="330"/>
      <c r="AO2876" s="330"/>
      <c r="AP2876" s="330"/>
      <c r="AQ2876" s="330"/>
      <c r="AR2876" s="333"/>
      <c r="AS2876" s="333"/>
      <c r="AT2876" s="333"/>
      <c r="AU2876" s="333"/>
      <c r="AV2876" s="333"/>
      <c r="AW2876" s="330"/>
      <c r="AX2876" s="330"/>
    </row>
    <row r="2877" spans="2:50" x14ac:dyDescent="0.25">
      <c r="B2877" s="331"/>
      <c r="C2877" s="332"/>
      <c r="D2877" s="332"/>
      <c r="E2877" s="333"/>
      <c r="F2877" s="333"/>
      <c r="G2877" s="330"/>
      <c r="H2877" s="330"/>
      <c r="I2877" s="330"/>
      <c r="J2877" s="330"/>
      <c r="K2877" s="330"/>
      <c r="L2877" s="330"/>
      <c r="M2877" s="330"/>
      <c r="N2877" s="330"/>
      <c r="O2877" s="330"/>
      <c r="P2877" s="330"/>
      <c r="Q2877" s="330"/>
      <c r="R2877" s="316"/>
      <c r="S2877" s="404"/>
      <c r="T2877" s="404"/>
      <c r="U2877" s="404"/>
      <c r="V2877" s="404"/>
      <c r="W2877" s="316"/>
      <c r="X2877" s="316"/>
      <c r="Y2877" s="316"/>
      <c r="Z2877" s="316"/>
      <c r="AA2877" s="404"/>
      <c r="AB2877" s="404"/>
      <c r="AC2877" s="404"/>
      <c r="AD2877" s="404"/>
      <c r="AE2877" s="316"/>
      <c r="AF2877" s="316"/>
      <c r="AG2877" s="404"/>
      <c r="AH2877" s="316"/>
      <c r="AI2877" s="316"/>
      <c r="AJ2877" s="316"/>
      <c r="AK2877" s="316"/>
      <c r="AL2877" s="316"/>
      <c r="AM2877" s="416"/>
      <c r="AN2877" s="330"/>
      <c r="AO2877" s="330"/>
      <c r="AP2877" s="330"/>
      <c r="AQ2877" s="330"/>
      <c r="AR2877" s="333"/>
      <c r="AS2877" s="333"/>
      <c r="AT2877" s="333"/>
      <c r="AU2877" s="333"/>
      <c r="AV2877" s="333"/>
      <c r="AW2877" s="330"/>
      <c r="AX2877" s="330"/>
    </row>
    <row r="2878" spans="2:50" x14ac:dyDescent="0.25">
      <c r="B2878" s="331"/>
      <c r="C2878" s="332"/>
      <c r="D2878" s="332"/>
      <c r="E2878" s="333"/>
      <c r="F2878" s="333"/>
      <c r="G2878" s="330"/>
      <c r="H2878" s="330"/>
      <c r="I2878" s="330"/>
      <c r="J2878" s="330"/>
      <c r="K2878" s="330"/>
      <c r="L2878" s="330"/>
      <c r="M2878" s="330"/>
      <c r="N2878" s="330"/>
      <c r="O2878" s="330"/>
      <c r="P2878" s="330"/>
      <c r="Q2878" s="330"/>
      <c r="R2878" s="316"/>
      <c r="S2878" s="404"/>
      <c r="T2878" s="404"/>
      <c r="U2878" s="404"/>
      <c r="V2878" s="404"/>
      <c r="W2878" s="316"/>
      <c r="X2878" s="316"/>
      <c r="Y2878" s="316"/>
      <c r="Z2878" s="316"/>
      <c r="AA2878" s="404"/>
      <c r="AB2878" s="404"/>
      <c r="AC2878" s="404"/>
      <c r="AD2878" s="404"/>
      <c r="AE2878" s="316"/>
      <c r="AF2878" s="316"/>
      <c r="AG2878" s="404"/>
      <c r="AH2878" s="316"/>
      <c r="AI2878" s="316"/>
      <c r="AJ2878" s="316"/>
      <c r="AK2878" s="316"/>
      <c r="AL2878" s="316"/>
      <c r="AM2878" s="416"/>
      <c r="AN2878" s="330"/>
      <c r="AO2878" s="330"/>
      <c r="AP2878" s="330"/>
      <c r="AQ2878" s="330"/>
      <c r="AR2878" s="333"/>
      <c r="AS2878" s="333"/>
      <c r="AT2878" s="333"/>
      <c r="AU2878" s="333"/>
      <c r="AV2878" s="333"/>
      <c r="AW2878" s="330"/>
      <c r="AX2878" s="330"/>
    </row>
    <row r="2879" spans="2:50" x14ac:dyDescent="0.25">
      <c r="B2879" s="331"/>
      <c r="C2879" s="332"/>
      <c r="D2879" s="332"/>
      <c r="E2879" s="333"/>
      <c r="F2879" s="333"/>
      <c r="G2879" s="330"/>
      <c r="H2879" s="330"/>
      <c r="I2879" s="330"/>
      <c r="J2879" s="330"/>
      <c r="K2879" s="330"/>
      <c r="L2879" s="330"/>
      <c r="M2879" s="330"/>
      <c r="N2879" s="330"/>
      <c r="O2879" s="330"/>
      <c r="P2879" s="330"/>
      <c r="Q2879" s="330"/>
      <c r="R2879" s="316"/>
      <c r="S2879" s="404"/>
      <c r="T2879" s="404"/>
      <c r="U2879" s="404"/>
      <c r="V2879" s="404"/>
      <c r="W2879" s="316"/>
      <c r="X2879" s="316"/>
      <c r="Y2879" s="316"/>
      <c r="Z2879" s="316"/>
      <c r="AA2879" s="404"/>
      <c r="AB2879" s="404"/>
      <c r="AC2879" s="404"/>
      <c r="AD2879" s="404"/>
      <c r="AE2879" s="316"/>
      <c r="AF2879" s="316"/>
      <c r="AG2879" s="404"/>
      <c r="AH2879" s="316"/>
      <c r="AI2879" s="316"/>
      <c r="AJ2879" s="316"/>
      <c r="AK2879" s="316"/>
      <c r="AL2879" s="316"/>
      <c r="AM2879" s="416"/>
      <c r="AN2879" s="330"/>
      <c r="AO2879" s="330"/>
      <c r="AP2879" s="330"/>
      <c r="AQ2879" s="330"/>
      <c r="AR2879" s="333"/>
      <c r="AS2879" s="333"/>
      <c r="AT2879" s="333"/>
      <c r="AU2879" s="333"/>
      <c r="AV2879" s="333"/>
      <c r="AW2879" s="330"/>
      <c r="AX2879" s="330"/>
    </row>
    <row r="2880" spans="2:50" x14ac:dyDescent="0.25">
      <c r="B2880" s="331"/>
      <c r="C2880" s="332"/>
      <c r="D2880" s="332"/>
      <c r="E2880" s="333"/>
      <c r="F2880" s="333"/>
      <c r="G2880" s="330"/>
      <c r="H2880" s="330"/>
      <c r="I2880" s="330"/>
      <c r="J2880" s="330"/>
      <c r="K2880" s="330"/>
      <c r="L2880" s="330"/>
      <c r="M2880" s="330"/>
      <c r="N2880" s="330"/>
      <c r="O2880" s="330"/>
      <c r="P2880" s="330"/>
      <c r="Q2880" s="330"/>
      <c r="R2880" s="316"/>
      <c r="S2880" s="404"/>
      <c r="T2880" s="404"/>
      <c r="U2880" s="404"/>
      <c r="V2880" s="404"/>
      <c r="W2880" s="316"/>
      <c r="X2880" s="316"/>
      <c r="Y2880" s="316"/>
      <c r="Z2880" s="316"/>
      <c r="AA2880" s="404"/>
      <c r="AB2880" s="404"/>
      <c r="AC2880" s="404"/>
      <c r="AD2880" s="404"/>
      <c r="AE2880" s="316"/>
      <c r="AF2880" s="316"/>
      <c r="AG2880" s="404"/>
      <c r="AH2880" s="316"/>
      <c r="AI2880" s="316"/>
      <c r="AJ2880" s="316"/>
      <c r="AK2880" s="316"/>
      <c r="AL2880" s="316"/>
      <c r="AM2880" s="416"/>
      <c r="AN2880" s="330"/>
      <c r="AO2880" s="330"/>
      <c r="AP2880" s="330"/>
      <c r="AQ2880" s="330"/>
      <c r="AR2880" s="333"/>
      <c r="AS2880" s="333"/>
      <c r="AT2880" s="333"/>
      <c r="AU2880" s="333"/>
      <c r="AV2880" s="333"/>
      <c r="AW2880" s="330"/>
      <c r="AX2880" s="330"/>
    </row>
    <row r="2881" spans="2:50" x14ac:dyDescent="0.25">
      <c r="B2881" s="331"/>
      <c r="C2881" s="332"/>
      <c r="D2881" s="332"/>
      <c r="E2881" s="333"/>
      <c r="F2881" s="333"/>
      <c r="G2881" s="330"/>
      <c r="H2881" s="330"/>
      <c r="I2881" s="330"/>
      <c r="J2881" s="330"/>
      <c r="K2881" s="330"/>
      <c r="L2881" s="330"/>
      <c r="M2881" s="330"/>
      <c r="N2881" s="330"/>
      <c r="O2881" s="330"/>
      <c r="P2881" s="330"/>
      <c r="Q2881" s="330"/>
      <c r="R2881" s="316"/>
      <c r="S2881" s="404"/>
      <c r="T2881" s="404"/>
      <c r="U2881" s="404"/>
      <c r="V2881" s="404"/>
      <c r="W2881" s="316"/>
      <c r="X2881" s="316"/>
      <c r="Y2881" s="316"/>
      <c r="Z2881" s="316"/>
      <c r="AA2881" s="404"/>
      <c r="AB2881" s="404"/>
      <c r="AC2881" s="404"/>
      <c r="AD2881" s="404"/>
      <c r="AE2881" s="316"/>
      <c r="AF2881" s="316"/>
      <c r="AG2881" s="404"/>
      <c r="AH2881" s="316"/>
      <c r="AI2881" s="316"/>
      <c r="AJ2881" s="316"/>
      <c r="AK2881" s="316"/>
      <c r="AL2881" s="316"/>
      <c r="AM2881" s="416"/>
      <c r="AN2881" s="330"/>
      <c r="AO2881" s="330"/>
      <c r="AP2881" s="330"/>
      <c r="AQ2881" s="330"/>
      <c r="AR2881" s="333"/>
      <c r="AS2881" s="333"/>
      <c r="AT2881" s="333"/>
      <c r="AU2881" s="333"/>
      <c r="AV2881" s="333"/>
      <c r="AW2881" s="330"/>
      <c r="AX2881" s="330"/>
    </row>
    <row r="2882" spans="2:50" x14ac:dyDescent="0.25">
      <c r="B2882" s="331"/>
      <c r="C2882" s="332"/>
      <c r="D2882" s="332"/>
      <c r="E2882" s="333"/>
      <c r="F2882" s="333"/>
      <c r="G2882" s="330"/>
      <c r="H2882" s="330"/>
      <c r="I2882" s="330"/>
      <c r="J2882" s="330"/>
      <c r="K2882" s="330"/>
      <c r="L2882" s="330"/>
      <c r="M2882" s="330"/>
      <c r="N2882" s="330"/>
      <c r="O2882" s="330"/>
      <c r="P2882" s="330"/>
      <c r="Q2882" s="330"/>
      <c r="R2882" s="316"/>
      <c r="S2882" s="404"/>
      <c r="T2882" s="404"/>
      <c r="U2882" s="404"/>
      <c r="V2882" s="404"/>
      <c r="W2882" s="316"/>
      <c r="X2882" s="316"/>
      <c r="Y2882" s="316"/>
      <c r="Z2882" s="316"/>
      <c r="AA2882" s="404"/>
      <c r="AB2882" s="404"/>
      <c r="AC2882" s="404"/>
      <c r="AD2882" s="404"/>
      <c r="AE2882" s="316"/>
      <c r="AF2882" s="316"/>
      <c r="AG2882" s="404"/>
      <c r="AH2882" s="316"/>
      <c r="AI2882" s="316"/>
      <c r="AJ2882" s="316"/>
      <c r="AK2882" s="316"/>
      <c r="AL2882" s="316"/>
      <c r="AM2882" s="416"/>
      <c r="AN2882" s="330"/>
      <c r="AO2882" s="330"/>
      <c r="AP2882" s="330"/>
      <c r="AQ2882" s="330"/>
      <c r="AR2882" s="333"/>
      <c r="AS2882" s="333"/>
      <c r="AT2882" s="333"/>
      <c r="AU2882" s="333"/>
      <c r="AV2882" s="333"/>
      <c r="AW2882" s="330"/>
      <c r="AX2882" s="330"/>
    </row>
    <row r="2883" spans="2:50" x14ac:dyDescent="0.25">
      <c r="B2883" s="331"/>
      <c r="C2883" s="332"/>
      <c r="D2883" s="332"/>
      <c r="E2883" s="333"/>
      <c r="F2883" s="333"/>
      <c r="G2883" s="330"/>
      <c r="H2883" s="330"/>
      <c r="I2883" s="330"/>
      <c r="J2883" s="330"/>
      <c r="K2883" s="330"/>
      <c r="L2883" s="330"/>
      <c r="M2883" s="330"/>
      <c r="N2883" s="330"/>
      <c r="O2883" s="330"/>
      <c r="P2883" s="330"/>
      <c r="Q2883" s="330"/>
      <c r="R2883" s="316"/>
      <c r="S2883" s="404"/>
      <c r="T2883" s="404"/>
      <c r="U2883" s="404"/>
      <c r="V2883" s="404"/>
      <c r="W2883" s="316"/>
      <c r="X2883" s="316"/>
      <c r="Y2883" s="316"/>
      <c r="Z2883" s="316"/>
      <c r="AA2883" s="404"/>
      <c r="AB2883" s="404"/>
      <c r="AC2883" s="404"/>
      <c r="AD2883" s="404"/>
      <c r="AE2883" s="316"/>
      <c r="AF2883" s="316"/>
      <c r="AG2883" s="404"/>
      <c r="AH2883" s="316"/>
      <c r="AI2883" s="316"/>
      <c r="AJ2883" s="316"/>
      <c r="AK2883" s="316"/>
      <c r="AL2883" s="316"/>
      <c r="AM2883" s="416"/>
      <c r="AN2883" s="330"/>
      <c r="AO2883" s="330"/>
      <c r="AP2883" s="330"/>
      <c r="AQ2883" s="330"/>
      <c r="AR2883" s="333"/>
      <c r="AS2883" s="333"/>
      <c r="AT2883" s="333"/>
      <c r="AU2883" s="333"/>
      <c r="AV2883" s="333"/>
      <c r="AW2883" s="330"/>
      <c r="AX2883" s="330"/>
    </row>
    <row r="2884" spans="2:50" x14ac:dyDescent="0.25">
      <c r="B2884" s="331"/>
      <c r="C2884" s="332"/>
      <c r="D2884" s="332"/>
      <c r="E2884" s="333"/>
      <c r="F2884" s="333"/>
      <c r="G2884" s="330"/>
      <c r="H2884" s="330"/>
      <c r="I2884" s="330"/>
      <c r="J2884" s="330"/>
      <c r="K2884" s="330"/>
      <c r="L2884" s="330"/>
      <c r="M2884" s="330"/>
      <c r="N2884" s="330"/>
      <c r="O2884" s="330"/>
      <c r="P2884" s="330"/>
      <c r="Q2884" s="330"/>
      <c r="R2884" s="316"/>
      <c r="S2884" s="404"/>
      <c r="T2884" s="404"/>
      <c r="U2884" s="404"/>
      <c r="V2884" s="404"/>
      <c r="W2884" s="316"/>
      <c r="X2884" s="316"/>
      <c r="Y2884" s="316"/>
      <c r="Z2884" s="316"/>
      <c r="AA2884" s="404"/>
      <c r="AB2884" s="404"/>
      <c r="AC2884" s="404"/>
      <c r="AD2884" s="404"/>
      <c r="AE2884" s="316"/>
      <c r="AF2884" s="316"/>
      <c r="AG2884" s="404"/>
      <c r="AH2884" s="316"/>
      <c r="AI2884" s="316"/>
      <c r="AJ2884" s="316"/>
      <c r="AK2884" s="316"/>
      <c r="AL2884" s="316"/>
      <c r="AM2884" s="416"/>
      <c r="AN2884" s="330"/>
      <c r="AO2884" s="330"/>
      <c r="AP2884" s="330"/>
      <c r="AQ2884" s="330"/>
      <c r="AR2884" s="333"/>
      <c r="AS2884" s="333"/>
      <c r="AT2884" s="333"/>
      <c r="AU2884" s="333"/>
      <c r="AV2884" s="333"/>
      <c r="AW2884" s="330"/>
      <c r="AX2884" s="330"/>
    </row>
    <row r="2885" spans="2:50" x14ac:dyDescent="0.25">
      <c r="B2885" s="331"/>
      <c r="C2885" s="332"/>
      <c r="D2885" s="332"/>
      <c r="E2885" s="333"/>
      <c r="F2885" s="333"/>
      <c r="G2885" s="330"/>
      <c r="H2885" s="330"/>
      <c r="I2885" s="330"/>
      <c r="J2885" s="330"/>
      <c r="K2885" s="330"/>
      <c r="L2885" s="330"/>
      <c r="M2885" s="330"/>
      <c r="N2885" s="330"/>
      <c r="O2885" s="330"/>
      <c r="P2885" s="330"/>
      <c r="Q2885" s="330"/>
      <c r="R2885" s="316"/>
      <c r="S2885" s="404"/>
      <c r="T2885" s="404"/>
      <c r="U2885" s="404"/>
      <c r="V2885" s="404"/>
      <c r="W2885" s="316"/>
      <c r="X2885" s="316"/>
      <c r="Y2885" s="316"/>
      <c r="Z2885" s="316"/>
      <c r="AA2885" s="404"/>
      <c r="AB2885" s="404"/>
      <c r="AC2885" s="404"/>
      <c r="AD2885" s="404"/>
      <c r="AE2885" s="316"/>
      <c r="AF2885" s="316"/>
      <c r="AG2885" s="404"/>
      <c r="AH2885" s="316"/>
      <c r="AI2885" s="316"/>
      <c r="AJ2885" s="316"/>
      <c r="AK2885" s="316"/>
      <c r="AL2885" s="316"/>
      <c r="AM2885" s="416"/>
      <c r="AN2885" s="330"/>
      <c r="AO2885" s="330"/>
      <c r="AP2885" s="330"/>
      <c r="AQ2885" s="330"/>
      <c r="AR2885" s="333"/>
      <c r="AS2885" s="333"/>
      <c r="AT2885" s="333"/>
      <c r="AU2885" s="333"/>
      <c r="AV2885" s="333"/>
      <c r="AW2885" s="330"/>
      <c r="AX2885" s="330"/>
    </row>
    <row r="2886" spans="2:50" x14ac:dyDescent="0.25">
      <c r="B2886" s="331"/>
      <c r="C2886" s="332"/>
      <c r="D2886" s="332"/>
      <c r="E2886" s="333"/>
      <c r="F2886" s="333"/>
      <c r="G2886" s="330"/>
      <c r="H2886" s="330"/>
      <c r="I2886" s="330"/>
      <c r="J2886" s="330"/>
      <c r="K2886" s="330"/>
      <c r="L2886" s="330"/>
      <c r="M2886" s="330"/>
      <c r="N2886" s="330"/>
      <c r="O2886" s="330"/>
      <c r="P2886" s="330"/>
      <c r="Q2886" s="330"/>
      <c r="R2886" s="316"/>
      <c r="S2886" s="404"/>
      <c r="T2886" s="404"/>
      <c r="U2886" s="404"/>
      <c r="V2886" s="404"/>
      <c r="W2886" s="316"/>
      <c r="X2886" s="316"/>
      <c r="Y2886" s="316"/>
      <c r="Z2886" s="316"/>
      <c r="AA2886" s="404"/>
      <c r="AB2886" s="404"/>
      <c r="AC2886" s="404"/>
      <c r="AD2886" s="404"/>
      <c r="AE2886" s="316"/>
      <c r="AF2886" s="316"/>
      <c r="AG2886" s="404"/>
      <c r="AH2886" s="316"/>
      <c r="AI2886" s="316"/>
      <c r="AJ2886" s="316"/>
      <c r="AK2886" s="316"/>
      <c r="AL2886" s="316"/>
      <c r="AM2886" s="416"/>
      <c r="AN2886" s="330"/>
      <c r="AO2886" s="330"/>
      <c r="AP2886" s="330"/>
      <c r="AQ2886" s="330"/>
      <c r="AR2886" s="333"/>
      <c r="AS2886" s="333"/>
      <c r="AT2886" s="333"/>
      <c r="AU2886" s="333"/>
      <c r="AV2886" s="333"/>
      <c r="AW2886" s="330"/>
      <c r="AX2886" s="330"/>
    </row>
    <row r="2887" spans="2:50" x14ac:dyDescent="0.25">
      <c r="B2887" s="331"/>
      <c r="C2887" s="332"/>
      <c r="D2887" s="332"/>
      <c r="E2887" s="333"/>
      <c r="F2887" s="333"/>
      <c r="G2887" s="330"/>
      <c r="H2887" s="330"/>
      <c r="I2887" s="330"/>
      <c r="J2887" s="330"/>
      <c r="K2887" s="330"/>
      <c r="L2887" s="330"/>
      <c r="M2887" s="330"/>
      <c r="N2887" s="330"/>
      <c r="O2887" s="330"/>
      <c r="P2887" s="330"/>
      <c r="Q2887" s="330"/>
      <c r="R2887" s="316"/>
      <c r="S2887" s="404"/>
      <c r="T2887" s="404"/>
      <c r="U2887" s="404"/>
      <c r="V2887" s="404"/>
      <c r="W2887" s="316"/>
      <c r="X2887" s="316"/>
      <c r="Y2887" s="316"/>
      <c r="Z2887" s="316"/>
      <c r="AA2887" s="404"/>
      <c r="AB2887" s="404"/>
      <c r="AC2887" s="404"/>
      <c r="AD2887" s="404"/>
      <c r="AE2887" s="316"/>
      <c r="AF2887" s="316"/>
      <c r="AG2887" s="404"/>
      <c r="AH2887" s="316"/>
      <c r="AI2887" s="316"/>
      <c r="AJ2887" s="316"/>
      <c r="AK2887" s="316"/>
      <c r="AL2887" s="316"/>
      <c r="AM2887" s="416"/>
      <c r="AN2887" s="330"/>
      <c r="AO2887" s="330"/>
      <c r="AP2887" s="330"/>
      <c r="AQ2887" s="330"/>
      <c r="AR2887" s="333"/>
      <c r="AS2887" s="333"/>
      <c r="AT2887" s="333"/>
      <c r="AU2887" s="333"/>
      <c r="AV2887" s="333"/>
      <c r="AW2887" s="330"/>
      <c r="AX2887" s="330"/>
    </row>
    <row r="2888" spans="2:50" x14ac:dyDescent="0.25">
      <c r="B2888" s="331"/>
      <c r="C2888" s="332"/>
      <c r="D2888" s="332"/>
      <c r="E2888" s="333"/>
      <c r="F2888" s="333"/>
      <c r="G2888" s="330"/>
      <c r="H2888" s="330"/>
      <c r="I2888" s="330"/>
      <c r="J2888" s="330"/>
      <c r="K2888" s="330"/>
      <c r="L2888" s="330"/>
      <c r="M2888" s="330"/>
      <c r="N2888" s="330"/>
      <c r="O2888" s="330"/>
      <c r="P2888" s="330"/>
      <c r="Q2888" s="330"/>
      <c r="R2888" s="316"/>
      <c r="S2888" s="404"/>
      <c r="T2888" s="404"/>
      <c r="U2888" s="404"/>
      <c r="V2888" s="404"/>
      <c r="W2888" s="316"/>
      <c r="X2888" s="316"/>
      <c r="Y2888" s="316"/>
      <c r="Z2888" s="316"/>
      <c r="AA2888" s="404"/>
      <c r="AB2888" s="404"/>
      <c r="AC2888" s="404"/>
      <c r="AD2888" s="404"/>
      <c r="AE2888" s="316"/>
      <c r="AF2888" s="316"/>
      <c r="AG2888" s="404"/>
      <c r="AH2888" s="316"/>
      <c r="AI2888" s="316"/>
      <c r="AJ2888" s="316"/>
      <c r="AK2888" s="316"/>
      <c r="AL2888" s="316"/>
      <c r="AM2888" s="416"/>
      <c r="AN2888" s="330"/>
      <c r="AO2888" s="330"/>
      <c r="AP2888" s="330"/>
      <c r="AQ2888" s="330"/>
      <c r="AR2888" s="333"/>
      <c r="AS2888" s="333"/>
      <c r="AT2888" s="333"/>
      <c r="AU2888" s="333"/>
      <c r="AV2888" s="333"/>
      <c r="AW2888" s="330"/>
      <c r="AX2888" s="330"/>
    </row>
    <row r="2889" spans="2:50" x14ac:dyDescent="0.25">
      <c r="B2889" s="331"/>
      <c r="C2889" s="332"/>
      <c r="D2889" s="332"/>
      <c r="E2889" s="333"/>
      <c r="F2889" s="333"/>
      <c r="G2889" s="330"/>
      <c r="H2889" s="330"/>
      <c r="I2889" s="330"/>
      <c r="J2889" s="330"/>
      <c r="K2889" s="330"/>
      <c r="L2889" s="330"/>
      <c r="M2889" s="330"/>
      <c r="N2889" s="330"/>
      <c r="O2889" s="330"/>
      <c r="P2889" s="330"/>
      <c r="Q2889" s="330"/>
      <c r="R2889" s="316"/>
      <c r="S2889" s="404"/>
      <c r="T2889" s="404"/>
      <c r="U2889" s="404"/>
      <c r="V2889" s="404"/>
      <c r="W2889" s="316"/>
      <c r="X2889" s="316"/>
      <c r="Y2889" s="316"/>
      <c r="Z2889" s="316"/>
      <c r="AA2889" s="404"/>
      <c r="AB2889" s="404"/>
      <c r="AC2889" s="404"/>
      <c r="AD2889" s="404"/>
      <c r="AE2889" s="316"/>
      <c r="AF2889" s="316"/>
      <c r="AG2889" s="404"/>
      <c r="AH2889" s="316"/>
      <c r="AI2889" s="316"/>
      <c r="AJ2889" s="316"/>
      <c r="AK2889" s="316"/>
      <c r="AL2889" s="316"/>
      <c r="AM2889" s="416"/>
      <c r="AN2889" s="330"/>
      <c r="AO2889" s="330"/>
      <c r="AP2889" s="330"/>
      <c r="AQ2889" s="330"/>
      <c r="AR2889" s="333"/>
      <c r="AS2889" s="333"/>
      <c r="AT2889" s="333"/>
      <c r="AU2889" s="333"/>
      <c r="AV2889" s="333"/>
      <c r="AW2889" s="330"/>
      <c r="AX2889" s="330"/>
    </row>
    <row r="2890" spans="2:50" x14ac:dyDescent="0.25">
      <c r="B2890" s="331"/>
      <c r="C2890" s="332"/>
      <c r="D2890" s="332"/>
      <c r="E2890" s="333"/>
      <c r="F2890" s="333"/>
      <c r="G2890" s="330"/>
      <c r="H2890" s="330"/>
      <c r="I2890" s="330"/>
      <c r="J2890" s="330"/>
      <c r="K2890" s="330"/>
      <c r="L2890" s="330"/>
      <c r="M2890" s="330"/>
      <c r="N2890" s="330"/>
      <c r="O2890" s="330"/>
      <c r="P2890" s="330"/>
      <c r="Q2890" s="330"/>
      <c r="R2890" s="316"/>
      <c r="S2890" s="404"/>
      <c r="T2890" s="404"/>
      <c r="U2890" s="404"/>
      <c r="V2890" s="404"/>
      <c r="W2890" s="316"/>
      <c r="X2890" s="316"/>
      <c r="Y2890" s="316"/>
      <c r="Z2890" s="316"/>
      <c r="AA2890" s="404"/>
      <c r="AB2890" s="404"/>
      <c r="AC2890" s="404"/>
      <c r="AD2890" s="404"/>
      <c r="AE2890" s="316"/>
      <c r="AF2890" s="316"/>
      <c r="AG2890" s="404"/>
      <c r="AH2890" s="316"/>
      <c r="AI2890" s="316"/>
      <c r="AJ2890" s="316"/>
      <c r="AK2890" s="316"/>
      <c r="AL2890" s="316"/>
      <c r="AM2890" s="416"/>
      <c r="AN2890" s="330"/>
      <c r="AO2890" s="330"/>
      <c r="AP2890" s="330"/>
      <c r="AQ2890" s="330"/>
      <c r="AR2890" s="333"/>
      <c r="AS2890" s="333"/>
      <c r="AT2890" s="333"/>
      <c r="AU2890" s="333"/>
      <c r="AV2890" s="333"/>
      <c r="AW2890" s="330"/>
      <c r="AX2890" s="330"/>
    </row>
    <row r="2891" spans="2:50" x14ac:dyDescent="0.25">
      <c r="B2891" s="331"/>
      <c r="C2891" s="332"/>
      <c r="D2891" s="332"/>
      <c r="E2891" s="333"/>
      <c r="F2891" s="333"/>
      <c r="G2891" s="330"/>
      <c r="H2891" s="330"/>
      <c r="I2891" s="330"/>
      <c r="J2891" s="330"/>
      <c r="K2891" s="330"/>
      <c r="L2891" s="330"/>
      <c r="M2891" s="330"/>
      <c r="N2891" s="330"/>
      <c r="O2891" s="330"/>
      <c r="P2891" s="330"/>
      <c r="Q2891" s="330"/>
      <c r="R2891" s="316"/>
      <c r="S2891" s="404"/>
      <c r="T2891" s="404"/>
      <c r="U2891" s="404"/>
      <c r="V2891" s="404"/>
      <c r="W2891" s="316"/>
      <c r="X2891" s="316"/>
      <c r="Y2891" s="316"/>
      <c r="Z2891" s="316"/>
      <c r="AA2891" s="404"/>
      <c r="AB2891" s="404"/>
      <c r="AC2891" s="404"/>
      <c r="AD2891" s="404"/>
      <c r="AE2891" s="316"/>
      <c r="AF2891" s="316"/>
      <c r="AG2891" s="404"/>
      <c r="AH2891" s="316"/>
      <c r="AI2891" s="316"/>
      <c r="AJ2891" s="316"/>
      <c r="AK2891" s="316"/>
      <c r="AL2891" s="316"/>
      <c r="AM2891" s="416"/>
      <c r="AN2891" s="330"/>
      <c r="AO2891" s="330"/>
      <c r="AP2891" s="330"/>
      <c r="AQ2891" s="330"/>
      <c r="AR2891" s="333"/>
      <c r="AS2891" s="333"/>
      <c r="AT2891" s="333"/>
      <c r="AU2891" s="333"/>
      <c r="AV2891" s="333"/>
      <c r="AW2891" s="330"/>
      <c r="AX2891" s="330"/>
    </row>
    <row r="2892" spans="2:50" x14ac:dyDescent="0.25">
      <c r="B2892" s="331"/>
      <c r="C2892" s="332"/>
      <c r="D2892" s="332"/>
      <c r="E2892" s="333"/>
      <c r="F2892" s="333"/>
      <c r="G2892" s="330"/>
      <c r="H2892" s="330"/>
      <c r="I2892" s="330"/>
      <c r="J2892" s="330"/>
      <c r="K2892" s="330"/>
      <c r="L2892" s="330"/>
      <c r="M2892" s="330"/>
      <c r="N2892" s="330"/>
      <c r="O2892" s="330"/>
      <c r="P2892" s="330"/>
      <c r="Q2892" s="330"/>
      <c r="R2892" s="316"/>
      <c r="S2892" s="404"/>
      <c r="T2892" s="404"/>
      <c r="U2892" s="404"/>
      <c r="V2892" s="404"/>
      <c r="W2892" s="316"/>
      <c r="X2892" s="316"/>
      <c r="Y2892" s="316"/>
      <c r="Z2892" s="316"/>
      <c r="AA2892" s="404"/>
      <c r="AB2892" s="404"/>
      <c r="AC2892" s="404"/>
      <c r="AD2892" s="404"/>
      <c r="AE2892" s="316"/>
      <c r="AF2892" s="316"/>
      <c r="AG2892" s="404"/>
      <c r="AH2892" s="316"/>
      <c r="AI2892" s="316"/>
      <c r="AJ2892" s="316"/>
      <c r="AK2892" s="316"/>
      <c r="AL2892" s="316"/>
      <c r="AM2892" s="416"/>
      <c r="AN2892" s="330"/>
      <c r="AO2892" s="330"/>
      <c r="AP2892" s="330"/>
      <c r="AQ2892" s="330"/>
      <c r="AR2892" s="333"/>
      <c r="AS2892" s="333"/>
      <c r="AT2892" s="333"/>
      <c r="AU2892" s="333"/>
      <c r="AV2892" s="333"/>
      <c r="AW2892" s="330"/>
      <c r="AX2892" s="330"/>
    </row>
    <row r="2893" spans="2:50" x14ac:dyDescent="0.25">
      <c r="B2893" s="331"/>
      <c r="C2893" s="332"/>
      <c r="D2893" s="332"/>
      <c r="E2893" s="333"/>
      <c r="F2893" s="333"/>
      <c r="G2893" s="330"/>
      <c r="H2893" s="330"/>
      <c r="I2893" s="330"/>
      <c r="J2893" s="330"/>
      <c r="K2893" s="330"/>
      <c r="L2893" s="330"/>
      <c r="M2893" s="330"/>
      <c r="N2893" s="330"/>
      <c r="O2893" s="330"/>
      <c r="P2893" s="330"/>
      <c r="Q2893" s="330"/>
      <c r="R2893" s="316"/>
      <c r="S2893" s="404"/>
      <c r="T2893" s="404"/>
      <c r="U2893" s="404"/>
      <c r="V2893" s="404"/>
      <c r="W2893" s="316"/>
      <c r="X2893" s="316"/>
      <c r="Y2893" s="316"/>
      <c r="Z2893" s="316"/>
      <c r="AA2893" s="404"/>
      <c r="AB2893" s="404"/>
      <c r="AC2893" s="404"/>
      <c r="AD2893" s="404"/>
      <c r="AE2893" s="316"/>
      <c r="AF2893" s="316"/>
      <c r="AG2893" s="404"/>
      <c r="AH2893" s="316"/>
      <c r="AI2893" s="316"/>
      <c r="AJ2893" s="316"/>
      <c r="AK2893" s="316"/>
      <c r="AL2893" s="316"/>
      <c r="AM2893" s="416"/>
      <c r="AN2893" s="330"/>
      <c r="AO2893" s="330"/>
      <c r="AP2893" s="330"/>
      <c r="AQ2893" s="330"/>
      <c r="AR2893" s="333"/>
      <c r="AS2893" s="333"/>
      <c r="AT2893" s="333"/>
      <c r="AU2893" s="333"/>
      <c r="AV2893" s="333"/>
      <c r="AW2893" s="330"/>
      <c r="AX2893" s="330"/>
    </row>
    <row r="2894" spans="2:50" x14ac:dyDescent="0.25">
      <c r="B2894" s="331"/>
      <c r="C2894" s="332"/>
      <c r="D2894" s="332"/>
      <c r="E2894" s="333"/>
      <c r="F2894" s="333"/>
      <c r="G2894" s="330"/>
      <c r="H2894" s="330"/>
      <c r="I2894" s="330"/>
      <c r="J2894" s="330"/>
      <c r="K2894" s="330"/>
      <c r="L2894" s="330"/>
      <c r="M2894" s="330"/>
      <c r="N2894" s="330"/>
      <c r="O2894" s="330"/>
      <c r="P2894" s="330"/>
      <c r="Q2894" s="330"/>
      <c r="R2894" s="316"/>
      <c r="S2894" s="404"/>
      <c r="T2894" s="404"/>
      <c r="U2894" s="404"/>
      <c r="V2894" s="404"/>
      <c r="W2894" s="316"/>
      <c r="X2894" s="316"/>
      <c r="Y2894" s="316"/>
      <c r="Z2894" s="316"/>
      <c r="AA2894" s="404"/>
      <c r="AB2894" s="404"/>
      <c r="AC2894" s="404"/>
      <c r="AD2894" s="404"/>
      <c r="AE2894" s="316"/>
      <c r="AF2894" s="316"/>
      <c r="AG2894" s="404"/>
      <c r="AH2894" s="316"/>
      <c r="AI2894" s="316"/>
      <c r="AJ2894" s="316"/>
      <c r="AK2894" s="316"/>
      <c r="AL2894" s="316"/>
      <c r="AM2894" s="416"/>
      <c r="AN2894" s="330"/>
      <c r="AO2894" s="330"/>
      <c r="AP2894" s="330"/>
      <c r="AQ2894" s="330"/>
      <c r="AR2894" s="333"/>
      <c r="AS2894" s="333"/>
      <c r="AT2894" s="333"/>
      <c r="AU2894" s="333"/>
      <c r="AV2894" s="333"/>
      <c r="AW2894" s="330"/>
      <c r="AX2894" s="330"/>
    </row>
    <row r="2895" spans="2:50" x14ac:dyDescent="0.25">
      <c r="B2895" s="331"/>
      <c r="C2895" s="332"/>
      <c r="D2895" s="332"/>
      <c r="E2895" s="333"/>
      <c r="F2895" s="333"/>
      <c r="G2895" s="330"/>
      <c r="H2895" s="330"/>
      <c r="I2895" s="330"/>
      <c r="J2895" s="330"/>
      <c r="K2895" s="330"/>
      <c r="L2895" s="330"/>
      <c r="M2895" s="330"/>
      <c r="N2895" s="330"/>
      <c r="O2895" s="330"/>
      <c r="P2895" s="330"/>
      <c r="Q2895" s="330"/>
      <c r="R2895" s="316"/>
      <c r="S2895" s="404"/>
      <c r="T2895" s="404"/>
      <c r="U2895" s="404"/>
      <c r="V2895" s="404"/>
      <c r="W2895" s="316"/>
      <c r="X2895" s="316"/>
      <c r="Y2895" s="316"/>
      <c r="Z2895" s="316"/>
      <c r="AA2895" s="404"/>
      <c r="AB2895" s="404"/>
      <c r="AC2895" s="404"/>
      <c r="AD2895" s="404"/>
      <c r="AE2895" s="316"/>
      <c r="AF2895" s="316"/>
      <c r="AG2895" s="404"/>
      <c r="AH2895" s="316"/>
      <c r="AI2895" s="316"/>
      <c r="AJ2895" s="316"/>
      <c r="AK2895" s="316"/>
      <c r="AL2895" s="316"/>
      <c r="AM2895" s="416"/>
      <c r="AN2895" s="330"/>
      <c r="AO2895" s="330"/>
      <c r="AP2895" s="330"/>
      <c r="AQ2895" s="330"/>
      <c r="AR2895" s="333"/>
      <c r="AS2895" s="333"/>
      <c r="AT2895" s="333"/>
      <c r="AU2895" s="333"/>
      <c r="AV2895" s="333"/>
      <c r="AW2895" s="330"/>
      <c r="AX2895" s="330"/>
    </row>
    <row r="2896" spans="2:50" x14ac:dyDescent="0.25">
      <c r="B2896" s="331"/>
      <c r="C2896" s="332"/>
      <c r="D2896" s="332"/>
      <c r="E2896" s="333"/>
      <c r="F2896" s="333"/>
      <c r="G2896" s="330"/>
      <c r="H2896" s="330"/>
      <c r="I2896" s="330"/>
      <c r="J2896" s="330"/>
      <c r="K2896" s="330"/>
      <c r="L2896" s="330"/>
      <c r="M2896" s="330"/>
      <c r="N2896" s="330"/>
      <c r="O2896" s="330"/>
      <c r="P2896" s="330"/>
      <c r="Q2896" s="330"/>
      <c r="R2896" s="316"/>
      <c r="S2896" s="404"/>
      <c r="T2896" s="404"/>
      <c r="U2896" s="404"/>
      <c r="V2896" s="404"/>
      <c r="W2896" s="316"/>
      <c r="X2896" s="316"/>
      <c r="Y2896" s="316"/>
      <c r="Z2896" s="316"/>
      <c r="AA2896" s="404"/>
      <c r="AB2896" s="404"/>
      <c r="AC2896" s="404"/>
      <c r="AD2896" s="404"/>
      <c r="AE2896" s="316"/>
      <c r="AF2896" s="316"/>
      <c r="AG2896" s="404"/>
      <c r="AH2896" s="316"/>
      <c r="AI2896" s="316"/>
      <c r="AJ2896" s="316"/>
      <c r="AK2896" s="316"/>
      <c r="AL2896" s="316"/>
      <c r="AM2896" s="416"/>
      <c r="AN2896" s="330"/>
      <c r="AO2896" s="330"/>
      <c r="AP2896" s="330"/>
      <c r="AQ2896" s="330"/>
      <c r="AR2896" s="333"/>
      <c r="AS2896" s="333"/>
      <c r="AT2896" s="333"/>
      <c r="AU2896" s="333"/>
      <c r="AV2896" s="333"/>
      <c r="AW2896" s="330"/>
      <c r="AX2896" s="330"/>
    </row>
    <row r="2897" spans="2:50" x14ac:dyDescent="0.25">
      <c r="B2897" s="331"/>
      <c r="C2897" s="332"/>
      <c r="D2897" s="332"/>
      <c r="E2897" s="333"/>
      <c r="F2897" s="333"/>
      <c r="G2897" s="330"/>
      <c r="H2897" s="330"/>
      <c r="I2897" s="330"/>
      <c r="J2897" s="330"/>
      <c r="K2897" s="330"/>
      <c r="L2897" s="330"/>
      <c r="M2897" s="330"/>
      <c r="N2897" s="330"/>
      <c r="O2897" s="330"/>
      <c r="P2897" s="330"/>
      <c r="Q2897" s="330"/>
      <c r="R2897" s="316"/>
      <c r="S2897" s="404"/>
      <c r="T2897" s="404"/>
      <c r="U2897" s="404"/>
      <c r="V2897" s="404"/>
      <c r="W2897" s="316"/>
      <c r="X2897" s="316"/>
      <c r="Y2897" s="316"/>
      <c r="Z2897" s="316"/>
      <c r="AA2897" s="404"/>
      <c r="AB2897" s="404"/>
      <c r="AC2897" s="404"/>
      <c r="AD2897" s="404"/>
      <c r="AE2897" s="316"/>
      <c r="AF2897" s="316"/>
      <c r="AG2897" s="404"/>
      <c r="AH2897" s="316"/>
      <c r="AI2897" s="316"/>
      <c r="AJ2897" s="316"/>
      <c r="AK2897" s="316"/>
      <c r="AL2897" s="316"/>
      <c r="AM2897" s="416"/>
      <c r="AN2897" s="330"/>
      <c r="AO2897" s="330"/>
      <c r="AP2897" s="330"/>
      <c r="AQ2897" s="330"/>
      <c r="AR2897" s="333"/>
      <c r="AS2897" s="333"/>
      <c r="AT2897" s="333"/>
      <c r="AU2897" s="333"/>
      <c r="AV2897" s="333"/>
      <c r="AW2897" s="330"/>
      <c r="AX2897" s="330"/>
    </row>
    <row r="2898" spans="2:50" x14ac:dyDescent="0.25">
      <c r="B2898" s="331"/>
      <c r="C2898" s="332"/>
      <c r="D2898" s="332"/>
      <c r="E2898" s="333"/>
      <c r="F2898" s="333"/>
      <c r="G2898" s="330"/>
      <c r="H2898" s="330"/>
      <c r="I2898" s="330"/>
      <c r="J2898" s="330"/>
      <c r="K2898" s="330"/>
      <c r="L2898" s="330"/>
      <c r="M2898" s="330"/>
      <c r="N2898" s="330"/>
      <c r="O2898" s="330"/>
      <c r="P2898" s="330"/>
      <c r="Q2898" s="330"/>
      <c r="R2898" s="316"/>
      <c r="S2898" s="404"/>
      <c r="T2898" s="404"/>
      <c r="U2898" s="404"/>
      <c r="V2898" s="404"/>
      <c r="W2898" s="316"/>
      <c r="X2898" s="316"/>
      <c r="Y2898" s="316"/>
      <c r="Z2898" s="316"/>
      <c r="AA2898" s="404"/>
      <c r="AB2898" s="404"/>
      <c r="AC2898" s="404"/>
      <c r="AD2898" s="404"/>
      <c r="AE2898" s="316"/>
      <c r="AF2898" s="316"/>
      <c r="AG2898" s="404"/>
      <c r="AH2898" s="316"/>
      <c r="AI2898" s="316"/>
      <c r="AJ2898" s="316"/>
      <c r="AK2898" s="316"/>
      <c r="AL2898" s="316"/>
      <c r="AM2898" s="416"/>
      <c r="AN2898" s="330"/>
      <c r="AO2898" s="330"/>
      <c r="AP2898" s="330"/>
      <c r="AQ2898" s="330"/>
      <c r="AR2898" s="333"/>
      <c r="AS2898" s="333"/>
      <c r="AT2898" s="333"/>
      <c r="AU2898" s="333"/>
      <c r="AV2898" s="333"/>
      <c r="AW2898" s="330"/>
      <c r="AX2898" s="330"/>
    </row>
    <row r="2899" spans="2:50" x14ac:dyDescent="0.25">
      <c r="B2899" s="331"/>
      <c r="C2899" s="332"/>
      <c r="D2899" s="332"/>
      <c r="E2899" s="333"/>
      <c r="F2899" s="333"/>
      <c r="G2899" s="330"/>
      <c r="H2899" s="330"/>
      <c r="I2899" s="330"/>
      <c r="J2899" s="330"/>
      <c r="K2899" s="330"/>
      <c r="L2899" s="330"/>
      <c r="M2899" s="330"/>
      <c r="N2899" s="330"/>
      <c r="O2899" s="330"/>
      <c r="P2899" s="330"/>
      <c r="Q2899" s="330"/>
      <c r="R2899" s="316"/>
      <c r="S2899" s="404"/>
      <c r="T2899" s="404"/>
      <c r="U2899" s="404"/>
      <c r="V2899" s="404"/>
      <c r="W2899" s="316"/>
      <c r="X2899" s="316"/>
      <c r="Y2899" s="316"/>
      <c r="Z2899" s="316"/>
      <c r="AA2899" s="404"/>
      <c r="AB2899" s="404"/>
      <c r="AC2899" s="404"/>
      <c r="AD2899" s="404"/>
      <c r="AE2899" s="316"/>
      <c r="AF2899" s="316"/>
      <c r="AG2899" s="404"/>
      <c r="AH2899" s="316"/>
      <c r="AI2899" s="316"/>
      <c r="AJ2899" s="316"/>
      <c r="AK2899" s="316"/>
      <c r="AL2899" s="316"/>
      <c r="AM2899" s="416"/>
      <c r="AN2899" s="330"/>
      <c r="AO2899" s="330"/>
      <c r="AP2899" s="330"/>
      <c r="AQ2899" s="330"/>
      <c r="AR2899" s="333"/>
      <c r="AS2899" s="333"/>
      <c r="AT2899" s="333"/>
      <c r="AU2899" s="333"/>
      <c r="AV2899" s="333"/>
      <c r="AW2899" s="330"/>
      <c r="AX2899" s="330"/>
    </row>
    <row r="2900" spans="2:50" x14ac:dyDescent="0.25">
      <c r="B2900" s="331"/>
      <c r="C2900" s="332"/>
      <c r="D2900" s="332"/>
      <c r="E2900" s="333"/>
      <c r="F2900" s="333"/>
      <c r="G2900" s="330"/>
      <c r="H2900" s="330"/>
      <c r="I2900" s="330"/>
      <c r="J2900" s="330"/>
      <c r="K2900" s="330"/>
      <c r="L2900" s="330"/>
      <c r="M2900" s="330"/>
      <c r="N2900" s="330"/>
      <c r="O2900" s="330"/>
      <c r="P2900" s="330"/>
      <c r="Q2900" s="330"/>
      <c r="R2900" s="316"/>
      <c r="S2900" s="404"/>
      <c r="T2900" s="404"/>
      <c r="U2900" s="404"/>
      <c r="V2900" s="404"/>
      <c r="W2900" s="316"/>
      <c r="X2900" s="316"/>
      <c r="Y2900" s="316"/>
      <c r="Z2900" s="316"/>
      <c r="AA2900" s="404"/>
      <c r="AB2900" s="404"/>
      <c r="AC2900" s="404"/>
      <c r="AD2900" s="404"/>
      <c r="AE2900" s="316"/>
      <c r="AF2900" s="316"/>
      <c r="AG2900" s="404"/>
      <c r="AH2900" s="316"/>
      <c r="AI2900" s="316"/>
      <c r="AJ2900" s="316"/>
      <c r="AK2900" s="316"/>
      <c r="AL2900" s="316"/>
      <c r="AM2900" s="416"/>
      <c r="AN2900" s="330"/>
      <c r="AO2900" s="330"/>
      <c r="AP2900" s="330"/>
      <c r="AQ2900" s="330"/>
      <c r="AR2900" s="333"/>
      <c r="AS2900" s="333"/>
      <c r="AT2900" s="333"/>
      <c r="AU2900" s="333"/>
      <c r="AV2900" s="333"/>
      <c r="AW2900" s="330"/>
      <c r="AX2900" s="330"/>
    </row>
    <row r="2901" spans="2:50" x14ac:dyDescent="0.25">
      <c r="B2901" s="331"/>
      <c r="C2901" s="332"/>
      <c r="D2901" s="332"/>
      <c r="E2901" s="333"/>
      <c r="F2901" s="333"/>
      <c r="G2901" s="330"/>
      <c r="H2901" s="330"/>
      <c r="I2901" s="330"/>
      <c r="J2901" s="330"/>
      <c r="K2901" s="330"/>
      <c r="L2901" s="330"/>
      <c r="M2901" s="330"/>
      <c r="N2901" s="330"/>
      <c r="O2901" s="330"/>
      <c r="P2901" s="330"/>
      <c r="Q2901" s="330"/>
      <c r="R2901" s="316"/>
      <c r="S2901" s="404"/>
      <c r="T2901" s="404"/>
      <c r="U2901" s="404"/>
      <c r="V2901" s="404"/>
      <c r="W2901" s="316"/>
      <c r="X2901" s="316"/>
      <c r="Y2901" s="316"/>
      <c r="Z2901" s="316"/>
      <c r="AA2901" s="404"/>
      <c r="AB2901" s="404"/>
      <c r="AC2901" s="404"/>
      <c r="AD2901" s="404"/>
      <c r="AE2901" s="316"/>
      <c r="AF2901" s="316"/>
      <c r="AG2901" s="404"/>
      <c r="AH2901" s="316"/>
      <c r="AI2901" s="316"/>
      <c r="AJ2901" s="316"/>
      <c r="AK2901" s="316"/>
      <c r="AL2901" s="316"/>
      <c r="AM2901" s="416"/>
      <c r="AN2901" s="330"/>
      <c r="AO2901" s="330"/>
      <c r="AP2901" s="330"/>
      <c r="AQ2901" s="330"/>
      <c r="AR2901" s="333"/>
      <c r="AS2901" s="333"/>
      <c r="AT2901" s="333"/>
      <c r="AU2901" s="333"/>
      <c r="AV2901" s="333"/>
      <c r="AW2901" s="330"/>
      <c r="AX2901" s="330"/>
    </row>
    <row r="2902" spans="2:50" x14ac:dyDescent="0.25">
      <c r="B2902" s="331"/>
      <c r="C2902" s="332"/>
      <c r="D2902" s="332"/>
      <c r="E2902" s="333"/>
      <c r="F2902" s="333"/>
      <c r="G2902" s="330"/>
      <c r="H2902" s="330"/>
      <c r="I2902" s="330"/>
      <c r="J2902" s="330"/>
      <c r="K2902" s="330"/>
      <c r="L2902" s="330"/>
      <c r="M2902" s="330"/>
      <c r="N2902" s="330"/>
      <c r="O2902" s="330"/>
      <c r="P2902" s="330"/>
      <c r="Q2902" s="330"/>
      <c r="R2902" s="316"/>
      <c r="S2902" s="404"/>
      <c r="T2902" s="404"/>
      <c r="U2902" s="404"/>
      <c r="V2902" s="404"/>
      <c r="W2902" s="316"/>
      <c r="X2902" s="316"/>
      <c r="Y2902" s="316"/>
      <c r="Z2902" s="316"/>
      <c r="AA2902" s="404"/>
      <c r="AB2902" s="404"/>
      <c r="AC2902" s="404"/>
      <c r="AD2902" s="404"/>
      <c r="AE2902" s="316"/>
      <c r="AF2902" s="316"/>
      <c r="AG2902" s="404"/>
      <c r="AH2902" s="316"/>
      <c r="AI2902" s="316"/>
      <c r="AJ2902" s="316"/>
      <c r="AK2902" s="316"/>
      <c r="AL2902" s="316"/>
      <c r="AM2902" s="416"/>
      <c r="AN2902" s="330"/>
      <c r="AO2902" s="330"/>
      <c r="AP2902" s="330"/>
      <c r="AQ2902" s="330"/>
      <c r="AR2902" s="333"/>
      <c r="AS2902" s="333"/>
      <c r="AT2902" s="333"/>
      <c r="AU2902" s="333"/>
      <c r="AV2902" s="333"/>
      <c r="AW2902" s="330"/>
      <c r="AX2902" s="330"/>
    </row>
    <row r="2903" spans="2:50" x14ac:dyDescent="0.25">
      <c r="B2903" s="331"/>
      <c r="C2903" s="332"/>
      <c r="D2903" s="332"/>
      <c r="E2903" s="333"/>
      <c r="F2903" s="333"/>
      <c r="G2903" s="330"/>
      <c r="H2903" s="330"/>
      <c r="I2903" s="330"/>
      <c r="J2903" s="330"/>
      <c r="K2903" s="330"/>
      <c r="L2903" s="330"/>
      <c r="M2903" s="330"/>
      <c r="N2903" s="330"/>
      <c r="O2903" s="330"/>
      <c r="P2903" s="330"/>
      <c r="Q2903" s="330"/>
      <c r="R2903" s="316"/>
      <c r="S2903" s="404"/>
      <c r="T2903" s="404"/>
      <c r="U2903" s="404"/>
      <c r="V2903" s="404"/>
      <c r="W2903" s="316"/>
      <c r="X2903" s="316"/>
      <c r="Y2903" s="316"/>
      <c r="Z2903" s="316"/>
      <c r="AA2903" s="404"/>
      <c r="AB2903" s="404"/>
      <c r="AC2903" s="404"/>
      <c r="AD2903" s="404"/>
      <c r="AE2903" s="316"/>
      <c r="AF2903" s="316"/>
      <c r="AG2903" s="404"/>
      <c r="AH2903" s="316"/>
      <c r="AI2903" s="316"/>
      <c r="AJ2903" s="316"/>
      <c r="AK2903" s="316"/>
      <c r="AL2903" s="316"/>
      <c r="AM2903" s="416"/>
      <c r="AN2903" s="330"/>
      <c r="AO2903" s="330"/>
      <c r="AP2903" s="330"/>
      <c r="AQ2903" s="330"/>
      <c r="AR2903" s="333"/>
      <c r="AS2903" s="333"/>
      <c r="AT2903" s="333"/>
      <c r="AU2903" s="333"/>
      <c r="AV2903" s="333"/>
      <c r="AW2903" s="330"/>
      <c r="AX2903" s="330"/>
    </row>
    <row r="2904" spans="2:50" x14ac:dyDescent="0.25">
      <c r="B2904" s="331"/>
      <c r="C2904" s="332"/>
      <c r="D2904" s="332"/>
      <c r="E2904" s="333"/>
      <c r="F2904" s="333"/>
      <c r="G2904" s="330"/>
      <c r="H2904" s="330"/>
      <c r="I2904" s="330"/>
      <c r="J2904" s="330"/>
      <c r="K2904" s="330"/>
      <c r="L2904" s="330"/>
      <c r="M2904" s="330"/>
      <c r="N2904" s="330"/>
      <c r="O2904" s="330"/>
      <c r="P2904" s="330"/>
      <c r="Q2904" s="330"/>
      <c r="R2904" s="316"/>
      <c r="S2904" s="404"/>
      <c r="T2904" s="404"/>
      <c r="U2904" s="404"/>
      <c r="V2904" s="404"/>
      <c r="W2904" s="316"/>
      <c r="X2904" s="316"/>
      <c r="Y2904" s="316"/>
      <c r="Z2904" s="316"/>
      <c r="AA2904" s="404"/>
      <c r="AB2904" s="404"/>
      <c r="AC2904" s="404"/>
      <c r="AD2904" s="404"/>
      <c r="AE2904" s="316"/>
      <c r="AF2904" s="316"/>
      <c r="AG2904" s="404"/>
      <c r="AH2904" s="316"/>
      <c r="AI2904" s="316"/>
      <c r="AJ2904" s="316"/>
      <c r="AK2904" s="316"/>
      <c r="AL2904" s="316"/>
      <c r="AM2904" s="416"/>
      <c r="AN2904" s="330"/>
      <c r="AO2904" s="330"/>
      <c r="AP2904" s="330"/>
      <c r="AQ2904" s="330"/>
      <c r="AR2904" s="333"/>
      <c r="AS2904" s="333"/>
      <c r="AT2904" s="333"/>
      <c r="AU2904" s="333"/>
      <c r="AV2904" s="333"/>
      <c r="AW2904" s="330"/>
      <c r="AX2904" s="330"/>
    </row>
    <row r="2905" spans="2:50" x14ac:dyDescent="0.25">
      <c r="B2905" s="331"/>
      <c r="C2905" s="332"/>
      <c r="D2905" s="332"/>
      <c r="E2905" s="333"/>
      <c r="F2905" s="333"/>
      <c r="G2905" s="330"/>
      <c r="H2905" s="330"/>
      <c r="I2905" s="330"/>
      <c r="J2905" s="330"/>
      <c r="K2905" s="330"/>
      <c r="L2905" s="330"/>
      <c r="M2905" s="330"/>
      <c r="N2905" s="330"/>
      <c r="O2905" s="330"/>
      <c r="P2905" s="330"/>
      <c r="Q2905" s="330"/>
      <c r="R2905" s="316"/>
      <c r="S2905" s="404"/>
      <c r="T2905" s="404"/>
      <c r="U2905" s="404"/>
      <c r="V2905" s="404"/>
      <c r="W2905" s="316"/>
      <c r="X2905" s="316"/>
      <c r="Y2905" s="316"/>
      <c r="Z2905" s="316"/>
      <c r="AA2905" s="404"/>
      <c r="AB2905" s="404"/>
      <c r="AC2905" s="404"/>
      <c r="AD2905" s="404"/>
      <c r="AE2905" s="316"/>
      <c r="AF2905" s="316"/>
      <c r="AG2905" s="404"/>
      <c r="AH2905" s="316"/>
      <c r="AI2905" s="316"/>
      <c r="AJ2905" s="316"/>
      <c r="AK2905" s="316"/>
      <c r="AL2905" s="316"/>
      <c r="AM2905" s="416"/>
      <c r="AN2905" s="330"/>
      <c r="AO2905" s="330"/>
      <c r="AP2905" s="330"/>
      <c r="AQ2905" s="330"/>
      <c r="AR2905" s="333"/>
      <c r="AS2905" s="333"/>
      <c r="AT2905" s="333"/>
      <c r="AU2905" s="333"/>
      <c r="AV2905" s="333"/>
      <c r="AW2905" s="330"/>
      <c r="AX2905" s="330"/>
    </row>
    <row r="2906" spans="2:50" x14ac:dyDescent="0.25">
      <c r="B2906" s="331"/>
      <c r="C2906" s="332"/>
      <c r="D2906" s="332"/>
      <c r="E2906" s="333"/>
      <c r="F2906" s="333"/>
      <c r="G2906" s="330"/>
      <c r="H2906" s="330"/>
      <c r="I2906" s="330"/>
      <c r="J2906" s="330"/>
      <c r="K2906" s="330"/>
      <c r="L2906" s="330"/>
      <c r="M2906" s="330"/>
      <c r="N2906" s="330"/>
      <c r="O2906" s="330"/>
      <c r="P2906" s="330"/>
      <c r="Q2906" s="330"/>
      <c r="R2906" s="316"/>
      <c r="S2906" s="404"/>
      <c r="T2906" s="404"/>
      <c r="U2906" s="404"/>
      <c r="V2906" s="404"/>
      <c r="W2906" s="316"/>
      <c r="X2906" s="316"/>
      <c r="Y2906" s="316"/>
      <c r="Z2906" s="316"/>
      <c r="AA2906" s="404"/>
      <c r="AB2906" s="404"/>
      <c r="AC2906" s="404"/>
      <c r="AD2906" s="404"/>
      <c r="AE2906" s="316"/>
      <c r="AF2906" s="316"/>
      <c r="AG2906" s="404"/>
      <c r="AH2906" s="316"/>
      <c r="AI2906" s="316"/>
      <c r="AJ2906" s="316"/>
      <c r="AK2906" s="316"/>
      <c r="AL2906" s="316"/>
      <c r="AM2906" s="416"/>
      <c r="AN2906" s="330"/>
      <c r="AO2906" s="330"/>
      <c r="AP2906" s="330"/>
      <c r="AQ2906" s="330"/>
      <c r="AR2906" s="333"/>
      <c r="AS2906" s="333"/>
      <c r="AT2906" s="333"/>
      <c r="AU2906" s="333"/>
      <c r="AV2906" s="333"/>
      <c r="AW2906" s="330"/>
      <c r="AX2906" s="330"/>
    </row>
    <row r="2907" spans="2:50" x14ac:dyDescent="0.25">
      <c r="B2907" s="331"/>
      <c r="C2907" s="332"/>
      <c r="D2907" s="332"/>
      <c r="E2907" s="333"/>
      <c r="F2907" s="333"/>
      <c r="G2907" s="330"/>
      <c r="H2907" s="330"/>
      <c r="I2907" s="330"/>
      <c r="J2907" s="330"/>
      <c r="K2907" s="330"/>
      <c r="L2907" s="330"/>
      <c r="M2907" s="330"/>
      <c r="N2907" s="330"/>
      <c r="O2907" s="330"/>
      <c r="P2907" s="330"/>
      <c r="Q2907" s="330"/>
      <c r="R2907" s="316"/>
      <c r="S2907" s="404"/>
      <c r="T2907" s="404"/>
      <c r="U2907" s="404"/>
      <c r="V2907" s="404"/>
      <c r="W2907" s="316"/>
      <c r="X2907" s="316"/>
      <c r="Y2907" s="316"/>
      <c r="Z2907" s="316"/>
      <c r="AA2907" s="404"/>
      <c r="AB2907" s="404"/>
      <c r="AC2907" s="404"/>
      <c r="AD2907" s="404"/>
      <c r="AE2907" s="316"/>
      <c r="AF2907" s="316"/>
      <c r="AG2907" s="404"/>
      <c r="AH2907" s="316"/>
      <c r="AI2907" s="316"/>
      <c r="AJ2907" s="316"/>
      <c r="AK2907" s="316"/>
      <c r="AL2907" s="316"/>
      <c r="AM2907" s="416"/>
      <c r="AN2907" s="330"/>
      <c r="AO2907" s="330"/>
      <c r="AP2907" s="330"/>
      <c r="AQ2907" s="330"/>
      <c r="AR2907" s="333"/>
      <c r="AS2907" s="333"/>
      <c r="AT2907" s="333"/>
      <c r="AU2907" s="333"/>
      <c r="AV2907" s="333"/>
      <c r="AW2907" s="330"/>
      <c r="AX2907" s="330"/>
    </row>
    <row r="2908" spans="2:50" x14ac:dyDescent="0.25">
      <c r="B2908" s="331"/>
      <c r="C2908" s="332"/>
      <c r="D2908" s="332"/>
      <c r="E2908" s="333"/>
      <c r="F2908" s="333"/>
      <c r="G2908" s="330"/>
      <c r="H2908" s="330"/>
      <c r="I2908" s="330"/>
      <c r="J2908" s="330"/>
      <c r="K2908" s="330"/>
      <c r="L2908" s="330"/>
      <c r="M2908" s="330"/>
      <c r="N2908" s="330"/>
      <c r="O2908" s="330"/>
      <c r="P2908" s="330"/>
      <c r="Q2908" s="330"/>
      <c r="R2908" s="316"/>
      <c r="S2908" s="404"/>
      <c r="T2908" s="404"/>
      <c r="U2908" s="404"/>
      <c r="V2908" s="404"/>
      <c r="W2908" s="316"/>
      <c r="X2908" s="316"/>
      <c r="Y2908" s="316"/>
      <c r="Z2908" s="316"/>
      <c r="AA2908" s="404"/>
      <c r="AB2908" s="404"/>
      <c r="AC2908" s="404"/>
      <c r="AD2908" s="404"/>
      <c r="AE2908" s="316"/>
      <c r="AF2908" s="316"/>
      <c r="AG2908" s="404"/>
      <c r="AH2908" s="316"/>
      <c r="AI2908" s="316"/>
      <c r="AJ2908" s="316"/>
      <c r="AK2908" s="316"/>
      <c r="AL2908" s="316"/>
      <c r="AM2908" s="416"/>
      <c r="AN2908" s="330"/>
      <c r="AO2908" s="330"/>
      <c r="AP2908" s="330"/>
      <c r="AQ2908" s="330"/>
      <c r="AR2908" s="333"/>
      <c r="AS2908" s="333"/>
      <c r="AT2908" s="333"/>
      <c r="AU2908" s="333"/>
      <c r="AV2908" s="333"/>
      <c r="AW2908" s="330"/>
      <c r="AX2908" s="330"/>
    </row>
    <row r="2909" spans="2:50" x14ac:dyDescent="0.25">
      <c r="B2909" s="331"/>
      <c r="C2909" s="332"/>
      <c r="D2909" s="332"/>
      <c r="E2909" s="333"/>
      <c r="F2909" s="333"/>
      <c r="G2909" s="330"/>
      <c r="H2909" s="330"/>
      <c r="I2909" s="330"/>
      <c r="J2909" s="330"/>
      <c r="K2909" s="330"/>
      <c r="L2909" s="330"/>
      <c r="M2909" s="330"/>
      <c r="N2909" s="330"/>
      <c r="O2909" s="330"/>
      <c r="P2909" s="330"/>
      <c r="Q2909" s="330"/>
      <c r="R2909" s="316"/>
      <c r="S2909" s="404"/>
      <c r="T2909" s="404"/>
      <c r="U2909" s="404"/>
      <c r="V2909" s="404"/>
      <c r="W2909" s="316"/>
      <c r="X2909" s="316"/>
      <c r="Y2909" s="316"/>
      <c r="Z2909" s="316"/>
      <c r="AA2909" s="404"/>
      <c r="AB2909" s="404"/>
      <c r="AC2909" s="404"/>
      <c r="AD2909" s="404"/>
      <c r="AE2909" s="316"/>
      <c r="AF2909" s="316"/>
      <c r="AG2909" s="404"/>
      <c r="AH2909" s="316"/>
      <c r="AI2909" s="316"/>
      <c r="AJ2909" s="316"/>
      <c r="AK2909" s="316"/>
      <c r="AL2909" s="316"/>
      <c r="AM2909" s="416"/>
      <c r="AN2909" s="330"/>
      <c r="AO2909" s="330"/>
      <c r="AP2909" s="330"/>
      <c r="AQ2909" s="330"/>
      <c r="AR2909" s="333"/>
      <c r="AS2909" s="333"/>
      <c r="AT2909" s="333"/>
      <c r="AU2909" s="333"/>
      <c r="AV2909" s="333"/>
      <c r="AW2909" s="330"/>
      <c r="AX2909" s="330"/>
    </row>
    <row r="2910" spans="2:50" x14ac:dyDescent="0.25">
      <c r="B2910" s="331"/>
      <c r="C2910" s="332"/>
      <c r="D2910" s="332"/>
      <c r="E2910" s="333"/>
      <c r="F2910" s="333"/>
      <c r="G2910" s="330"/>
      <c r="H2910" s="330"/>
      <c r="I2910" s="330"/>
      <c r="J2910" s="330"/>
      <c r="K2910" s="330"/>
      <c r="L2910" s="330"/>
      <c r="M2910" s="330"/>
      <c r="N2910" s="330"/>
      <c r="O2910" s="330"/>
      <c r="P2910" s="330"/>
      <c r="Q2910" s="330"/>
      <c r="R2910" s="316"/>
      <c r="S2910" s="404"/>
      <c r="T2910" s="404"/>
      <c r="U2910" s="404"/>
      <c r="V2910" s="404"/>
      <c r="W2910" s="316"/>
      <c r="X2910" s="316"/>
      <c r="Y2910" s="316"/>
      <c r="Z2910" s="316"/>
      <c r="AA2910" s="404"/>
      <c r="AB2910" s="404"/>
      <c r="AC2910" s="404"/>
      <c r="AD2910" s="404"/>
      <c r="AE2910" s="316"/>
      <c r="AF2910" s="316"/>
      <c r="AG2910" s="404"/>
      <c r="AH2910" s="316"/>
      <c r="AI2910" s="316"/>
      <c r="AJ2910" s="316"/>
      <c r="AK2910" s="316"/>
      <c r="AL2910" s="316"/>
      <c r="AM2910" s="416"/>
      <c r="AN2910" s="330"/>
      <c r="AO2910" s="330"/>
      <c r="AP2910" s="330"/>
      <c r="AQ2910" s="330"/>
      <c r="AR2910" s="333"/>
      <c r="AS2910" s="333"/>
      <c r="AT2910" s="333"/>
      <c r="AU2910" s="333"/>
      <c r="AV2910" s="333"/>
      <c r="AW2910" s="330"/>
      <c r="AX2910" s="330"/>
    </row>
    <row r="2911" spans="2:50" x14ac:dyDescent="0.25">
      <c r="B2911" s="331"/>
      <c r="C2911" s="332"/>
      <c r="D2911" s="332"/>
      <c r="E2911" s="333"/>
      <c r="F2911" s="333"/>
      <c r="G2911" s="330"/>
      <c r="H2911" s="330"/>
      <c r="I2911" s="330"/>
      <c r="J2911" s="330"/>
      <c r="K2911" s="330"/>
      <c r="L2911" s="330"/>
      <c r="M2911" s="330"/>
      <c r="N2911" s="330"/>
      <c r="O2911" s="330"/>
      <c r="P2911" s="330"/>
      <c r="Q2911" s="330"/>
      <c r="R2911" s="316"/>
      <c r="S2911" s="404"/>
      <c r="T2911" s="404"/>
      <c r="U2911" s="404"/>
      <c r="V2911" s="404"/>
      <c r="W2911" s="316"/>
      <c r="X2911" s="316"/>
      <c r="Y2911" s="316"/>
      <c r="Z2911" s="316"/>
      <c r="AA2911" s="404"/>
      <c r="AB2911" s="404"/>
      <c r="AC2911" s="404"/>
      <c r="AD2911" s="404"/>
      <c r="AE2911" s="316"/>
      <c r="AF2911" s="316"/>
      <c r="AG2911" s="404"/>
      <c r="AH2911" s="316"/>
      <c r="AI2911" s="316"/>
      <c r="AJ2911" s="316"/>
      <c r="AK2911" s="316"/>
      <c r="AL2911" s="316"/>
      <c r="AM2911" s="416"/>
      <c r="AN2911" s="330"/>
      <c r="AO2911" s="330"/>
      <c r="AP2911" s="330"/>
      <c r="AQ2911" s="330"/>
      <c r="AR2911" s="333"/>
      <c r="AS2911" s="333"/>
      <c r="AT2911" s="333"/>
      <c r="AU2911" s="333"/>
      <c r="AV2911" s="333"/>
      <c r="AW2911" s="330"/>
      <c r="AX2911" s="330"/>
    </row>
    <row r="2912" spans="2:50" x14ac:dyDescent="0.25">
      <c r="B2912" s="331"/>
      <c r="C2912" s="332"/>
      <c r="D2912" s="332"/>
      <c r="E2912" s="333"/>
      <c r="F2912" s="333"/>
      <c r="G2912" s="330"/>
      <c r="H2912" s="330"/>
      <c r="I2912" s="330"/>
      <c r="J2912" s="330"/>
      <c r="K2912" s="330"/>
      <c r="L2912" s="330"/>
      <c r="M2912" s="330"/>
      <c r="N2912" s="330"/>
      <c r="O2912" s="330"/>
      <c r="P2912" s="330"/>
      <c r="Q2912" s="330"/>
      <c r="R2912" s="316"/>
      <c r="S2912" s="404"/>
      <c r="T2912" s="404"/>
      <c r="U2912" s="404"/>
      <c r="V2912" s="404"/>
      <c r="W2912" s="316"/>
      <c r="X2912" s="316"/>
      <c r="Y2912" s="316"/>
      <c r="Z2912" s="316"/>
      <c r="AA2912" s="404"/>
      <c r="AB2912" s="404"/>
      <c r="AC2912" s="404"/>
      <c r="AD2912" s="404"/>
      <c r="AE2912" s="316"/>
      <c r="AF2912" s="316"/>
      <c r="AG2912" s="404"/>
      <c r="AH2912" s="316"/>
      <c r="AI2912" s="316"/>
      <c r="AJ2912" s="316"/>
      <c r="AK2912" s="316"/>
      <c r="AL2912" s="316"/>
      <c r="AM2912" s="416"/>
      <c r="AN2912" s="330"/>
      <c r="AO2912" s="330"/>
      <c r="AP2912" s="330"/>
      <c r="AQ2912" s="330"/>
      <c r="AR2912" s="333"/>
      <c r="AS2912" s="333"/>
      <c r="AT2912" s="333"/>
      <c r="AU2912" s="333"/>
      <c r="AV2912" s="333"/>
      <c r="AW2912" s="330"/>
      <c r="AX2912" s="330"/>
    </row>
    <row r="2913" spans="2:50" x14ac:dyDescent="0.25">
      <c r="B2913" s="331"/>
      <c r="C2913" s="332"/>
      <c r="D2913" s="332"/>
      <c r="E2913" s="333"/>
      <c r="F2913" s="333"/>
      <c r="G2913" s="330"/>
      <c r="H2913" s="330"/>
      <c r="I2913" s="330"/>
      <c r="J2913" s="330"/>
      <c r="K2913" s="330"/>
      <c r="L2913" s="330"/>
      <c r="M2913" s="330"/>
      <c r="N2913" s="330"/>
      <c r="O2913" s="330"/>
      <c r="P2913" s="330"/>
      <c r="Q2913" s="330"/>
      <c r="R2913" s="316"/>
      <c r="S2913" s="404"/>
      <c r="T2913" s="404"/>
      <c r="U2913" s="404"/>
      <c r="V2913" s="404"/>
      <c r="W2913" s="316"/>
      <c r="X2913" s="316"/>
      <c r="Y2913" s="316"/>
      <c r="Z2913" s="316"/>
      <c r="AA2913" s="404"/>
      <c r="AB2913" s="404"/>
      <c r="AC2913" s="404"/>
      <c r="AD2913" s="404"/>
      <c r="AE2913" s="316"/>
      <c r="AF2913" s="316"/>
      <c r="AG2913" s="404"/>
      <c r="AH2913" s="316"/>
      <c r="AI2913" s="316"/>
      <c r="AJ2913" s="316"/>
      <c r="AK2913" s="316"/>
      <c r="AL2913" s="316"/>
      <c r="AM2913" s="416"/>
      <c r="AN2913" s="330"/>
      <c r="AO2913" s="330"/>
      <c r="AP2913" s="330"/>
      <c r="AQ2913" s="330"/>
      <c r="AR2913" s="333"/>
      <c r="AS2913" s="333"/>
      <c r="AT2913" s="333"/>
      <c r="AU2913" s="333"/>
      <c r="AV2913" s="333"/>
      <c r="AW2913" s="330"/>
      <c r="AX2913" s="330"/>
    </row>
    <row r="2914" spans="2:50" x14ac:dyDescent="0.25">
      <c r="B2914" s="331"/>
      <c r="C2914" s="332"/>
      <c r="D2914" s="332"/>
      <c r="E2914" s="333"/>
      <c r="F2914" s="333"/>
      <c r="G2914" s="330"/>
      <c r="H2914" s="330"/>
      <c r="I2914" s="330"/>
      <c r="J2914" s="330"/>
      <c r="K2914" s="330"/>
      <c r="L2914" s="330"/>
      <c r="M2914" s="330"/>
      <c r="N2914" s="330"/>
      <c r="O2914" s="330"/>
      <c r="P2914" s="330"/>
      <c r="Q2914" s="330"/>
      <c r="R2914" s="316"/>
      <c r="S2914" s="404"/>
      <c r="T2914" s="404"/>
      <c r="U2914" s="404"/>
      <c r="V2914" s="404"/>
      <c r="W2914" s="316"/>
      <c r="X2914" s="316"/>
      <c r="Y2914" s="316"/>
      <c r="Z2914" s="316"/>
      <c r="AA2914" s="404"/>
      <c r="AB2914" s="404"/>
      <c r="AC2914" s="404"/>
      <c r="AD2914" s="404"/>
      <c r="AE2914" s="316"/>
      <c r="AF2914" s="316"/>
      <c r="AG2914" s="404"/>
      <c r="AH2914" s="316"/>
      <c r="AI2914" s="316"/>
      <c r="AJ2914" s="316"/>
      <c r="AK2914" s="316"/>
      <c r="AL2914" s="316"/>
      <c r="AM2914" s="416"/>
      <c r="AN2914" s="330"/>
      <c r="AO2914" s="330"/>
      <c r="AP2914" s="330"/>
      <c r="AQ2914" s="330"/>
      <c r="AR2914" s="333"/>
      <c r="AS2914" s="333"/>
      <c r="AT2914" s="333"/>
      <c r="AU2914" s="333"/>
      <c r="AV2914" s="333"/>
      <c r="AW2914" s="330"/>
      <c r="AX2914" s="330"/>
    </row>
    <row r="2915" spans="2:50" x14ac:dyDescent="0.25">
      <c r="B2915" s="331"/>
      <c r="C2915" s="332"/>
      <c r="D2915" s="332"/>
      <c r="E2915" s="333"/>
      <c r="F2915" s="333"/>
      <c r="G2915" s="330"/>
      <c r="H2915" s="330"/>
      <c r="I2915" s="330"/>
      <c r="J2915" s="330"/>
      <c r="K2915" s="330"/>
      <c r="L2915" s="330"/>
      <c r="M2915" s="330"/>
      <c r="N2915" s="330"/>
      <c r="O2915" s="330"/>
      <c r="P2915" s="330"/>
      <c r="Q2915" s="330"/>
      <c r="R2915" s="316"/>
      <c r="S2915" s="404"/>
      <c r="T2915" s="404"/>
      <c r="U2915" s="404"/>
      <c r="V2915" s="404"/>
      <c r="W2915" s="316"/>
      <c r="X2915" s="316"/>
      <c r="Y2915" s="316"/>
      <c r="Z2915" s="316"/>
      <c r="AA2915" s="404"/>
      <c r="AB2915" s="404"/>
      <c r="AC2915" s="404"/>
      <c r="AD2915" s="404"/>
      <c r="AE2915" s="316"/>
      <c r="AF2915" s="316"/>
      <c r="AG2915" s="404"/>
      <c r="AH2915" s="316"/>
      <c r="AI2915" s="316"/>
      <c r="AJ2915" s="316"/>
      <c r="AK2915" s="316"/>
      <c r="AL2915" s="316"/>
      <c r="AM2915" s="416"/>
      <c r="AN2915" s="330"/>
      <c r="AO2915" s="330"/>
      <c r="AP2915" s="330"/>
      <c r="AQ2915" s="330"/>
      <c r="AR2915" s="333"/>
      <c r="AS2915" s="333"/>
      <c r="AT2915" s="333"/>
      <c r="AU2915" s="333"/>
      <c r="AV2915" s="333"/>
      <c r="AW2915" s="330"/>
      <c r="AX2915" s="330"/>
    </row>
    <row r="2916" spans="2:50" x14ac:dyDescent="0.25">
      <c r="B2916" s="331"/>
      <c r="C2916" s="332"/>
      <c r="D2916" s="332"/>
      <c r="E2916" s="333"/>
      <c r="F2916" s="333"/>
      <c r="G2916" s="330"/>
      <c r="H2916" s="330"/>
      <c r="I2916" s="330"/>
      <c r="J2916" s="330"/>
      <c r="K2916" s="330"/>
      <c r="L2916" s="330"/>
      <c r="M2916" s="330"/>
      <c r="N2916" s="330"/>
      <c r="O2916" s="330"/>
      <c r="P2916" s="330"/>
      <c r="Q2916" s="330"/>
      <c r="R2916" s="316"/>
      <c r="S2916" s="404"/>
      <c r="T2916" s="404"/>
      <c r="U2916" s="404"/>
      <c r="V2916" s="404"/>
      <c r="W2916" s="316"/>
      <c r="X2916" s="316"/>
      <c r="Y2916" s="316"/>
      <c r="Z2916" s="316"/>
      <c r="AA2916" s="404"/>
      <c r="AB2916" s="404"/>
      <c r="AC2916" s="404"/>
      <c r="AD2916" s="404"/>
      <c r="AE2916" s="316"/>
      <c r="AF2916" s="316"/>
      <c r="AG2916" s="404"/>
      <c r="AH2916" s="316"/>
      <c r="AI2916" s="316"/>
      <c r="AJ2916" s="316"/>
      <c r="AK2916" s="316"/>
      <c r="AL2916" s="316"/>
      <c r="AM2916" s="416"/>
      <c r="AN2916" s="330"/>
      <c r="AO2916" s="330"/>
      <c r="AP2916" s="330"/>
      <c r="AQ2916" s="330"/>
      <c r="AR2916" s="333"/>
      <c r="AS2916" s="333"/>
      <c r="AT2916" s="333"/>
      <c r="AU2916" s="333"/>
      <c r="AV2916" s="333"/>
      <c r="AW2916" s="330"/>
      <c r="AX2916" s="330"/>
    </row>
    <row r="2917" spans="2:50" x14ac:dyDescent="0.25">
      <c r="B2917" s="331"/>
      <c r="C2917" s="332"/>
      <c r="D2917" s="332"/>
      <c r="E2917" s="333"/>
      <c r="F2917" s="333"/>
      <c r="G2917" s="330"/>
      <c r="H2917" s="330"/>
      <c r="I2917" s="330"/>
      <c r="J2917" s="330"/>
      <c r="K2917" s="330"/>
      <c r="L2917" s="330"/>
      <c r="M2917" s="330"/>
      <c r="N2917" s="330"/>
      <c r="O2917" s="330"/>
      <c r="P2917" s="330"/>
      <c r="Q2917" s="330"/>
      <c r="R2917" s="316"/>
      <c r="S2917" s="404"/>
      <c r="T2917" s="404"/>
      <c r="U2917" s="404"/>
      <c r="V2917" s="404"/>
      <c r="W2917" s="316"/>
      <c r="X2917" s="316"/>
      <c r="Y2917" s="316"/>
      <c r="Z2917" s="316"/>
      <c r="AA2917" s="404"/>
      <c r="AB2917" s="404"/>
      <c r="AC2917" s="404"/>
      <c r="AD2917" s="404"/>
      <c r="AE2917" s="316"/>
      <c r="AF2917" s="316"/>
      <c r="AG2917" s="404"/>
      <c r="AH2917" s="316"/>
      <c r="AI2917" s="316"/>
      <c r="AJ2917" s="316"/>
      <c r="AK2917" s="316"/>
      <c r="AL2917" s="316"/>
      <c r="AM2917" s="416"/>
      <c r="AN2917" s="330"/>
      <c r="AO2917" s="330"/>
      <c r="AP2917" s="330"/>
      <c r="AQ2917" s="330"/>
      <c r="AR2917" s="333"/>
      <c r="AS2917" s="333"/>
      <c r="AT2917" s="333"/>
      <c r="AU2917" s="333"/>
      <c r="AV2917" s="333"/>
      <c r="AW2917" s="330"/>
      <c r="AX2917" s="330"/>
    </row>
    <row r="2918" spans="2:50" x14ac:dyDescent="0.25">
      <c r="B2918" s="331"/>
      <c r="C2918" s="332"/>
      <c r="D2918" s="332"/>
      <c r="E2918" s="333"/>
      <c r="F2918" s="333"/>
      <c r="G2918" s="330"/>
      <c r="H2918" s="330"/>
      <c r="I2918" s="330"/>
      <c r="J2918" s="330"/>
      <c r="K2918" s="330"/>
      <c r="L2918" s="330"/>
      <c r="M2918" s="330"/>
      <c r="N2918" s="330"/>
      <c r="O2918" s="330"/>
      <c r="P2918" s="330"/>
      <c r="Q2918" s="330"/>
      <c r="R2918" s="316"/>
      <c r="S2918" s="404"/>
      <c r="T2918" s="404"/>
      <c r="U2918" s="404"/>
      <c r="V2918" s="404"/>
      <c r="W2918" s="316"/>
      <c r="X2918" s="316"/>
      <c r="Y2918" s="316"/>
      <c r="Z2918" s="316"/>
      <c r="AA2918" s="404"/>
      <c r="AB2918" s="404"/>
      <c r="AC2918" s="404"/>
      <c r="AD2918" s="404"/>
      <c r="AE2918" s="316"/>
      <c r="AF2918" s="316"/>
      <c r="AG2918" s="404"/>
      <c r="AH2918" s="316"/>
      <c r="AI2918" s="316"/>
      <c r="AJ2918" s="316"/>
      <c r="AK2918" s="316"/>
      <c r="AL2918" s="316"/>
      <c r="AM2918" s="416"/>
      <c r="AN2918" s="330"/>
      <c r="AO2918" s="330"/>
      <c r="AP2918" s="330"/>
      <c r="AQ2918" s="330"/>
      <c r="AR2918" s="333"/>
      <c r="AS2918" s="333"/>
      <c r="AT2918" s="333"/>
      <c r="AU2918" s="333"/>
      <c r="AV2918" s="333"/>
      <c r="AW2918" s="330"/>
      <c r="AX2918" s="330"/>
    </row>
    <row r="2919" spans="2:50" x14ac:dyDescent="0.25">
      <c r="B2919" s="331"/>
      <c r="C2919" s="332"/>
      <c r="D2919" s="332"/>
      <c r="E2919" s="333"/>
      <c r="F2919" s="333"/>
      <c r="G2919" s="330"/>
      <c r="H2919" s="330"/>
      <c r="I2919" s="330"/>
      <c r="J2919" s="330"/>
      <c r="K2919" s="330"/>
      <c r="L2919" s="330"/>
      <c r="M2919" s="330"/>
      <c r="N2919" s="330"/>
      <c r="O2919" s="330"/>
      <c r="P2919" s="330"/>
      <c r="Q2919" s="330"/>
      <c r="R2919" s="316"/>
      <c r="S2919" s="404"/>
      <c r="T2919" s="404"/>
      <c r="U2919" s="404"/>
      <c r="V2919" s="404"/>
      <c r="W2919" s="316"/>
      <c r="X2919" s="316"/>
      <c r="Y2919" s="316"/>
      <c r="Z2919" s="316"/>
      <c r="AA2919" s="404"/>
      <c r="AB2919" s="404"/>
      <c r="AC2919" s="404"/>
      <c r="AD2919" s="404"/>
      <c r="AE2919" s="316"/>
      <c r="AF2919" s="316"/>
      <c r="AG2919" s="404"/>
      <c r="AH2919" s="316"/>
      <c r="AI2919" s="316"/>
      <c r="AJ2919" s="316"/>
      <c r="AK2919" s="316"/>
      <c r="AL2919" s="316"/>
      <c r="AM2919" s="416"/>
      <c r="AN2919" s="330"/>
      <c r="AO2919" s="330"/>
      <c r="AP2919" s="330"/>
      <c r="AQ2919" s="330"/>
      <c r="AR2919" s="333"/>
      <c r="AS2919" s="333"/>
      <c r="AT2919" s="333"/>
      <c r="AU2919" s="333"/>
      <c r="AV2919" s="333"/>
      <c r="AW2919" s="330"/>
      <c r="AX2919" s="330"/>
    </row>
    <row r="2920" spans="2:50" x14ac:dyDescent="0.25">
      <c r="B2920" s="331"/>
      <c r="C2920" s="332"/>
      <c r="D2920" s="332"/>
      <c r="E2920" s="333"/>
      <c r="F2920" s="333"/>
      <c r="G2920" s="330"/>
      <c r="H2920" s="330"/>
      <c r="I2920" s="330"/>
      <c r="J2920" s="330"/>
      <c r="K2920" s="330"/>
      <c r="L2920" s="330"/>
      <c r="M2920" s="330"/>
      <c r="N2920" s="330"/>
      <c r="O2920" s="330"/>
      <c r="P2920" s="330"/>
      <c r="Q2920" s="330"/>
      <c r="R2920" s="316"/>
      <c r="S2920" s="404"/>
      <c r="T2920" s="404"/>
      <c r="U2920" s="404"/>
      <c r="V2920" s="404"/>
      <c r="W2920" s="316"/>
      <c r="X2920" s="316"/>
      <c r="Y2920" s="316"/>
      <c r="Z2920" s="316"/>
      <c r="AA2920" s="404"/>
      <c r="AB2920" s="404"/>
      <c r="AC2920" s="404"/>
      <c r="AD2920" s="404"/>
      <c r="AE2920" s="316"/>
      <c r="AF2920" s="316"/>
      <c r="AG2920" s="404"/>
      <c r="AH2920" s="316"/>
      <c r="AI2920" s="316"/>
      <c r="AJ2920" s="316"/>
      <c r="AK2920" s="316"/>
      <c r="AL2920" s="316"/>
      <c r="AM2920" s="416"/>
      <c r="AN2920" s="330"/>
      <c r="AO2920" s="330"/>
      <c r="AP2920" s="330"/>
      <c r="AQ2920" s="330"/>
      <c r="AR2920" s="333"/>
      <c r="AS2920" s="333"/>
      <c r="AT2920" s="333"/>
      <c r="AU2920" s="333"/>
      <c r="AV2920" s="333"/>
      <c r="AW2920" s="330"/>
      <c r="AX2920" s="330"/>
    </row>
    <row r="2921" spans="2:50" x14ac:dyDescent="0.25">
      <c r="B2921" s="331"/>
      <c r="C2921" s="332"/>
      <c r="D2921" s="332"/>
      <c r="E2921" s="333"/>
      <c r="F2921" s="333"/>
      <c r="G2921" s="330"/>
      <c r="H2921" s="330"/>
      <c r="I2921" s="330"/>
      <c r="J2921" s="330"/>
      <c r="K2921" s="330"/>
      <c r="L2921" s="330"/>
      <c r="M2921" s="330"/>
      <c r="N2921" s="330"/>
      <c r="O2921" s="330"/>
      <c r="P2921" s="330"/>
      <c r="Q2921" s="330"/>
      <c r="R2921" s="316"/>
      <c r="S2921" s="404"/>
      <c r="T2921" s="404"/>
      <c r="U2921" s="404"/>
      <c r="V2921" s="404"/>
      <c r="W2921" s="316"/>
      <c r="X2921" s="316"/>
      <c r="Y2921" s="316"/>
      <c r="Z2921" s="316"/>
      <c r="AA2921" s="404"/>
      <c r="AB2921" s="404"/>
      <c r="AC2921" s="404"/>
      <c r="AD2921" s="404"/>
      <c r="AE2921" s="316"/>
      <c r="AF2921" s="316"/>
      <c r="AG2921" s="404"/>
      <c r="AH2921" s="316"/>
      <c r="AI2921" s="316"/>
      <c r="AJ2921" s="316"/>
      <c r="AK2921" s="316"/>
      <c r="AL2921" s="316"/>
      <c r="AM2921" s="416"/>
      <c r="AN2921" s="330"/>
      <c r="AO2921" s="330"/>
      <c r="AP2921" s="330"/>
      <c r="AQ2921" s="330"/>
      <c r="AR2921" s="333"/>
      <c r="AS2921" s="333"/>
      <c r="AT2921" s="333"/>
      <c r="AU2921" s="333"/>
      <c r="AV2921" s="333"/>
      <c r="AW2921" s="330"/>
      <c r="AX2921" s="330"/>
    </row>
    <row r="2922" spans="2:50" x14ac:dyDescent="0.25">
      <c r="B2922" s="331"/>
      <c r="C2922" s="332"/>
      <c r="D2922" s="332"/>
      <c r="E2922" s="333"/>
      <c r="F2922" s="333"/>
      <c r="G2922" s="330"/>
      <c r="H2922" s="330"/>
      <c r="I2922" s="330"/>
      <c r="J2922" s="330"/>
      <c r="K2922" s="330"/>
      <c r="L2922" s="330"/>
      <c r="M2922" s="330"/>
      <c r="N2922" s="330"/>
      <c r="O2922" s="330"/>
      <c r="P2922" s="330"/>
      <c r="Q2922" s="330"/>
      <c r="R2922" s="316"/>
      <c r="S2922" s="404"/>
      <c r="T2922" s="404"/>
      <c r="U2922" s="404"/>
      <c r="V2922" s="404"/>
      <c r="W2922" s="316"/>
      <c r="X2922" s="316"/>
      <c r="Y2922" s="316"/>
      <c r="Z2922" s="316"/>
      <c r="AA2922" s="404"/>
      <c r="AB2922" s="404"/>
      <c r="AC2922" s="404"/>
      <c r="AD2922" s="404"/>
      <c r="AE2922" s="316"/>
      <c r="AF2922" s="316"/>
      <c r="AG2922" s="404"/>
      <c r="AH2922" s="316"/>
      <c r="AI2922" s="316"/>
      <c r="AJ2922" s="316"/>
      <c r="AK2922" s="316"/>
      <c r="AL2922" s="316"/>
      <c r="AM2922" s="416"/>
      <c r="AN2922" s="330"/>
      <c r="AO2922" s="330"/>
      <c r="AP2922" s="330"/>
      <c r="AQ2922" s="330"/>
      <c r="AR2922" s="333"/>
      <c r="AS2922" s="333"/>
      <c r="AT2922" s="333"/>
      <c r="AU2922" s="333"/>
      <c r="AV2922" s="333"/>
      <c r="AW2922" s="330"/>
      <c r="AX2922" s="330"/>
    </row>
    <row r="2923" spans="2:50" x14ac:dyDescent="0.25">
      <c r="B2923" s="331"/>
      <c r="C2923" s="332"/>
      <c r="D2923" s="332"/>
      <c r="E2923" s="333"/>
      <c r="F2923" s="333"/>
      <c r="G2923" s="330"/>
      <c r="H2923" s="330"/>
      <c r="I2923" s="330"/>
      <c r="J2923" s="330"/>
      <c r="K2923" s="330"/>
      <c r="L2923" s="330"/>
      <c r="M2923" s="330"/>
      <c r="N2923" s="330"/>
      <c r="O2923" s="330"/>
      <c r="P2923" s="330"/>
      <c r="Q2923" s="330"/>
      <c r="R2923" s="316"/>
      <c r="S2923" s="404"/>
      <c r="T2923" s="404"/>
      <c r="U2923" s="404"/>
      <c r="V2923" s="404"/>
      <c r="W2923" s="316"/>
      <c r="X2923" s="316"/>
      <c r="Y2923" s="316"/>
      <c r="Z2923" s="316"/>
      <c r="AA2923" s="404"/>
      <c r="AB2923" s="404"/>
      <c r="AC2923" s="404"/>
      <c r="AD2923" s="404"/>
      <c r="AE2923" s="316"/>
      <c r="AF2923" s="316"/>
      <c r="AG2923" s="404"/>
      <c r="AH2923" s="316"/>
      <c r="AI2923" s="316"/>
      <c r="AJ2923" s="316"/>
      <c r="AK2923" s="316"/>
      <c r="AL2923" s="316"/>
      <c r="AM2923" s="416"/>
      <c r="AN2923" s="330"/>
      <c r="AO2923" s="330"/>
      <c r="AP2923" s="330"/>
      <c r="AQ2923" s="330"/>
      <c r="AR2923" s="333"/>
      <c r="AS2923" s="333"/>
      <c r="AT2923" s="333"/>
      <c r="AU2923" s="333"/>
      <c r="AV2923" s="333"/>
      <c r="AW2923" s="330"/>
      <c r="AX2923" s="330"/>
    </row>
    <row r="2924" spans="2:50" x14ac:dyDescent="0.25">
      <c r="B2924" s="331"/>
      <c r="C2924" s="332"/>
      <c r="D2924" s="332"/>
      <c r="E2924" s="333"/>
      <c r="F2924" s="333"/>
      <c r="G2924" s="330"/>
      <c r="H2924" s="330"/>
      <c r="I2924" s="330"/>
      <c r="J2924" s="330"/>
      <c r="K2924" s="330"/>
      <c r="L2924" s="330"/>
      <c r="M2924" s="330"/>
      <c r="N2924" s="330"/>
      <c r="O2924" s="330"/>
      <c r="P2924" s="330"/>
      <c r="Q2924" s="330"/>
      <c r="R2924" s="316"/>
      <c r="S2924" s="404"/>
      <c r="T2924" s="404"/>
      <c r="U2924" s="404"/>
      <c r="V2924" s="404"/>
      <c r="W2924" s="316"/>
      <c r="X2924" s="316"/>
      <c r="Y2924" s="316"/>
      <c r="Z2924" s="316"/>
      <c r="AA2924" s="404"/>
      <c r="AB2924" s="404"/>
      <c r="AC2924" s="404"/>
      <c r="AD2924" s="404"/>
      <c r="AE2924" s="316"/>
      <c r="AF2924" s="316"/>
      <c r="AG2924" s="404"/>
      <c r="AH2924" s="316"/>
      <c r="AI2924" s="316"/>
      <c r="AJ2924" s="316"/>
      <c r="AK2924" s="316"/>
      <c r="AL2924" s="316"/>
      <c r="AM2924" s="416"/>
      <c r="AN2924" s="330"/>
      <c r="AO2924" s="330"/>
      <c r="AP2924" s="330"/>
      <c r="AQ2924" s="330"/>
      <c r="AR2924" s="333"/>
      <c r="AS2924" s="333"/>
      <c r="AT2924" s="333"/>
      <c r="AU2924" s="333"/>
      <c r="AV2924" s="333"/>
      <c r="AW2924" s="330"/>
      <c r="AX2924" s="330"/>
    </row>
    <row r="2925" spans="2:50" x14ac:dyDescent="0.25">
      <c r="B2925" s="331"/>
      <c r="C2925" s="332"/>
      <c r="D2925" s="332"/>
      <c r="E2925" s="333"/>
      <c r="F2925" s="333"/>
      <c r="G2925" s="330"/>
      <c r="H2925" s="330"/>
      <c r="I2925" s="330"/>
      <c r="J2925" s="330"/>
      <c r="K2925" s="330"/>
      <c r="L2925" s="330"/>
      <c r="M2925" s="330"/>
      <c r="N2925" s="330"/>
      <c r="O2925" s="330"/>
      <c r="P2925" s="330"/>
      <c r="Q2925" s="330"/>
      <c r="R2925" s="316"/>
      <c r="S2925" s="404"/>
      <c r="T2925" s="404"/>
      <c r="U2925" s="404"/>
      <c r="V2925" s="404"/>
      <c r="W2925" s="316"/>
      <c r="X2925" s="316"/>
      <c r="Y2925" s="316"/>
      <c r="Z2925" s="316"/>
      <c r="AA2925" s="404"/>
      <c r="AB2925" s="404"/>
      <c r="AC2925" s="404"/>
      <c r="AD2925" s="404"/>
      <c r="AE2925" s="316"/>
      <c r="AF2925" s="316"/>
      <c r="AG2925" s="404"/>
      <c r="AH2925" s="316"/>
      <c r="AI2925" s="316"/>
      <c r="AJ2925" s="316"/>
      <c r="AK2925" s="316"/>
      <c r="AL2925" s="316"/>
      <c r="AM2925" s="416"/>
      <c r="AN2925" s="330"/>
      <c r="AO2925" s="330"/>
      <c r="AP2925" s="330"/>
      <c r="AQ2925" s="330"/>
      <c r="AR2925" s="333"/>
      <c r="AS2925" s="333"/>
      <c r="AT2925" s="333"/>
      <c r="AU2925" s="333"/>
      <c r="AV2925" s="333"/>
      <c r="AW2925" s="330"/>
      <c r="AX2925" s="330"/>
    </row>
    <row r="2926" spans="2:50" x14ac:dyDescent="0.25">
      <c r="B2926" s="331"/>
      <c r="C2926" s="332"/>
      <c r="D2926" s="332"/>
      <c r="E2926" s="333"/>
      <c r="F2926" s="333"/>
      <c r="G2926" s="330"/>
      <c r="H2926" s="330"/>
      <c r="I2926" s="330"/>
      <c r="J2926" s="330"/>
      <c r="K2926" s="330"/>
      <c r="L2926" s="330"/>
      <c r="M2926" s="330"/>
      <c r="N2926" s="330"/>
      <c r="O2926" s="330"/>
      <c r="P2926" s="330"/>
      <c r="Q2926" s="330"/>
      <c r="R2926" s="316"/>
      <c r="S2926" s="404"/>
      <c r="T2926" s="404"/>
      <c r="U2926" s="404"/>
      <c r="V2926" s="404"/>
      <c r="W2926" s="316"/>
      <c r="X2926" s="316"/>
      <c r="Y2926" s="316"/>
      <c r="Z2926" s="316"/>
      <c r="AA2926" s="404"/>
      <c r="AB2926" s="404"/>
      <c r="AC2926" s="404"/>
      <c r="AD2926" s="404"/>
      <c r="AE2926" s="316"/>
      <c r="AF2926" s="316"/>
      <c r="AG2926" s="404"/>
      <c r="AH2926" s="316"/>
      <c r="AI2926" s="316"/>
      <c r="AJ2926" s="316"/>
      <c r="AK2926" s="316"/>
      <c r="AL2926" s="316"/>
      <c r="AM2926" s="416"/>
      <c r="AN2926" s="330"/>
      <c r="AO2926" s="330"/>
      <c r="AP2926" s="330"/>
      <c r="AQ2926" s="330"/>
      <c r="AR2926" s="333"/>
      <c r="AS2926" s="333"/>
      <c r="AT2926" s="333"/>
      <c r="AU2926" s="333"/>
      <c r="AV2926" s="333"/>
      <c r="AW2926" s="330"/>
      <c r="AX2926" s="330"/>
    </row>
    <row r="2927" spans="2:50" x14ac:dyDescent="0.25">
      <c r="B2927" s="331"/>
      <c r="C2927" s="332"/>
      <c r="D2927" s="332"/>
      <c r="E2927" s="333"/>
      <c r="F2927" s="333"/>
      <c r="G2927" s="330"/>
      <c r="H2927" s="330"/>
      <c r="I2927" s="330"/>
      <c r="J2927" s="330"/>
      <c r="K2927" s="330"/>
      <c r="L2927" s="330"/>
      <c r="M2927" s="330"/>
      <c r="N2927" s="330"/>
      <c r="O2927" s="330"/>
      <c r="P2927" s="330"/>
      <c r="Q2927" s="330"/>
      <c r="R2927" s="316"/>
      <c r="S2927" s="404"/>
      <c r="T2927" s="404"/>
      <c r="U2927" s="404"/>
      <c r="V2927" s="404"/>
      <c r="W2927" s="316"/>
      <c r="X2927" s="316"/>
      <c r="Y2927" s="316"/>
      <c r="Z2927" s="316"/>
      <c r="AA2927" s="404"/>
      <c r="AB2927" s="404"/>
      <c r="AC2927" s="404"/>
      <c r="AD2927" s="404"/>
      <c r="AE2927" s="316"/>
      <c r="AF2927" s="316"/>
      <c r="AG2927" s="404"/>
      <c r="AH2927" s="316"/>
      <c r="AI2927" s="316"/>
      <c r="AJ2927" s="316"/>
      <c r="AK2927" s="316"/>
      <c r="AL2927" s="316"/>
      <c r="AM2927" s="416"/>
      <c r="AN2927" s="330"/>
      <c r="AO2927" s="330"/>
      <c r="AP2927" s="330"/>
      <c r="AQ2927" s="330"/>
      <c r="AR2927" s="333"/>
      <c r="AS2927" s="333"/>
      <c r="AT2927" s="333"/>
      <c r="AU2927" s="333"/>
      <c r="AV2927" s="333"/>
      <c r="AW2927" s="330"/>
      <c r="AX2927" s="330"/>
    </row>
    <row r="2928" spans="2:50" x14ac:dyDescent="0.25">
      <c r="B2928" s="331"/>
      <c r="C2928" s="332"/>
      <c r="D2928" s="332"/>
      <c r="E2928" s="333"/>
      <c r="F2928" s="333"/>
      <c r="G2928" s="330"/>
      <c r="H2928" s="330"/>
      <c r="I2928" s="330"/>
      <c r="J2928" s="330"/>
      <c r="K2928" s="330"/>
      <c r="L2928" s="330"/>
      <c r="M2928" s="330"/>
      <c r="N2928" s="330"/>
      <c r="O2928" s="330"/>
      <c r="P2928" s="330"/>
      <c r="Q2928" s="330"/>
      <c r="R2928" s="316"/>
      <c r="S2928" s="404"/>
      <c r="T2928" s="404"/>
      <c r="U2928" s="404"/>
      <c r="V2928" s="404"/>
      <c r="W2928" s="316"/>
      <c r="X2928" s="316"/>
      <c r="Y2928" s="316"/>
      <c r="Z2928" s="316"/>
      <c r="AA2928" s="404"/>
      <c r="AB2928" s="404"/>
      <c r="AC2928" s="404"/>
      <c r="AD2928" s="404"/>
      <c r="AE2928" s="316"/>
      <c r="AF2928" s="316"/>
      <c r="AG2928" s="404"/>
      <c r="AH2928" s="316"/>
      <c r="AI2928" s="316"/>
      <c r="AJ2928" s="316"/>
      <c r="AK2928" s="316"/>
      <c r="AL2928" s="316"/>
      <c r="AM2928" s="416"/>
      <c r="AN2928" s="330"/>
      <c r="AO2928" s="330"/>
      <c r="AP2928" s="330"/>
      <c r="AQ2928" s="330"/>
      <c r="AR2928" s="333"/>
      <c r="AS2928" s="333"/>
      <c r="AT2928" s="333"/>
      <c r="AU2928" s="333"/>
      <c r="AV2928" s="333"/>
      <c r="AW2928" s="330"/>
      <c r="AX2928" s="330"/>
    </row>
    <row r="2929" spans="2:50" x14ac:dyDescent="0.25">
      <c r="B2929" s="331"/>
      <c r="C2929" s="332"/>
      <c r="D2929" s="332"/>
      <c r="E2929" s="333"/>
      <c r="F2929" s="333"/>
      <c r="G2929" s="330"/>
      <c r="H2929" s="330"/>
      <c r="I2929" s="330"/>
      <c r="J2929" s="330"/>
      <c r="K2929" s="330"/>
      <c r="L2929" s="330"/>
      <c r="M2929" s="330"/>
      <c r="N2929" s="330"/>
      <c r="O2929" s="330"/>
      <c r="P2929" s="330"/>
      <c r="Q2929" s="330"/>
      <c r="R2929" s="316"/>
      <c r="S2929" s="404"/>
      <c r="T2929" s="404"/>
      <c r="U2929" s="404"/>
      <c r="V2929" s="404"/>
      <c r="W2929" s="316"/>
      <c r="X2929" s="316"/>
      <c r="Y2929" s="316"/>
      <c r="Z2929" s="316"/>
      <c r="AA2929" s="404"/>
      <c r="AB2929" s="404"/>
      <c r="AC2929" s="404"/>
      <c r="AD2929" s="404"/>
      <c r="AE2929" s="316"/>
      <c r="AF2929" s="316"/>
      <c r="AG2929" s="404"/>
      <c r="AH2929" s="316"/>
      <c r="AI2929" s="316"/>
      <c r="AJ2929" s="316"/>
      <c r="AK2929" s="316"/>
      <c r="AL2929" s="316"/>
      <c r="AM2929" s="416"/>
      <c r="AN2929" s="330"/>
      <c r="AO2929" s="330"/>
      <c r="AP2929" s="330"/>
      <c r="AQ2929" s="330"/>
      <c r="AR2929" s="333"/>
      <c r="AS2929" s="333"/>
      <c r="AT2929" s="333"/>
      <c r="AU2929" s="333"/>
      <c r="AV2929" s="333"/>
      <c r="AW2929" s="330"/>
      <c r="AX2929" s="330"/>
    </row>
    <row r="2930" spans="2:50" x14ac:dyDescent="0.25">
      <c r="B2930" s="331"/>
      <c r="C2930" s="332"/>
      <c r="D2930" s="332"/>
      <c r="E2930" s="333"/>
      <c r="F2930" s="333"/>
      <c r="G2930" s="330"/>
      <c r="H2930" s="330"/>
      <c r="I2930" s="330"/>
      <c r="J2930" s="330"/>
      <c r="K2930" s="330"/>
      <c r="L2930" s="330"/>
      <c r="M2930" s="330"/>
      <c r="N2930" s="330"/>
      <c r="O2930" s="330"/>
      <c r="P2930" s="330"/>
      <c r="Q2930" s="330"/>
      <c r="R2930" s="316"/>
      <c r="S2930" s="404"/>
      <c r="T2930" s="404"/>
      <c r="U2930" s="404"/>
      <c r="V2930" s="404"/>
      <c r="W2930" s="316"/>
      <c r="X2930" s="316"/>
      <c r="Y2930" s="316"/>
      <c r="Z2930" s="316"/>
      <c r="AA2930" s="404"/>
      <c r="AB2930" s="404"/>
      <c r="AC2930" s="404"/>
      <c r="AD2930" s="404"/>
      <c r="AE2930" s="316"/>
      <c r="AF2930" s="316"/>
      <c r="AG2930" s="404"/>
      <c r="AH2930" s="316"/>
      <c r="AI2930" s="316"/>
      <c r="AJ2930" s="316"/>
      <c r="AK2930" s="316"/>
      <c r="AL2930" s="316"/>
      <c r="AM2930" s="416"/>
      <c r="AN2930" s="330"/>
      <c r="AO2930" s="330"/>
      <c r="AP2930" s="330"/>
      <c r="AQ2930" s="330"/>
      <c r="AR2930" s="333"/>
      <c r="AS2930" s="333"/>
      <c r="AT2930" s="333"/>
      <c r="AU2930" s="333"/>
      <c r="AV2930" s="333"/>
      <c r="AW2930" s="330"/>
      <c r="AX2930" s="330"/>
    </row>
    <row r="2931" spans="2:50" x14ac:dyDescent="0.25">
      <c r="B2931" s="331"/>
      <c r="C2931" s="332"/>
      <c r="D2931" s="332"/>
      <c r="E2931" s="333"/>
      <c r="F2931" s="333"/>
      <c r="G2931" s="330"/>
      <c r="H2931" s="330"/>
      <c r="I2931" s="330"/>
      <c r="J2931" s="330"/>
      <c r="K2931" s="330"/>
      <c r="L2931" s="330"/>
      <c r="M2931" s="330"/>
      <c r="N2931" s="330"/>
      <c r="O2931" s="330"/>
      <c r="P2931" s="330"/>
      <c r="Q2931" s="330"/>
      <c r="R2931" s="316"/>
      <c r="S2931" s="404"/>
      <c r="T2931" s="404"/>
      <c r="U2931" s="404"/>
      <c r="V2931" s="404"/>
      <c r="W2931" s="316"/>
      <c r="X2931" s="316"/>
      <c r="Y2931" s="316"/>
      <c r="Z2931" s="316"/>
      <c r="AA2931" s="404"/>
      <c r="AB2931" s="404"/>
      <c r="AC2931" s="404"/>
      <c r="AD2931" s="404"/>
      <c r="AE2931" s="316"/>
      <c r="AF2931" s="316"/>
      <c r="AG2931" s="404"/>
      <c r="AH2931" s="316"/>
      <c r="AI2931" s="316"/>
      <c r="AJ2931" s="316"/>
      <c r="AK2931" s="316"/>
      <c r="AL2931" s="316"/>
      <c r="AM2931" s="416"/>
      <c r="AN2931" s="330"/>
      <c r="AO2931" s="330"/>
      <c r="AP2931" s="330"/>
      <c r="AQ2931" s="330"/>
      <c r="AR2931" s="333"/>
      <c r="AS2931" s="333"/>
      <c r="AT2931" s="333"/>
      <c r="AU2931" s="333"/>
      <c r="AV2931" s="333"/>
      <c r="AW2931" s="330"/>
      <c r="AX2931" s="330"/>
    </row>
    <row r="2932" spans="2:50" x14ac:dyDescent="0.25">
      <c r="B2932" s="331"/>
      <c r="C2932" s="332"/>
      <c r="D2932" s="332"/>
      <c r="E2932" s="333"/>
      <c r="F2932" s="333"/>
      <c r="G2932" s="330"/>
      <c r="H2932" s="330"/>
      <c r="I2932" s="330"/>
      <c r="J2932" s="330"/>
      <c r="K2932" s="330"/>
      <c r="L2932" s="330"/>
      <c r="M2932" s="330"/>
      <c r="N2932" s="330"/>
      <c r="O2932" s="330"/>
      <c r="P2932" s="330"/>
      <c r="Q2932" s="330"/>
      <c r="R2932" s="316"/>
      <c r="S2932" s="404"/>
      <c r="T2932" s="404"/>
      <c r="U2932" s="404"/>
      <c r="V2932" s="404"/>
      <c r="W2932" s="316"/>
      <c r="X2932" s="316"/>
      <c r="Y2932" s="316"/>
      <c r="Z2932" s="316"/>
      <c r="AA2932" s="404"/>
      <c r="AB2932" s="404"/>
      <c r="AC2932" s="404"/>
      <c r="AD2932" s="404"/>
      <c r="AE2932" s="316"/>
      <c r="AF2932" s="316"/>
      <c r="AG2932" s="404"/>
      <c r="AH2932" s="316"/>
      <c r="AI2932" s="316"/>
      <c r="AJ2932" s="316"/>
      <c r="AK2932" s="316"/>
      <c r="AL2932" s="316"/>
      <c r="AM2932" s="416"/>
      <c r="AN2932" s="330"/>
      <c r="AO2932" s="330"/>
      <c r="AP2932" s="330"/>
      <c r="AQ2932" s="330"/>
      <c r="AR2932" s="333"/>
      <c r="AS2932" s="333"/>
      <c r="AT2932" s="333"/>
      <c r="AU2932" s="333"/>
      <c r="AV2932" s="333"/>
      <c r="AW2932" s="330"/>
      <c r="AX2932" s="330"/>
    </row>
    <row r="2933" spans="2:50" x14ac:dyDescent="0.25">
      <c r="B2933" s="331"/>
      <c r="C2933" s="332"/>
      <c r="D2933" s="332"/>
      <c r="E2933" s="333"/>
      <c r="F2933" s="333"/>
      <c r="G2933" s="330"/>
      <c r="H2933" s="330"/>
      <c r="I2933" s="330"/>
      <c r="J2933" s="330"/>
      <c r="K2933" s="330"/>
      <c r="L2933" s="330"/>
      <c r="M2933" s="330"/>
      <c r="N2933" s="330"/>
      <c r="O2933" s="330"/>
      <c r="P2933" s="330"/>
      <c r="Q2933" s="330"/>
      <c r="R2933" s="316"/>
      <c r="S2933" s="404"/>
      <c r="T2933" s="404"/>
      <c r="U2933" s="404"/>
      <c r="V2933" s="404"/>
      <c r="W2933" s="316"/>
      <c r="X2933" s="316"/>
      <c r="Y2933" s="316"/>
      <c r="Z2933" s="316"/>
      <c r="AA2933" s="404"/>
      <c r="AB2933" s="404"/>
      <c r="AC2933" s="404"/>
      <c r="AD2933" s="404"/>
      <c r="AE2933" s="316"/>
      <c r="AF2933" s="316"/>
      <c r="AG2933" s="404"/>
      <c r="AH2933" s="316"/>
      <c r="AI2933" s="316"/>
      <c r="AJ2933" s="316"/>
      <c r="AK2933" s="316"/>
      <c r="AL2933" s="316"/>
      <c r="AM2933" s="416"/>
      <c r="AN2933" s="330"/>
      <c r="AO2933" s="330"/>
      <c r="AP2933" s="330"/>
      <c r="AQ2933" s="330"/>
      <c r="AR2933" s="333"/>
      <c r="AS2933" s="333"/>
      <c r="AT2933" s="333"/>
      <c r="AU2933" s="333"/>
      <c r="AV2933" s="333"/>
      <c r="AW2933" s="330"/>
      <c r="AX2933" s="330"/>
    </row>
    <row r="2934" spans="2:50" x14ac:dyDescent="0.25">
      <c r="B2934" s="331"/>
      <c r="C2934" s="332"/>
      <c r="D2934" s="332"/>
      <c r="E2934" s="333"/>
      <c r="F2934" s="333"/>
      <c r="G2934" s="330"/>
      <c r="H2934" s="330"/>
      <c r="I2934" s="330"/>
      <c r="J2934" s="330"/>
      <c r="K2934" s="330"/>
      <c r="L2934" s="330"/>
      <c r="M2934" s="330"/>
      <c r="N2934" s="330"/>
      <c r="O2934" s="330"/>
      <c r="P2934" s="330"/>
      <c r="Q2934" s="330"/>
      <c r="R2934" s="316"/>
      <c r="S2934" s="404"/>
      <c r="T2934" s="404"/>
      <c r="U2934" s="404"/>
      <c r="V2934" s="404"/>
      <c r="W2934" s="316"/>
      <c r="X2934" s="316"/>
      <c r="Y2934" s="316"/>
      <c r="Z2934" s="316"/>
      <c r="AA2934" s="404"/>
      <c r="AB2934" s="404"/>
      <c r="AC2934" s="404"/>
      <c r="AD2934" s="404"/>
      <c r="AE2934" s="316"/>
      <c r="AF2934" s="316"/>
      <c r="AG2934" s="404"/>
      <c r="AH2934" s="316"/>
      <c r="AI2934" s="316"/>
      <c r="AJ2934" s="316"/>
      <c r="AK2934" s="316"/>
      <c r="AL2934" s="316"/>
      <c r="AM2934" s="416"/>
      <c r="AN2934" s="330"/>
      <c r="AO2934" s="330"/>
      <c r="AP2934" s="330"/>
      <c r="AQ2934" s="330"/>
      <c r="AR2934" s="333"/>
      <c r="AS2934" s="333"/>
      <c r="AT2934" s="333"/>
      <c r="AU2934" s="333"/>
      <c r="AV2934" s="333"/>
      <c r="AW2934" s="330"/>
      <c r="AX2934" s="330"/>
    </row>
    <row r="2935" spans="2:50" x14ac:dyDescent="0.25">
      <c r="B2935" s="331"/>
      <c r="C2935" s="332"/>
      <c r="D2935" s="332"/>
      <c r="E2935" s="333"/>
      <c r="F2935" s="333"/>
      <c r="G2935" s="330"/>
      <c r="H2935" s="330"/>
      <c r="I2935" s="330"/>
      <c r="J2935" s="330"/>
      <c r="K2935" s="330"/>
      <c r="L2935" s="330"/>
      <c r="M2935" s="330"/>
      <c r="N2935" s="330"/>
      <c r="O2935" s="330"/>
      <c r="P2935" s="330"/>
      <c r="Q2935" s="330"/>
      <c r="R2935" s="316"/>
      <c r="S2935" s="404"/>
      <c r="T2935" s="404"/>
      <c r="U2935" s="404"/>
      <c r="V2935" s="404"/>
      <c r="W2935" s="316"/>
      <c r="X2935" s="316"/>
      <c r="Y2935" s="316"/>
      <c r="Z2935" s="316"/>
      <c r="AA2935" s="404"/>
      <c r="AB2935" s="404"/>
      <c r="AC2935" s="404"/>
      <c r="AD2935" s="404"/>
      <c r="AE2935" s="316"/>
      <c r="AF2935" s="316"/>
      <c r="AG2935" s="404"/>
      <c r="AH2935" s="316"/>
      <c r="AI2935" s="316"/>
      <c r="AJ2935" s="316"/>
      <c r="AK2935" s="316"/>
      <c r="AL2935" s="316"/>
      <c r="AM2935" s="416"/>
      <c r="AN2935" s="330"/>
      <c r="AO2935" s="330"/>
      <c r="AP2935" s="330"/>
      <c r="AQ2935" s="330"/>
      <c r="AR2935" s="333"/>
      <c r="AS2935" s="333"/>
      <c r="AT2935" s="333"/>
      <c r="AU2935" s="333"/>
      <c r="AV2935" s="333"/>
      <c r="AW2935" s="330"/>
      <c r="AX2935" s="330"/>
    </row>
    <row r="2936" spans="2:50" x14ac:dyDescent="0.25">
      <c r="B2936" s="331"/>
      <c r="C2936" s="332"/>
      <c r="D2936" s="332"/>
      <c r="E2936" s="333"/>
      <c r="F2936" s="333"/>
      <c r="G2936" s="330"/>
      <c r="H2936" s="330"/>
      <c r="I2936" s="330"/>
      <c r="J2936" s="330"/>
      <c r="K2936" s="330"/>
      <c r="L2936" s="330"/>
      <c r="M2936" s="330"/>
      <c r="N2936" s="330"/>
      <c r="O2936" s="330"/>
      <c r="P2936" s="330"/>
      <c r="Q2936" s="330"/>
      <c r="R2936" s="316"/>
      <c r="S2936" s="404"/>
      <c r="T2936" s="404"/>
      <c r="U2936" s="404"/>
      <c r="V2936" s="404"/>
      <c r="W2936" s="316"/>
      <c r="X2936" s="316"/>
      <c r="Y2936" s="316"/>
      <c r="Z2936" s="316"/>
      <c r="AA2936" s="404"/>
      <c r="AB2936" s="404"/>
      <c r="AC2936" s="404"/>
      <c r="AD2936" s="404"/>
      <c r="AE2936" s="316"/>
      <c r="AF2936" s="316"/>
      <c r="AG2936" s="404"/>
      <c r="AH2936" s="316"/>
      <c r="AI2936" s="316"/>
      <c r="AJ2936" s="316"/>
      <c r="AK2936" s="316"/>
      <c r="AL2936" s="316"/>
      <c r="AM2936" s="416"/>
      <c r="AN2936" s="330"/>
      <c r="AO2936" s="330"/>
      <c r="AP2936" s="330"/>
      <c r="AQ2936" s="330"/>
      <c r="AR2936" s="333"/>
      <c r="AS2936" s="333"/>
      <c r="AT2936" s="333"/>
      <c r="AU2936" s="333"/>
      <c r="AV2936" s="333"/>
      <c r="AW2936" s="330"/>
      <c r="AX2936" s="330"/>
    </row>
    <row r="2937" spans="2:50" x14ac:dyDescent="0.25">
      <c r="B2937" s="331"/>
      <c r="C2937" s="332"/>
      <c r="D2937" s="332"/>
      <c r="E2937" s="333"/>
      <c r="F2937" s="333"/>
      <c r="G2937" s="330"/>
      <c r="H2937" s="330"/>
      <c r="I2937" s="330"/>
      <c r="J2937" s="330"/>
      <c r="K2937" s="330"/>
      <c r="L2937" s="330"/>
      <c r="M2937" s="330"/>
      <c r="N2937" s="330"/>
      <c r="O2937" s="330"/>
      <c r="P2937" s="330"/>
      <c r="Q2937" s="330"/>
      <c r="R2937" s="316"/>
      <c r="S2937" s="404"/>
      <c r="T2937" s="404"/>
      <c r="U2937" s="404"/>
      <c r="V2937" s="404"/>
      <c r="W2937" s="316"/>
      <c r="X2937" s="316"/>
      <c r="Y2937" s="316"/>
      <c r="Z2937" s="316"/>
      <c r="AA2937" s="404"/>
      <c r="AB2937" s="404"/>
      <c r="AC2937" s="404"/>
      <c r="AD2937" s="404"/>
      <c r="AE2937" s="316"/>
      <c r="AF2937" s="316"/>
      <c r="AG2937" s="404"/>
      <c r="AH2937" s="316"/>
      <c r="AI2937" s="316"/>
      <c r="AJ2937" s="316"/>
      <c r="AK2937" s="316"/>
      <c r="AL2937" s="316"/>
      <c r="AM2937" s="416"/>
      <c r="AN2937" s="330"/>
      <c r="AO2937" s="330"/>
      <c r="AP2937" s="330"/>
      <c r="AQ2937" s="330"/>
      <c r="AR2937" s="333"/>
      <c r="AS2937" s="333"/>
      <c r="AT2937" s="333"/>
      <c r="AU2937" s="333"/>
      <c r="AV2937" s="333"/>
      <c r="AW2937" s="330"/>
      <c r="AX2937" s="330"/>
    </row>
    <row r="2938" spans="2:50" x14ac:dyDescent="0.25">
      <c r="B2938" s="331"/>
      <c r="C2938" s="332"/>
      <c r="D2938" s="332"/>
      <c r="E2938" s="333"/>
      <c r="F2938" s="333"/>
      <c r="G2938" s="330"/>
      <c r="H2938" s="330"/>
      <c r="I2938" s="330"/>
      <c r="J2938" s="330"/>
      <c r="K2938" s="330"/>
      <c r="L2938" s="330"/>
      <c r="M2938" s="330"/>
      <c r="N2938" s="330"/>
      <c r="O2938" s="330"/>
      <c r="P2938" s="330"/>
      <c r="Q2938" s="330"/>
      <c r="R2938" s="316"/>
      <c r="S2938" s="404"/>
      <c r="T2938" s="404"/>
      <c r="U2938" s="404"/>
      <c r="V2938" s="404"/>
      <c r="W2938" s="316"/>
      <c r="X2938" s="316"/>
      <c r="Y2938" s="316"/>
      <c r="Z2938" s="316"/>
      <c r="AA2938" s="404"/>
      <c r="AB2938" s="404"/>
      <c r="AC2938" s="404"/>
      <c r="AD2938" s="404"/>
      <c r="AE2938" s="316"/>
      <c r="AF2938" s="316"/>
      <c r="AG2938" s="404"/>
      <c r="AH2938" s="316"/>
      <c r="AI2938" s="316"/>
      <c r="AJ2938" s="316"/>
      <c r="AK2938" s="316"/>
      <c r="AL2938" s="316"/>
      <c r="AM2938" s="416"/>
      <c r="AN2938" s="330"/>
      <c r="AO2938" s="330"/>
      <c r="AP2938" s="330"/>
      <c r="AQ2938" s="330"/>
      <c r="AR2938" s="333"/>
      <c r="AS2938" s="333"/>
      <c r="AT2938" s="333"/>
      <c r="AU2938" s="333"/>
      <c r="AV2938" s="333"/>
      <c r="AW2938" s="330"/>
      <c r="AX2938" s="330"/>
    </row>
    <row r="2939" spans="2:50" x14ac:dyDescent="0.25">
      <c r="B2939" s="331"/>
      <c r="C2939" s="332"/>
      <c r="D2939" s="332"/>
      <c r="E2939" s="333"/>
      <c r="F2939" s="333"/>
      <c r="G2939" s="330"/>
      <c r="H2939" s="330"/>
      <c r="I2939" s="330"/>
      <c r="J2939" s="330"/>
      <c r="K2939" s="330"/>
      <c r="L2939" s="330"/>
      <c r="M2939" s="330"/>
      <c r="N2939" s="330"/>
      <c r="O2939" s="330"/>
      <c r="P2939" s="330"/>
      <c r="Q2939" s="330"/>
      <c r="R2939" s="316"/>
      <c r="S2939" s="404"/>
      <c r="T2939" s="404"/>
      <c r="U2939" s="404"/>
      <c r="V2939" s="404"/>
      <c r="W2939" s="316"/>
      <c r="X2939" s="316"/>
      <c r="Y2939" s="316"/>
      <c r="Z2939" s="316"/>
      <c r="AA2939" s="404"/>
      <c r="AB2939" s="404"/>
      <c r="AC2939" s="404"/>
      <c r="AD2939" s="404"/>
      <c r="AE2939" s="316"/>
      <c r="AF2939" s="316"/>
      <c r="AG2939" s="404"/>
      <c r="AH2939" s="316"/>
      <c r="AI2939" s="316"/>
      <c r="AJ2939" s="316"/>
      <c r="AK2939" s="316"/>
      <c r="AL2939" s="316"/>
      <c r="AM2939" s="416"/>
      <c r="AN2939" s="330"/>
      <c r="AO2939" s="330"/>
      <c r="AP2939" s="330"/>
      <c r="AQ2939" s="330"/>
      <c r="AR2939" s="333"/>
      <c r="AS2939" s="333"/>
      <c r="AT2939" s="333"/>
      <c r="AU2939" s="333"/>
      <c r="AV2939" s="333"/>
      <c r="AW2939" s="330"/>
      <c r="AX2939" s="330"/>
    </row>
    <row r="2940" spans="2:50" x14ac:dyDescent="0.25">
      <c r="B2940" s="331"/>
      <c r="C2940" s="332"/>
      <c r="D2940" s="332"/>
      <c r="E2940" s="333"/>
      <c r="F2940" s="333"/>
      <c r="G2940" s="330"/>
      <c r="H2940" s="330"/>
      <c r="I2940" s="330"/>
      <c r="J2940" s="330"/>
      <c r="K2940" s="330"/>
      <c r="L2940" s="330"/>
      <c r="M2940" s="330"/>
      <c r="N2940" s="330"/>
      <c r="O2940" s="330"/>
      <c r="P2940" s="330"/>
      <c r="Q2940" s="330"/>
      <c r="R2940" s="316"/>
      <c r="S2940" s="404"/>
      <c r="T2940" s="404"/>
      <c r="U2940" s="404"/>
      <c r="V2940" s="404"/>
      <c r="W2940" s="316"/>
      <c r="X2940" s="316"/>
      <c r="Y2940" s="316"/>
      <c r="Z2940" s="316"/>
      <c r="AA2940" s="404"/>
      <c r="AB2940" s="404"/>
      <c r="AC2940" s="404"/>
      <c r="AD2940" s="404"/>
      <c r="AE2940" s="316"/>
      <c r="AF2940" s="316"/>
      <c r="AG2940" s="404"/>
      <c r="AH2940" s="316"/>
      <c r="AI2940" s="316"/>
      <c r="AJ2940" s="316"/>
      <c r="AK2940" s="316"/>
      <c r="AL2940" s="316"/>
      <c r="AM2940" s="416"/>
      <c r="AN2940" s="330"/>
      <c r="AO2940" s="330"/>
      <c r="AP2940" s="330"/>
      <c r="AQ2940" s="330"/>
      <c r="AR2940" s="333"/>
      <c r="AS2940" s="333"/>
      <c r="AT2940" s="333"/>
      <c r="AU2940" s="333"/>
      <c r="AV2940" s="333"/>
      <c r="AW2940" s="330"/>
      <c r="AX2940" s="330"/>
    </row>
    <row r="2941" spans="2:50" x14ac:dyDescent="0.25">
      <c r="B2941" s="331"/>
      <c r="C2941" s="332"/>
      <c r="D2941" s="332"/>
      <c r="E2941" s="333"/>
      <c r="F2941" s="333"/>
      <c r="G2941" s="330"/>
      <c r="H2941" s="330"/>
      <c r="I2941" s="330"/>
      <c r="J2941" s="330"/>
      <c r="K2941" s="330"/>
      <c r="L2941" s="330"/>
      <c r="M2941" s="330"/>
      <c r="N2941" s="330"/>
      <c r="O2941" s="330"/>
      <c r="P2941" s="330"/>
      <c r="Q2941" s="330"/>
      <c r="R2941" s="316"/>
      <c r="S2941" s="404"/>
      <c r="T2941" s="404"/>
      <c r="U2941" s="404"/>
      <c r="V2941" s="404"/>
      <c r="W2941" s="316"/>
      <c r="X2941" s="316"/>
      <c r="Y2941" s="316"/>
      <c r="Z2941" s="316"/>
      <c r="AA2941" s="404"/>
      <c r="AB2941" s="404"/>
      <c r="AC2941" s="404"/>
      <c r="AD2941" s="404"/>
      <c r="AE2941" s="316"/>
      <c r="AF2941" s="316"/>
      <c r="AG2941" s="404"/>
      <c r="AH2941" s="316"/>
      <c r="AI2941" s="316"/>
      <c r="AJ2941" s="316"/>
      <c r="AK2941" s="316"/>
      <c r="AL2941" s="316"/>
      <c r="AM2941" s="416"/>
      <c r="AN2941" s="330"/>
      <c r="AO2941" s="330"/>
      <c r="AP2941" s="330"/>
      <c r="AQ2941" s="330"/>
      <c r="AR2941" s="333"/>
      <c r="AS2941" s="333"/>
      <c r="AT2941" s="333"/>
      <c r="AU2941" s="333"/>
      <c r="AV2941" s="333"/>
      <c r="AW2941" s="330"/>
      <c r="AX2941" s="330"/>
    </row>
    <row r="2942" spans="2:50" x14ac:dyDescent="0.25">
      <c r="B2942" s="331"/>
      <c r="C2942" s="332"/>
      <c r="D2942" s="332"/>
      <c r="E2942" s="333"/>
      <c r="F2942" s="333"/>
      <c r="G2942" s="330"/>
      <c r="H2942" s="330"/>
      <c r="I2942" s="330"/>
      <c r="J2942" s="330"/>
      <c r="K2942" s="330"/>
      <c r="L2942" s="330"/>
      <c r="M2942" s="330"/>
      <c r="N2942" s="330"/>
      <c r="O2942" s="330"/>
      <c r="P2942" s="330"/>
      <c r="Q2942" s="330"/>
      <c r="R2942" s="316"/>
      <c r="S2942" s="404"/>
      <c r="T2942" s="404"/>
      <c r="U2942" s="404"/>
      <c r="V2942" s="404"/>
      <c r="W2942" s="316"/>
      <c r="X2942" s="316"/>
      <c r="Y2942" s="316"/>
      <c r="Z2942" s="316"/>
      <c r="AA2942" s="404"/>
      <c r="AB2942" s="404"/>
      <c r="AC2942" s="404"/>
      <c r="AD2942" s="404"/>
      <c r="AE2942" s="316"/>
      <c r="AF2942" s="316"/>
      <c r="AG2942" s="404"/>
      <c r="AH2942" s="316"/>
      <c r="AI2942" s="316"/>
      <c r="AJ2942" s="316"/>
      <c r="AK2942" s="316"/>
      <c r="AL2942" s="316"/>
      <c r="AM2942" s="416"/>
      <c r="AN2942" s="330"/>
      <c r="AO2942" s="330"/>
      <c r="AP2942" s="330"/>
      <c r="AQ2942" s="330"/>
      <c r="AR2942" s="333"/>
      <c r="AS2942" s="333"/>
      <c r="AT2942" s="333"/>
      <c r="AU2942" s="333"/>
      <c r="AV2942" s="333"/>
      <c r="AW2942" s="330"/>
      <c r="AX2942" s="330"/>
    </row>
    <row r="2943" spans="2:50" x14ac:dyDescent="0.25">
      <c r="B2943" s="331"/>
      <c r="C2943" s="332"/>
      <c r="D2943" s="332"/>
      <c r="E2943" s="333"/>
      <c r="F2943" s="333"/>
      <c r="G2943" s="330"/>
      <c r="H2943" s="330"/>
      <c r="I2943" s="330"/>
      <c r="J2943" s="330"/>
      <c r="K2943" s="330"/>
      <c r="L2943" s="330"/>
      <c r="M2943" s="330"/>
      <c r="N2943" s="330"/>
      <c r="O2943" s="330"/>
      <c r="P2943" s="330"/>
      <c r="Q2943" s="330"/>
      <c r="R2943" s="316"/>
      <c r="S2943" s="404"/>
      <c r="T2943" s="404"/>
      <c r="U2943" s="404"/>
      <c r="V2943" s="404"/>
      <c r="W2943" s="316"/>
      <c r="X2943" s="316"/>
      <c r="Y2943" s="316"/>
      <c r="Z2943" s="316"/>
      <c r="AA2943" s="404"/>
      <c r="AB2943" s="404"/>
      <c r="AC2943" s="404"/>
      <c r="AD2943" s="404"/>
      <c r="AE2943" s="316"/>
      <c r="AF2943" s="316"/>
      <c r="AG2943" s="404"/>
      <c r="AH2943" s="316"/>
      <c r="AI2943" s="316"/>
      <c r="AJ2943" s="316"/>
      <c r="AK2943" s="316"/>
      <c r="AL2943" s="316"/>
      <c r="AM2943" s="416"/>
      <c r="AN2943" s="330"/>
      <c r="AO2943" s="330"/>
      <c r="AP2943" s="330"/>
      <c r="AQ2943" s="330"/>
      <c r="AR2943" s="333"/>
      <c r="AS2943" s="333"/>
      <c r="AT2943" s="333"/>
      <c r="AU2943" s="333"/>
      <c r="AV2943" s="333"/>
      <c r="AW2943" s="330"/>
      <c r="AX2943" s="330"/>
    </row>
    <row r="2944" spans="2:50" x14ac:dyDescent="0.25">
      <c r="B2944" s="331"/>
      <c r="C2944" s="332"/>
      <c r="D2944" s="332"/>
      <c r="E2944" s="333"/>
      <c r="F2944" s="333"/>
      <c r="G2944" s="330"/>
      <c r="H2944" s="330"/>
      <c r="I2944" s="330"/>
      <c r="J2944" s="330"/>
      <c r="K2944" s="330"/>
      <c r="L2944" s="330"/>
      <c r="M2944" s="330"/>
      <c r="N2944" s="330"/>
      <c r="O2944" s="330"/>
      <c r="P2944" s="330"/>
      <c r="Q2944" s="330"/>
      <c r="R2944" s="316"/>
      <c r="S2944" s="404"/>
      <c r="T2944" s="404"/>
      <c r="U2944" s="404"/>
      <c r="V2944" s="404"/>
      <c r="W2944" s="316"/>
      <c r="X2944" s="316"/>
      <c r="Y2944" s="316"/>
      <c r="Z2944" s="316"/>
      <c r="AA2944" s="404"/>
      <c r="AB2944" s="404"/>
      <c r="AC2944" s="404"/>
      <c r="AD2944" s="404"/>
      <c r="AE2944" s="316"/>
      <c r="AF2944" s="316"/>
      <c r="AG2944" s="404"/>
      <c r="AH2944" s="316"/>
      <c r="AI2944" s="316"/>
      <c r="AJ2944" s="316"/>
      <c r="AK2944" s="316"/>
      <c r="AL2944" s="316"/>
      <c r="AM2944" s="416"/>
      <c r="AN2944" s="330"/>
      <c r="AO2944" s="330"/>
      <c r="AP2944" s="330"/>
      <c r="AQ2944" s="330"/>
      <c r="AR2944" s="333"/>
      <c r="AS2944" s="333"/>
      <c r="AT2944" s="333"/>
      <c r="AU2944" s="333"/>
      <c r="AV2944" s="333"/>
      <c r="AW2944" s="330"/>
      <c r="AX2944" s="330"/>
    </row>
    <row r="2945" spans="2:50" x14ac:dyDescent="0.25">
      <c r="B2945" s="331"/>
      <c r="C2945" s="332"/>
      <c r="D2945" s="332"/>
      <c r="E2945" s="333"/>
      <c r="F2945" s="333"/>
      <c r="G2945" s="330"/>
      <c r="H2945" s="330"/>
      <c r="I2945" s="330"/>
      <c r="J2945" s="330"/>
      <c r="K2945" s="330"/>
      <c r="L2945" s="330"/>
      <c r="M2945" s="330"/>
      <c r="N2945" s="330"/>
      <c r="O2945" s="330"/>
      <c r="P2945" s="330"/>
      <c r="Q2945" s="330"/>
      <c r="R2945" s="316"/>
      <c r="S2945" s="404"/>
      <c r="T2945" s="404"/>
      <c r="U2945" s="404"/>
      <c r="V2945" s="404"/>
      <c r="W2945" s="316"/>
      <c r="X2945" s="316"/>
      <c r="Y2945" s="316"/>
      <c r="Z2945" s="316"/>
      <c r="AA2945" s="404"/>
      <c r="AB2945" s="404"/>
      <c r="AC2945" s="404"/>
      <c r="AD2945" s="404"/>
      <c r="AE2945" s="316"/>
      <c r="AF2945" s="316"/>
      <c r="AG2945" s="404"/>
      <c r="AH2945" s="316"/>
      <c r="AI2945" s="316"/>
      <c r="AJ2945" s="316"/>
      <c r="AK2945" s="316"/>
      <c r="AL2945" s="316"/>
      <c r="AM2945" s="416"/>
      <c r="AN2945" s="330"/>
      <c r="AO2945" s="330"/>
      <c r="AP2945" s="330"/>
      <c r="AQ2945" s="330"/>
      <c r="AR2945" s="333"/>
      <c r="AS2945" s="333"/>
      <c r="AT2945" s="333"/>
      <c r="AU2945" s="333"/>
      <c r="AV2945" s="333"/>
      <c r="AW2945" s="330"/>
      <c r="AX2945" s="330"/>
    </row>
    <row r="2946" spans="2:50" x14ac:dyDescent="0.25">
      <c r="B2946" s="331"/>
      <c r="C2946" s="332"/>
      <c r="D2946" s="332"/>
      <c r="E2946" s="333"/>
      <c r="F2946" s="333"/>
      <c r="G2946" s="330"/>
      <c r="H2946" s="330"/>
      <c r="M2946" s="334"/>
      <c r="N2946" s="330"/>
      <c r="O2946" s="330"/>
      <c r="P2946" s="330"/>
      <c r="Q2946" s="330"/>
      <c r="S2946" s="404"/>
      <c r="T2946" s="404"/>
      <c r="U2946" s="404"/>
      <c r="V2946" s="404"/>
      <c r="AB2946" s="404"/>
      <c r="AC2946" s="404"/>
      <c r="AD2946" s="404"/>
      <c r="AE2946" s="316"/>
      <c r="AF2946" s="316"/>
      <c r="AG2946" s="404"/>
      <c r="AI2946" s="316"/>
      <c r="AJ2946" s="316"/>
      <c r="AK2946" s="316"/>
      <c r="AM2946" s="416"/>
      <c r="AN2946" s="330"/>
      <c r="AO2946" s="330"/>
      <c r="AP2946" s="330"/>
      <c r="AQ2946" s="330"/>
      <c r="AR2946" s="333"/>
      <c r="AS2946" s="333"/>
      <c r="AT2946" s="333"/>
      <c r="AU2946" s="333"/>
      <c r="AV2946" s="333"/>
      <c r="AW2946" s="330"/>
      <c r="AX2946" s="330"/>
    </row>
    <row r="2947" spans="2:50" x14ac:dyDescent="0.25">
      <c r="B2947" s="331"/>
      <c r="C2947" s="332"/>
      <c r="D2947" s="332"/>
      <c r="E2947" s="333"/>
      <c r="F2947" s="333"/>
      <c r="G2947" s="330"/>
      <c r="H2947" s="330"/>
      <c r="M2947" s="334"/>
      <c r="N2947" s="330"/>
      <c r="O2947" s="330"/>
      <c r="P2947" s="330"/>
      <c r="Q2947" s="330"/>
      <c r="S2947" s="404"/>
      <c r="T2947" s="404"/>
      <c r="U2947" s="404"/>
      <c r="V2947" s="404"/>
      <c r="AB2947" s="404"/>
      <c r="AC2947" s="404"/>
      <c r="AD2947" s="404"/>
      <c r="AE2947" s="316"/>
      <c r="AF2947" s="316"/>
      <c r="AG2947" s="404"/>
      <c r="AI2947" s="316"/>
      <c r="AJ2947" s="316"/>
      <c r="AK2947" s="316"/>
      <c r="AM2947" s="416"/>
      <c r="AN2947" s="330"/>
      <c r="AO2947" s="330"/>
      <c r="AP2947" s="330"/>
      <c r="AQ2947" s="330"/>
      <c r="AR2947" s="333"/>
      <c r="AS2947" s="333"/>
      <c r="AT2947" s="333"/>
      <c r="AU2947" s="333"/>
      <c r="AV2947" s="333"/>
      <c r="AW2947" s="330"/>
      <c r="AX2947" s="330"/>
    </row>
    <row r="2948" spans="2:50" x14ac:dyDescent="0.25">
      <c r="B2948" s="331"/>
      <c r="C2948" s="332"/>
      <c r="D2948" s="332"/>
      <c r="E2948" s="333"/>
      <c r="F2948" s="333"/>
      <c r="G2948" s="330"/>
      <c r="H2948" s="330"/>
      <c r="M2948" s="334"/>
      <c r="N2948" s="330"/>
      <c r="O2948" s="330"/>
      <c r="P2948" s="330"/>
      <c r="Q2948" s="330"/>
      <c r="S2948" s="404"/>
      <c r="T2948" s="404"/>
      <c r="U2948" s="404"/>
      <c r="V2948" s="404"/>
      <c r="AB2948" s="404"/>
      <c r="AC2948" s="404"/>
      <c r="AD2948" s="404"/>
      <c r="AE2948" s="316"/>
      <c r="AF2948" s="316"/>
      <c r="AG2948" s="404"/>
      <c r="AI2948" s="316"/>
      <c r="AJ2948" s="316"/>
      <c r="AK2948" s="316"/>
      <c r="AM2948" s="416"/>
      <c r="AN2948" s="330"/>
      <c r="AO2948" s="330"/>
      <c r="AP2948" s="330"/>
      <c r="AQ2948" s="330"/>
      <c r="AR2948" s="333"/>
      <c r="AS2948" s="333"/>
      <c r="AT2948" s="333"/>
      <c r="AU2948" s="333"/>
      <c r="AV2948" s="333"/>
      <c r="AW2948" s="330"/>
      <c r="AX2948" s="330"/>
    </row>
    <row r="2949" spans="2:50" x14ac:dyDescent="0.25">
      <c r="B2949" s="331"/>
      <c r="C2949" s="332"/>
      <c r="D2949" s="332"/>
      <c r="E2949" s="333"/>
      <c r="F2949" s="333"/>
      <c r="G2949" s="330"/>
      <c r="H2949" s="330"/>
      <c r="M2949" s="334"/>
      <c r="N2949" s="330"/>
      <c r="O2949" s="330"/>
      <c r="P2949" s="330"/>
      <c r="Q2949" s="330"/>
      <c r="S2949" s="404"/>
      <c r="T2949" s="404"/>
      <c r="U2949" s="404"/>
      <c r="V2949" s="404"/>
      <c r="AB2949" s="404"/>
      <c r="AC2949" s="404"/>
      <c r="AD2949" s="404"/>
      <c r="AE2949" s="316"/>
      <c r="AF2949" s="316"/>
      <c r="AG2949" s="404"/>
      <c r="AI2949" s="316"/>
      <c r="AJ2949" s="316"/>
      <c r="AK2949" s="316"/>
      <c r="AM2949" s="416"/>
      <c r="AN2949" s="330"/>
      <c r="AO2949" s="330"/>
      <c r="AP2949" s="330"/>
      <c r="AQ2949" s="330"/>
      <c r="AR2949" s="333"/>
      <c r="AS2949" s="333"/>
      <c r="AT2949" s="333"/>
      <c r="AU2949" s="333"/>
      <c r="AV2949" s="333"/>
      <c r="AW2949" s="330"/>
      <c r="AX2949" s="330"/>
    </row>
    <row r="2950" spans="2:50" x14ac:dyDescent="0.25">
      <c r="B2950" s="331"/>
      <c r="C2950" s="332"/>
      <c r="D2950" s="332"/>
      <c r="E2950" s="333"/>
      <c r="F2950" s="333"/>
      <c r="G2950" s="330"/>
      <c r="H2950" s="330"/>
      <c r="M2950" s="334"/>
      <c r="N2950" s="330"/>
      <c r="O2950" s="330"/>
      <c r="P2950" s="330"/>
      <c r="Q2950" s="330"/>
      <c r="S2950" s="404"/>
      <c r="T2950" s="404"/>
      <c r="U2950" s="404"/>
      <c r="V2950" s="404"/>
      <c r="AB2950" s="404"/>
      <c r="AC2950" s="404"/>
      <c r="AD2950" s="404"/>
      <c r="AE2950" s="316"/>
      <c r="AF2950" s="316"/>
      <c r="AG2950" s="404"/>
      <c r="AI2950" s="316"/>
      <c r="AJ2950" s="316"/>
      <c r="AK2950" s="316"/>
      <c r="AM2950" s="416"/>
      <c r="AN2950" s="330"/>
      <c r="AO2950" s="330"/>
      <c r="AP2950" s="330"/>
      <c r="AQ2950" s="330"/>
      <c r="AR2950" s="333"/>
      <c r="AS2950" s="333"/>
      <c r="AT2950" s="333"/>
      <c r="AU2950" s="333"/>
      <c r="AV2950" s="333"/>
      <c r="AW2950" s="330"/>
      <c r="AX2950" s="330"/>
    </row>
    <row r="2951" spans="2:50" x14ac:dyDescent="0.25">
      <c r="B2951" s="331"/>
      <c r="C2951" s="332"/>
      <c r="D2951" s="332"/>
      <c r="E2951" s="333"/>
      <c r="F2951" s="333"/>
      <c r="G2951" s="330"/>
      <c r="H2951" s="330"/>
      <c r="M2951" s="334"/>
      <c r="N2951" s="330"/>
      <c r="O2951" s="330"/>
      <c r="P2951" s="330"/>
      <c r="Q2951" s="330"/>
      <c r="S2951" s="404"/>
      <c r="T2951" s="404"/>
      <c r="U2951" s="404"/>
      <c r="V2951" s="404"/>
      <c r="AB2951" s="404"/>
      <c r="AC2951" s="404"/>
      <c r="AD2951" s="404"/>
      <c r="AE2951" s="316"/>
      <c r="AF2951" s="316"/>
      <c r="AG2951" s="404"/>
      <c r="AI2951" s="316"/>
      <c r="AJ2951" s="316"/>
      <c r="AK2951" s="316"/>
      <c r="AM2951" s="416"/>
      <c r="AN2951" s="330"/>
      <c r="AO2951" s="330"/>
      <c r="AP2951" s="330"/>
      <c r="AQ2951" s="330"/>
      <c r="AR2951" s="333"/>
      <c r="AS2951" s="333"/>
      <c r="AT2951" s="333"/>
      <c r="AU2951" s="333"/>
      <c r="AV2951" s="333"/>
      <c r="AW2951" s="330"/>
      <c r="AX2951" s="330"/>
    </row>
    <row r="2952" spans="2:50" x14ac:dyDescent="0.25">
      <c r="B2952" s="331"/>
      <c r="C2952" s="332"/>
      <c r="D2952" s="332"/>
      <c r="E2952" s="333"/>
      <c r="F2952" s="333"/>
      <c r="G2952" s="330"/>
      <c r="H2952" s="330"/>
      <c r="M2952" s="334"/>
      <c r="N2952" s="330"/>
      <c r="O2952" s="330"/>
      <c r="P2952" s="330"/>
      <c r="Q2952" s="330"/>
      <c r="S2952" s="404"/>
      <c r="T2952" s="404"/>
      <c r="U2952" s="404"/>
      <c r="V2952" s="404"/>
      <c r="AB2952" s="404"/>
      <c r="AC2952" s="404"/>
      <c r="AD2952" s="404"/>
      <c r="AE2952" s="316"/>
      <c r="AF2952" s="316"/>
      <c r="AG2952" s="404"/>
      <c r="AI2952" s="316"/>
      <c r="AJ2952" s="316"/>
      <c r="AK2952" s="316"/>
      <c r="AM2952" s="416"/>
      <c r="AN2952" s="330"/>
      <c r="AO2952" s="330"/>
      <c r="AP2952" s="330"/>
      <c r="AQ2952" s="330"/>
      <c r="AR2952" s="333"/>
      <c r="AS2952" s="333"/>
      <c r="AT2952" s="333"/>
      <c r="AU2952" s="333"/>
      <c r="AV2952" s="333"/>
      <c r="AW2952" s="330"/>
      <c r="AX2952" s="330"/>
    </row>
    <row r="2953" spans="2:50" x14ac:dyDescent="0.25">
      <c r="B2953" s="331"/>
      <c r="C2953" s="332"/>
      <c r="D2953" s="332"/>
      <c r="E2953" s="333"/>
      <c r="F2953" s="333"/>
      <c r="G2953" s="330"/>
      <c r="H2953" s="330"/>
      <c r="M2953" s="334"/>
      <c r="N2953" s="330"/>
      <c r="O2953" s="330"/>
      <c r="P2953" s="330"/>
      <c r="Q2953" s="330"/>
      <c r="S2953" s="404"/>
      <c r="T2953" s="404"/>
      <c r="U2953" s="404"/>
      <c r="V2953" s="404"/>
      <c r="AB2953" s="404"/>
      <c r="AC2953" s="404"/>
      <c r="AD2953" s="404"/>
      <c r="AE2953" s="316"/>
      <c r="AF2953" s="316"/>
      <c r="AG2953" s="404"/>
      <c r="AI2953" s="316"/>
      <c r="AJ2953" s="316"/>
      <c r="AK2953" s="316"/>
      <c r="AM2953" s="416"/>
      <c r="AN2953" s="330"/>
      <c r="AO2953" s="330"/>
      <c r="AP2953" s="330"/>
      <c r="AQ2953" s="330"/>
      <c r="AR2953" s="333"/>
      <c r="AS2953" s="333"/>
      <c r="AT2953" s="333"/>
      <c r="AU2953" s="333"/>
      <c r="AV2953" s="333"/>
      <c r="AW2953" s="330"/>
      <c r="AX2953" s="330"/>
    </row>
    <row r="2954" spans="2:50" x14ac:dyDescent="0.25">
      <c r="B2954" s="331"/>
      <c r="C2954" s="332"/>
      <c r="D2954" s="332"/>
      <c r="E2954" s="333"/>
      <c r="F2954" s="333"/>
      <c r="G2954" s="330"/>
      <c r="H2954" s="330"/>
      <c r="M2954" s="334"/>
      <c r="N2954" s="330"/>
      <c r="O2954" s="330"/>
      <c r="P2954" s="330"/>
      <c r="Q2954" s="330"/>
      <c r="S2954" s="404"/>
      <c r="T2954" s="404"/>
      <c r="U2954" s="404"/>
      <c r="V2954" s="404"/>
      <c r="AB2954" s="404"/>
      <c r="AC2954" s="404"/>
      <c r="AD2954" s="404"/>
      <c r="AE2954" s="316"/>
      <c r="AF2954" s="316"/>
      <c r="AG2954" s="404"/>
      <c r="AI2954" s="316"/>
      <c r="AJ2954" s="316"/>
      <c r="AK2954" s="316"/>
      <c r="AM2954" s="416"/>
      <c r="AN2954" s="330"/>
      <c r="AO2954" s="330"/>
      <c r="AP2954" s="330"/>
      <c r="AQ2954" s="330"/>
      <c r="AR2954" s="333"/>
      <c r="AS2954" s="333"/>
      <c r="AT2954" s="333"/>
      <c r="AU2954" s="333"/>
      <c r="AV2954" s="333"/>
      <c r="AW2954" s="330"/>
      <c r="AX2954" s="330"/>
    </row>
    <row r="2955" spans="2:50" x14ac:dyDescent="0.25">
      <c r="B2955" s="331"/>
      <c r="C2955" s="332"/>
      <c r="D2955" s="332"/>
      <c r="E2955" s="333"/>
      <c r="F2955" s="333"/>
      <c r="G2955" s="330"/>
      <c r="H2955" s="330"/>
      <c r="M2955" s="334"/>
      <c r="N2955" s="330"/>
      <c r="O2955" s="330"/>
      <c r="P2955" s="330"/>
      <c r="Q2955" s="330"/>
      <c r="S2955" s="404"/>
      <c r="T2955" s="404"/>
      <c r="U2955" s="404"/>
      <c r="V2955" s="404"/>
      <c r="AB2955" s="404"/>
      <c r="AC2955" s="404"/>
      <c r="AD2955" s="404"/>
      <c r="AE2955" s="316"/>
      <c r="AF2955" s="316"/>
      <c r="AG2955" s="404"/>
      <c r="AI2955" s="316"/>
      <c r="AJ2955" s="316"/>
      <c r="AK2955" s="316"/>
      <c r="AM2955" s="416"/>
      <c r="AN2955" s="330"/>
      <c r="AO2955" s="330"/>
      <c r="AP2955" s="330"/>
      <c r="AQ2955" s="330"/>
      <c r="AR2955" s="333"/>
      <c r="AS2955" s="333"/>
      <c r="AT2955" s="333"/>
      <c r="AU2955" s="333"/>
      <c r="AV2955" s="333"/>
      <c r="AW2955" s="330"/>
      <c r="AX2955" s="330"/>
    </row>
    <row r="2956" spans="2:50" x14ac:dyDescent="0.25">
      <c r="B2956" s="331"/>
      <c r="C2956" s="332"/>
      <c r="D2956" s="332"/>
      <c r="E2956" s="333"/>
      <c r="F2956" s="333"/>
      <c r="G2956" s="330"/>
      <c r="H2956" s="330"/>
      <c r="M2956" s="334"/>
      <c r="N2956" s="330"/>
      <c r="O2956" s="330"/>
      <c r="P2956" s="330"/>
      <c r="Q2956" s="330"/>
      <c r="S2956" s="404"/>
      <c r="T2956" s="404"/>
      <c r="U2956" s="404"/>
      <c r="V2956" s="404"/>
      <c r="AB2956" s="404"/>
      <c r="AC2956" s="404"/>
      <c r="AD2956" s="404"/>
      <c r="AE2956" s="316"/>
      <c r="AF2956" s="316"/>
      <c r="AG2956" s="404"/>
      <c r="AI2956" s="316"/>
      <c r="AJ2956" s="316"/>
      <c r="AK2956" s="316"/>
      <c r="AM2956" s="416"/>
      <c r="AN2956" s="330"/>
      <c r="AO2956" s="330"/>
      <c r="AP2956" s="330"/>
      <c r="AQ2956" s="330"/>
      <c r="AR2956" s="333"/>
      <c r="AS2956" s="333"/>
      <c r="AT2956" s="333"/>
      <c r="AU2956" s="333"/>
      <c r="AV2956" s="333"/>
      <c r="AW2956" s="330"/>
      <c r="AX2956" s="330"/>
    </row>
    <row r="2957" spans="2:50" x14ac:dyDescent="0.25">
      <c r="B2957" s="331"/>
      <c r="C2957" s="332"/>
      <c r="D2957" s="332"/>
      <c r="E2957" s="333"/>
      <c r="F2957" s="333"/>
      <c r="G2957" s="330"/>
      <c r="H2957" s="330"/>
      <c r="M2957" s="334"/>
      <c r="N2957" s="330"/>
      <c r="O2957" s="330"/>
      <c r="P2957" s="330"/>
      <c r="Q2957" s="330"/>
      <c r="S2957" s="404"/>
      <c r="T2957" s="404"/>
      <c r="U2957" s="404"/>
      <c r="V2957" s="404"/>
      <c r="AB2957" s="404"/>
      <c r="AC2957" s="404"/>
      <c r="AD2957" s="404"/>
      <c r="AE2957" s="316"/>
      <c r="AF2957" s="316"/>
      <c r="AG2957" s="404"/>
      <c r="AI2957" s="316"/>
      <c r="AJ2957" s="316"/>
      <c r="AK2957" s="316"/>
      <c r="AM2957" s="416"/>
      <c r="AN2957" s="330"/>
      <c r="AO2957" s="330"/>
      <c r="AP2957" s="330"/>
      <c r="AQ2957" s="330"/>
      <c r="AR2957" s="333"/>
      <c r="AS2957" s="333"/>
      <c r="AT2957" s="333"/>
      <c r="AU2957" s="333"/>
      <c r="AV2957" s="333"/>
      <c r="AW2957" s="330"/>
      <c r="AX2957" s="330"/>
    </row>
    <row r="2958" spans="2:50" x14ac:dyDescent="0.25">
      <c r="B2958" s="331"/>
      <c r="C2958" s="332"/>
      <c r="D2958" s="332"/>
      <c r="E2958" s="333"/>
      <c r="F2958" s="333"/>
      <c r="G2958" s="330"/>
      <c r="H2958" s="330"/>
      <c r="M2958" s="334"/>
      <c r="N2958" s="330"/>
      <c r="O2958" s="330"/>
      <c r="P2958" s="330"/>
      <c r="Q2958" s="330"/>
      <c r="S2958" s="404"/>
      <c r="T2958" s="404"/>
      <c r="U2958" s="404"/>
      <c r="V2958" s="404"/>
      <c r="AB2958" s="404"/>
      <c r="AC2958" s="404"/>
      <c r="AD2958" s="404"/>
      <c r="AE2958" s="316"/>
      <c r="AF2958" s="316"/>
      <c r="AG2958" s="404"/>
      <c r="AI2958" s="316"/>
      <c r="AJ2958" s="316"/>
      <c r="AK2958" s="316"/>
      <c r="AM2958" s="416"/>
      <c r="AN2958" s="330"/>
      <c r="AO2958" s="330"/>
      <c r="AP2958" s="330"/>
      <c r="AQ2958" s="330"/>
      <c r="AR2958" s="333"/>
      <c r="AS2958" s="333"/>
      <c r="AT2958" s="333"/>
      <c r="AU2958" s="333"/>
      <c r="AV2958" s="333"/>
      <c r="AW2958" s="330"/>
      <c r="AX2958" s="330"/>
    </row>
    <row r="2959" spans="2:50" x14ac:dyDescent="0.25">
      <c r="B2959" s="331"/>
      <c r="C2959" s="332"/>
      <c r="D2959" s="332"/>
      <c r="E2959" s="333"/>
      <c r="F2959" s="333"/>
      <c r="G2959" s="330"/>
      <c r="H2959" s="330"/>
      <c r="M2959" s="334"/>
      <c r="N2959" s="330"/>
      <c r="O2959" s="330"/>
      <c r="P2959" s="330"/>
      <c r="Q2959" s="330"/>
      <c r="S2959" s="404"/>
      <c r="T2959" s="404"/>
      <c r="U2959" s="404"/>
      <c r="V2959" s="404"/>
      <c r="AB2959" s="404"/>
      <c r="AC2959" s="404"/>
      <c r="AD2959" s="404"/>
      <c r="AE2959" s="316"/>
      <c r="AF2959" s="316"/>
      <c r="AG2959" s="404"/>
      <c r="AI2959" s="316"/>
      <c r="AJ2959" s="316"/>
      <c r="AK2959" s="316"/>
      <c r="AM2959" s="416"/>
      <c r="AN2959" s="330"/>
      <c r="AO2959" s="330"/>
      <c r="AP2959" s="330"/>
      <c r="AQ2959" s="330"/>
      <c r="AR2959" s="333"/>
      <c r="AS2959" s="333"/>
      <c r="AT2959" s="333"/>
      <c r="AU2959" s="333"/>
      <c r="AV2959" s="333"/>
      <c r="AW2959" s="330"/>
      <c r="AX2959" s="330"/>
    </row>
    <row r="2960" spans="2:50" x14ac:dyDescent="0.25">
      <c r="B2960" s="331"/>
      <c r="C2960" s="332"/>
      <c r="D2960" s="332"/>
      <c r="E2960" s="333"/>
      <c r="F2960" s="333"/>
      <c r="G2960" s="330"/>
      <c r="H2960" s="330"/>
      <c r="M2960" s="334"/>
      <c r="N2960" s="330"/>
      <c r="O2960" s="330"/>
      <c r="P2960" s="330"/>
      <c r="Q2960" s="330"/>
      <c r="S2960" s="404"/>
      <c r="T2960" s="404"/>
      <c r="U2960" s="404"/>
      <c r="V2960" s="404"/>
      <c r="AB2960" s="404"/>
      <c r="AC2960" s="404"/>
      <c r="AD2960" s="404"/>
      <c r="AE2960" s="316"/>
      <c r="AF2960" s="316"/>
      <c r="AG2960" s="404"/>
      <c r="AI2960" s="316"/>
      <c r="AJ2960" s="316"/>
      <c r="AK2960" s="316"/>
      <c r="AM2960" s="416"/>
      <c r="AN2960" s="330"/>
      <c r="AO2960" s="330"/>
      <c r="AP2960" s="330"/>
      <c r="AQ2960" s="330"/>
      <c r="AR2960" s="333"/>
      <c r="AS2960" s="333"/>
      <c r="AT2960" s="333"/>
      <c r="AU2960" s="333"/>
      <c r="AV2960" s="333"/>
      <c r="AW2960" s="330"/>
      <c r="AX2960" s="330"/>
    </row>
    <row r="2961" spans="2:50" x14ac:dyDescent="0.25">
      <c r="B2961" s="331"/>
      <c r="C2961" s="332"/>
      <c r="D2961" s="332"/>
      <c r="E2961" s="333"/>
      <c r="F2961" s="333"/>
      <c r="G2961" s="330"/>
      <c r="H2961" s="330"/>
      <c r="M2961" s="334"/>
      <c r="N2961" s="330"/>
      <c r="O2961" s="330"/>
      <c r="P2961" s="330"/>
      <c r="Q2961" s="330"/>
      <c r="S2961" s="404"/>
      <c r="T2961" s="404"/>
      <c r="U2961" s="404"/>
      <c r="V2961" s="404"/>
      <c r="AB2961" s="404"/>
      <c r="AC2961" s="404"/>
      <c r="AD2961" s="404"/>
      <c r="AE2961" s="316"/>
      <c r="AF2961" s="316"/>
      <c r="AG2961" s="404"/>
      <c r="AI2961" s="316"/>
      <c r="AJ2961" s="316"/>
      <c r="AK2961" s="316"/>
      <c r="AM2961" s="416"/>
      <c r="AN2961" s="330"/>
      <c r="AO2961" s="330"/>
      <c r="AP2961" s="330"/>
      <c r="AQ2961" s="330"/>
      <c r="AR2961" s="333"/>
      <c r="AS2961" s="333"/>
      <c r="AT2961" s="333"/>
      <c r="AU2961" s="333"/>
      <c r="AV2961" s="333"/>
      <c r="AW2961" s="330"/>
      <c r="AX2961" s="330"/>
    </row>
    <row r="2962" spans="2:50" x14ac:dyDescent="0.25">
      <c r="B2962" s="331"/>
      <c r="C2962" s="332"/>
      <c r="D2962" s="332"/>
      <c r="E2962" s="333"/>
      <c r="F2962" s="333"/>
      <c r="G2962" s="330"/>
      <c r="H2962" s="330"/>
      <c r="M2962" s="334"/>
      <c r="N2962" s="330"/>
      <c r="O2962" s="330"/>
      <c r="P2962" s="330"/>
      <c r="Q2962" s="330"/>
      <c r="S2962" s="404"/>
      <c r="T2962" s="404"/>
      <c r="U2962" s="404"/>
      <c r="V2962" s="404"/>
      <c r="AB2962" s="404"/>
      <c r="AC2962" s="404"/>
      <c r="AD2962" s="404"/>
      <c r="AE2962" s="316"/>
      <c r="AF2962" s="316"/>
      <c r="AG2962" s="404"/>
      <c r="AI2962" s="316"/>
      <c r="AJ2962" s="316"/>
      <c r="AK2962" s="316"/>
      <c r="AM2962" s="416"/>
      <c r="AN2962" s="330"/>
      <c r="AO2962" s="330"/>
      <c r="AP2962" s="330"/>
      <c r="AQ2962" s="330"/>
      <c r="AR2962" s="333"/>
      <c r="AS2962" s="333"/>
      <c r="AT2962" s="333"/>
      <c r="AU2962" s="333"/>
      <c r="AV2962" s="333"/>
      <c r="AW2962" s="330"/>
      <c r="AX2962" s="330"/>
    </row>
    <row r="2963" spans="2:50" x14ac:dyDescent="0.25">
      <c r="B2963" s="331"/>
      <c r="C2963" s="332"/>
      <c r="D2963" s="332"/>
      <c r="E2963" s="333"/>
      <c r="F2963" s="333"/>
      <c r="G2963" s="330"/>
      <c r="H2963" s="330"/>
      <c r="M2963" s="334"/>
      <c r="N2963" s="330"/>
      <c r="O2963" s="330"/>
      <c r="P2963" s="330"/>
      <c r="Q2963" s="330"/>
      <c r="S2963" s="404"/>
      <c r="T2963" s="404"/>
      <c r="U2963" s="404"/>
      <c r="V2963" s="404"/>
      <c r="AB2963" s="404"/>
      <c r="AC2963" s="404"/>
      <c r="AD2963" s="404"/>
      <c r="AE2963" s="316"/>
      <c r="AF2963" s="316"/>
      <c r="AG2963" s="404"/>
      <c r="AI2963" s="316"/>
      <c r="AJ2963" s="316"/>
      <c r="AK2963" s="316"/>
      <c r="AM2963" s="416"/>
      <c r="AN2963" s="330"/>
      <c r="AO2963" s="330"/>
      <c r="AP2963" s="330"/>
      <c r="AQ2963" s="330"/>
      <c r="AR2963" s="333"/>
      <c r="AS2963" s="333"/>
      <c r="AT2963" s="333"/>
      <c r="AU2963" s="333"/>
      <c r="AV2963" s="333"/>
      <c r="AW2963" s="330"/>
      <c r="AX2963" s="330"/>
    </row>
    <row r="2964" spans="2:50" x14ac:dyDescent="0.25">
      <c r="B2964" s="331"/>
      <c r="C2964" s="332"/>
      <c r="D2964" s="332"/>
      <c r="E2964" s="333"/>
      <c r="F2964" s="333"/>
      <c r="G2964" s="330"/>
      <c r="H2964" s="330"/>
      <c r="M2964" s="334"/>
      <c r="N2964" s="330"/>
      <c r="O2964" s="330"/>
      <c r="P2964" s="330"/>
      <c r="Q2964" s="330"/>
      <c r="S2964" s="404"/>
      <c r="T2964" s="404"/>
      <c r="U2964" s="404"/>
      <c r="V2964" s="404"/>
      <c r="AB2964" s="404"/>
      <c r="AC2964" s="404"/>
      <c r="AD2964" s="404"/>
      <c r="AE2964" s="316"/>
      <c r="AF2964" s="316"/>
      <c r="AG2964" s="404"/>
      <c r="AI2964" s="316"/>
      <c r="AJ2964" s="316"/>
      <c r="AK2964" s="316"/>
      <c r="AM2964" s="416"/>
      <c r="AN2964" s="330"/>
      <c r="AO2964" s="330"/>
      <c r="AP2964" s="330"/>
      <c r="AQ2964" s="330"/>
      <c r="AR2964" s="333"/>
      <c r="AS2964" s="333"/>
      <c r="AT2964" s="333"/>
      <c r="AU2964" s="333"/>
      <c r="AV2964" s="333"/>
      <c r="AW2964" s="330"/>
      <c r="AX2964" s="330"/>
    </row>
    <row r="2965" spans="2:50" x14ac:dyDescent="0.25">
      <c r="B2965" s="331"/>
      <c r="C2965" s="332"/>
      <c r="D2965" s="332"/>
      <c r="E2965" s="333"/>
      <c r="F2965" s="333"/>
      <c r="G2965" s="330"/>
      <c r="H2965" s="330"/>
      <c r="M2965" s="334"/>
      <c r="N2965" s="330"/>
      <c r="O2965" s="330"/>
      <c r="P2965" s="330"/>
      <c r="Q2965" s="330"/>
      <c r="S2965" s="404"/>
      <c r="T2965" s="404"/>
      <c r="U2965" s="404"/>
      <c r="V2965" s="404"/>
      <c r="AB2965" s="404"/>
      <c r="AC2965" s="404"/>
      <c r="AD2965" s="404"/>
      <c r="AE2965" s="316"/>
      <c r="AF2965" s="316"/>
      <c r="AG2965" s="404"/>
      <c r="AI2965" s="316"/>
      <c r="AJ2965" s="316"/>
      <c r="AK2965" s="316"/>
      <c r="AM2965" s="416"/>
      <c r="AN2965" s="330"/>
      <c r="AO2965" s="330"/>
      <c r="AP2965" s="330"/>
      <c r="AQ2965" s="330"/>
      <c r="AR2965" s="333"/>
      <c r="AS2965" s="333"/>
      <c r="AT2965" s="333"/>
      <c r="AU2965" s="333"/>
      <c r="AV2965" s="333"/>
      <c r="AW2965" s="330"/>
      <c r="AX2965" s="330"/>
    </row>
    <row r="2966" spans="2:50" x14ac:dyDescent="0.25">
      <c r="B2966" s="331"/>
      <c r="C2966" s="332"/>
      <c r="D2966" s="332"/>
      <c r="E2966" s="333"/>
      <c r="F2966" s="333"/>
      <c r="G2966" s="330"/>
      <c r="H2966" s="330"/>
      <c r="M2966" s="334"/>
      <c r="N2966" s="330"/>
      <c r="O2966" s="330"/>
      <c r="P2966" s="330"/>
      <c r="Q2966" s="330"/>
      <c r="S2966" s="404"/>
      <c r="T2966" s="404"/>
      <c r="U2966" s="404"/>
      <c r="V2966" s="404"/>
      <c r="AB2966" s="404"/>
      <c r="AC2966" s="404"/>
      <c r="AD2966" s="404"/>
      <c r="AE2966" s="316"/>
      <c r="AF2966" s="316"/>
      <c r="AG2966" s="404"/>
      <c r="AI2966" s="316"/>
      <c r="AJ2966" s="316"/>
      <c r="AK2966" s="316"/>
      <c r="AM2966" s="416"/>
      <c r="AN2966" s="330"/>
      <c r="AO2966" s="330"/>
      <c r="AP2966" s="330"/>
      <c r="AQ2966" s="330"/>
      <c r="AR2966" s="333"/>
      <c r="AS2966" s="333"/>
      <c r="AT2966" s="333"/>
      <c r="AU2966" s="333"/>
      <c r="AV2966" s="333"/>
      <c r="AW2966" s="330"/>
      <c r="AX2966" s="330"/>
    </row>
    <row r="2967" spans="2:50" x14ac:dyDescent="0.25">
      <c r="B2967" s="331"/>
      <c r="C2967" s="332"/>
      <c r="D2967" s="332"/>
      <c r="E2967" s="333"/>
      <c r="F2967" s="333"/>
      <c r="G2967" s="330"/>
      <c r="H2967" s="330"/>
      <c r="M2967" s="334"/>
      <c r="N2967" s="330"/>
      <c r="O2967" s="330"/>
      <c r="P2967" s="330"/>
      <c r="Q2967" s="330"/>
      <c r="S2967" s="404"/>
      <c r="T2967" s="404"/>
      <c r="U2967" s="404"/>
      <c r="V2967" s="404"/>
      <c r="AB2967" s="404"/>
      <c r="AC2967" s="404"/>
      <c r="AD2967" s="404"/>
      <c r="AE2967" s="316"/>
      <c r="AF2967" s="316"/>
      <c r="AG2967" s="404"/>
      <c r="AI2967" s="316"/>
      <c r="AJ2967" s="316"/>
      <c r="AK2967" s="316"/>
      <c r="AM2967" s="416"/>
      <c r="AN2967" s="330"/>
      <c r="AO2967" s="330"/>
      <c r="AP2967" s="330"/>
      <c r="AQ2967" s="330"/>
      <c r="AR2967" s="333"/>
      <c r="AS2967" s="333"/>
      <c r="AT2967" s="333"/>
      <c r="AU2967" s="333"/>
      <c r="AV2967" s="333"/>
      <c r="AW2967" s="330"/>
      <c r="AX2967" s="330"/>
    </row>
    <row r="2968" spans="2:50" x14ac:dyDescent="0.25">
      <c r="B2968" s="331"/>
      <c r="C2968" s="332"/>
      <c r="D2968" s="332"/>
      <c r="E2968" s="333"/>
      <c r="F2968" s="333"/>
      <c r="G2968" s="330"/>
      <c r="H2968" s="330"/>
      <c r="M2968" s="334"/>
      <c r="N2968" s="330"/>
      <c r="O2968" s="330"/>
      <c r="P2968" s="330"/>
      <c r="Q2968" s="330"/>
      <c r="S2968" s="404"/>
      <c r="T2968" s="404"/>
      <c r="U2968" s="404"/>
      <c r="V2968" s="404"/>
      <c r="AB2968" s="404"/>
      <c r="AC2968" s="404"/>
      <c r="AD2968" s="404"/>
      <c r="AE2968" s="316"/>
      <c r="AF2968" s="316"/>
      <c r="AG2968" s="404"/>
      <c r="AI2968" s="316"/>
      <c r="AJ2968" s="316"/>
      <c r="AK2968" s="316"/>
      <c r="AM2968" s="416"/>
      <c r="AN2968" s="330"/>
      <c r="AO2968" s="330"/>
      <c r="AP2968" s="330"/>
      <c r="AQ2968" s="330"/>
      <c r="AR2968" s="333"/>
      <c r="AS2968" s="333"/>
      <c r="AT2968" s="333"/>
      <c r="AU2968" s="333"/>
      <c r="AV2968" s="333"/>
      <c r="AW2968" s="330"/>
      <c r="AX2968" s="330"/>
    </row>
    <row r="2969" spans="2:50" x14ac:dyDescent="0.25">
      <c r="B2969" s="331"/>
      <c r="C2969" s="332"/>
      <c r="D2969" s="332"/>
      <c r="E2969" s="333"/>
      <c r="F2969" s="333"/>
      <c r="G2969" s="330"/>
      <c r="H2969" s="330"/>
      <c r="M2969" s="334"/>
      <c r="N2969" s="330"/>
      <c r="O2969" s="330"/>
      <c r="P2969" s="330"/>
      <c r="Q2969" s="330"/>
      <c r="S2969" s="404"/>
      <c r="T2969" s="404"/>
      <c r="U2969" s="404"/>
      <c r="V2969" s="404"/>
      <c r="AB2969" s="404"/>
      <c r="AC2969" s="404"/>
      <c r="AD2969" s="404"/>
      <c r="AE2969" s="316"/>
      <c r="AF2969" s="316"/>
      <c r="AG2969" s="404"/>
      <c r="AI2969" s="316"/>
      <c r="AJ2969" s="316"/>
      <c r="AK2969" s="316"/>
      <c r="AM2969" s="416"/>
      <c r="AN2969" s="330"/>
      <c r="AO2969" s="330"/>
      <c r="AP2969" s="330"/>
      <c r="AQ2969" s="330"/>
      <c r="AR2969" s="333"/>
      <c r="AS2969" s="333"/>
      <c r="AT2969" s="333"/>
      <c r="AU2969" s="333"/>
      <c r="AV2969" s="333"/>
      <c r="AW2969" s="330"/>
      <c r="AX2969" s="330"/>
    </row>
    <row r="2970" spans="2:50" x14ac:dyDescent="0.25">
      <c r="B2970" s="331"/>
      <c r="C2970" s="332"/>
      <c r="D2970" s="332"/>
      <c r="E2970" s="333"/>
      <c r="F2970" s="333"/>
      <c r="G2970" s="330"/>
      <c r="H2970" s="330"/>
      <c r="M2970" s="334"/>
      <c r="N2970" s="330"/>
      <c r="O2970" s="330"/>
      <c r="P2970" s="330"/>
      <c r="Q2970" s="330"/>
      <c r="S2970" s="404"/>
      <c r="T2970" s="404"/>
      <c r="U2970" s="404"/>
      <c r="V2970" s="404"/>
      <c r="AB2970" s="404"/>
      <c r="AC2970" s="404"/>
      <c r="AD2970" s="404"/>
      <c r="AE2970" s="316"/>
      <c r="AF2970" s="316"/>
      <c r="AG2970" s="404"/>
      <c r="AI2970" s="316"/>
      <c r="AJ2970" s="316"/>
      <c r="AK2970" s="316"/>
      <c r="AM2970" s="416"/>
      <c r="AN2970" s="330"/>
      <c r="AO2970" s="330"/>
      <c r="AP2970" s="330"/>
      <c r="AQ2970" s="330"/>
      <c r="AR2970" s="333"/>
      <c r="AS2970" s="333"/>
      <c r="AT2970" s="333"/>
      <c r="AU2970" s="333"/>
      <c r="AV2970" s="333"/>
      <c r="AW2970" s="330"/>
      <c r="AX2970" s="330"/>
    </row>
    <row r="2971" spans="2:50" x14ac:dyDescent="0.25">
      <c r="B2971" s="331"/>
      <c r="C2971" s="332"/>
      <c r="D2971" s="332"/>
      <c r="E2971" s="333"/>
      <c r="F2971" s="333"/>
      <c r="G2971" s="330"/>
      <c r="H2971" s="330"/>
      <c r="M2971" s="334"/>
      <c r="N2971" s="330"/>
      <c r="O2971" s="330"/>
      <c r="P2971" s="330"/>
      <c r="Q2971" s="330"/>
      <c r="S2971" s="404"/>
      <c r="T2971" s="404"/>
      <c r="U2971" s="404"/>
      <c r="V2971" s="404"/>
      <c r="AB2971" s="404"/>
      <c r="AC2971" s="404"/>
      <c r="AD2971" s="404"/>
      <c r="AE2971" s="316"/>
      <c r="AF2971" s="316"/>
      <c r="AG2971" s="404"/>
      <c r="AI2971" s="316"/>
      <c r="AJ2971" s="316"/>
      <c r="AK2971" s="316"/>
      <c r="AM2971" s="416"/>
      <c r="AN2971" s="330"/>
      <c r="AO2971" s="330"/>
      <c r="AP2971" s="330"/>
      <c r="AQ2971" s="330"/>
      <c r="AR2971" s="333"/>
      <c r="AS2971" s="333"/>
      <c r="AT2971" s="333"/>
      <c r="AU2971" s="333"/>
      <c r="AV2971" s="333"/>
      <c r="AW2971" s="330"/>
      <c r="AX2971" s="330"/>
    </row>
    <row r="2972" spans="2:50" x14ac:dyDescent="0.25">
      <c r="B2972" s="331"/>
      <c r="C2972" s="332"/>
      <c r="D2972" s="332"/>
      <c r="E2972" s="333"/>
      <c r="F2972" s="333"/>
      <c r="G2972" s="330"/>
      <c r="H2972" s="330"/>
      <c r="M2972" s="334"/>
      <c r="N2972" s="330"/>
      <c r="O2972" s="330"/>
      <c r="P2972" s="330"/>
      <c r="Q2972" s="330"/>
      <c r="S2972" s="404"/>
      <c r="T2972" s="404"/>
      <c r="U2972" s="404"/>
      <c r="V2972" s="404"/>
      <c r="AB2972" s="404"/>
      <c r="AC2972" s="404"/>
      <c r="AD2972" s="404"/>
      <c r="AE2972" s="316"/>
      <c r="AF2972" s="316"/>
      <c r="AG2972" s="404"/>
      <c r="AI2972" s="316"/>
      <c r="AJ2972" s="316"/>
      <c r="AK2972" s="316"/>
      <c r="AM2972" s="416"/>
      <c r="AN2972" s="330"/>
      <c r="AO2972" s="330"/>
      <c r="AP2972" s="330"/>
      <c r="AQ2972" s="330"/>
      <c r="AR2972" s="333"/>
      <c r="AS2972" s="333"/>
      <c r="AT2972" s="333"/>
      <c r="AU2972" s="333"/>
      <c r="AV2972" s="333"/>
      <c r="AW2972" s="330"/>
      <c r="AX2972" s="330"/>
    </row>
    <row r="2973" spans="2:50" x14ac:dyDescent="0.25">
      <c r="B2973" s="331"/>
      <c r="C2973" s="332"/>
      <c r="D2973" s="332"/>
      <c r="E2973" s="333"/>
      <c r="F2973" s="333"/>
      <c r="G2973" s="330"/>
      <c r="H2973" s="330"/>
      <c r="M2973" s="334"/>
      <c r="N2973" s="330"/>
      <c r="O2973" s="330"/>
      <c r="P2973" s="330"/>
      <c r="Q2973" s="330"/>
      <c r="S2973" s="404"/>
      <c r="T2973" s="404"/>
      <c r="U2973" s="404"/>
      <c r="V2973" s="404"/>
      <c r="AB2973" s="404"/>
      <c r="AC2973" s="404"/>
      <c r="AD2973" s="404"/>
      <c r="AE2973" s="316"/>
      <c r="AF2973" s="316"/>
      <c r="AG2973" s="404"/>
      <c r="AI2973" s="316"/>
      <c r="AJ2973" s="316"/>
      <c r="AK2973" s="316"/>
      <c r="AM2973" s="416"/>
      <c r="AN2973" s="330"/>
      <c r="AO2973" s="330"/>
      <c r="AP2973" s="330"/>
      <c r="AQ2973" s="330"/>
      <c r="AR2973" s="333"/>
      <c r="AS2973" s="333"/>
      <c r="AT2973" s="333"/>
      <c r="AU2973" s="333"/>
      <c r="AV2973" s="333"/>
      <c r="AW2973" s="330"/>
      <c r="AX2973" s="330"/>
    </row>
    <row r="2974" spans="2:50" x14ac:dyDescent="0.25">
      <c r="B2974" s="331"/>
      <c r="C2974" s="332"/>
      <c r="D2974" s="332"/>
      <c r="E2974" s="333"/>
      <c r="F2974" s="333"/>
      <c r="G2974" s="330"/>
      <c r="H2974" s="330"/>
      <c r="M2974" s="334"/>
      <c r="N2974" s="330"/>
      <c r="O2974" s="330"/>
      <c r="P2974" s="330"/>
      <c r="Q2974" s="330"/>
      <c r="S2974" s="404"/>
      <c r="T2974" s="404"/>
      <c r="U2974" s="404"/>
      <c r="V2974" s="404"/>
      <c r="AB2974" s="404"/>
      <c r="AC2974" s="404"/>
      <c r="AD2974" s="404"/>
      <c r="AE2974" s="316"/>
      <c r="AF2974" s="316"/>
      <c r="AG2974" s="404"/>
      <c r="AI2974" s="316"/>
      <c r="AJ2974" s="316"/>
      <c r="AK2974" s="316"/>
      <c r="AM2974" s="416"/>
      <c r="AN2974" s="330"/>
      <c r="AO2974" s="330"/>
      <c r="AP2974" s="330"/>
      <c r="AQ2974" s="330"/>
      <c r="AR2974" s="333"/>
      <c r="AS2974" s="333"/>
      <c r="AT2974" s="333"/>
      <c r="AU2974" s="333"/>
      <c r="AV2974" s="333"/>
      <c r="AW2974" s="330"/>
      <c r="AX2974" s="330"/>
    </row>
    <row r="2975" spans="2:50" x14ac:dyDescent="0.25">
      <c r="B2975" s="331"/>
      <c r="C2975" s="332"/>
      <c r="D2975" s="332"/>
      <c r="E2975" s="333"/>
      <c r="F2975" s="333"/>
      <c r="G2975" s="330"/>
      <c r="H2975" s="330"/>
      <c r="M2975" s="334"/>
      <c r="N2975" s="330"/>
      <c r="O2975" s="330"/>
      <c r="P2975" s="330"/>
      <c r="Q2975" s="330"/>
      <c r="S2975" s="404"/>
      <c r="T2975" s="404"/>
      <c r="U2975" s="404"/>
      <c r="V2975" s="404"/>
      <c r="AB2975" s="404"/>
      <c r="AC2975" s="404"/>
      <c r="AD2975" s="404"/>
      <c r="AE2975" s="316"/>
      <c r="AF2975" s="316"/>
      <c r="AG2975" s="404"/>
      <c r="AI2975" s="316"/>
      <c r="AJ2975" s="316"/>
      <c r="AK2975" s="316"/>
      <c r="AM2975" s="416"/>
      <c r="AN2975" s="330"/>
      <c r="AO2975" s="330"/>
      <c r="AP2975" s="330"/>
      <c r="AQ2975" s="330"/>
      <c r="AR2975" s="333"/>
      <c r="AS2975" s="333"/>
      <c r="AT2975" s="333"/>
      <c r="AU2975" s="333"/>
      <c r="AV2975" s="333"/>
      <c r="AW2975" s="330"/>
      <c r="AX2975" s="330"/>
    </row>
    <row r="2976" spans="2:50" x14ac:dyDescent="0.25">
      <c r="B2976" s="331"/>
      <c r="C2976" s="332"/>
      <c r="D2976" s="332"/>
      <c r="E2976" s="333"/>
      <c r="F2976" s="333"/>
      <c r="G2976" s="330"/>
      <c r="H2976" s="330"/>
      <c r="M2976" s="334"/>
      <c r="N2976" s="330"/>
      <c r="O2976" s="330"/>
      <c r="P2976" s="330"/>
      <c r="Q2976" s="330"/>
      <c r="S2976" s="404"/>
      <c r="T2976" s="404"/>
      <c r="U2976" s="404"/>
      <c r="V2976" s="404"/>
      <c r="AB2976" s="404"/>
      <c r="AC2976" s="404"/>
      <c r="AD2976" s="404"/>
      <c r="AE2976" s="316"/>
      <c r="AF2976" s="316"/>
      <c r="AG2976" s="404"/>
      <c r="AI2976" s="316"/>
      <c r="AJ2976" s="316"/>
      <c r="AK2976" s="316"/>
      <c r="AM2976" s="416"/>
      <c r="AN2976" s="330"/>
      <c r="AO2976" s="330"/>
      <c r="AP2976" s="330"/>
      <c r="AQ2976" s="330"/>
      <c r="AR2976" s="333"/>
      <c r="AS2976" s="333"/>
      <c r="AT2976" s="333"/>
      <c r="AU2976" s="333"/>
      <c r="AV2976" s="333"/>
      <c r="AW2976" s="330"/>
      <c r="AX2976" s="330"/>
    </row>
    <row r="2977" spans="2:50" x14ac:dyDescent="0.25">
      <c r="B2977" s="331"/>
      <c r="C2977" s="332"/>
      <c r="D2977" s="332"/>
      <c r="E2977" s="333"/>
      <c r="F2977" s="333"/>
      <c r="G2977" s="330"/>
      <c r="H2977" s="330"/>
      <c r="M2977" s="334"/>
      <c r="N2977" s="330"/>
      <c r="O2977" s="330"/>
      <c r="P2977" s="330"/>
      <c r="Q2977" s="330"/>
      <c r="S2977" s="404"/>
      <c r="T2977" s="404"/>
      <c r="U2977" s="404"/>
      <c r="V2977" s="404"/>
      <c r="AB2977" s="404"/>
      <c r="AC2977" s="404"/>
      <c r="AD2977" s="404"/>
      <c r="AE2977" s="316"/>
      <c r="AF2977" s="316"/>
      <c r="AG2977" s="404"/>
      <c r="AI2977" s="316"/>
      <c r="AJ2977" s="316"/>
      <c r="AK2977" s="316"/>
      <c r="AM2977" s="416"/>
      <c r="AN2977" s="330"/>
      <c r="AO2977" s="330"/>
      <c r="AP2977" s="330"/>
      <c r="AQ2977" s="330"/>
      <c r="AR2977" s="333"/>
      <c r="AS2977" s="333"/>
      <c r="AT2977" s="333"/>
      <c r="AU2977" s="333"/>
      <c r="AV2977" s="333"/>
      <c r="AW2977" s="330"/>
      <c r="AX2977" s="330"/>
    </row>
    <row r="2978" spans="2:50" x14ac:dyDescent="0.25">
      <c r="B2978" s="331"/>
      <c r="C2978" s="332"/>
      <c r="D2978" s="332"/>
      <c r="E2978" s="333"/>
      <c r="F2978" s="333"/>
      <c r="G2978" s="330"/>
      <c r="H2978" s="330"/>
      <c r="M2978" s="334"/>
      <c r="N2978" s="330"/>
      <c r="O2978" s="330"/>
      <c r="P2978" s="330"/>
      <c r="Q2978" s="330"/>
      <c r="S2978" s="404"/>
      <c r="T2978" s="404"/>
      <c r="U2978" s="404"/>
      <c r="V2978" s="404"/>
      <c r="AB2978" s="404"/>
      <c r="AC2978" s="404"/>
      <c r="AD2978" s="404"/>
      <c r="AE2978" s="316"/>
      <c r="AF2978" s="316"/>
      <c r="AG2978" s="404"/>
      <c r="AI2978" s="316"/>
      <c r="AJ2978" s="316"/>
      <c r="AK2978" s="316"/>
      <c r="AM2978" s="416"/>
      <c r="AN2978" s="330"/>
      <c r="AO2978" s="330"/>
      <c r="AP2978" s="330"/>
      <c r="AQ2978" s="330"/>
      <c r="AR2978" s="333"/>
      <c r="AS2978" s="333"/>
      <c r="AT2978" s="333"/>
      <c r="AU2978" s="333"/>
      <c r="AV2978" s="333"/>
      <c r="AW2978" s="330"/>
      <c r="AX2978" s="330"/>
    </row>
    <row r="2979" spans="2:50" x14ac:dyDescent="0.25">
      <c r="B2979" s="331"/>
      <c r="C2979" s="332"/>
      <c r="D2979" s="332"/>
      <c r="E2979" s="333"/>
      <c r="F2979" s="333"/>
      <c r="G2979" s="330"/>
      <c r="H2979" s="330"/>
      <c r="M2979" s="334"/>
      <c r="N2979" s="330"/>
      <c r="O2979" s="330"/>
      <c r="P2979" s="330"/>
      <c r="Q2979" s="330"/>
      <c r="S2979" s="404"/>
      <c r="T2979" s="404"/>
      <c r="U2979" s="404"/>
      <c r="V2979" s="404"/>
      <c r="AB2979" s="404"/>
      <c r="AC2979" s="404"/>
      <c r="AD2979" s="404"/>
      <c r="AE2979" s="316"/>
      <c r="AF2979" s="316"/>
      <c r="AG2979" s="404"/>
      <c r="AI2979" s="316"/>
      <c r="AJ2979" s="316"/>
      <c r="AK2979" s="316"/>
      <c r="AM2979" s="416"/>
      <c r="AN2979" s="330"/>
      <c r="AO2979" s="330"/>
      <c r="AP2979" s="330"/>
      <c r="AQ2979" s="330"/>
      <c r="AR2979" s="333"/>
      <c r="AS2979" s="333"/>
      <c r="AT2979" s="333"/>
      <c r="AU2979" s="333"/>
      <c r="AV2979" s="333"/>
      <c r="AW2979" s="330"/>
      <c r="AX2979" s="330"/>
    </row>
    <row r="2980" spans="2:50" x14ac:dyDescent="0.25">
      <c r="B2980" s="331"/>
      <c r="C2980" s="332"/>
      <c r="D2980" s="332"/>
      <c r="E2980" s="333"/>
      <c r="F2980" s="333"/>
      <c r="G2980" s="330"/>
      <c r="H2980" s="330"/>
      <c r="M2980" s="334"/>
      <c r="N2980" s="330"/>
      <c r="O2980" s="330"/>
      <c r="P2980" s="330"/>
      <c r="Q2980" s="330"/>
      <c r="S2980" s="404"/>
      <c r="T2980" s="404"/>
      <c r="U2980" s="404"/>
      <c r="V2980" s="404"/>
      <c r="AB2980" s="404"/>
      <c r="AC2980" s="404"/>
      <c r="AD2980" s="404"/>
      <c r="AE2980" s="316"/>
      <c r="AF2980" s="316"/>
      <c r="AG2980" s="404"/>
      <c r="AI2980" s="316"/>
      <c r="AJ2980" s="316"/>
      <c r="AK2980" s="316"/>
      <c r="AM2980" s="416"/>
      <c r="AN2980" s="330"/>
      <c r="AO2980" s="330"/>
      <c r="AP2980" s="330"/>
      <c r="AQ2980" s="330"/>
      <c r="AR2980" s="333"/>
      <c r="AS2980" s="333"/>
      <c r="AT2980" s="333"/>
      <c r="AU2980" s="333"/>
      <c r="AV2980" s="333"/>
      <c r="AW2980" s="330"/>
      <c r="AX2980" s="330"/>
    </row>
    <row r="2981" spans="2:50" x14ac:dyDescent="0.25">
      <c r="B2981" s="331"/>
      <c r="C2981" s="332"/>
      <c r="D2981" s="332"/>
      <c r="E2981" s="333"/>
      <c r="F2981" s="333"/>
      <c r="G2981" s="330"/>
      <c r="H2981" s="330"/>
      <c r="M2981" s="334"/>
      <c r="N2981" s="330"/>
      <c r="O2981" s="330"/>
      <c r="P2981" s="330"/>
      <c r="Q2981" s="330"/>
      <c r="S2981" s="404"/>
      <c r="T2981" s="404"/>
      <c r="U2981" s="404"/>
      <c r="V2981" s="404"/>
      <c r="AB2981" s="404"/>
      <c r="AC2981" s="404"/>
      <c r="AD2981" s="404"/>
      <c r="AE2981" s="316"/>
      <c r="AF2981" s="316"/>
      <c r="AG2981" s="404"/>
      <c r="AI2981" s="316"/>
      <c r="AJ2981" s="316"/>
      <c r="AK2981" s="316"/>
      <c r="AM2981" s="416"/>
      <c r="AN2981" s="330"/>
      <c r="AO2981" s="330"/>
      <c r="AP2981" s="330"/>
      <c r="AQ2981" s="330"/>
      <c r="AR2981" s="333"/>
      <c r="AS2981" s="333"/>
      <c r="AT2981" s="333"/>
      <c r="AU2981" s="333"/>
      <c r="AV2981" s="333"/>
      <c r="AW2981" s="330"/>
      <c r="AX2981" s="330"/>
    </row>
    <row r="2982" spans="2:50" x14ac:dyDescent="0.25">
      <c r="B2982" s="331"/>
      <c r="C2982" s="332"/>
      <c r="D2982" s="332"/>
      <c r="E2982" s="333"/>
      <c r="F2982" s="333"/>
      <c r="G2982" s="330"/>
      <c r="H2982" s="330"/>
      <c r="M2982" s="334"/>
      <c r="N2982" s="330"/>
      <c r="O2982" s="330"/>
      <c r="P2982" s="330"/>
      <c r="Q2982" s="330"/>
      <c r="S2982" s="404"/>
      <c r="T2982" s="404"/>
      <c r="U2982" s="404"/>
      <c r="V2982" s="404"/>
      <c r="AB2982" s="404"/>
      <c r="AC2982" s="404"/>
      <c r="AD2982" s="404"/>
      <c r="AE2982" s="316"/>
      <c r="AF2982" s="316"/>
      <c r="AG2982" s="404"/>
      <c r="AI2982" s="316"/>
      <c r="AJ2982" s="316"/>
      <c r="AK2982" s="316"/>
      <c r="AM2982" s="416"/>
    </row>
    <row r="2983" spans="2:50" x14ac:dyDescent="0.25">
      <c r="B2983" s="331"/>
      <c r="C2983" s="332"/>
      <c r="D2983" s="332"/>
      <c r="E2983" s="333"/>
      <c r="F2983" s="333"/>
      <c r="G2983" s="330"/>
      <c r="H2983" s="330"/>
      <c r="M2983" s="334"/>
      <c r="N2983" s="330"/>
      <c r="O2983" s="330"/>
      <c r="P2983" s="330"/>
      <c r="Q2983" s="330"/>
      <c r="S2983" s="404"/>
      <c r="T2983" s="404"/>
      <c r="U2983" s="404"/>
      <c r="V2983" s="404"/>
      <c r="AB2983" s="404"/>
      <c r="AC2983" s="404"/>
      <c r="AD2983" s="404"/>
      <c r="AE2983" s="316"/>
      <c r="AF2983" s="316"/>
      <c r="AG2983" s="404"/>
      <c r="AI2983" s="316"/>
      <c r="AJ2983" s="316"/>
      <c r="AK2983" s="316"/>
      <c r="AM2983" s="416"/>
    </row>
    <row r="2984" spans="2:50" x14ac:dyDescent="0.25">
      <c r="B2984" s="331"/>
      <c r="C2984" s="332"/>
      <c r="D2984" s="332"/>
      <c r="E2984" s="333"/>
      <c r="F2984" s="333"/>
      <c r="G2984" s="330"/>
      <c r="H2984" s="330"/>
      <c r="M2984" s="334"/>
      <c r="N2984" s="330"/>
      <c r="O2984" s="330"/>
      <c r="P2984" s="330"/>
      <c r="Q2984" s="330"/>
      <c r="S2984" s="404"/>
      <c r="T2984" s="404"/>
      <c r="U2984" s="404"/>
      <c r="V2984" s="404"/>
      <c r="AB2984" s="404"/>
      <c r="AC2984" s="404"/>
      <c r="AD2984" s="404"/>
      <c r="AE2984" s="316"/>
      <c r="AF2984" s="316"/>
      <c r="AG2984" s="404"/>
      <c r="AI2984" s="316"/>
      <c r="AJ2984" s="316"/>
      <c r="AK2984" s="316"/>
      <c r="AM2984" s="416"/>
    </row>
    <row r="2985" spans="2:50" x14ac:dyDescent="0.25">
      <c r="B2985" s="331"/>
      <c r="C2985" s="332"/>
      <c r="D2985" s="332"/>
      <c r="E2985" s="333"/>
      <c r="F2985" s="333"/>
      <c r="G2985" s="330"/>
      <c r="H2985" s="330"/>
      <c r="M2985" s="334"/>
      <c r="N2985" s="330"/>
      <c r="O2985" s="330"/>
      <c r="P2985" s="330"/>
      <c r="Q2985" s="330"/>
      <c r="S2985" s="404"/>
      <c r="T2985" s="404"/>
      <c r="U2985" s="404"/>
      <c r="V2985" s="404"/>
      <c r="AB2985" s="404"/>
      <c r="AC2985" s="404"/>
      <c r="AD2985" s="404"/>
      <c r="AE2985" s="316"/>
      <c r="AF2985" s="316"/>
      <c r="AG2985" s="404"/>
      <c r="AI2985" s="316"/>
      <c r="AJ2985" s="316"/>
      <c r="AK2985" s="316"/>
      <c r="AM2985" s="416"/>
      <c r="AR2985" s="334"/>
      <c r="AS2985" s="334"/>
      <c r="AT2985" s="334"/>
      <c r="AU2985" s="334"/>
      <c r="AV2985" s="334"/>
    </row>
    <row r="2986" spans="2:50" x14ac:dyDescent="0.25">
      <c r="B2986" s="331"/>
      <c r="C2986" s="332"/>
      <c r="D2986" s="332"/>
      <c r="E2986" s="333"/>
      <c r="F2986" s="333"/>
      <c r="G2986" s="330"/>
      <c r="H2986" s="330"/>
      <c r="M2986" s="334"/>
      <c r="N2986" s="330"/>
      <c r="O2986" s="330"/>
      <c r="P2986" s="330"/>
      <c r="Q2986" s="330"/>
      <c r="S2986" s="404"/>
      <c r="T2986" s="404"/>
      <c r="U2986" s="404"/>
      <c r="V2986" s="404"/>
      <c r="AB2986" s="404"/>
      <c r="AC2986" s="404"/>
      <c r="AD2986" s="404"/>
      <c r="AE2986" s="316"/>
      <c r="AF2986" s="316"/>
      <c r="AG2986" s="404"/>
      <c r="AI2986" s="316"/>
      <c r="AJ2986" s="316"/>
      <c r="AK2986" s="316"/>
      <c r="AM2986" s="416"/>
      <c r="AR2986" s="334"/>
      <c r="AS2986" s="334"/>
      <c r="AT2986" s="334"/>
      <c r="AU2986" s="334"/>
      <c r="AV2986" s="334"/>
    </row>
    <row r="2987" spans="2:50" x14ac:dyDescent="0.25">
      <c r="B2987" s="331"/>
      <c r="C2987" s="332"/>
      <c r="D2987" s="332"/>
      <c r="E2987" s="333"/>
      <c r="F2987" s="333"/>
      <c r="G2987" s="330"/>
      <c r="H2987" s="330"/>
      <c r="M2987" s="334"/>
      <c r="N2987" s="330"/>
      <c r="O2987" s="330"/>
      <c r="P2987" s="330"/>
      <c r="Q2987" s="330"/>
      <c r="S2987" s="404"/>
      <c r="T2987" s="404"/>
      <c r="U2987" s="404"/>
      <c r="V2987" s="404"/>
      <c r="AB2987" s="404"/>
      <c r="AC2987" s="404"/>
      <c r="AD2987" s="404"/>
      <c r="AE2987" s="316"/>
      <c r="AF2987" s="316"/>
      <c r="AG2987" s="404"/>
      <c r="AI2987" s="316"/>
      <c r="AJ2987" s="316"/>
      <c r="AK2987" s="316"/>
      <c r="AM2987" s="416"/>
      <c r="AR2987" s="334"/>
      <c r="AS2987" s="334"/>
      <c r="AT2987" s="334"/>
      <c r="AU2987" s="334"/>
      <c r="AV2987" s="334"/>
    </row>
    <row r="2988" spans="2:50" x14ac:dyDescent="0.25">
      <c r="B2988" s="331"/>
      <c r="C2988" s="332"/>
      <c r="D2988" s="332"/>
      <c r="E2988" s="333"/>
      <c r="F2988" s="333"/>
      <c r="G2988" s="330"/>
      <c r="H2988" s="330"/>
      <c r="M2988" s="334"/>
      <c r="N2988" s="330"/>
      <c r="O2988" s="330"/>
      <c r="P2988" s="330"/>
      <c r="Q2988" s="330"/>
      <c r="S2988" s="404"/>
      <c r="T2988" s="404"/>
      <c r="U2988" s="404"/>
      <c r="V2988" s="404"/>
      <c r="AB2988" s="404"/>
      <c r="AC2988" s="404"/>
      <c r="AD2988" s="404"/>
      <c r="AE2988" s="316"/>
      <c r="AF2988" s="316"/>
      <c r="AG2988" s="404"/>
      <c r="AI2988" s="316"/>
      <c r="AJ2988" s="316"/>
      <c r="AK2988" s="316"/>
      <c r="AM2988" s="416"/>
      <c r="AR2988" s="334"/>
      <c r="AS2988" s="334"/>
      <c r="AT2988" s="334"/>
      <c r="AU2988" s="334"/>
      <c r="AV2988" s="334"/>
    </row>
    <row r="2989" spans="2:50" x14ac:dyDescent="0.25">
      <c r="B2989" s="331"/>
      <c r="C2989" s="332"/>
      <c r="D2989" s="332"/>
      <c r="E2989" s="333"/>
      <c r="F2989" s="333"/>
      <c r="G2989" s="330"/>
      <c r="H2989" s="330"/>
      <c r="M2989" s="334"/>
      <c r="N2989" s="330"/>
      <c r="O2989" s="330"/>
      <c r="P2989" s="330"/>
      <c r="Q2989" s="330"/>
      <c r="S2989" s="404"/>
      <c r="T2989" s="404"/>
      <c r="U2989" s="404"/>
      <c r="V2989" s="404"/>
      <c r="AB2989" s="404"/>
      <c r="AC2989" s="404"/>
      <c r="AD2989" s="404"/>
      <c r="AE2989" s="316"/>
      <c r="AF2989" s="316"/>
      <c r="AG2989" s="404"/>
      <c r="AI2989" s="316"/>
      <c r="AJ2989" s="316"/>
      <c r="AK2989" s="316"/>
      <c r="AM2989" s="416"/>
      <c r="AR2989" s="334"/>
      <c r="AS2989" s="334"/>
      <c r="AT2989" s="334"/>
      <c r="AU2989" s="334"/>
      <c r="AV2989" s="334"/>
    </row>
    <row r="2990" spans="2:50" x14ac:dyDescent="0.25">
      <c r="B2990" s="331"/>
      <c r="C2990" s="332"/>
      <c r="D2990" s="332"/>
      <c r="E2990" s="333"/>
      <c r="F2990" s="333"/>
      <c r="G2990" s="330"/>
      <c r="H2990" s="330"/>
      <c r="M2990" s="334"/>
      <c r="N2990" s="330"/>
      <c r="O2990" s="330"/>
      <c r="P2990" s="330"/>
      <c r="Q2990" s="330"/>
      <c r="S2990" s="404"/>
      <c r="T2990" s="404"/>
      <c r="U2990" s="404"/>
      <c r="V2990" s="404"/>
      <c r="AB2990" s="404"/>
      <c r="AC2990" s="404"/>
      <c r="AD2990" s="404"/>
      <c r="AE2990" s="316"/>
      <c r="AF2990" s="316"/>
      <c r="AG2990" s="404"/>
      <c r="AI2990" s="316"/>
      <c r="AJ2990" s="316"/>
      <c r="AK2990" s="316"/>
      <c r="AM2990" s="416"/>
      <c r="AR2990" s="334"/>
      <c r="AS2990" s="334"/>
      <c r="AT2990" s="334"/>
      <c r="AU2990" s="334"/>
      <c r="AV2990" s="334"/>
    </row>
    <row r="2991" spans="2:50" x14ac:dyDescent="0.25">
      <c r="B2991" s="331"/>
      <c r="C2991" s="332"/>
      <c r="D2991" s="332"/>
      <c r="E2991" s="333"/>
      <c r="F2991" s="333"/>
      <c r="G2991" s="330"/>
      <c r="H2991" s="330"/>
      <c r="M2991" s="334"/>
      <c r="N2991" s="330"/>
      <c r="O2991" s="330"/>
      <c r="P2991" s="330"/>
      <c r="Q2991" s="330"/>
      <c r="S2991" s="404"/>
      <c r="T2991" s="404"/>
      <c r="U2991" s="404"/>
      <c r="V2991" s="404"/>
      <c r="AB2991" s="404"/>
      <c r="AC2991" s="404"/>
      <c r="AD2991" s="404"/>
      <c r="AE2991" s="316"/>
      <c r="AF2991" s="316"/>
      <c r="AG2991" s="404"/>
      <c r="AI2991" s="316"/>
      <c r="AJ2991" s="316"/>
      <c r="AK2991" s="316"/>
      <c r="AM2991" s="416"/>
    </row>
    <row r="2992" spans="2:50" x14ac:dyDescent="0.25">
      <c r="B2992" s="331"/>
      <c r="C2992" s="332"/>
      <c r="D2992" s="332"/>
      <c r="E2992" s="333"/>
      <c r="F2992" s="333"/>
      <c r="G2992" s="330"/>
      <c r="H2992" s="330"/>
      <c r="M2992" s="334"/>
      <c r="N2992" s="330"/>
      <c r="O2992" s="330"/>
      <c r="P2992" s="330"/>
      <c r="Q2992" s="330"/>
      <c r="S2992" s="404"/>
      <c r="T2992" s="404"/>
      <c r="U2992" s="404"/>
      <c r="V2992" s="404"/>
      <c r="AB2992" s="404"/>
      <c r="AC2992" s="404"/>
      <c r="AD2992" s="404"/>
      <c r="AE2992" s="316"/>
      <c r="AF2992" s="316"/>
      <c r="AG2992" s="404"/>
      <c r="AI2992" s="316"/>
      <c r="AJ2992" s="316"/>
      <c r="AK2992" s="316"/>
      <c r="AM2992" s="416"/>
    </row>
    <row r="2993" spans="2:39" x14ac:dyDescent="0.25">
      <c r="B2993" s="331"/>
      <c r="C2993" s="332"/>
      <c r="D2993" s="332"/>
      <c r="E2993" s="333"/>
      <c r="F2993" s="333"/>
      <c r="G2993" s="330"/>
      <c r="H2993" s="330"/>
      <c r="M2993" s="334"/>
      <c r="N2993" s="330"/>
      <c r="O2993" s="330"/>
      <c r="P2993" s="330"/>
      <c r="Q2993" s="330"/>
      <c r="S2993" s="404"/>
      <c r="T2993" s="404"/>
      <c r="U2993" s="404"/>
      <c r="V2993" s="404"/>
      <c r="AB2993" s="404"/>
      <c r="AC2993" s="404"/>
      <c r="AD2993" s="404"/>
      <c r="AE2993" s="316"/>
      <c r="AF2993" s="316"/>
      <c r="AG2993" s="404"/>
      <c r="AI2993" s="316"/>
      <c r="AJ2993" s="316"/>
      <c r="AK2993" s="316"/>
      <c r="AM2993" s="416"/>
    </row>
    <row r="2994" spans="2:39" x14ac:dyDescent="0.25">
      <c r="B2994" s="331"/>
      <c r="C2994" s="332"/>
      <c r="D2994" s="332"/>
      <c r="E2994" s="333"/>
      <c r="F2994" s="333"/>
      <c r="G2994" s="330"/>
      <c r="H2994" s="330"/>
      <c r="M2994" s="334"/>
      <c r="N2994" s="330"/>
      <c r="O2994" s="330"/>
      <c r="P2994" s="330"/>
      <c r="Q2994" s="330"/>
      <c r="S2994" s="404"/>
      <c r="T2994" s="404"/>
      <c r="U2994" s="404"/>
      <c r="V2994" s="404"/>
      <c r="AB2994" s="404"/>
      <c r="AC2994" s="404"/>
      <c r="AD2994" s="404"/>
      <c r="AE2994" s="316"/>
      <c r="AF2994" s="316"/>
      <c r="AG2994" s="404"/>
      <c r="AI2994" s="316"/>
      <c r="AJ2994" s="316"/>
      <c r="AK2994" s="316"/>
      <c r="AM2994" s="416"/>
    </row>
    <row r="2995" spans="2:39" x14ac:dyDescent="0.25">
      <c r="B2995" s="331"/>
      <c r="C2995" s="332"/>
      <c r="D2995" s="332"/>
      <c r="E2995" s="333"/>
      <c r="F2995" s="333"/>
      <c r="G2995" s="330"/>
      <c r="H2995" s="330"/>
      <c r="M2995" s="334"/>
      <c r="N2995" s="330"/>
      <c r="O2995" s="330"/>
      <c r="P2995" s="330"/>
      <c r="Q2995" s="330"/>
      <c r="S2995" s="404"/>
      <c r="T2995" s="404"/>
      <c r="U2995" s="404"/>
      <c r="V2995" s="404"/>
      <c r="AB2995" s="404"/>
      <c r="AC2995" s="404"/>
      <c r="AD2995" s="404"/>
      <c r="AE2995" s="316"/>
      <c r="AF2995" s="316"/>
      <c r="AG2995" s="404"/>
      <c r="AI2995" s="316"/>
      <c r="AJ2995" s="316"/>
      <c r="AK2995" s="316"/>
      <c r="AM2995" s="416"/>
    </row>
    <row r="2996" spans="2:39" x14ac:dyDescent="0.25">
      <c r="B2996" s="331"/>
      <c r="C2996" s="332"/>
      <c r="D2996" s="332"/>
      <c r="E2996" s="333"/>
      <c r="F2996" s="333"/>
      <c r="G2996" s="330"/>
      <c r="H2996" s="330"/>
      <c r="M2996" s="334"/>
      <c r="N2996" s="330"/>
      <c r="O2996" s="330"/>
      <c r="P2996" s="330"/>
      <c r="Q2996" s="330"/>
      <c r="S2996" s="404"/>
      <c r="T2996" s="404"/>
      <c r="U2996" s="404"/>
      <c r="V2996" s="404"/>
      <c r="AB2996" s="404"/>
      <c r="AC2996" s="404"/>
      <c r="AD2996" s="404"/>
      <c r="AE2996" s="316"/>
      <c r="AF2996" s="316"/>
      <c r="AG2996" s="404"/>
      <c r="AI2996" s="316"/>
      <c r="AJ2996" s="316"/>
      <c r="AK2996" s="316"/>
      <c r="AM2996" s="416"/>
    </row>
    <row r="2997" spans="2:39" x14ac:dyDescent="0.25">
      <c r="B2997" s="331"/>
      <c r="C2997" s="332"/>
      <c r="D2997" s="332"/>
      <c r="E2997" s="333"/>
      <c r="F2997" s="333"/>
      <c r="G2997" s="330"/>
      <c r="H2997" s="330"/>
      <c r="M2997" s="334"/>
      <c r="N2997" s="330"/>
      <c r="O2997" s="330"/>
      <c r="P2997" s="330"/>
      <c r="Q2997" s="330"/>
      <c r="S2997" s="404"/>
      <c r="T2997" s="404"/>
      <c r="U2997" s="404"/>
      <c r="V2997" s="404"/>
      <c r="AB2997" s="404"/>
      <c r="AC2997" s="404"/>
      <c r="AD2997" s="404"/>
      <c r="AE2997" s="316"/>
      <c r="AF2997" s="316"/>
      <c r="AG2997" s="404"/>
      <c r="AI2997" s="316"/>
      <c r="AJ2997" s="316"/>
      <c r="AK2997" s="316"/>
      <c r="AM2997" s="416"/>
    </row>
    <row r="2998" spans="2:39" x14ac:dyDescent="0.25">
      <c r="B2998" s="331"/>
      <c r="C2998" s="332"/>
      <c r="D2998" s="332"/>
      <c r="E2998" s="333"/>
      <c r="F2998" s="333"/>
      <c r="G2998" s="330"/>
      <c r="H2998" s="330"/>
      <c r="M2998" s="334"/>
      <c r="N2998" s="330"/>
      <c r="O2998" s="330"/>
      <c r="P2998" s="330"/>
      <c r="Q2998" s="330"/>
      <c r="S2998" s="404"/>
      <c r="T2998" s="404"/>
      <c r="U2998" s="404"/>
      <c r="V2998" s="404"/>
      <c r="AB2998" s="404"/>
      <c r="AC2998" s="404"/>
      <c r="AD2998" s="404"/>
      <c r="AE2998" s="316"/>
      <c r="AF2998" s="316"/>
      <c r="AG2998" s="404"/>
      <c r="AI2998" s="316"/>
      <c r="AJ2998" s="316"/>
      <c r="AK2998" s="316"/>
      <c r="AM2998" s="416"/>
    </row>
    <row r="2999" spans="2:39" x14ac:dyDescent="0.25">
      <c r="B2999" s="331"/>
      <c r="C2999" s="332"/>
      <c r="D2999" s="332"/>
      <c r="E2999" s="333"/>
      <c r="F2999" s="333"/>
      <c r="G2999" s="330"/>
      <c r="H2999" s="330"/>
      <c r="M2999" s="334"/>
      <c r="N2999" s="330"/>
      <c r="O2999" s="330"/>
      <c r="P2999" s="330"/>
      <c r="Q2999" s="330"/>
      <c r="S2999" s="404"/>
      <c r="T2999" s="404"/>
      <c r="U2999" s="404"/>
      <c r="V2999" s="404"/>
      <c r="AB2999" s="404"/>
      <c r="AC2999" s="404"/>
      <c r="AD2999" s="404"/>
      <c r="AE2999" s="316"/>
      <c r="AF2999" s="316"/>
      <c r="AG2999" s="404"/>
      <c r="AI2999" s="316"/>
      <c r="AJ2999" s="316"/>
      <c r="AK2999" s="316"/>
      <c r="AM2999" s="416"/>
    </row>
    <row r="3000" spans="2:39" x14ac:dyDescent="0.25">
      <c r="B3000" s="331"/>
      <c r="C3000" s="332"/>
      <c r="D3000" s="332"/>
      <c r="E3000" s="333"/>
      <c r="F3000" s="333"/>
      <c r="G3000" s="330"/>
      <c r="H3000" s="330"/>
      <c r="M3000" s="334"/>
      <c r="N3000" s="330"/>
      <c r="O3000" s="330"/>
      <c r="P3000" s="330"/>
      <c r="Q3000" s="330"/>
      <c r="S3000" s="404"/>
      <c r="T3000" s="404"/>
      <c r="U3000" s="404"/>
      <c r="V3000" s="404"/>
      <c r="AB3000" s="404"/>
      <c r="AC3000" s="404"/>
      <c r="AD3000" s="404"/>
      <c r="AE3000" s="316"/>
      <c r="AF3000" s="316"/>
      <c r="AG3000" s="404"/>
      <c r="AI3000" s="316"/>
      <c r="AJ3000" s="316"/>
      <c r="AK3000" s="316"/>
      <c r="AM3000" s="416"/>
    </row>
    <row r="3001" spans="2:39" x14ac:dyDescent="0.25">
      <c r="B3001" s="331"/>
      <c r="C3001" s="332"/>
      <c r="D3001" s="332"/>
      <c r="E3001" s="333"/>
      <c r="F3001" s="333"/>
      <c r="G3001" s="330"/>
      <c r="H3001" s="330"/>
      <c r="M3001" s="334"/>
      <c r="N3001" s="330"/>
      <c r="O3001" s="330"/>
      <c r="P3001" s="330"/>
      <c r="Q3001" s="330"/>
      <c r="S3001" s="404"/>
      <c r="T3001" s="404"/>
      <c r="U3001" s="404"/>
      <c r="V3001" s="404"/>
      <c r="AB3001" s="404"/>
      <c r="AC3001" s="404"/>
      <c r="AD3001" s="404"/>
      <c r="AE3001" s="316"/>
      <c r="AF3001" s="316"/>
      <c r="AG3001" s="404"/>
      <c r="AI3001" s="316"/>
      <c r="AJ3001" s="316"/>
      <c r="AK3001" s="316"/>
      <c r="AM3001" s="416"/>
    </row>
    <row r="3002" spans="2:39" x14ac:dyDescent="0.25">
      <c r="B3002" s="331"/>
      <c r="C3002" s="332"/>
      <c r="D3002" s="332"/>
      <c r="E3002" s="333"/>
      <c r="F3002" s="333"/>
      <c r="G3002" s="330"/>
      <c r="H3002" s="330"/>
      <c r="M3002" s="334"/>
      <c r="N3002" s="330"/>
      <c r="O3002" s="330"/>
      <c r="P3002" s="330"/>
      <c r="Q3002" s="330"/>
      <c r="S3002" s="404"/>
      <c r="T3002" s="404"/>
      <c r="U3002" s="404"/>
      <c r="V3002" s="404"/>
      <c r="AB3002" s="404"/>
      <c r="AC3002" s="404"/>
      <c r="AD3002" s="404"/>
      <c r="AE3002" s="316"/>
      <c r="AF3002" s="316"/>
      <c r="AG3002" s="404"/>
      <c r="AI3002" s="316"/>
      <c r="AJ3002" s="316"/>
      <c r="AK3002" s="316"/>
      <c r="AM3002" s="416"/>
    </row>
    <row r="3003" spans="2:39" x14ac:dyDescent="0.25">
      <c r="B3003" s="331"/>
      <c r="C3003" s="332"/>
      <c r="D3003" s="332"/>
      <c r="E3003" s="333"/>
      <c r="F3003" s="333"/>
      <c r="G3003" s="330"/>
      <c r="H3003" s="330"/>
      <c r="M3003" s="334"/>
      <c r="N3003" s="330"/>
      <c r="O3003" s="330"/>
      <c r="P3003" s="330"/>
      <c r="Q3003" s="330"/>
      <c r="S3003" s="404"/>
      <c r="T3003" s="404"/>
      <c r="U3003" s="404"/>
      <c r="V3003" s="404"/>
      <c r="AB3003" s="404"/>
      <c r="AC3003" s="404"/>
      <c r="AD3003" s="404"/>
      <c r="AE3003" s="316"/>
      <c r="AF3003" s="316"/>
      <c r="AG3003" s="404"/>
      <c r="AI3003" s="316"/>
      <c r="AJ3003" s="316"/>
      <c r="AK3003" s="316"/>
      <c r="AM3003" s="416"/>
    </row>
    <row r="3004" spans="2:39" x14ac:dyDescent="0.25">
      <c r="B3004" s="331"/>
      <c r="C3004" s="332"/>
      <c r="D3004" s="332"/>
      <c r="E3004" s="333"/>
      <c r="F3004" s="333"/>
      <c r="G3004" s="330"/>
      <c r="H3004" s="330"/>
      <c r="M3004" s="334"/>
      <c r="N3004" s="330"/>
      <c r="O3004" s="330"/>
      <c r="P3004" s="330"/>
      <c r="Q3004" s="330"/>
      <c r="S3004" s="404"/>
      <c r="T3004" s="404"/>
      <c r="U3004" s="404"/>
      <c r="V3004" s="404"/>
      <c r="AB3004" s="404"/>
      <c r="AC3004" s="404"/>
      <c r="AD3004" s="404"/>
      <c r="AE3004" s="316"/>
      <c r="AF3004" s="316"/>
      <c r="AG3004" s="404"/>
      <c r="AI3004" s="316"/>
      <c r="AJ3004" s="316"/>
      <c r="AK3004" s="316"/>
      <c r="AM3004" s="416"/>
    </row>
    <row r="3005" spans="2:39" x14ac:dyDescent="0.25">
      <c r="B3005" s="331"/>
      <c r="C3005" s="332"/>
      <c r="D3005" s="332"/>
      <c r="E3005" s="333"/>
      <c r="F3005" s="333"/>
      <c r="G3005" s="330"/>
      <c r="H3005" s="330"/>
      <c r="M3005" s="334"/>
      <c r="N3005" s="330"/>
      <c r="O3005" s="330"/>
      <c r="P3005" s="330"/>
      <c r="Q3005" s="330"/>
      <c r="S3005" s="404"/>
      <c r="T3005" s="404"/>
      <c r="U3005" s="404"/>
      <c r="V3005" s="404"/>
      <c r="AB3005" s="404"/>
      <c r="AC3005" s="404"/>
      <c r="AD3005" s="404"/>
      <c r="AE3005" s="316"/>
      <c r="AF3005" s="316"/>
      <c r="AG3005" s="404"/>
      <c r="AI3005" s="316"/>
      <c r="AJ3005" s="316"/>
      <c r="AK3005" s="316"/>
      <c r="AM3005" s="416"/>
    </row>
    <row r="3006" spans="2:39" x14ac:dyDescent="0.25">
      <c r="B3006" s="331"/>
      <c r="C3006" s="332"/>
      <c r="D3006" s="332"/>
      <c r="E3006" s="333"/>
      <c r="F3006" s="333"/>
      <c r="G3006" s="330"/>
      <c r="H3006" s="330"/>
      <c r="M3006" s="334"/>
      <c r="N3006" s="330"/>
      <c r="O3006" s="330"/>
      <c r="P3006" s="330"/>
      <c r="Q3006" s="330"/>
      <c r="S3006" s="404"/>
      <c r="T3006" s="404"/>
      <c r="U3006" s="404"/>
      <c r="V3006" s="404"/>
      <c r="AB3006" s="404"/>
      <c r="AC3006" s="404"/>
      <c r="AD3006" s="404"/>
      <c r="AE3006" s="316"/>
      <c r="AF3006" s="316"/>
      <c r="AG3006" s="404"/>
      <c r="AI3006" s="316"/>
      <c r="AJ3006" s="316"/>
      <c r="AK3006" s="316"/>
      <c r="AM3006" s="416"/>
    </row>
    <row r="3007" spans="2:39" x14ac:dyDescent="0.25">
      <c r="B3007" s="331"/>
      <c r="C3007" s="332"/>
      <c r="D3007" s="332"/>
      <c r="E3007" s="333"/>
      <c r="F3007" s="333"/>
      <c r="G3007" s="330"/>
      <c r="H3007" s="330"/>
      <c r="M3007" s="334"/>
      <c r="N3007" s="330"/>
      <c r="O3007" s="330"/>
      <c r="P3007" s="330"/>
      <c r="Q3007" s="330"/>
      <c r="S3007" s="404"/>
      <c r="T3007" s="404"/>
      <c r="U3007" s="404"/>
      <c r="V3007" s="404"/>
      <c r="AB3007" s="404"/>
      <c r="AC3007" s="404"/>
      <c r="AD3007" s="404"/>
      <c r="AE3007" s="316"/>
      <c r="AF3007" s="316"/>
      <c r="AG3007" s="404"/>
      <c r="AI3007" s="316"/>
      <c r="AJ3007" s="316"/>
      <c r="AK3007" s="316"/>
      <c r="AM3007" s="416"/>
    </row>
    <row r="3008" spans="2:39" x14ac:dyDescent="0.25">
      <c r="B3008" s="331"/>
      <c r="C3008" s="332"/>
      <c r="D3008" s="332"/>
      <c r="E3008" s="333"/>
      <c r="F3008" s="333"/>
      <c r="G3008" s="330"/>
      <c r="H3008" s="330"/>
      <c r="M3008" s="334"/>
      <c r="N3008" s="330"/>
      <c r="O3008" s="330"/>
      <c r="P3008" s="330"/>
      <c r="Q3008" s="330"/>
      <c r="S3008" s="404"/>
      <c r="T3008" s="404"/>
      <c r="U3008" s="404"/>
      <c r="V3008" s="404"/>
      <c r="AB3008" s="404"/>
      <c r="AC3008" s="404"/>
      <c r="AD3008" s="404"/>
      <c r="AE3008" s="316"/>
      <c r="AF3008" s="316"/>
      <c r="AG3008" s="404"/>
      <c r="AI3008" s="316"/>
      <c r="AJ3008" s="316"/>
      <c r="AK3008" s="316"/>
      <c r="AM3008" s="416"/>
    </row>
    <row r="3009" spans="2:39" x14ac:dyDescent="0.25">
      <c r="B3009" s="331"/>
      <c r="C3009" s="332"/>
      <c r="D3009" s="332"/>
      <c r="E3009" s="333"/>
      <c r="F3009" s="333"/>
      <c r="G3009" s="330"/>
      <c r="H3009" s="330"/>
      <c r="M3009" s="334"/>
      <c r="N3009" s="330"/>
      <c r="O3009" s="330"/>
      <c r="P3009" s="330"/>
      <c r="Q3009" s="330"/>
      <c r="S3009" s="404"/>
      <c r="T3009" s="404"/>
      <c r="U3009" s="404"/>
      <c r="V3009" s="404"/>
      <c r="AB3009" s="404"/>
      <c r="AC3009" s="404"/>
      <c r="AD3009" s="404"/>
      <c r="AE3009" s="316"/>
      <c r="AF3009" s="316"/>
      <c r="AG3009" s="404"/>
      <c r="AI3009" s="316"/>
      <c r="AJ3009" s="316"/>
      <c r="AK3009" s="316"/>
      <c r="AM3009" s="416"/>
    </row>
    <row r="3010" spans="2:39" x14ac:dyDescent="0.25">
      <c r="B3010" s="331"/>
      <c r="C3010" s="332"/>
      <c r="D3010" s="332"/>
      <c r="E3010" s="333"/>
      <c r="F3010" s="333"/>
      <c r="G3010" s="330"/>
      <c r="H3010" s="330"/>
      <c r="M3010" s="334"/>
      <c r="N3010" s="330"/>
      <c r="O3010" s="330"/>
      <c r="P3010" s="330"/>
      <c r="Q3010" s="330"/>
      <c r="S3010" s="404"/>
      <c r="T3010" s="404"/>
      <c r="U3010" s="404"/>
      <c r="V3010" s="404"/>
      <c r="AB3010" s="404"/>
      <c r="AC3010" s="404"/>
      <c r="AD3010" s="404"/>
      <c r="AE3010" s="316"/>
      <c r="AF3010" s="316"/>
      <c r="AG3010" s="404"/>
      <c r="AI3010" s="316"/>
      <c r="AJ3010" s="316"/>
      <c r="AK3010" s="316"/>
      <c r="AM3010" s="416"/>
    </row>
    <row r="3011" spans="2:39" x14ac:dyDescent="0.25">
      <c r="B3011" s="331"/>
      <c r="C3011" s="332"/>
      <c r="D3011" s="332"/>
      <c r="E3011" s="333"/>
      <c r="F3011" s="333"/>
      <c r="G3011" s="330"/>
      <c r="H3011" s="330"/>
      <c r="M3011" s="334"/>
      <c r="N3011" s="330"/>
      <c r="O3011" s="330"/>
      <c r="P3011" s="330"/>
      <c r="Q3011" s="330"/>
      <c r="S3011" s="404"/>
      <c r="T3011" s="404"/>
      <c r="U3011" s="404"/>
      <c r="V3011" s="404"/>
      <c r="AB3011" s="404"/>
      <c r="AC3011" s="404"/>
      <c r="AD3011" s="404"/>
      <c r="AE3011" s="316"/>
      <c r="AF3011" s="316"/>
      <c r="AG3011" s="404"/>
      <c r="AI3011" s="316"/>
      <c r="AJ3011" s="316"/>
      <c r="AK3011" s="316"/>
      <c r="AM3011" s="416"/>
    </row>
    <row r="3012" spans="2:39" x14ac:dyDescent="0.25">
      <c r="B3012" s="331"/>
      <c r="C3012" s="332"/>
      <c r="D3012" s="332"/>
      <c r="E3012" s="333"/>
      <c r="F3012" s="333"/>
      <c r="G3012" s="330"/>
      <c r="H3012" s="330"/>
      <c r="M3012" s="334"/>
      <c r="N3012" s="330"/>
      <c r="O3012" s="330"/>
      <c r="P3012" s="330"/>
      <c r="Q3012" s="330"/>
      <c r="S3012" s="404"/>
      <c r="T3012" s="404"/>
      <c r="U3012" s="404"/>
      <c r="V3012" s="404"/>
      <c r="AB3012" s="404"/>
      <c r="AC3012" s="404"/>
      <c r="AD3012" s="404"/>
      <c r="AE3012" s="316"/>
      <c r="AF3012" s="316"/>
      <c r="AG3012" s="404"/>
      <c r="AI3012" s="316"/>
      <c r="AJ3012" s="316"/>
      <c r="AK3012" s="316"/>
      <c r="AM3012" s="416"/>
    </row>
    <row r="3013" spans="2:39" x14ac:dyDescent="0.25">
      <c r="B3013" s="331"/>
      <c r="C3013" s="332"/>
      <c r="D3013" s="332"/>
      <c r="E3013" s="333"/>
      <c r="F3013" s="333"/>
      <c r="G3013" s="330"/>
      <c r="H3013" s="330"/>
      <c r="M3013" s="334"/>
      <c r="N3013" s="330"/>
      <c r="O3013" s="330"/>
      <c r="P3013" s="330"/>
      <c r="Q3013" s="330"/>
      <c r="S3013" s="404"/>
      <c r="T3013" s="404"/>
      <c r="U3013" s="404"/>
      <c r="V3013" s="404"/>
      <c r="AB3013" s="404"/>
      <c r="AC3013" s="404"/>
      <c r="AD3013" s="404"/>
      <c r="AE3013" s="316"/>
      <c r="AF3013" s="316"/>
      <c r="AG3013" s="404"/>
      <c r="AI3013" s="316"/>
      <c r="AJ3013" s="316"/>
      <c r="AK3013" s="316"/>
      <c r="AM3013" s="416"/>
    </row>
    <row r="3014" spans="2:39" x14ac:dyDescent="0.25">
      <c r="B3014" s="331"/>
      <c r="C3014" s="332"/>
      <c r="D3014" s="332"/>
      <c r="E3014" s="333"/>
      <c r="F3014" s="333"/>
      <c r="G3014" s="330"/>
      <c r="H3014" s="330"/>
      <c r="M3014" s="334"/>
      <c r="N3014" s="330"/>
      <c r="O3014" s="330"/>
      <c r="P3014" s="330"/>
      <c r="Q3014" s="330"/>
      <c r="S3014" s="404"/>
      <c r="T3014" s="404"/>
      <c r="U3014" s="404"/>
      <c r="V3014" s="404"/>
      <c r="AB3014" s="404"/>
      <c r="AC3014" s="404"/>
      <c r="AD3014" s="404"/>
      <c r="AE3014" s="316"/>
      <c r="AF3014" s="316"/>
      <c r="AG3014" s="404"/>
      <c r="AI3014" s="316"/>
      <c r="AJ3014" s="316"/>
      <c r="AK3014" s="316"/>
      <c r="AM3014" s="416"/>
    </row>
    <row r="3015" spans="2:39" x14ac:dyDescent="0.25">
      <c r="B3015" s="331"/>
      <c r="C3015" s="332"/>
      <c r="D3015" s="332"/>
      <c r="E3015" s="333"/>
      <c r="F3015" s="333"/>
      <c r="G3015" s="330"/>
      <c r="H3015" s="330"/>
      <c r="M3015" s="334"/>
      <c r="N3015" s="330"/>
      <c r="O3015" s="330"/>
      <c r="P3015" s="330"/>
      <c r="Q3015" s="330"/>
      <c r="S3015" s="404"/>
      <c r="T3015" s="404"/>
      <c r="U3015" s="404"/>
      <c r="V3015" s="404"/>
      <c r="AB3015" s="404"/>
      <c r="AC3015" s="404"/>
      <c r="AD3015" s="404"/>
      <c r="AE3015" s="316"/>
      <c r="AF3015" s="316"/>
      <c r="AG3015" s="404"/>
      <c r="AI3015" s="316"/>
      <c r="AJ3015" s="316"/>
      <c r="AK3015" s="316"/>
      <c r="AM3015" s="416"/>
    </row>
    <row r="3016" spans="2:39" x14ac:dyDescent="0.25">
      <c r="B3016" s="331"/>
      <c r="C3016" s="332"/>
      <c r="D3016" s="332"/>
      <c r="E3016" s="333"/>
      <c r="F3016" s="333"/>
      <c r="G3016" s="330"/>
      <c r="H3016" s="330"/>
      <c r="M3016" s="334"/>
      <c r="N3016" s="330"/>
      <c r="O3016" s="330"/>
      <c r="P3016" s="330"/>
      <c r="Q3016" s="330"/>
      <c r="S3016" s="404"/>
      <c r="T3016" s="404"/>
      <c r="U3016" s="404"/>
      <c r="V3016" s="404"/>
      <c r="AB3016" s="404"/>
      <c r="AC3016" s="404"/>
      <c r="AD3016" s="404"/>
      <c r="AE3016" s="316"/>
      <c r="AF3016" s="316"/>
      <c r="AG3016" s="404"/>
      <c r="AI3016" s="316"/>
      <c r="AJ3016" s="316"/>
      <c r="AK3016" s="316"/>
      <c r="AM3016" s="416"/>
    </row>
    <row r="3017" spans="2:39" x14ac:dyDescent="0.25">
      <c r="B3017" s="331"/>
      <c r="C3017" s="332"/>
      <c r="D3017" s="332"/>
      <c r="E3017" s="333"/>
      <c r="F3017" s="333"/>
      <c r="G3017" s="330"/>
      <c r="H3017" s="330"/>
      <c r="M3017" s="334"/>
      <c r="N3017" s="330"/>
      <c r="O3017" s="330"/>
      <c r="P3017" s="330"/>
      <c r="Q3017" s="330"/>
      <c r="S3017" s="404"/>
      <c r="T3017" s="404"/>
      <c r="U3017" s="404"/>
      <c r="V3017" s="404"/>
      <c r="AB3017" s="404"/>
      <c r="AC3017" s="404"/>
      <c r="AD3017" s="404"/>
      <c r="AE3017" s="316"/>
      <c r="AF3017" s="316"/>
      <c r="AG3017" s="404"/>
      <c r="AI3017" s="316"/>
      <c r="AJ3017" s="316"/>
      <c r="AK3017" s="316"/>
      <c r="AM3017" s="416"/>
    </row>
    <row r="3018" spans="2:39" x14ac:dyDescent="0.25">
      <c r="B3018" s="331"/>
      <c r="C3018" s="332"/>
      <c r="D3018" s="332"/>
      <c r="E3018" s="333"/>
      <c r="F3018" s="333"/>
      <c r="G3018" s="330"/>
      <c r="H3018" s="330"/>
      <c r="M3018" s="334"/>
      <c r="N3018" s="330"/>
      <c r="O3018" s="330"/>
      <c r="P3018" s="330"/>
      <c r="Q3018" s="330"/>
      <c r="S3018" s="404"/>
      <c r="T3018" s="404"/>
      <c r="U3018" s="404"/>
      <c r="V3018" s="404"/>
      <c r="AB3018" s="404"/>
      <c r="AC3018" s="404"/>
      <c r="AD3018" s="404"/>
      <c r="AE3018" s="316"/>
      <c r="AF3018" s="316"/>
      <c r="AG3018" s="404"/>
      <c r="AI3018" s="316"/>
      <c r="AJ3018" s="316"/>
      <c r="AK3018" s="316"/>
      <c r="AM3018" s="416"/>
    </row>
    <row r="3019" spans="2:39" x14ac:dyDescent="0.25">
      <c r="B3019" s="331"/>
      <c r="C3019" s="332"/>
      <c r="D3019" s="332"/>
      <c r="E3019" s="333"/>
      <c r="F3019" s="333"/>
      <c r="G3019" s="330"/>
      <c r="H3019" s="330"/>
      <c r="M3019" s="334"/>
      <c r="N3019" s="330"/>
      <c r="O3019" s="330"/>
      <c r="P3019" s="330"/>
      <c r="Q3019" s="330"/>
      <c r="S3019" s="404"/>
      <c r="T3019" s="404"/>
      <c r="U3019" s="404"/>
      <c r="V3019" s="404"/>
      <c r="AB3019" s="404"/>
      <c r="AC3019" s="404"/>
      <c r="AD3019" s="404"/>
      <c r="AE3019" s="316"/>
      <c r="AF3019" s="316"/>
      <c r="AG3019" s="404"/>
      <c r="AI3019" s="316"/>
      <c r="AJ3019" s="316"/>
      <c r="AK3019" s="316"/>
      <c r="AM3019" s="416"/>
    </row>
    <row r="3020" spans="2:39" x14ac:dyDescent="0.25">
      <c r="B3020" s="331"/>
      <c r="C3020" s="332"/>
      <c r="D3020" s="332"/>
      <c r="E3020" s="333"/>
      <c r="F3020" s="333"/>
      <c r="G3020" s="330"/>
      <c r="H3020" s="330"/>
      <c r="M3020" s="334"/>
      <c r="N3020" s="330"/>
      <c r="O3020" s="330"/>
      <c r="P3020" s="330"/>
      <c r="Q3020" s="330"/>
      <c r="S3020" s="404"/>
      <c r="T3020" s="404"/>
      <c r="U3020" s="404"/>
      <c r="V3020" s="404"/>
      <c r="AB3020" s="404"/>
      <c r="AC3020" s="404"/>
      <c r="AD3020" s="404"/>
      <c r="AE3020" s="316"/>
      <c r="AF3020" s="316"/>
      <c r="AG3020" s="404"/>
      <c r="AI3020" s="316"/>
      <c r="AJ3020" s="316"/>
      <c r="AK3020" s="316"/>
      <c r="AM3020" s="416"/>
    </row>
    <row r="3021" spans="2:39" x14ac:dyDescent="0.25">
      <c r="B3021" s="331"/>
      <c r="C3021" s="332"/>
      <c r="D3021" s="332"/>
      <c r="E3021" s="333"/>
      <c r="F3021" s="333"/>
      <c r="G3021" s="330"/>
      <c r="H3021" s="330"/>
      <c r="M3021" s="334"/>
      <c r="N3021" s="330"/>
      <c r="O3021" s="330"/>
      <c r="P3021" s="330"/>
      <c r="Q3021" s="330"/>
      <c r="S3021" s="404"/>
      <c r="T3021" s="404"/>
      <c r="U3021" s="404"/>
      <c r="V3021" s="404"/>
      <c r="AB3021" s="404"/>
      <c r="AC3021" s="404"/>
      <c r="AD3021" s="404"/>
      <c r="AE3021" s="316"/>
      <c r="AF3021" s="316"/>
      <c r="AG3021" s="404"/>
      <c r="AI3021" s="316"/>
      <c r="AJ3021" s="316"/>
      <c r="AK3021" s="316"/>
      <c r="AM3021" s="416"/>
    </row>
    <row r="3022" spans="2:39" x14ac:dyDescent="0.25">
      <c r="B3022" s="331"/>
      <c r="C3022" s="332"/>
      <c r="D3022" s="332"/>
      <c r="E3022" s="333"/>
      <c r="F3022" s="333"/>
      <c r="G3022" s="330"/>
      <c r="H3022" s="330"/>
      <c r="M3022" s="334"/>
      <c r="N3022" s="330"/>
      <c r="O3022" s="330"/>
      <c r="P3022" s="330"/>
      <c r="Q3022" s="330"/>
      <c r="S3022" s="404"/>
      <c r="T3022" s="404"/>
      <c r="U3022" s="404"/>
      <c r="V3022" s="404"/>
      <c r="AB3022" s="404"/>
      <c r="AC3022" s="404"/>
      <c r="AD3022" s="404"/>
      <c r="AE3022" s="316"/>
      <c r="AF3022" s="316"/>
      <c r="AG3022" s="404"/>
      <c r="AI3022" s="316"/>
      <c r="AJ3022" s="316"/>
      <c r="AK3022" s="316"/>
      <c r="AM3022" s="416"/>
    </row>
    <row r="3023" spans="2:39" x14ac:dyDescent="0.25">
      <c r="B3023" s="331"/>
      <c r="C3023" s="332"/>
      <c r="D3023" s="332"/>
      <c r="E3023" s="333"/>
      <c r="F3023" s="333"/>
      <c r="G3023" s="330"/>
      <c r="H3023" s="330"/>
      <c r="M3023" s="334"/>
      <c r="N3023" s="330"/>
      <c r="O3023" s="330"/>
      <c r="P3023" s="330"/>
      <c r="Q3023" s="330"/>
      <c r="S3023" s="404"/>
      <c r="T3023" s="404"/>
      <c r="U3023" s="404"/>
      <c r="V3023" s="404"/>
      <c r="AB3023" s="404"/>
      <c r="AC3023" s="404"/>
      <c r="AD3023" s="404"/>
      <c r="AE3023" s="316"/>
      <c r="AF3023" s="316"/>
      <c r="AG3023" s="404"/>
      <c r="AI3023" s="316"/>
      <c r="AJ3023" s="316"/>
      <c r="AK3023" s="316"/>
      <c r="AM3023" s="416"/>
    </row>
    <row r="3024" spans="2:39" x14ac:dyDescent="0.25">
      <c r="B3024" s="331"/>
      <c r="C3024" s="332"/>
      <c r="D3024" s="332"/>
      <c r="E3024" s="333"/>
      <c r="F3024" s="333"/>
      <c r="G3024" s="330"/>
      <c r="H3024" s="330"/>
      <c r="M3024" s="334"/>
      <c r="N3024" s="330"/>
      <c r="O3024" s="330"/>
      <c r="P3024" s="330"/>
      <c r="Q3024" s="330"/>
      <c r="S3024" s="404"/>
      <c r="T3024" s="404"/>
      <c r="U3024" s="404"/>
      <c r="V3024" s="404"/>
      <c r="AB3024" s="404"/>
      <c r="AC3024" s="404"/>
      <c r="AD3024" s="404"/>
      <c r="AE3024" s="316"/>
      <c r="AF3024" s="316"/>
      <c r="AG3024" s="404"/>
      <c r="AI3024" s="316"/>
      <c r="AJ3024" s="316"/>
      <c r="AK3024" s="316"/>
      <c r="AM3024" s="416"/>
    </row>
    <row r="3025" spans="2:39" x14ac:dyDescent="0.25">
      <c r="B3025" s="331"/>
      <c r="C3025" s="332"/>
      <c r="D3025" s="332"/>
      <c r="E3025" s="333"/>
      <c r="F3025" s="333"/>
      <c r="G3025" s="330"/>
      <c r="H3025" s="330"/>
      <c r="M3025" s="334"/>
      <c r="N3025" s="330"/>
      <c r="O3025" s="330"/>
      <c r="P3025" s="330"/>
      <c r="Q3025" s="330"/>
      <c r="S3025" s="404"/>
      <c r="T3025" s="404"/>
      <c r="U3025" s="404"/>
      <c r="V3025" s="404"/>
      <c r="AB3025" s="404"/>
      <c r="AC3025" s="404"/>
      <c r="AD3025" s="404"/>
      <c r="AE3025" s="316"/>
      <c r="AF3025" s="316"/>
      <c r="AG3025" s="404"/>
      <c r="AI3025" s="316"/>
      <c r="AJ3025" s="316"/>
      <c r="AK3025" s="316"/>
      <c r="AM3025" s="416"/>
    </row>
    <row r="3026" spans="2:39" x14ac:dyDescent="0.25">
      <c r="B3026" s="331"/>
      <c r="C3026" s="332"/>
      <c r="D3026" s="332"/>
      <c r="E3026" s="333"/>
      <c r="F3026" s="333"/>
      <c r="G3026" s="330"/>
      <c r="H3026" s="330"/>
      <c r="M3026" s="334"/>
      <c r="N3026" s="330"/>
      <c r="O3026" s="330"/>
      <c r="P3026" s="330"/>
      <c r="Q3026" s="330"/>
      <c r="S3026" s="404"/>
      <c r="T3026" s="404"/>
      <c r="U3026" s="404"/>
      <c r="V3026" s="404"/>
      <c r="AB3026" s="404"/>
      <c r="AC3026" s="404"/>
      <c r="AD3026" s="404"/>
      <c r="AE3026" s="316"/>
      <c r="AF3026" s="316"/>
      <c r="AG3026" s="404"/>
      <c r="AI3026" s="316"/>
      <c r="AJ3026" s="316"/>
      <c r="AK3026" s="316"/>
      <c r="AM3026" s="416"/>
    </row>
    <row r="3027" spans="2:39" x14ac:dyDescent="0.25">
      <c r="B3027" s="331"/>
      <c r="C3027" s="332"/>
      <c r="D3027" s="332"/>
      <c r="E3027" s="333"/>
      <c r="F3027" s="333"/>
      <c r="G3027" s="330"/>
      <c r="H3027" s="330"/>
      <c r="M3027" s="334"/>
      <c r="N3027" s="330"/>
      <c r="O3027" s="330"/>
      <c r="P3027" s="330"/>
      <c r="Q3027" s="330"/>
      <c r="S3027" s="404"/>
      <c r="T3027" s="404"/>
      <c r="U3027" s="404"/>
      <c r="V3027" s="404"/>
      <c r="AB3027" s="404"/>
      <c r="AC3027" s="404"/>
      <c r="AD3027" s="404"/>
      <c r="AE3027" s="316"/>
      <c r="AF3027" s="316"/>
      <c r="AG3027" s="404"/>
      <c r="AI3027" s="316"/>
      <c r="AJ3027" s="316"/>
      <c r="AK3027" s="316"/>
      <c r="AM3027" s="416"/>
    </row>
    <row r="3028" spans="2:39" x14ac:dyDescent="0.25">
      <c r="B3028" s="331"/>
      <c r="C3028" s="332"/>
      <c r="D3028" s="332"/>
      <c r="E3028" s="333"/>
      <c r="F3028" s="333"/>
      <c r="G3028" s="330"/>
      <c r="H3028" s="330"/>
      <c r="M3028" s="334"/>
      <c r="N3028" s="330"/>
      <c r="O3028" s="330"/>
      <c r="P3028" s="330"/>
      <c r="Q3028" s="330"/>
      <c r="S3028" s="404"/>
      <c r="T3028" s="404"/>
      <c r="U3028" s="404"/>
      <c r="V3028" s="404"/>
      <c r="AB3028" s="404"/>
      <c r="AC3028" s="404"/>
      <c r="AD3028" s="404"/>
      <c r="AE3028" s="316"/>
      <c r="AF3028" s="316"/>
      <c r="AG3028" s="404"/>
      <c r="AI3028" s="316"/>
      <c r="AJ3028" s="316"/>
      <c r="AK3028" s="316"/>
      <c r="AM3028" s="416"/>
    </row>
    <row r="3029" spans="2:39" x14ac:dyDescent="0.25">
      <c r="B3029" s="331"/>
      <c r="C3029" s="332"/>
      <c r="D3029" s="332"/>
      <c r="E3029" s="333"/>
      <c r="F3029" s="333"/>
      <c r="G3029" s="330"/>
      <c r="H3029" s="330"/>
      <c r="M3029" s="334"/>
      <c r="N3029" s="330"/>
      <c r="O3029" s="330"/>
      <c r="P3029" s="330"/>
      <c r="Q3029" s="330"/>
      <c r="S3029" s="404"/>
      <c r="T3029" s="404"/>
      <c r="U3029" s="404"/>
      <c r="V3029" s="404"/>
      <c r="AB3029" s="404"/>
      <c r="AC3029" s="404"/>
      <c r="AD3029" s="404"/>
      <c r="AE3029" s="316"/>
      <c r="AF3029" s="316"/>
      <c r="AG3029" s="404"/>
      <c r="AI3029" s="316"/>
      <c r="AJ3029" s="316"/>
      <c r="AK3029" s="316"/>
      <c r="AM3029" s="416"/>
    </row>
    <row r="3030" spans="2:39" x14ac:dyDescent="0.25">
      <c r="B3030" s="331"/>
      <c r="C3030" s="332"/>
      <c r="D3030" s="332"/>
      <c r="E3030" s="333"/>
      <c r="F3030" s="333"/>
      <c r="G3030" s="330"/>
      <c r="H3030" s="330"/>
      <c r="M3030" s="334"/>
      <c r="N3030" s="330"/>
      <c r="O3030" s="330"/>
      <c r="P3030" s="330"/>
      <c r="Q3030" s="330"/>
      <c r="S3030" s="404"/>
      <c r="T3030" s="404"/>
      <c r="U3030" s="404"/>
      <c r="V3030" s="404"/>
      <c r="AB3030" s="404"/>
      <c r="AC3030" s="404"/>
      <c r="AD3030" s="404"/>
      <c r="AE3030" s="316"/>
      <c r="AF3030" s="316"/>
      <c r="AG3030" s="404"/>
      <c r="AI3030" s="316"/>
      <c r="AJ3030" s="316"/>
      <c r="AK3030" s="316"/>
      <c r="AM3030" s="416"/>
    </row>
    <row r="3031" spans="2:39" x14ac:dyDescent="0.25">
      <c r="B3031" s="331"/>
      <c r="C3031" s="332"/>
      <c r="D3031" s="332"/>
      <c r="E3031" s="333"/>
      <c r="F3031" s="333"/>
      <c r="G3031" s="330"/>
      <c r="H3031" s="330"/>
      <c r="M3031" s="334"/>
      <c r="N3031" s="330"/>
      <c r="O3031" s="330"/>
      <c r="P3031" s="330"/>
      <c r="Q3031" s="330"/>
      <c r="S3031" s="404"/>
      <c r="T3031" s="404"/>
      <c r="U3031" s="404"/>
      <c r="V3031" s="404"/>
      <c r="AB3031" s="404"/>
      <c r="AC3031" s="404"/>
      <c r="AD3031" s="404"/>
      <c r="AE3031" s="316"/>
      <c r="AF3031" s="316"/>
      <c r="AG3031" s="404"/>
      <c r="AI3031" s="316"/>
      <c r="AJ3031" s="316"/>
      <c r="AK3031" s="316"/>
      <c r="AM3031" s="416"/>
    </row>
    <row r="3032" spans="2:39" x14ac:dyDescent="0.25">
      <c r="B3032" s="331"/>
      <c r="C3032" s="332"/>
      <c r="D3032" s="332"/>
      <c r="E3032" s="333"/>
      <c r="F3032" s="333"/>
      <c r="G3032" s="330"/>
      <c r="H3032" s="330"/>
      <c r="M3032" s="334"/>
      <c r="N3032" s="330"/>
      <c r="O3032" s="330"/>
      <c r="P3032" s="330"/>
      <c r="Q3032" s="330"/>
      <c r="S3032" s="404"/>
      <c r="T3032" s="404"/>
      <c r="U3032" s="404"/>
      <c r="V3032" s="404"/>
      <c r="AB3032" s="404"/>
      <c r="AC3032" s="404"/>
      <c r="AD3032" s="404"/>
      <c r="AE3032" s="316"/>
      <c r="AF3032" s="316"/>
      <c r="AG3032" s="404"/>
      <c r="AI3032" s="316"/>
      <c r="AJ3032" s="316"/>
      <c r="AK3032" s="316"/>
      <c r="AM3032" s="416"/>
    </row>
    <row r="3033" spans="2:39" x14ac:dyDescent="0.25">
      <c r="B3033" s="331"/>
      <c r="C3033" s="332"/>
      <c r="D3033" s="332"/>
      <c r="E3033" s="333"/>
      <c r="F3033" s="333"/>
      <c r="G3033" s="330"/>
      <c r="H3033" s="330"/>
      <c r="M3033" s="334"/>
      <c r="N3033" s="330"/>
      <c r="O3033" s="330"/>
      <c r="P3033" s="330"/>
      <c r="Q3033" s="330"/>
      <c r="S3033" s="404"/>
      <c r="T3033" s="404"/>
      <c r="U3033" s="404"/>
      <c r="V3033" s="404"/>
      <c r="AB3033" s="404"/>
      <c r="AC3033" s="404"/>
      <c r="AD3033" s="404"/>
      <c r="AE3033" s="316"/>
      <c r="AF3033" s="316"/>
      <c r="AG3033" s="404"/>
      <c r="AI3033" s="316"/>
      <c r="AJ3033" s="316"/>
      <c r="AK3033" s="316"/>
      <c r="AM3033" s="416"/>
    </row>
    <row r="3034" spans="2:39" x14ac:dyDescent="0.25">
      <c r="B3034" s="331"/>
      <c r="C3034" s="332"/>
      <c r="D3034" s="332"/>
      <c r="E3034" s="333"/>
      <c r="F3034" s="333"/>
      <c r="G3034" s="330"/>
      <c r="H3034" s="330"/>
      <c r="M3034" s="334"/>
      <c r="N3034" s="330"/>
      <c r="O3034" s="330"/>
      <c r="P3034" s="330"/>
      <c r="Q3034" s="330"/>
      <c r="S3034" s="404"/>
      <c r="T3034" s="404"/>
      <c r="U3034" s="404"/>
      <c r="V3034" s="404"/>
      <c r="AB3034" s="404"/>
      <c r="AC3034" s="404"/>
      <c r="AD3034" s="404"/>
      <c r="AE3034" s="316"/>
      <c r="AF3034" s="316"/>
      <c r="AG3034" s="404"/>
      <c r="AI3034" s="316"/>
      <c r="AJ3034" s="316"/>
      <c r="AK3034" s="316"/>
      <c r="AM3034" s="416"/>
    </row>
    <row r="3035" spans="2:39" x14ac:dyDescent="0.25">
      <c r="B3035" s="331"/>
      <c r="C3035" s="332"/>
      <c r="D3035" s="332"/>
      <c r="E3035" s="333"/>
      <c r="F3035" s="333"/>
      <c r="G3035" s="330"/>
      <c r="H3035" s="330"/>
      <c r="M3035" s="334"/>
      <c r="N3035" s="330"/>
      <c r="O3035" s="330"/>
      <c r="P3035" s="330"/>
      <c r="Q3035" s="330"/>
      <c r="S3035" s="404"/>
      <c r="T3035" s="404"/>
      <c r="U3035" s="404"/>
      <c r="V3035" s="404"/>
      <c r="AB3035" s="404"/>
      <c r="AC3035" s="404"/>
      <c r="AD3035" s="404"/>
      <c r="AE3035" s="316"/>
      <c r="AF3035" s="316"/>
      <c r="AG3035" s="404"/>
      <c r="AI3035" s="316"/>
      <c r="AJ3035" s="316"/>
      <c r="AK3035" s="316"/>
      <c r="AM3035" s="416"/>
    </row>
    <row r="3036" spans="2:39" x14ac:dyDescent="0.25">
      <c r="B3036" s="331"/>
      <c r="C3036" s="332"/>
      <c r="D3036" s="332"/>
      <c r="E3036" s="333"/>
      <c r="F3036" s="333"/>
      <c r="G3036" s="330"/>
      <c r="H3036" s="330"/>
      <c r="M3036" s="334"/>
      <c r="N3036" s="330"/>
      <c r="O3036" s="330"/>
      <c r="P3036" s="330"/>
      <c r="Q3036" s="330"/>
      <c r="S3036" s="404"/>
      <c r="T3036" s="404"/>
      <c r="U3036" s="404"/>
      <c r="V3036" s="404"/>
      <c r="AB3036" s="404"/>
      <c r="AC3036" s="404"/>
      <c r="AD3036" s="404"/>
      <c r="AE3036" s="316"/>
      <c r="AF3036" s="316"/>
      <c r="AG3036" s="404"/>
      <c r="AI3036" s="316"/>
      <c r="AJ3036" s="316"/>
      <c r="AK3036" s="316"/>
      <c r="AM3036" s="416"/>
    </row>
    <row r="3037" spans="2:39" x14ac:dyDescent="0.25">
      <c r="B3037" s="331"/>
      <c r="C3037" s="332"/>
      <c r="D3037" s="332"/>
      <c r="E3037" s="333"/>
      <c r="F3037" s="333"/>
      <c r="G3037" s="330"/>
      <c r="H3037" s="330"/>
      <c r="M3037" s="334"/>
      <c r="N3037" s="330"/>
      <c r="O3037" s="330"/>
      <c r="P3037" s="330"/>
      <c r="Q3037" s="330"/>
      <c r="S3037" s="404"/>
      <c r="T3037" s="404"/>
      <c r="U3037" s="404"/>
      <c r="V3037" s="404"/>
      <c r="AB3037" s="404"/>
      <c r="AC3037" s="404"/>
      <c r="AD3037" s="404"/>
      <c r="AE3037" s="316"/>
      <c r="AF3037" s="316"/>
      <c r="AG3037" s="404"/>
      <c r="AI3037" s="316"/>
      <c r="AJ3037" s="316"/>
      <c r="AK3037" s="316"/>
      <c r="AM3037" s="416"/>
    </row>
    <row r="3038" spans="2:39" x14ac:dyDescent="0.25">
      <c r="B3038" s="331"/>
      <c r="C3038" s="332"/>
      <c r="D3038" s="332"/>
      <c r="E3038" s="333"/>
      <c r="F3038" s="333"/>
      <c r="G3038" s="330"/>
      <c r="H3038" s="330"/>
      <c r="M3038" s="334"/>
      <c r="N3038" s="330"/>
      <c r="O3038" s="330"/>
      <c r="P3038" s="330"/>
      <c r="Q3038" s="330"/>
      <c r="S3038" s="404"/>
      <c r="T3038" s="404"/>
      <c r="U3038" s="404"/>
      <c r="V3038" s="404"/>
      <c r="AB3038" s="404"/>
      <c r="AC3038" s="404"/>
      <c r="AD3038" s="404"/>
      <c r="AE3038" s="316"/>
      <c r="AF3038" s="316"/>
      <c r="AG3038" s="404"/>
      <c r="AI3038" s="316"/>
      <c r="AJ3038" s="316"/>
      <c r="AK3038" s="316"/>
      <c r="AM3038" s="416"/>
    </row>
    <row r="3039" spans="2:39" x14ac:dyDescent="0.25">
      <c r="B3039" s="331"/>
      <c r="C3039" s="332"/>
      <c r="D3039" s="332"/>
      <c r="E3039" s="333"/>
      <c r="F3039" s="333"/>
      <c r="G3039" s="330"/>
      <c r="H3039" s="330"/>
      <c r="M3039" s="334"/>
      <c r="N3039" s="330"/>
      <c r="O3039" s="330"/>
      <c r="P3039" s="330"/>
      <c r="Q3039" s="330"/>
      <c r="S3039" s="404"/>
      <c r="T3039" s="404"/>
      <c r="U3039" s="404"/>
      <c r="V3039" s="404"/>
      <c r="AB3039" s="404"/>
      <c r="AC3039" s="404"/>
      <c r="AD3039" s="404"/>
      <c r="AE3039" s="316"/>
      <c r="AF3039" s="316"/>
      <c r="AG3039" s="404"/>
      <c r="AI3039" s="316"/>
      <c r="AJ3039" s="316"/>
      <c r="AK3039" s="316"/>
      <c r="AM3039" s="416"/>
    </row>
    <row r="3040" spans="2:39" x14ac:dyDescent="0.25">
      <c r="B3040" s="331"/>
      <c r="C3040" s="332"/>
      <c r="D3040" s="332"/>
      <c r="E3040" s="333"/>
      <c r="F3040" s="333"/>
      <c r="G3040" s="330"/>
      <c r="H3040" s="330"/>
      <c r="M3040" s="334"/>
      <c r="N3040" s="330"/>
      <c r="O3040" s="330"/>
      <c r="P3040" s="330"/>
      <c r="Q3040" s="330"/>
      <c r="S3040" s="404"/>
      <c r="T3040" s="404"/>
      <c r="U3040" s="404"/>
      <c r="V3040" s="404"/>
      <c r="AB3040" s="404"/>
      <c r="AC3040" s="404"/>
      <c r="AD3040" s="404"/>
      <c r="AE3040" s="316"/>
      <c r="AF3040" s="316"/>
      <c r="AG3040" s="404"/>
      <c r="AI3040" s="316"/>
      <c r="AJ3040" s="316"/>
      <c r="AK3040" s="316"/>
      <c r="AM3040" s="416"/>
    </row>
    <row r="3041" spans="2:39" x14ac:dyDescent="0.25">
      <c r="B3041" s="331"/>
      <c r="C3041" s="332"/>
      <c r="D3041" s="332"/>
      <c r="E3041" s="333"/>
      <c r="F3041" s="333"/>
      <c r="G3041" s="330"/>
      <c r="H3041" s="330"/>
      <c r="M3041" s="334"/>
      <c r="N3041" s="330"/>
      <c r="O3041" s="330"/>
      <c r="P3041" s="330"/>
      <c r="Q3041" s="330"/>
      <c r="S3041" s="404"/>
      <c r="T3041" s="404"/>
      <c r="U3041" s="404"/>
      <c r="V3041" s="404"/>
      <c r="AB3041" s="404"/>
      <c r="AC3041" s="404"/>
      <c r="AD3041" s="404"/>
      <c r="AE3041" s="316"/>
      <c r="AF3041" s="316"/>
      <c r="AG3041" s="404"/>
      <c r="AI3041" s="316"/>
      <c r="AJ3041" s="316"/>
      <c r="AK3041" s="316"/>
      <c r="AM3041" s="416"/>
    </row>
    <row r="3042" spans="2:39" x14ac:dyDescent="0.25">
      <c r="B3042" s="331"/>
      <c r="C3042" s="332"/>
      <c r="D3042" s="332"/>
      <c r="E3042" s="333"/>
      <c r="F3042" s="333"/>
      <c r="G3042" s="330"/>
      <c r="H3042" s="330"/>
      <c r="M3042" s="334"/>
      <c r="N3042" s="330"/>
      <c r="O3042" s="330"/>
      <c r="P3042" s="330"/>
      <c r="Q3042" s="330"/>
      <c r="S3042" s="404"/>
      <c r="T3042" s="404"/>
      <c r="U3042" s="404"/>
      <c r="V3042" s="404"/>
      <c r="AB3042" s="404"/>
      <c r="AC3042" s="404"/>
      <c r="AD3042" s="404"/>
      <c r="AE3042" s="316"/>
      <c r="AF3042" s="316"/>
      <c r="AG3042" s="404"/>
      <c r="AI3042" s="316"/>
      <c r="AJ3042" s="316"/>
      <c r="AK3042" s="316"/>
      <c r="AM3042" s="416"/>
    </row>
    <row r="3043" spans="2:39" x14ac:dyDescent="0.25">
      <c r="B3043" s="331"/>
      <c r="C3043" s="332"/>
      <c r="D3043" s="332"/>
      <c r="E3043" s="333"/>
      <c r="F3043" s="333"/>
      <c r="G3043" s="330"/>
      <c r="H3043" s="330"/>
      <c r="M3043" s="334"/>
      <c r="N3043" s="330"/>
      <c r="O3043" s="330"/>
      <c r="P3043" s="330"/>
      <c r="Q3043" s="330"/>
      <c r="S3043" s="404"/>
      <c r="T3043" s="404"/>
      <c r="U3043" s="404"/>
      <c r="V3043" s="404"/>
      <c r="AB3043" s="404"/>
      <c r="AC3043" s="404"/>
      <c r="AD3043" s="404"/>
      <c r="AE3043" s="316"/>
      <c r="AF3043" s="316"/>
      <c r="AG3043" s="404"/>
      <c r="AI3043" s="316"/>
      <c r="AJ3043" s="316"/>
      <c r="AK3043" s="316"/>
      <c r="AM3043" s="416"/>
    </row>
    <row r="3044" spans="2:39" x14ac:dyDescent="0.25">
      <c r="B3044" s="331"/>
      <c r="C3044" s="332"/>
      <c r="D3044" s="332"/>
      <c r="E3044" s="333"/>
      <c r="F3044" s="333"/>
      <c r="G3044" s="330"/>
      <c r="H3044" s="330"/>
      <c r="M3044" s="334"/>
      <c r="N3044" s="330"/>
      <c r="O3044" s="330"/>
      <c r="P3044" s="330"/>
      <c r="Q3044" s="330"/>
      <c r="S3044" s="404"/>
      <c r="T3044" s="404"/>
      <c r="U3044" s="404"/>
      <c r="V3044" s="404"/>
      <c r="AB3044" s="404"/>
      <c r="AC3044" s="404"/>
      <c r="AD3044" s="404"/>
      <c r="AE3044" s="316"/>
      <c r="AF3044" s="316"/>
      <c r="AG3044" s="404"/>
      <c r="AI3044" s="316"/>
      <c r="AJ3044" s="316"/>
      <c r="AK3044" s="316"/>
      <c r="AM3044" s="416"/>
    </row>
    <row r="3045" spans="2:39" x14ac:dyDescent="0.25">
      <c r="B3045" s="331"/>
      <c r="C3045" s="332"/>
      <c r="D3045" s="332"/>
      <c r="E3045" s="333"/>
      <c r="F3045" s="333"/>
      <c r="G3045" s="330"/>
      <c r="H3045" s="330"/>
      <c r="M3045" s="334"/>
      <c r="N3045" s="330"/>
      <c r="O3045" s="330"/>
      <c r="P3045" s="330"/>
      <c r="Q3045" s="330"/>
      <c r="S3045" s="404"/>
      <c r="T3045" s="404"/>
      <c r="U3045" s="404"/>
      <c r="V3045" s="404"/>
      <c r="AB3045" s="404"/>
      <c r="AC3045" s="404"/>
      <c r="AD3045" s="404"/>
      <c r="AE3045" s="316"/>
      <c r="AF3045" s="316"/>
      <c r="AG3045" s="404"/>
      <c r="AI3045" s="316"/>
      <c r="AJ3045" s="316"/>
      <c r="AK3045" s="316"/>
      <c r="AM3045" s="416"/>
    </row>
    <row r="3046" spans="2:39" x14ac:dyDescent="0.25">
      <c r="B3046" s="331"/>
      <c r="C3046" s="332"/>
      <c r="D3046" s="332"/>
      <c r="E3046" s="333"/>
      <c r="F3046" s="333"/>
      <c r="G3046" s="330"/>
      <c r="H3046" s="330"/>
      <c r="M3046" s="334"/>
      <c r="N3046" s="330"/>
      <c r="O3046" s="330"/>
      <c r="P3046" s="330"/>
      <c r="Q3046" s="330"/>
      <c r="S3046" s="404"/>
      <c r="T3046" s="404"/>
      <c r="U3046" s="404"/>
      <c r="V3046" s="404"/>
      <c r="AB3046" s="404"/>
      <c r="AC3046" s="404"/>
      <c r="AD3046" s="404"/>
      <c r="AE3046" s="316"/>
      <c r="AF3046" s="316"/>
      <c r="AG3046" s="404"/>
      <c r="AI3046" s="316"/>
      <c r="AJ3046" s="316"/>
      <c r="AK3046" s="316"/>
      <c r="AM3046" s="416"/>
    </row>
    <row r="3047" spans="2:39" x14ac:dyDescent="0.25">
      <c r="B3047" s="331"/>
      <c r="C3047" s="332"/>
      <c r="D3047" s="332"/>
      <c r="E3047" s="333"/>
      <c r="F3047" s="333"/>
      <c r="G3047" s="330"/>
      <c r="H3047" s="330"/>
      <c r="M3047" s="334"/>
      <c r="N3047" s="330"/>
      <c r="O3047" s="330"/>
      <c r="P3047" s="330"/>
      <c r="Q3047" s="330"/>
      <c r="S3047" s="404"/>
      <c r="T3047" s="404"/>
      <c r="U3047" s="404"/>
      <c r="V3047" s="404"/>
      <c r="AB3047" s="404"/>
      <c r="AC3047" s="404"/>
      <c r="AD3047" s="404"/>
      <c r="AE3047" s="316"/>
      <c r="AF3047" s="316"/>
      <c r="AG3047" s="404"/>
      <c r="AI3047" s="316"/>
      <c r="AJ3047" s="316"/>
      <c r="AK3047" s="316"/>
      <c r="AM3047" s="416"/>
    </row>
    <row r="3048" spans="2:39" x14ac:dyDescent="0.25">
      <c r="B3048" s="331"/>
      <c r="C3048" s="332"/>
      <c r="D3048" s="332"/>
      <c r="E3048" s="333"/>
      <c r="F3048" s="333"/>
      <c r="G3048" s="330"/>
      <c r="H3048" s="330"/>
      <c r="M3048" s="334"/>
      <c r="N3048" s="330"/>
      <c r="O3048" s="330"/>
      <c r="P3048" s="330"/>
      <c r="Q3048" s="330"/>
      <c r="S3048" s="404"/>
      <c r="T3048" s="404"/>
      <c r="U3048" s="404"/>
      <c r="V3048" s="404"/>
      <c r="AB3048" s="404"/>
      <c r="AC3048" s="404"/>
      <c r="AD3048" s="404"/>
      <c r="AE3048" s="316"/>
      <c r="AF3048" s="316"/>
      <c r="AG3048" s="404"/>
      <c r="AI3048" s="316"/>
      <c r="AJ3048" s="316"/>
      <c r="AK3048" s="316"/>
      <c r="AM3048" s="416"/>
    </row>
    <row r="3049" spans="2:39" x14ac:dyDescent="0.25">
      <c r="B3049" s="331"/>
      <c r="C3049" s="332"/>
      <c r="D3049" s="332"/>
      <c r="E3049" s="333"/>
      <c r="F3049" s="333"/>
      <c r="G3049" s="330"/>
      <c r="H3049" s="330"/>
      <c r="M3049" s="334"/>
      <c r="N3049" s="330"/>
      <c r="O3049" s="330"/>
      <c r="P3049" s="330"/>
      <c r="Q3049" s="330"/>
      <c r="S3049" s="404"/>
      <c r="T3049" s="404"/>
      <c r="U3049" s="404"/>
      <c r="V3049" s="404"/>
      <c r="AB3049" s="404"/>
      <c r="AC3049" s="404"/>
      <c r="AD3049" s="404"/>
      <c r="AE3049" s="316"/>
      <c r="AF3049" s="316"/>
      <c r="AG3049" s="404"/>
      <c r="AI3049" s="316"/>
      <c r="AJ3049" s="316"/>
      <c r="AK3049" s="316"/>
      <c r="AM3049" s="416"/>
    </row>
    <row r="3050" spans="2:39" x14ac:dyDescent="0.25">
      <c r="B3050" s="331"/>
      <c r="C3050" s="332"/>
      <c r="D3050" s="332"/>
      <c r="E3050" s="333"/>
      <c r="F3050" s="333"/>
      <c r="G3050" s="330"/>
      <c r="H3050" s="330"/>
      <c r="M3050" s="334"/>
      <c r="N3050" s="330"/>
      <c r="O3050" s="330"/>
      <c r="P3050" s="330"/>
      <c r="Q3050" s="330"/>
      <c r="S3050" s="404"/>
      <c r="T3050" s="404"/>
      <c r="U3050" s="404"/>
      <c r="V3050" s="404"/>
      <c r="AB3050" s="404"/>
      <c r="AC3050" s="404"/>
      <c r="AD3050" s="404"/>
      <c r="AE3050" s="316"/>
      <c r="AF3050" s="316"/>
      <c r="AG3050" s="404"/>
      <c r="AI3050" s="316"/>
      <c r="AJ3050" s="316"/>
      <c r="AK3050" s="316"/>
      <c r="AM3050" s="416"/>
    </row>
    <row r="3051" spans="2:39" x14ac:dyDescent="0.25">
      <c r="B3051" s="331"/>
      <c r="C3051" s="332"/>
      <c r="D3051" s="332"/>
      <c r="E3051" s="333"/>
      <c r="F3051" s="333"/>
      <c r="G3051" s="330"/>
      <c r="H3051" s="330"/>
      <c r="M3051" s="334"/>
      <c r="N3051" s="330"/>
      <c r="O3051" s="330"/>
      <c r="P3051" s="330"/>
      <c r="Q3051" s="330"/>
      <c r="S3051" s="404"/>
      <c r="T3051" s="404"/>
      <c r="U3051" s="404"/>
      <c r="V3051" s="404"/>
      <c r="AB3051" s="404"/>
      <c r="AC3051" s="404"/>
      <c r="AD3051" s="404"/>
      <c r="AE3051" s="316"/>
      <c r="AF3051" s="316"/>
      <c r="AG3051" s="404"/>
      <c r="AI3051" s="316"/>
      <c r="AJ3051" s="316"/>
      <c r="AK3051" s="316"/>
      <c r="AM3051" s="416"/>
    </row>
    <row r="3052" spans="2:39" x14ac:dyDescent="0.25">
      <c r="B3052" s="331"/>
      <c r="C3052" s="332"/>
      <c r="D3052" s="332"/>
      <c r="E3052" s="333"/>
      <c r="F3052" s="333"/>
      <c r="G3052" s="330"/>
      <c r="H3052" s="330"/>
      <c r="M3052" s="334"/>
      <c r="N3052" s="330"/>
      <c r="O3052" s="330"/>
      <c r="P3052" s="330"/>
      <c r="Q3052" s="330"/>
      <c r="S3052" s="404"/>
      <c r="T3052" s="404"/>
      <c r="U3052" s="404"/>
      <c r="V3052" s="404"/>
      <c r="AB3052" s="404"/>
      <c r="AC3052" s="404"/>
      <c r="AD3052" s="404"/>
      <c r="AE3052" s="316"/>
      <c r="AF3052" s="316"/>
      <c r="AG3052" s="404"/>
      <c r="AI3052" s="316"/>
      <c r="AJ3052" s="316"/>
      <c r="AK3052" s="316"/>
      <c r="AM3052" s="416"/>
    </row>
    <row r="3053" spans="2:39" x14ac:dyDescent="0.25">
      <c r="B3053" s="331"/>
      <c r="C3053" s="332"/>
      <c r="D3053" s="332"/>
      <c r="E3053" s="333"/>
      <c r="F3053" s="333"/>
      <c r="G3053" s="330"/>
      <c r="H3053" s="330"/>
      <c r="M3053" s="334"/>
      <c r="N3053" s="330"/>
      <c r="O3053" s="330"/>
      <c r="P3053" s="330"/>
      <c r="Q3053" s="330"/>
      <c r="S3053" s="404"/>
      <c r="T3053" s="404"/>
      <c r="U3053" s="404"/>
      <c r="V3053" s="404"/>
      <c r="AB3053" s="404"/>
      <c r="AC3053" s="404"/>
      <c r="AD3053" s="404"/>
      <c r="AE3053" s="316"/>
      <c r="AF3053" s="316"/>
      <c r="AG3053" s="404"/>
      <c r="AI3053" s="316"/>
      <c r="AJ3053" s="316"/>
      <c r="AK3053" s="316"/>
      <c r="AM3053" s="416"/>
    </row>
    <row r="3054" spans="2:39" x14ac:dyDescent="0.25">
      <c r="B3054" s="331"/>
      <c r="C3054" s="332"/>
      <c r="D3054" s="332"/>
      <c r="E3054" s="333"/>
      <c r="F3054" s="333"/>
      <c r="G3054" s="330"/>
      <c r="H3054" s="330"/>
      <c r="M3054" s="334"/>
      <c r="N3054" s="330"/>
      <c r="O3054" s="330"/>
      <c r="P3054" s="330"/>
      <c r="Q3054" s="330"/>
      <c r="S3054" s="404"/>
      <c r="T3054" s="404"/>
      <c r="U3054" s="404"/>
      <c r="V3054" s="404"/>
      <c r="AB3054" s="404"/>
      <c r="AC3054" s="404"/>
      <c r="AD3054" s="404"/>
      <c r="AE3054" s="316"/>
      <c r="AF3054" s="316"/>
      <c r="AG3054" s="404"/>
      <c r="AI3054" s="316"/>
      <c r="AJ3054" s="316"/>
      <c r="AK3054" s="316"/>
      <c r="AM3054" s="416"/>
    </row>
    <row r="3055" spans="2:39" x14ac:dyDescent="0.25">
      <c r="B3055" s="331"/>
      <c r="C3055" s="332"/>
      <c r="D3055" s="332"/>
      <c r="E3055" s="333"/>
      <c r="F3055" s="333"/>
      <c r="G3055" s="330"/>
      <c r="H3055" s="330"/>
      <c r="M3055" s="334"/>
      <c r="N3055" s="330"/>
      <c r="O3055" s="330"/>
      <c r="P3055" s="330"/>
      <c r="Q3055" s="330"/>
      <c r="S3055" s="404"/>
      <c r="T3055" s="404"/>
      <c r="U3055" s="404"/>
      <c r="V3055" s="404"/>
      <c r="AB3055" s="404"/>
      <c r="AC3055" s="404"/>
      <c r="AD3055" s="404"/>
      <c r="AE3055" s="316"/>
      <c r="AF3055" s="316"/>
      <c r="AG3055" s="404"/>
      <c r="AI3055" s="316"/>
      <c r="AJ3055" s="316"/>
      <c r="AK3055" s="316"/>
      <c r="AM3055" s="416"/>
    </row>
    <row r="3056" spans="2:39" x14ac:dyDescent="0.25">
      <c r="B3056" s="331"/>
      <c r="C3056" s="332"/>
      <c r="D3056" s="332"/>
      <c r="E3056" s="333"/>
      <c r="F3056" s="333"/>
      <c r="G3056" s="330"/>
      <c r="H3056" s="330"/>
      <c r="M3056" s="334"/>
      <c r="N3056" s="330"/>
      <c r="O3056" s="330"/>
      <c r="P3056" s="330"/>
      <c r="Q3056" s="330"/>
      <c r="S3056" s="404"/>
      <c r="T3056" s="404"/>
      <c r="U3056" s="404"/>
      <c r="V3056" s="404"/>
      <c r="AB3056" s="404"/>
      <c r="AC3056" s="404"/>
      <c r="AD3056" s="404"/>
      <c r="AE3056" s="316"/>
      <c r="AF3056" s="316"/>
      <c r="AG3056" s="404"/>
      <c r="AI3056" s="316"/>
      <c r="AJ3056" s="316"/>
      <c r="AK3056" s="316"/>
      <c r="AM3056" s="416"/>
    </row>
    <row r="3057" spans="2:39" x14ac:dyDescent="0.25">
      <c r="B3057" s="331"/>
      <c r="C3057" s="332"/>
      <c r="D3057" s="332"/>
      <c r="E3057" s="333"/>
      <c r="F3057" s="333"/>
      <c r="G3057" s="330"/>
      <c r="H3057" s="330"/>
      <c r="M3057" s="334"/>
      <c r="N3057" s="330"/>
      <c r="O3057" s="330"/>
      <c r="P3057" s="330"/>
      <c r="Q3057" s="330"/>
      <c r="S3057" s="404"/>
      <c r="T3057" s="404"/>
      <c r="U3057" s="404"/>
      <c r="V3057" s="404"/>
      <c r="AB3057" s="404"/>
      <c r="AC3057" s="404"/>
      <c r="AD3057" s="404"/>
      <c r="AE3057" s="316"/>
      <c r="AF3057" s="316"/>
      <c r="AG3057" s="404"/>
      <c r="AI3057" s="316"/>
      <c r="AJ3057" s="316"/>
      <c r="AK3057" s="316"/>
      <c r="AM3057" s="416"/>
    </row>
    <row r="3058" spans="2:39" x14ac:dyDescent="0.25">
      <c r="B3058" s="331"/>
      <c r="C3058" s="332"/>
      <c r="D3058" s="332"/>
      <c r="E3058" s="333"/>
      <c r="F3058" s="333"/>
      <c r="G3058" s="330"/>
      <c r="H3058" s="330"/>
      <c r="M3058" s="334"/>
      <c r="N3058" s="330"/>
      <c r="O3058" s="330"/>
      <c r="P3058" s="330"/>
      <c r="Q3058" s="330"/>
      <c r="S3058" s="404"/>
      <c r="T3058" s="404"/>
      <c r="U3058" s="404"/>
      <c r="V3058" s="404"/>
      <c r="AB3058" s="404"/>
      <c r="AC3058" s="404"/>
      <c r="AD3058" s="404"/>
      <c r="AE3058" s="316"/>
      <c r="AF3058" s="316"/>
      <c r="AG3058" s="404"/>
      <c r="AI3058" s="316"/>
      <c r="AJ3058" s="316"/>
      <c r="AK3058" s="316"/>
      <c r="AM3058" s="416"/>
    </row>
    <row r="3059" spans="2:39" x14ac:dyDescent="0.25">
      <c r="B3059" s="331"/>
      <c r="C3059" s="332"/>
      <c r="D3059" s="332"/>
      <c r="E3059" s="333"/>
      <c r="F3059" s="333"/>
      <c r="G3059" s="330"/>
      <c r="H3059" s="330"/>
      <c r="M3059" s="334"/>
      <c r="N3059" s="330"/>
      <c r="O3059" s="330"/>
      <c r="P3059" s="330"/>
      <c r="Q3059" s="330"/>
      <c r="S3059" s="404"/>
      <c r="T3059" s="404"/>
      <c r="U3059" s="404"/>
      <c r="V3059" s="404"/>
      <c r="AB3059" s="404"/>
      <c r="AC3059" s="404"/>
      <c r="AD3059" s="404"/>
      <c r="AE3059" s="316"/>
      <c r="AF3059" s="316"/>
      <c r="AG3059" s="404"/>
      <c r="AI3059" s="316"/>
      <c r="AJ3059" s="316"/>
      <c r="AK3059" s="316"/>
      <c r="AM3059" s="416"/>
    </row>
    <row r="3060" spans="2:39" x14ac:dyDescent="0.25">
      <c r="B3060" s="331"/>
      <c r="C3060" s="332"/>
      <c r="D3060" s="332"/>
      <c r="E3060" s="333"/>
      <c r="F3060" s="333"/>
      <c r="G3060" s="330"/>
      <c r="H3060" s="330"/>
      <c r="M3060" s="334"/>
      <c r="N3060" s="330"/>
      <c r="O3060" s="330"/>
      <c r="P3060" s="330"/>
      <c r="Q3060" s="330"/>
      <c r="S3060" s="404"/>
      <c r="T3060" s="404"/>
      <c r="U3060" s="404"/>
      <c r="V3060" s="404"/>
      <c r="AB3060" s="404"/>
      <c r="AC3060" s="404"/>
      <c r="AD3060" s="404"/>
      <c r="AE3060" s="316"/>
      <c r="AF3060" s="316"/>
      <c r="AG3060" s="404"/>
      <c r="AI3060" s="316"/>
      <c r="AJ3060" s="316"/>
      <c r="AK3060" s="316"/>
      <c r="AM3060" s="416"/>
    </row>
    <row r="3061" spans="2:39" x14ac:dyDescent="0.25">
      <c r="B3061" s="331"/>
      <c r="C3061" s="332"/>
      <c r="D3061" s="332"/>
      <c r="E3061" s="333"/>
      <c r="F3061" s="333"/>
      <c r="G3061" s="330"/>
      <c r="H3061" s="330"/>
      <c r="M3061" s="334"/>
      <c r="N3061" s="330"/>
      <c r="O3061" s="330"/>
      <c r="P3061" s="330"/>
      <c r="Q3061" s="330"/>
      <c r="S3061" s="404"/>
      <c r="T3061" s="404"/>
      <c r="U3061" s="404"/>
      <c r="V3061" s="404"/>
      <c r="AB3061" s="404"/>
      <c r="AC3061" s="404"/>
      <c r="AD3061" s="404"/>
      <c r="AE3061" s="316"/>
      <c r="AF3061" s="316"/>
      <c r="AG3061" s="404"/>
      <c r="AI3061" s="316"/>
      <c r="AJ3061" s="316"/>
      <c r="AK3061" s="316"/>
      <c r="AM3061" s="416"/>
    </row>
    <row r="3062" spans="2:39" x14ac:dyDescent="0.25">
      <c r="B3062" s="331"/>
      <c r="C3062" s="332"/>
      <c r="D3062" s="332"/>
      <c r="E3062" s="333"/>
      <c r="F3062" s="333"/>
      <c r="G3062" s="330"/>
      <c r="H3062" s="330"/>
      <c r="M3062" s="334"/>
      <c r="N3062" s="330"/>
      <c r="O3062" s="330"/>
      <c r="P3062" s="330"/>
      <c r="Q3062" s="330"/>
      <c r="S3062" s="404"/>
      <c r="T3062" s="404"/>
      <c r="U3062" s="404"/>
      <c r="V3062" s="404"/>
      <c r="AB3062" s="404"/>
      <c r="AC3062" s="404"/>
      <c r="AD3062" s="404"/>
      <c r="AE3062" s="316"/>
      <c r="AF3062" s="316"/>
      <c r="AG3062" s="404"/>
      <c r="AI3062" s="316"/>
      <c r="AJ3062" s="316"/>
      <c r="AK3062" s="316"/>
      <c r="AM3062" s="416"/>
    </row>
    <row r="3063" spans="2:39" x14ac:dyDescent="0.25">
      <c r="B3063" s="331"/>
      <c r="C3063" s="332"/>
      <c r="D3063" s="332"/>
      <c r="E3063" s="333"/>
      <c r="F3063" s="333"/>
      <c r="G3063" s="330"/>
      <c r="H3063" s="330"/>
      <c r="M3063" s="334"/>
      <c r="N3063" s="330"/>
      <c r="O3063" s="330"/>
      <c r="P3063" s="330"/>
      <c r="Q3063" s="330"/>
      <c r="S3063" s="404"/>
      <c r="T3063" s="404"/>
      <c r="U3063" s="404"/>
      <c r="V3063" s="404"/>
      <c r="AB3063" s="404"/>
      <c r="AC3063" s="404"/>
      <c r="AD3063" s="404"/>
      <c r="AE3063" s="316"/>
      <c r="AF3063" s="316"/>
      <c r="AG3063" s="404"/>
      <c r="AI3063" s="316"/>
      <c r="AJ3063" s="316"/>
      <c r="AK3063" s="316"/>
      <c r="AM3063" s="416"/>
    </row>
    <row r="3064" spans="2:39" x14ac:dyDescent="0.25">
      <c r="B3064" s="331"/>
      <c r="C3064" s="332"/>
      <c r="D3064" s="332"/>
      <c r="E3064" s="333"/>
      <c r="F3064" s="333"/>
      <c r="G3064" s="330"/>
      <c r="H3064" s="330"/>
      <c r="M3064" s="334"/>
      <c r="N3064" s="330"/>
      <c r="O3064" s="330"/>
      <c r="P3064" s="330"/>
      <c r="Q3064" s="330"/>
      <c r="S3064" s="404"/>
      <c r="T3064" s="404"/>
      <c r="U3064" s="404"/>
      <c r="V3064" s="404"/>
      <c r="AB3064" s="404"/>
      <c r="AC3064" s="404"/>
      <c r="AD3064" s="404"/>
      <c r="AE3064" s="316"/>
      <c r="AF3064" s="316"/>
      <c r="AG3064" s="404"/>
      <c r="AI3064" s="316"/>
      <c r="AJ3064" s="316"/>
      <c r="AK3064" s="316"/>
      <c r="AM3064" s="416"/>
    </row>
    <row r="3065" spans="2:39" x14ac:dyDescent="0.25">
      <c r="B3065" s="331"/>
      <c r="C3065" s="332"/>
      <c r="D3065" s="332"/>
      <c r="E3065" s="333"/>
      <c r="F3065" s="333"/>
      <c r="G3065" s="330"/>
      <c r="H3065" s="330"/>
      <c r="M3065" s="334"/>
      <c r="N3065" s="330"/>
      <c r="O3065" s="330"/>
      <c r="P3065" s="330"/>
      <c r="Q3065" s="330"/>
      <c r="S3065" s="404"/>
      <c r="T3065" s="404"/>
      <c r="U3065" s="404"/>
      <c r="V3065" s="404"/>
      <c r="AB3065" s="404"/>
      <c r="AC3065" s="404"/>
      <c r="AD3065" s="404"/>
      <c r="AE3065" s="316"/>
      <c r="AF3065" s="316"/>
      <c r="AG3065" s="404"/>
      <c r="AI3065" s="316"/>
      <c r="AJ3065" s="316"/>
      <c r="AK3065" s="316"/>
      <c r="AM3065" s="416"/>
    </row>
    <row r="3066" spans="2:39" x14ac:dyDescent="0.25">
      <c r="B3066" s="331"/>
      <c r="C3066" s="332"/>
      <c r="D3066" s="332"/>
      <c r="E3066" s="333"/>
      <c r="F3066" s="333"/>
      <c r="G3066" s="330"/>
      <c r="H3066" s="330"/>
      <c r="M3066" s="334"/>
      <c r="N3066" s="330"/>
      <c r="O3066" s="330"/>
      <c r="P3066" s="330"/>
      <c r="Q3066" s="330"/>
      <c r="S3066" s="404"/>
      <c r="T3066" s="404"/>
      <c r="U3066" s="404"/>
      <c r="V3066" s="404"/>
      <c r="AB3066" s="404"/>
      <c r="AC3066" s="404"/>
      <c r="AD3066" s="404"/>
      <c r="AE3066" s="316"/>
      <c r="AF3066" s="316"/>
      <c r="AG3066" s="404"/>
      <c r="AI3066" s="316"/>
      <c r="AJ3066" s="316"/>
      <c r="AK3066" s="316"/>
      <c r="AM3066" s="416"/>
    </row>
    <row r="3067" spans="2:39" x14ac:dyDescent="0.25">
      <c r="B3067" s="331"/>
      <c r="C3067" s="332"/>
      <c r="D3067" s="332"/>
      <c r="E3067" s="333"/>
      <c r="F3067" s="333"/>
      <c r="G3067" s="330"/>
      <c r="H3067" s="330"/>
      <c r="M3067" s="334"/>
      <c r="N3067" s="330"/>
      <c r="O3067" s="330"/>
      <c r="P3067" s="330"/>
      <c r="Q3067" s="330"/>
      <c r="S3067" s="404"/>
      <c r="T3067" s="404"/>
      <c r="U3067" s="404"/>
      <c r="V3067" s="404"/>
      <c r="AB3067" s="404"/>
      <c r="AC3067" s="404"/>
      <c r="AD3067" s="404"/>
      <c r="AE3067" s="316"/>
      <c r="AF3067" s="316"/>
      <c r="AG3067" s="404"/>
      <c r="AI3067" s="316"/>
      <c r="AJ3067" s="316"/>
      <c r="AK3067" s="316"/>
      <c r="AM3067" s="416"/>
    </row>
    <row r="3068" spans="2:39" x14ac:dyDescent="0.25">
      <c r="B3068" s="331"/>
      <c r="C3068" s="332"/>
      <c r="D3068" s="332"/>
      <c r="E3068" s="333"/>
      <c r="F3068" s="333"/>
      <c r="G3068" s="330"/>
      <c r="H3068" s="330"/>
      <c r="M3068" s="334"/>
      <c r="N3068" s="330"/>
      <c r="O3068" s="330"/>
      <c r="P3068" s="330"/>
      <c r="Q3068" s="330"/>
      <c r="S3068" s="404"/>
      <c r="T3068" s="404"/>
      <c r="U3068" s="404"/>
      <c r="V3068" s="404"/>
      <c r="AB3068" s="404"/>
      <c r="AC3068" s="404"/>
      <c r="AD3068" s="404"/>
      <c r="AE3068" s="316"/>
      <c r="AF3068" s="316"/>
      <c r="AG3068" s="404"/>
      <c r="AI3068" s="316"/>
      <c r="AJ3068" s="316"/>
      <c r="AK3068" s="316"/>
      <c r="AM3068" s="416"/>
    </row>
    <row r="3069" spans="2:39" x14ac:dyDescent="0.25">
      <c r="B3069" s="331"/>
      <c r="C3069" s="332"/>
      <c r="D3069" s="332"/>
      <c r="E3069" s="333"/>
      <c r="F3069" s="333"/>
      <c r="G3069" s="330"/>
      <c r="H3069" s="330"/>
      <c r="M3069" s="334"/>
      <c r="N3069" s="330"/>
      <c r="O3069" s="330"/>
      <c r="P3069" s="330"/>
      <c r="Q3069" s="330"/>
      <c r="S3069" s="404"/>
      <c r="T3069" s="404"/>
      <c r="U3069" s="404"/>
      <c r="V3069" s="404"/>
      <c r="AB3069" s="404"/>
      <c r="AC3069" s="404"/>
      <c r="AD3069" s="404"/>
      <c r="AE3069" s="316"/>
      <c r="AF3069" s="316"/>
      <c r="AG3069" s="404"/>
      <c r="AI3069" s="316"/>
      <c r="AJ3069" s="316"/>
      <c r="AK3069" s="316"/>
      <c r="AM3069" s="416"/>
    </row>
    <row r="3070" spans="2:39" x14ac:dyDescent="0.25">
      <c r="B3070" s="331"/>
      <c r="C3070" s="332"/>
      <c r="D3070" s="332"/>
      <c r="E3070" s="333"/>
      <c r="F3070" s="333"/>
      <c r="G3070" s="330"/>
      <c r="H3070" s="330"/>
      <c r="M3070" s="334"/>
      <c r="N3070" s="330"/>
      <c r="O3070" s="330"/>
      <c r="P3070" s="330"/>
      <c r="Q3070" s="330"/>
      <c r="S3070" s="404"/>
      <c r="T3070" s="404"/>
      <c r="U3070" s="404"/>
      <c r="V3070" s="404"/>
      <c r="AB3070" s="404"/>
      <c r="AC3070" s="404"/>
      <c r="AD3070" s="404"/>
      <c r="AE3070" s="316"/>
      <c r="AF3070" s="316"/>
      <c r="AG3070" s="404"/>
      <c r="AI3070" s="316"/>
      <c r="AJ3070" s="316"/>
      <c r="AK3070" s="316"/>
      <c r="AM3070" s="416"/>
    </row>
    <row r="3071" spans="2:39" x14ac:dyDescent="0.25">
      <c r="B3071" s="331"/>
      <c r="C3071" s="332"/>
      <c r="D3071" s="332"/>
      <c r="E3071" s="333"/>
      <c r="F3071" s="333"/>
      <c r="G3071" s="330"/>
      <c r="H3071" s="330"/>
      <c r="M3071" s="334"/>
      <c r="N3071" s="330"/>
      <c r="O3071" s="330"/>
      <c r="P3071" s="330"/>
      <c r="Q3071" s="330"/>
      <c r="S3071" s="404"/>
      <c r="T3071" s="404"/>
      <c r="U3071" s="404"/>
      <c r="V3071" s="404"/>
      <c r="AB3071" s="404"/>
      <c r="AC3071" s="404"/>
      <c r="AD3071" s="404"/>
      <c r="AE3071" s="316"/>
      <c r="AF3071" s="316"/>
      <c r="AG3071" s="404"/>
      <c r="AI3071" s="316"/>
      <c r="AJ3071" s="316"/>
      <c r="AK3071" s="316"/>
      <c r="AM3071" s="416"/>
    </row>
    <row r="3072" spans="2:39" x14ac:dyDescent="0.25">
      <c r="B3072" s="331"/>
      <c r="C3072" s="332"/>
      <c r="D3072" s="332"/>
      <c r="E3072" s="333"/>
      <c r="F3072" s="333"/>
      <c r="G3072" s="330"/>
      <c r="H3072" s="330"/>
      <c r="M3072" s="334"/>
      <c r="N3072" s="330"/>
      <c r="O3072" s="330"/>
      <c r="P3072" s="330"/>
      <c r="Q3072" s="330"/>
      <c r="S3072" s="404"/>
      <c r="T3072" s="404"/>
      <c r="U3072" s="404"/>
      <c r="V3072" s="404"/>
      <c r="AB3072" s="404"/>
      <c r="AC3072" s="404"/>
      <c r="AD3072" s="404"/>
      <c r="AE3072" s="316"/>
      <c r="AF3072" s="316"/>
      <c r="AG3072" s="404"/>
      <c r="AI3072" s="316"/>
      <c r="AJ3072" s="316"/>
      <c r="AK3072" s="316"/>
      <c r="AM3072" s="416"/>
    </row>
    <row r="3073" spans="2:39" x14ac:dyDescent="0.25">
      <c r="B3073" s="331"/>
      <c r="C3073" s="332"/>
      <c r="D3073" s="332"/>
      <c r="E3073" s="333"/>
      <c r="F3073" s="333"/>
      <c r="G3073" s="330"/>
      <c r="H3073" s="330"/>
      <c r="M3073" s="334"/>
      <c r="N3073" s="330"/>
      <c r="O3073" s="330"/>
      <c r="P3073" s="330"/>
      <c r="Q3073" s="330"/>
      <c r="S3073" s="404"/>
      <c r="T3073" s="404"/>
      <c r="U3073" s="404"/>
      <c r="V3073" s="404"/>
      <c r="AB3073" s="404"/>
      <c r="AC3073" s="404"/>
      <c r="AD3073" s="404"/>
      <c r="AE3073" s="316"/>
      <c r="AF3073" s="316"/>
      <c r="AG3073" s="404"/>
      <c r="AI3073" s="316"/>
      <c r="AJ3073" s="316"/>
      <c r="AK3073" s="316"/>
      <c r="AM3073" s="416"/>
    </row>
    <row r="3074" spans="2:39" x14ac:dyDescent="0.25">
      <c r="B3074" s="331"/>
      <c r="C3074" s="332"/>
      <c r="D3074" s="332"/>
      <c r="E3074" s="333"/>
      <c r="F3074" s="333"/>
      <c r="G3074" s="330"/>
      <c r="H3074" s="330"/>
      <c r="M3074" s="334"/>
      <c r="N3074" s="330"/>
      <c r="O3074" s="330"/>
      <c r="P3074" s="330"/>
      <c r="Q3074" s="330"/>
      <c r="S3074" s="404"/>
      <c r="T3074" s="404"/>
      <c r="U3074" s="404"/>
      <c r="V3074" s="404"/>
      <c r="AB3074" s="404"/>
      <c r="AC3074" s="404"/>
      <c r="AD3074" s="404"/>
      <c r="AE3074" s="316"/>
      <c r="AF3074" s="316"/>
      <c r="AG3074" s="404"/>
      <c r="AI3074" s="316"/>
      <c r="AJ3074" s="316"/>
      <c r="AK3074" s="316"/>
      <c r="AM3074" s="416"/>
    </row>
    <row r="3075" spans="2:39" x14ac:dyDescent="0.25">
      <c r="B3075" s="331"/>
      <c r="C3075" s="332"/>
      <c r="D3075" s="332"/>
      <c r="E3075" s="333"/>
      <c r="F3075" s="333"/>
      <c r="G3075" s="330"/>
      <c r="H3075" s="330"/>
      <c r="M3075" s="334"/>
      <c r="N3075" s="330"/>
      <c r="O3075" s="330"/>
      <c r="P3075" s="330"/>
      <c r="Q3075" s="330"/>
      <c r="S3075" s="404"/>
      <c r="T3075" s="404"/>
      <c r="U3075" s="404"/>
      <c r="V3075" s="404"/>
      <c r="AB3075" s="404"/>
      <c r="AC3075" s="404"/>
      <c r="AD3075" s="404"/>
      <c r="AE3075" s="316"/>
      <c r="AF3075" s="316"/>
      <c r="AG3075" s="404"/>
      <c r="AI3075" s="316"/>
      <c r="AJ3075" s="316"/>
      <c r="AK3075" s="316"/>
      <c r="AM3075" s="416"/>
    </row>
    <row r="3076" spans="2:39" x14ac:dyDescent="0.25">
      <c r="B3076" s="331"/>
      <c r="C3076" s="332"/>
      <c r="D3076" s="332"/>
      <c r="E3076" s="333"/>
      <c r="F3076" s="333"/>
      <c r="G3076" s="330"/>
      <c r="H3076" s="330"/>
      <c r="M3076" s="334"/>
      <c r="N3076" s="330"/>
      <c r="O3076" s="330"/>
      <c r="P3076" s="330"/>
      <c r="Q3076" s="330"/>
      <c r="S3076" s="404"/>
      <c r="T3076" s="404"/>
      <c r="U3076" s="404"/>
      <c r="V3076" s="404"/>
      <c r="AB3076" s="404"/>
      <c r="AC3076" s="404"/>
      <c r="AD3076" s="404"/>
      <c r="AE3076" s="316"/>
      <c r="AF3076" s="316"/>
      <c r="AG3076" s="404"/>
      <c r="AI3076" s="316"/>
      <c r="AJ3076" s="316"/>
      <c r="AK3076" s="316"/>
      <c r="AM3076" s="416"/>
    </row>
    <row r="3077" spans="2:39" x14ac:dyDescent="0.25">
      <c r="B3077" s="331"/>
      <c r="C3077" s="332"/>
      <c r="D3077" s="332"/>
      <c r="E3077" s="333"/>
      <c r="F3077" s="333"/>
      <c r="G3077" s="330"/>
      <c r="H3077" s="330"/>
      <c r="M3077" s="334"/>
      <c r="N3077" s="330"/>
      <c r="O3077" s="330"/>
      <c r="P3077" s="330"/>
      <c r="Q3077" s="330"/>
      <c r="S3077" s="404"/>
      <c r="T3077" s="404"/>
      <c r="U3077" s="404"/>
      <c r="V3077" s="404"/>
      <c r="AB3077" s="404"/>
      <c r="AC3077" s="404"/>
      <c r="AD3077" s="404"/>
      <c r="AE3077" s="316"/>
      <c r="AF3077" s="316"/>
      <c r="AG3077" s="404"/>
      <c r="AI3077" s="316"/>
      <c r="AJ3077" s="316"/>
      <c r="AK3077" s="316"/>
      <c r="AM3077" s="416"/>
    </row>
    <row r="3078" spans="2:39" x14ac:dyDescent="0.25">
      <c r="B3078" s="331"/>
      <c r="C3078" s="332"/>
      <c r="D3078" s="332"/>
      <c r="E3078" s="333"/>
      <c r="F3078" s="333"/>
      <c r="G3078" s="330"/>
      <c r="H3078" s="330"/>
      <c r="M3078" s="334"/>
      <c r="N3078" s="330"/>
      <c r="O3078" s="330"/>
      <c r="P3078" s="330"/>
      <c r="Q3078" s="330"/>
      <c r="S3078" s="404"/>
      <c r="T3078" s="404"/>
      <c r="U3078" s="404"/>
      <c r="V3078" s="404"/>
      <c r="AB3078" s="404"/>
      <c r="AC3078" s="404"/>
      <c r="AD3078" s="404"/>
      <c r="AE3078" s="316"/>
      <c r="AF3078" s="316"/>
      <c r="AG3078" s="404"/>
      <c r="AI3078" s="316"/>
      <c r="AJ3078" s="316"/>
      <c r="AK3078" s="316"/>
      <c r="AM3078" s="416"/>
    </row>
    <row r="3079" spans="2:39" x14ac:dyDescent="0.25">
      <c r="B3079" s="331"/>
      <c r="C3079" s="332"/>
      <c r="D3079" s="332"/>
      <c r="E3079" s="333"/>
      <c r="F3079" s="333"/>
      <c r="G3079" s="330"/>
      <c r="H3079" s="330"/>
      <c r="M3079" s="334"/>
      <c r="N3079" s="330"/>
      <c r="O3079" s="330"/>
      <c r="P3079" s="330"/>
      <c r="Q3079" s="330"/>
      <c r="S3079" s="404"/>
      <c r="T3079" s="404"/>
      <c r="U3079" s="404"/>
      <c r="V3079" s="404"/>
      <c r="AB3079" s="404"/>
      <c r="AC3079" s="404"/>
      <c r="AD3079" s="404"/>
      <c r="AE3079" s="316"/>
      <c r="AF3079" s="316"/>
      <c r="AG3079" s="404"/>
      <c r="AI3079" s="316"/>
      <c r="AJ3079" s="316"/>
      <c r="AK3079" s="316"/>
      <c r="AM3079" s="416"/>
    </row>
    <row r="3080" spans="2:39" x14ac:dyDescent="0.25">
      <c r="B3080" s="331"/>
      <c r="C3080" s="332"/>
      <c r="D3080" s="332"/>
      <c r="E3080" s="333"/>
      <c r="F3080" s="333"/>
      <c r="G3080" s="330"/>
      <c r="H3080" s="330"/>
      <c r="M3080" s="334"/>
      <c r="N3080" s="330"/>
      <c r="O3080" s="330"/>
      <c r="P3080" s="330"/>
      <c r="Q3080" s="330"/>
      <c r="S3080" s="404"/>
      <c r="T3080" s="404"/>
      <c r="U3080" s="404"/>
      <c r="V3080" s="404"/>
      <c r="AB3080" s="404"/>
      <c r="AC3080" s="404"/>
      <c r="AD3080" s="404"/>
      <c r="AE3080" s="316"/>
      <c r="AF3080" s="316"/>
      <c r="AG3080" s="404"/>
      <c r="AI3080" s="316"/>
      <c r="AJ3080" s="316"/>
      <c r="AK3080" s="316"/>
      <c r="AM3080" s="416"/>
    </row>
    <row r="3081" spans="2:39" x14ac:dyDescent="0.25">
      <c r="B3081" s="331"/>
      <c r="C3081" s="332"/>
      <c r="D3081" s="332"/>
      <c r="E3081" s="333"/>
      <c r="F3081" s="333"/>
      <c r="G3081" s="330"/>
      <c r="H3081" s="330"/>
      <c r="M3081" s="334"/>
      <c r="N3081" s="330"/>
      <c r="O3081" s="330"/>
      <c r="P3081" s="330"/>
      <c r="Q3081" s="330"/>
      <c r="S3081" s="404"/>
      <c r="T3081" s="404"/>
      <c r="U3081" s="404"/>
      <c r="V3081" s="404"/>
      <c r="AB3081" s="404"/>
      <c r="AC3081" s="404"/>
      <c r="AD3081" s="404"/>
      <c r="AE3081" s="316"/>
      <c r="AF3081" s="316"/>
      <c r="AG3081" s="404"/>
      <c r="AI3081" s="316"/>
      <c r="AJ3081" s="316"/>
      <c r="AK3081" s="316"/>
      <c r="AM3081" s="416"/>
    </row>
    <row r="3082" spans="2:39" x14ac:dyDescent="0.25">
      <c r="B3082" s="331"/>
      <c r="C3082" s="332"/>
      <c r="D3082" s="332"/>
      <c r="E3082" s="333"/>
      <c r="F3082" s="333"/>
      <c r="G3082" s="330"/>
      <c r="H3082" s="330"/>
      <c r="M3082" s="334"/>
      <c r="N3082" s="330"/>
      <c r="O3082" s="330"/>
      <c r="P3082" s="330"/>
      <c r="Q3082" s="330"/>
      <c r="S3082" s="404"/>
      <c r="T3082" s="404"/>
      <c r="U3082" s="404"/>
      <c r="V3082" s="404"/>
      <c r="AB3082" s="404"/>
      <c r="AC3082" s="404"/>
      <c r="AD3082" s="404"/>
      <c r="AE3082" s="316"/>
      <c r="AF3082" s="316"/>
      <c r="AG3082" s="404"/>
      <c r="AI3082" s="316"/>
      <c r="AJ3082" s="316"/>
      <c r="AK3082" s="316"/>
      <c r="AM3082" s="416"/>
    </row>
    <row r="3083" spans="2:39" x14ac:dyDescent="0.25">
      <c r="B3083" s="331"/>
      <c r="C3083" s="332"/>
      <c r="D3083" s="332"/>
      <c r="E3083" s="333"/>
      <c r="F3083" s="333"/>
      <c r="G3083" s="330"/>
      <c r="H3083" s="330"/>
      <c r="M3083" s="334"/>
      <c r="N3083" s="330"/>
      <c r="O3083" s="330"/>
      <c r="P3083" s="330"/>
      <c r="Q3083" s="330"/>
      <c r="S3083" s="404"/>
      <c r="T3083" s="404"/>
      <c r="U3083" s="404"/>
      <c r="V3083" s="404"/>
      <c r="AB3083" s="404"/>
      <c r="AC3083" s="404"/>
      <c r="AD3083" s="404"/>
      <c r="AE3083" s="316"/>
      <c r="AF3083" s="316"/>
      <c r="AG3083" s="404"/>
      <c r="AI3083" s="316"/>
      <c r="AJ3083" s="316"/>
      <c r="AK3083" s="316"/>
      <c r="AM3083" s="416"/>
    </row>
    <row r="3084" spans="2:39" x14ac:dyDescent="0.25">
      <c r="B3084" s="331"/>
      <c r="C3084" s="332"/>
      <c r="D3084" s="332"/>
      <c r="E3084" s="333"/>
      <c r="F3084" s="333"/>
      <c r="G3084" s="330"/>
      <c r="H3084" s="330"/>
      <c r="M3084" s="334"/>
      <c r="N3084" s="330"/>
      <c r="O3084" s="330"/>
      <c r="P3084" s="330"/>
      <c r="Q3084" s="330"/>
      <c r="S3084" s="404"/>
      <c r="T3084" s="404"/>
      <c r="U3084" s="404"/>
      <c r="V3084" s="404"/>
      <c r="AB3084" s="404"/>
      <c r="AC3084" s="404"/>
      <c r="AD3084" s="404"/>
      <c r="AE3084" s="316"/>
      <c r="AF3084" s="316"/>
      <c r="AG3084" s="404"/>
      <c r="AI3084" s="316"/>
      <c r="AJ3084" s="316"/>
      <c r="AK3084" s="316"/>
      <c r="AM3084" s="416"/>
    </row>
    <row r="3085" spans="2:39" x14ac:dyDescent="0.25">
      <c r="B3085" s="331"/>
      <c r="C3085" s="332"/>
      <c r="D3085" s="332"/>
      <c r="E3085" s="333"/>
      <c r="F3085" s="333"/>
      <c r="G3085" s="330"/>
      <c r="H3085" s="330"/>
      <c r="M3085" s="334"/>
      <c r="N3085" s="330"/>
      <c r="O3085" s="330"/>
      <c r="P3085" s="330"/>
      <c r="Q3085" s="330"/>
      <c r="S3085" s="404"/>
      <c r="T3085" s="404"/>
      <c r="U3085" s="404"/>
      <c r="V3085" s="404"/>
      <c r="AB3085" s="404"/>
      <c r="AC3085" s="404"/>
      <c r="AD3085" s="404"/>
      <c r="AE3085" s="316"/>
      <c r="AF3085" s="316"/>
      <c r="AG3085" s="404"/>
      <c r="AI3085" s="316"/>
      <c r="AJ3085" s="316"/>
      <c r="AK3085" s="316"/>
      <c r="AM3085" s="416"/>
    </row>
    <row r="3086" spans="2:39" x14ac:dyDescent="0.25">
      <c r="B3086" s="331"/>
      <c r="C3086" s="332"/>
      <c r="D3086" s="332"/>
      <c r="E3086" s="333"/>
      <c r="F3086" s="333"/>
      <c r="G3086" s="330"/>
      <c r="H3086" s="330"/>
      <c r="M3086" s="334"/>
      <c r="N3086" s="330"/>
      <c r="O3086" s="330"/>
      <c r="P3086" s="330"/>
      <c r="Q3086" s="330"/>
      <c r="S3086" s="404"/>
      <c r="T3086" s="404"/>
      <c r="U3086" s="404"/>
      <c r="V3086" s="404"/>
      <c r="AB3086" s="404"/>
      <c r="AC3086" s="404"/>
      <c r="AD3086" s="404"/>
      <c r="AE3086" s="316"/>
      <c r="AF3086" s="316"/>
      <c r="AG3086" s="404"/>
      <c r="AI3086" s="316"/>
      <c r="AJ3086" s="316"/>
      <c r="AK3086" s="316"/>
      <c r="AM3086" s="416"/>
    </row>
    <row r="3087" spans="2:39" x14ac:dyDescent="0.25">
      <c r="B3087" s="331"/>
      <c r="C3087" s="332"/>
      <c r="D3087" s="332"/>
      <c r="E3087" s="333"/>
      <c r="F3087" s="333"/>
      <c r="G3087" s="330"/>
      <c r="H3087" s="330"/>
      <c r="M3087" s="334"/>
      <c r="N3087" s="330"/>
      <c r="O3087" s="330"/>
      <c r="P3087" s="330"/>
      <c r="Q3087" s="330"/>
      <c r="S3087" s="404"/>
      <c r="T3087" s="404"/>
      <c r="U3087" s="404"/>
      <c r="V3087" s="404"/>
      <c r="AB3087" s="404"/>
      <c r="AC3087" s="404"/>
      <c r="AD3087" s="404"/>
      <c r="AE3087" s="316"/>
      <c r="AF3087" s="316"/>
      <c r="AG3087" s="404"/>
      <c r="AI3087" s="316"/>
      <c r="AJ3087" s="316"/>
      <c r="AK3087" s="316"/>
      <c r="AM3087" s="416"/>
    </row>
    <row r="3088" spans="2:39" x14ac:dyDescent="0.25">
      <c r="B3088" s="331"/>
      <c r="C3088" s="332"/>
      <c r="D3088" s="332"/>
      <c r="E3088" s="333"/>
      <c r="F3088" s="333"/>
      <c r="G3088" s="330"/>
      <c r="H3088" s="330"/>
      <c r="M3088" s="334"/>
      <c r="N3088" s="330"/>
      <c r="O3088" s="330"/>
      <c r="P3088" s="330"/>
      <c r="Q3088" s="330"/>
      <c r="S3088" s="404"/>
      <c r="T3088" s="404"/>
      <c r="U3088" s="404"/>
      <c r="V3088" s="404"/>
      <c r="AB3088" s="404"/>
      <c r="AC3088" s="404"/>
      <c r="AD3088" s="404"/>
      <c r="AE3088" s="316"/>
      <c r="AF3088" s="316"/>
      <c r="AG3088" s="404"/>
      <c r="AI3088" s="316"/>
      <c r="AJ3088" s="316"/>
      <c r="AK3088" s="316"/>
      <c r="AM3088" s="416"/>
    </row>
    <row r="3089" spans="2:39" x14ac:dyDescent="0.25">
      <c r="B3089" s="331"/>
      <c r="C3089" s="332"/>
      <c r="D3089" s="332"/>
      <c r="E3089" s="333"/>
      <c r="F3089" s="333"/>
      <c r="G3089" s="330"/>
      <c r="H3089" s="330"/>
      <c r="M3089" s="334"/>
      <c r="N3089" s="330"/>
      <c r="O3089" s="330"/>
      <c r="P3089" s="330"/>
      <c r="Q3089" s="330"/>
      <c r="S3089" s="404"/>
      <c r="T3089" s="404"/>
      <c r="U3089" s="404"/>
      <c r="V3089" s="404"/>
      <c r="AB3089" s="404"/>
      <c r="AC3089" s="404"/>
      <c r="AD3089" s="404"/>
      <c r="AE3089" s="316"/>
      <c r="AF3089" s="316"/>
      <c r="AG3089" s="404"/>
      <c r="AI3089" s="316"/>
      <c r="AJ3089" s="316"/>
      <c r="AK3089" s="316"/>
      <c r="AM3089" s="416"/>
    </row>
    <row r="3090" spans="2:39" x14ac:dyDescent="0.25">
      <c r="B3090" s="331"/>
      <c r="C3090" s="332"/>
      <c r="D3090" s="332"/>
      <c r="E3090" s="333"/>
      <c r="F3090" s="333"/>
      <c r="G3090" s="330"/>
      <c r="H3090" s="330"/>
      <c r="M3090" s="334"/>
      <c r="N3090" s="330"/>
      <c r="O3090" s="330"/>
      <c r="P3090" s="330"/>
      <c r="Q3090" s="330"/>
      <c r="S3090" s="404"/>
      <c r="T3090" s="404"/>
      <c r="U3090" s="404"/>
      <c r="V3090" s="404"/>
      <c r="AB3090" s="404"/>
      <c r="AC3090" s="404"/>
      <c r="AD3090" s="404"/>
      <c r="AE3090" s="316"/>
      <c r="AF3090" s="316"/>
      <c r="AG3090" s="404"/>
      <c r="AI3090" s="316"/>
      <c r="AJ3090" s="316"/>
      <c r="AK3090" s="316"/>
      <c r="AM3090" s="416"/>
    </row>
    <row r="3091" spans="2:39" x14ac:dyDescent="0.25">
      <c r="B3091" s="331"/>
      <c r="C3091" s="332"/>
      <c r="D3091" s="332"/>
      <c r="E3091" s="333"/>
      <c r="F3091" s="333"/>
      <c r="G3091" s="330"/>
      <c r="H3091" s="330"/>
      <c r="M3091" s="334"/>
      <c r="N3091" s="330"/>
      <c r="O3091" s="330"/>
      <c r="P3091" s="330"/>
      <c r="Q3091" s="330"/>
      <c r="S3091" s="404"/>
      <c r="T3091" s="404"/>
      <c r="U3091" s="404"/>
      <c r="V3091" s="404"/>
      <c r="AB3091" s="404"/>
      <c r="AC3091" s="404"/>
      <c r="AD3091" s="404"/>
      <c r="AE3091" s="316"/>
      <c r="AF3091" s="316"/>
      <c r="AG3091" s="404"/>
      <c r="AI3091" s="316"/>
      <c r="AJ3091" s="316"/>
      <c r="AK3091" s="316"/>
      <c r="AM3091" s="416"/>
    </row>
    <row r="3092" spans="2:39" x14ac:dyDescent="0.25">
      <c r="B3092" s="331"/>
      <c r="C3092" s="332"/>
      <c r="D3092" s="332"/>
      <c r="E3092" s="333"/>
      <c r="F3092" s="333"/>
      <c r="G3092" s="330"/>
      <c r="H3092" s="330"/>
      <c r="M3092" s="334"/>
      <c r="N3092" s="330"/>
      <c r="O3092" s="330"/>
      <c r="P3092" s="330"/>
      <c r="Q3092" s="330"/>
      <c r="S3092" s="404"/>
      <c r="T3092" s="404"/>
      <c r="U3092" s="404"/>
      <c r="V3092" s="404"/>
      <c r="AB3092" s="404"/>
      <c r="AC3092" s="404"/>
      <c r="AD3092" s="404"/>
      <c r="AE3092" s="316"/>
      <c r="AF3092" s="316"/>
      <c r="AG3092" s="404"/>
      <c r="AI3092" s="316"/>
      <c r="AJ3092" s="316"/>
      <c r="AK3092" s="316"/>
      <c r="AM3092" s="416"/>
    </row>
    <row r="3093" spans="2:39" x14ac:dyDescent="0.25">
      <c r="B3093" s="331"/>
      <c r="C3093" s="332"/>
      <c r="D3093" s="332"/>
      <c r="E3093" s="333"/>
      <c r="F3093" s="333"/>
      <c r="G3093" s="330"/>
      <c r="H3093" s="330"/>
      <c r="M3093" s="334"/>
      <c r="N3093" s="330"/>
      <c r="O3093" s="330"/>
      <c r="P3093" s="330"/>
      <c r="Q3093" s="330"/>
      <c r="S3093" s="404"/>
      <c r="T3093" s="404"/>
      <c r="U3093" s="404"/>
      <c r="V3093" s="404"/>
      <c r="AB3093" s="404"/>
      <c r="AC3093" s="404"/>
      <c r="AD3093" s="404"/>
      <c r="AE3093" s="316"/>
      <c r="AF3093" s="316"/>
      <c r="AG3093" s="404"/>
      <c r="AI3093" s="316"/>
      <c r="AJ3093" s="316"/>
      <c r="AK3093" s="316"/>
      <c r="AM3093" s="416"/>
    </row>
    <row r="3094" spans="2:39" x14ac:dyDescent="0.25">
      <c r="B3094" s="331"/>
      <c r="C3094" s="332"/>
      <c r="D3094" s="332"/>
      <c r="E3094" s="333"/>
      <c r="F3094" s="333"/>
      <c r="G3094" s="330"/>
      <c r="H3094" s="330"/>
      <c r="M3094" s="334"/>
      <c r="N3094" s="330"/>
      <c r="O3094" s="330"/>
      <c r="P3094" s="330"/>
      <c r="Q3094" s="330"/>
      <c r="S3094" s="404"/>
      <c r="T3094" s="404"/>
      <c r="U3094" s="404"/>
      <c r="V3094" s="404"/>
      <c r="AB3094" s="404"/>
      <c r="AC3094" s="404"/>
      <c r="AD3094" s="404"/>
      <c r="AE3094" s="316"/>
      <c r="AF3094" s="316"/>
      <c r="AG3094" s="404"/>
      <c r="AI3094" s="316"/>
      <c r="AJ3094" s="316"/>
      <c r="AK3094" s="316"/>
      <c r="AM3094" s="416"/>
    </row>
    <row r="3095" spans="2:39" x14ac:dyDescent="0.25">
      <c r="B3095" s="331"/>
      <c r="C3095" s="332"/>
      <c r="D3095" s="332"/>
      <c r="E3095" s="333"/>
      <c r="F3095" s="333"/>
      <c r="G3095" s="330"/>
      <c r="H3095" s="330"/>
      <c r="M3095" s="334"/>
      <c r="N3095" s="330"/>
      <c r="O3095" s="330"/>
      <c r="P3095" s="330"/>
      <c r="Q3095" s="330"/>
      <c r="S3095" s="404"/>
      <c r="T3095" s="404"/>
      <c r="U3095" s="404"/>
      <c r="V3095" s="404"/>
      <c r="AB3095" s="404"/>
      <c r="AC3095" s="404"/>
      <c r="AD3095" s="404"/>
      <c r="AE3095" s="316"/>
      <c r="AF3095" s="316"/>
      <c r="AG3095" s="404"/>
      <c r="AI3095" s="316"/>
      <c r="AJ3095" s="316"/>
      <c r="AK3095" s="316"/>
      <c r="AM3095" s="416"/>
    </row>
    <row r="3096" spans="2:39" x14ac:dyDescent="0.25">
      <c r="B3096" s="331"/>
      <c r="C3096" s="332"/>
      <c r="D3096" s="332"/>
      <c r="E3096" s="333"/>
      <c r="F3096" s="333"/>
      <c r="G3096" s="330"/>
      <c r="H3096" s="330"/>
      <c r="M3096" s="334"/>
      <c r="N3096" s="330"/>
      <c r="O3096" s="330"/>
      <c r="P3096" s="330"/>
      <c r="Q3096" s="330"/>
      <c r="S3096" s="404"/>
      <c r="T3096" s="404"/>
      <c r="U3096" s="404"/>
      <c r="V3096" s="404"/>
      <c r="AB3096" s="404"/>
      <c r="AC3096" s="404"/>
      <c r="AD3096" s="404"/>
      <c r="AE3096" s="316"/>
      <c r="AF3096" s="316"/>
      <c r="AG3096" s="404"/>
      <c r="AI3096" s="316"/>
      <c r="AJ3096" s="316"/>
      <c r="AK3096" s="316"/>
      <c r="AM3096" s="416"/>
    </row>
    <row r="3097" spans="2:39" x14ac:dyDescent="0.25">
      <c r="B3097" s="331"/>
      <c r="C3097" s="332"/>
      <c r="D3097" s="332"/>
      <c r="E3097" s="333"/>
      <c r="F3097" s="333"/>
      <c r="G3097" s="330"/>
      <c r="H3097" s="330"/>
      <c r="M3097" s="334"/>
      <c r="N3097" s="330"/>
      <c r="O3097" s="330"/>
      <c r="P3097" s="330"/>
      <c r="Q3097" s="330"/>
      <c r="S3097" s="404"/>
      <c r="T3097" s="404"/>
      <c r="U3097" s="404"/>
      <c r="V3097" s="404"/>
      <c r="AB3097" s="404"/>
      <c r="AC3097" s="404"/>
      <c r="AD3097" s="404"/>
      <c r="AE3097" s="316"/>
      <c r="AF3097" s="316"/>
      <c r="AG3097" s="404"/>
      <c r="AI3097" s="316"/>
      <c r="AJ3097" s="316"/>
      <c r="AK3097" s="316"/>
      <c r="AM3097" s="416"/>
    </row>
    <row r="3098" spans="2:39" x14ac:dyDescent="0.25">
      <c r="B3098" s="331"/>
      <c r="C3098" s="332"/>
      <c r="D3098" s="332"/>
      <c r="E3098" s="333"/>
      <c r="F3098" s="333"/>
      <c r="G3098" s="330"/>
      <c r="H3098" s="330"/>
      <c r="M3098" s="334"/>
      <c r="N3098" s="330"/>
      <c r="O3098" s="330"/>
      <c r="P3098" s="330"/>
      <c r="Q3098" s="330"/>
      <c r="S3098" s="404"/>
      <c r="T3098" s="404"/>
      <c r="U3098" s="404"/>
      <c r="V3098" s="404"/>
      <c r="AB3098" s="404"/>
      <c r="AC3098" s="404"/>
      <c r="AD3098" s="404"/>
      <c r="AE3098" s="316"/>
      <c r="AF3098" s="316"/>
      <c r="AG3098" s="404"/>
      <c r="AI3098" s="316"/>
      <c r="AJ3098" s="316"/>
      <c r="AK3098" s="316"/>
      <c r="AM3098" s="416"/>
    </row>
    <row r="3099" spans="2:39" x14ac:dyDescent="0.25">
      <c r="B3099" s="331"/>
      <c r="C3099" s="332"/>
      <c r="D3099" s="332"/>
      <c r="E3099" s="333"/>
      <c r="F3099" s="333"/>
      <c r="G3099" s="330"/>
      <c r="H3099" s="330"/>
      <c r="M3099" s="334"/>
      <c r="N3099" s="330"/>
      <c r="O3099" s="330"/>
      <c r="P3099" s="330"/>
      <c r="Q3099" s="330"/>
      <c r="S3099" s="404"/>
      <c r="T3099" s="404"/>
      <c r="U3099" s="404"/>
      <c r="V3099" s="404"/>
      <c r="AB3099" s="404"/>
      <c r="AC3099" s="404"/>
      <c r="AD3099" s="404"/>
      <c r="AE3099" s="316"/>
      <c r="AF3099" s="316"/>
      <c r="AG3099" s="404"/>
      <c r="AI3099" s="316"/>
      <c r="AJ3099" s="316"/>
      <c r="AK3099" s="316"/>
      <c r="AM3099" s="416"/>
    </row>
    <row r="3100" spans="2:39" x14ac:dyDescent="0.25">
      <c r="B3100" s="331"/>
      <c r="C3100" s="332"/>
      <c r="D3100" s="332"/>
      <c r="E3100" s="333"/>
      <c r="F3100" s="333"/>
      <c r="G3100" s="330"/>
      <c r="H3100" s="330"/>
      <c r="M3100" s="334"/>
      <c r="N3100" s="330"/>
      <c r="O3100" s="330"/>
      <c r="P3100" s="330"/>
      <c r="Q3100" s="330"/>
      <c r="S3100" s="404"/>
      <c r="T3100" s="404"/>
      <c r="U3100" s="404"/>
      <c r="V3100" s="404"/>
      <c r="AB3100" s="404"/>
      <c r="AC3100" s="404"/>
      <c r="AD3100" s="404"/>
      <c r="AE3100" s="316"/>
      <c r="AF3100" s="316"/>
      <c r="AG3100" s="404"/>
      <c r="AI3100" s="316"/>
      <c r="AJ3100" s="316"/>
      <c r="AK3100" s="316"/>
      <c r="AM3100" s="416"/>
    </row>
    <row r="3101" spans="2:39" x14ac:dyDescent="0.25">
      <c r="B3101" s="331"/>
      <c r="C3101" s="332"/>
      <c r="D3101" s="332"/>
      <c r="E3101" s="333"/>
      <c r="F3101" s="333"/>
      <c r="G3101" s="330"/>
      <c r="H3101" s="330"/>
      <c r="M3101" s="334"/>
      <c r="N3101" s="330"/>
      <c r="O3101" s="330"/>
      <c r="P3101" s="330"/>
      <c r="Q3101" s="330"/>
      <c r="S3101" s="404"/>
      <c r="T3101" s="404"/>
      <c r="U3101" s="404"/>
      <c r="V3101" s="404"/>
      <c r="AB3101" s="404"/>
      <c r="AC3101" s="404"/>
      <c r="AD3101" s="404"/>
      <c r="AE3101" s="316"/>
      <c r="AF3101" s="316"/>
      <c r="AG3101" s="404"/>
      <c r="AI3101" s="316"/>
      <c r="AJ3101" s="316"/>
      <c r="AK3101" s="316"/>
      <c r="AM3101" s="416"/>
    </row>
    <row r="3102" spans="2:39" x14ac:dyDescent="0.25">
      <c r="B3102" s="331"/>
      <c r="C3102" s="332"/>
      <c r="D3102" s="332"/>
      <c r="E3102" s="333"/>
      <c r="F3102" s="333"/>
      <c r="G3102" s="330"/>
      <c r="H3102" s="330"/>
      <c r="M3102" s="334"/>
      <c r="N3102" s="330"/>
      <c r="O3102" s="330"/>
      <c r="P3102" s="330"/>
      <c r="Q3102" s="330"/>
      <c r="S3102" s="404"/>
      <c r="T3102" s="404"/>
      <c r="U3102" s="404"/>
      <c r="V3102" s="404"/>
      <c r="AB3102" s="404"/>
      <c r="AC3102" s="404"/>
      <c r="AD3102" s="404"/>
      <c r="AE3102" s="316"/>
      <c r="AF3102" s="316"/>
      <c r="AG3102" s="404"/>
      <c r="AI3102" s="316"/>
      <c r="AJ3102" s="316"/>
      <c r="AK3102" s="316"/>
      <c r="AM3102" s="416"/>
    </row>
    <row r="3103" spans="2:39" x14ac:dyDescent="0.25">
      <c r="B3103" s="331"/>
      <c r="C3103" s="332"/>
      <c r="D3103" s="332"/>
      <c r="E3103" s="333"/>
      <c r="F3103" s="333"/>
      <c r="G3103" s="330"/>
      <c r="H3103" s="330"/>
      <c r="M3103" s="334"/>
      <c r="N3103" s="330"/>
      <c r="O3103" s="330"/>
      <c r="P3103" s="330"/>
      <c r="Q3103" s="330"/>
      <c r="S3103" s="404"/>
      <c r="T3103" s="404"/>
      <c r="U3103" s="404"/>
      <c r="V3103" s="404"/>
      <c r="AB3103" s="404"/>
      <c r="AC3103" s="404"/>
      <c r="AD3103" s="404"/>
      <c r="AE3103" s="316"/>
      <c r="AF3103" s="316"/>
      <c r="AG3103" s="404"/>
      <c r="AI3103" s="316"/>
      <c r="AJ3103" s="316"/>
      <c r="AK3103" s="316"/>
      <c r="AM3103" s="416"/>
    </row>
    <row r="3104" spans="2:39" x14ac:dyDescent="0.25">
      <c r="B3104" s="331"/>
      <c r="C3104" s="332"/>
      <c r="D3104" s="332"/>
      <c r="E3104" s="333"/>
      <c r="F3104" s="333"/>
      <c r="G3104" s="330"/>
      <c r="H3104" s="330"/>
      <c r="M3104" s="334"/>
      <c r="N3104" s="330"/>
      <c r="O3104" s="330"/>
      <c r="P3104" s="330"/>
      <c r="Q3104" s="330"/>
      <c r="S3104" s="404"/>
      <c r="T3104" s="404"/>
      <c r="U3104" s="404"/>
      <c r="V3104" s="404"/>
      <c r="AB3104" s="404"/>
      <c r="AC3104" s="404"/>
      <c r="AD3104" s="404"/>
      <c r="AE3104" s="316"/>
      <c r="AF3104" s="316"/>
      <c r="AG3104" s="404"/>
      <c r="AI3104" s="316"/>
      <c r="AJ3104" s="316"/>
      <c r="AK3104" s="316"/>
      <c r="AM3104" s="416"/>
    </row>
    <row r="3105" spans="2:39" x14ac:dyDescent="0.25">
      <c r="B3105" s="331"/>
      <c r="C3105" s="332"/>
      <c r="D3105" s="332"/>
      <c r="E3105" s="333"/>
      <c r="F3105" s="333"/>
      <c r="G3105" s="330"/>
      <c r="H3105" s="330"/>
      <c r="M3105" s="334"/>
      <c r="N3105" s="330"/>
      <c r="O3105" s="330"/>
      <c r="P3105" s="330"/>
      <c r="Q3105" s="330"/>
      <c r="S3105" s="404"/>
      <c r="T3105" s="404"/>
      <c r="U3105" s="404"/>
      <c r="V3105" s="404"/>
      <c r="AB3105" s="404"/>
      <c r="AC3105" s="404"/>
      <c r="AD3105" s="404"/>
      <c r="AE3105" s="316"/>
      <c r="AF3105" s="316"/>
      <c r="AG3105" s="404"/>
      <c r="AI3105" s="316"/>
      <c r="AJ3105" s="316"/>
      <c r="AK3105" s="316"/>
      <c r="AM3105" s="416"/>
    </row>
    <row r="3106" spans="2:39" x14ac:dyDescent="0.25">
      <c r="B3106" s="331"/>
      <c r="C3106" s="332"/>
      <c r="D3106" s="332"/>
      <c r="E3106" s="333"/>
      <c r="F3106" s="333"/>
      <c r="G3106" s="330"/>
      <c r="H3106" s="330"/>
      <c r="M3106" s="334"/>
      <c r="N3106" s="330"/>
      <c r="O3106" s="330"/>
      <c r="P3106" s="330"/>
      <c r="Q3106" s="330"/>
      <c r="S3106" s="404"/>
      <c r="T3106" s="404"/>
      <c r="U3106" s="404"/>
      <c r="V3106" s="404"/>
      <c r="AB3106" s="404"/>
      <c r="AC3106" s="404"/>
      <c r="AD3106" s="404"/>
      <c r="AE3106" s="316"/>
      <c r="AF3106" s="316"/>
      <c r="AG3106" s="404"/>
      <c r="AI3106" s="316"/>
      <c r="AJ3106" s="316"/>
      <c r="AK3106" s="316"/>
      <c r="AM3106" s="416"/>
    </row>
    <row r="3107" spans="2:39" x14ac:dyDescent="0.25">
      <c r="B3107" s="331"/>
      <c r="C3107" s="332"/>
      <c r="D3107" s="332"/>
      <c r="E3107" s="333"/>
      <c r="F3107" s="333"/>
      <c r="G3107" s="330"/>
      <c r="H3107" s="330"/>
      <c r="M3107" s="334"/>
      <c r="N3107" s="330"/>
      <c r="O3107" s="330"/>
      <c r="P3107" s="330"/>
      <c r="Q3107" s="330"/>
      <c r="S3107" s="404"/>
      <c r="T3107" s="404"/>
      <c r="U3107" s="404"/>
      <c r="V3107" s="404"/>
      <c r="AB3107" s="404"/>
      <c r="AC3107" s="404"/>
      <c r="AD3107" s="404"/>
      <c r="AE3107" s="316"/>
      <c r="AF3107" s="316"/>
      <c r="AG3107" s="404"/>
      <c r="AI3107" s="316"/>
      <c r="AJ3107" s="316"/>
      <c r="AK3107" s="316"/>
      <c r="AM3107" s="416"/>
    </row>
    <row r="3108" spans="2:39" x14ac:dyDescent="0.25">
      <c r="B3108" s="331"/>
      <c r="C3108" s="332"/>
      <c r="D3108" s="332"/>
      <c r="E3108" s="333"/>
      <c r="F3108" s="333"/>
      <c r="G3108" s="330"/>
      <c r="H3108" s="330"/>
      <c r="M3108" s="334"/>
      <c r="N3108" s="330"/>
      <c r="O3108" s="330"/>
      <c r="P3108" s="330"/>
      <c r="Q3108" s="330"/>
      <c r="S3108" s="404"/>
      <c r="T3108" s="404"/>
      <c r="U3108" s="404"/>
      <c r="V3108" s="404"/>
      <c r="AB3108" s="404"/>
      <c r="AC3108" s="404"/>
      <c r="AD3108" s="404"/>
      <c r="AE3108" s="316"/>
      <c r="AF3108" s="316"/>
      <c r="AG3108" s="404"/>
      <c r="AI3108" s="316"/>
      <c r="AJ3108" s="316"/>
      <c r="AK3108" s="316"/>
      <c r="AM3108" s="416"/>
    </row>
    <row r="3109" spans="2:39" x14ac:dyDescent="0.25">
      <c r="B3109" s="331"/>
      <c r="C3109" s="332"/>
      <c r="D3109" s="332"/>
      <c r="E3109" s="333"/>
      <c r="F3109" s="333"/>
      <c r="G3109" s="330"/>
      <c r="H3109" s="330"/>
      <c r="M3109" s="334"/>
      <c r="N3109" s="330"/>
      <c r="O3109" s="330"/>
      <c r="P3109" s="330"/>
      <c r="Q3109" s="330"/>
      <c r="S3109" s="404"/>
      <c r="T3109" s="404"/>
      <c r="U3109" s="404"/>
      <c r="V3109" s="404"/>
      <c r="AB3109" s="404"/>
      <c r="AC3109" s="404"/>
      <c r="AD3109" s="404"/>
      <c r="AE3109" s="316"/>
      <c r="AF3109" s="316"/>
      <c r="AG3109" s="404"/>
      <c r="AI3109" s="316"/>
      <c r="AJ3109" s="316"/>
      <c r="AK3109" s="316"/>
      <c r="AM3109" s="416"/>
    </row>
    <row r="3110" spans="2:39" x14ac:dyDescent="0.25">
      <c r="B3110" s="331"/>
      <c r="C3110" s="332"/>
      <c r="D3110" s="332"/>
      <c r="E3110" s="333"/>
      <c r="F3110" s="333"/>
      <c r="G3110" s="330"/>
      <c r="H3110" s="330"/>
      <c r="M3110" s="334"/>
      <c r="N3110" s="330"/>
      <c r="O3110" s="330"/>
      <c r="P3110" s="330"/>
      <c r="Q3110" s="330"/>
      <c r="S3110" s="404"/>
      <c r="T3110" s="404"/>
      <c r="U3110" s="404"/>
      <c r="V3110" s="404"/>
      <c r="AB3110" s="404"/>
      <c r="AC3110" s="404"/>
      <c r="AD3110" s="404"/>
      <c r="AE3110" s="316"/>
      <c r="AF3110" s="316"/>
      <c r="AG3110" s="404"/>
      <c r="AI3110" s="316"/>
      <c r="AJ3110" s="316"/>
      <c r="AK3110" s="316"/>
      <c r="AM3110" s="416"/>
    </row>
    <row r="3111" spans="2:39" x14ac:dyDescent="0.25">
      <c r="B3111" s="331"/>
      <c r="C3111" s="332"/>
      <c r="D3111" s="332"/>
      <c r="E3111" s="333"/>
      <c r="F3111" s="333"/>
      <c r="G3111" s="330"/>
      <c r="H3111" s="330"/>
      <c r="M3111" s="334"/>
      <c r="N3111" s="330"/>
      <c r="O3111" s="330"/>
      <c r="P3111" s="330"/>
      <c r="Q3111" s="330"/>
      <c r="S3111" s="404"/>
      <c r="T3111" s="404"/>
      <c r="U3111" s="404"/>
      <c r="V3111" s="404"/>
      <c r="AB3111" s="404"/>
      <c r="AC3111" s="404"/>
      <c r="AD3111" s="404"/>
      <c r="AE3111" s="316"/>
      <c r="AF3111" s="316"/>
      <c r="AG3111" s="404"/>
      <c r="AI3111" s="316"/>
      <c r="AJ3111" s="316"/>
      <c r="AK3111" s="316"/>
      <c r="AM3111" s="416"/>
    </row>
    <row r="3112" spans="2:39" x14ac:dyDescent="0.25">
      <c r="B3112" s="331"/>
      <c r="C3112" s="332"/>
      <c r="D3112" s="332"/>
      <c r="E3112" s="333"/>
      <c r="F3112" s="333"/>
      <c r="G3112" s="330"/>
      <c r="H3112" s="330"/>
      <c r="M3112" s="334"/>
      <c r="N3112" s="330"/>
      <c r="O3112" s="330"/>
      <c r="P3112" s="330"/>
      <c r="Q3112" s="330"/>
      <c r="S3112" s="404"/>
      <c r="T3112" s="404"/>
      <c r="U3112" s="404"/>
      <c r="V3112" s="404"/>
      <c r="AB3112" s="404"/>
      <c r="AC3112" s="404"/>
      <c r="AD3112" s="404"/>
      <c r="AE3112" s="316"/>
      <c r="AF3112" s="316"/>
      <c r="AG3112" s="404"/>
      <c r="AI3112" s="316"/>
      <c r="AJ3112" s="316"/>
      <c r="AK3112" s="316"/>
      <c r="AM3112" s="416"/>
    </row>
    <row r="3113" spans="2:39" x14ac:dyDescent="0.25">
      <c r="B3113" s="331"/>
      <c r="C3113" s="332"/>
      <c r="D3113" s="332"/>
      <c r="E3113" s="333"/>
      <c r="F3113" s="333"/>
      <c r="G3113" s="330"/>
      <c r="H3113" s="330"/>
      <c r="M3113" s="334"/>
      <c r="N3113" s="330"/>
      <c r="O3113" s="330"/>
      <c r="P3113" s="330"/>
      <c r="Q3113" s="330"/>
      <c r="S3113" s="404"/>
      <c r="T3113" s="404"/>
      <c r="U3113" s="404"/>
      <c r="V3113" s="404"/>
      <c r="AB3113" s="404"/>
      <c r="AC3113" s="404"/>
      <c r="AD3113" s="404"/>
      <c r="AE3113" s="316"/>
      <c r="AF3113" s="316"/>
      <c r="AG3113" s="404"/>
      <c r="AI3113" s="316"/>
      <c r="AJ3113" s="316"/>
      <c r="AK3113" s="316"/>
      <c r="AM3113" s="416"/>
    </row>
    <row r="3114" spans="2:39" x14ac:dyDescent="0.25">
      <c r="B3114" s="331"/>
      <c r="C3114" s="332"/>
      <c r="D3114" s="332"/>
      <c r="E3114" s="333"/>
      <c r="F3114" s="333"/>
      <c r="G3114" s="330"/>
      <c r="H3114" s="330"/>
      <c r="M3114" s="334"/>
      <c r="N3114" s="330"/>
      <c r="O3114" s="330"/>
      <c r="P3114" s="330"/>
      <c r="Q3114" s="330"/>
      <c r="S3114" s="404"/>
      <c r="T3114" s="404"/>
      <c r="U3114" s="404"/>
      <c r="V3114" s="404"/>
      <c r="AB3114" s="404"/>
      <c r="AC3114" s="404"/>
      <c r="AD3114" s="404"/>
      <c r="AE3114" s="316"/>
      <c r="AF3114" s="316"/>
      <c r="AG3114" s="404"/>
      <c r="AI3114" s="316"/>
      <c r="AJ3114" s="316"/>
      <c r="AK3114" s="316"/>
      <c r="AM3114" s="416"/>
    </row>
    <row r="3115" spans="2:39" x14ac:dyDescent="0.25">
      <c r="B3115" s="331"/>
      <c r="C3115" s="332"/>
      <c r="D3115" s="332"/>
      <c r="E3115" s="333"/>
      <c r="F3115" s="333"/>
      <c r="G3115" s="330"/>
      <c r="H3115" s="330"/>
      <c r="M3115" s="334"/>
      <c r="N3115" s="330"/>
      <c r="O3115" s="330"/>
      <c r="P3115" s="330"/>
      <c r="Q3115" s="330"/>
      <c r="S3115" s="404"/>
      <c r="T3115" s="404"/>
      <c r="U3115" s="404"/>
      <c r="V3115" s="404"/>
      <c r="AB3115" s="404"/>
      <c r="AC3115" s="404"/>
      <c r="AD3115" s="404"/>
      <c r="AE3115" s="316"/>
      <c r="AF3115" s="316"/>
      <c r="AG3115" s="404"/>
      <c r="AI3115" s="316"/>
      <c r="AJ3115" s="316"/>
      <c r="AK3115" s="316"/>
      <c r="AM3115" s="416"/>
    </row>
    <row r="3116" spans="2:39" x14ac:dyDescent="0.25">
      <c r="B3116" s="331"/>
      <c r="C3116" s="332"/>
      <c r="D3116" s="332"/>
      <c r="E3116" s="333"/>
      <c r="F3116" s="333"/>
      <c r="G3116" s="330"/>
      <c r="H3116" s="330"/>
      <c r="M3116" s="334"/>
      <c r="N3116" s="330"/>
      <c r="O3116" s="330"/>
      <c r="P3116" s="330"/>
      <c r="Q3116" s="330"/>
      <c r="S3116" s="404"/>
      <c r="T3116" s="404"/>
      <c r="U3116" s="404"/>
      <c r="V3116" s="404"/>
      <c r="AB3116" s="404"/>
      <c r="AC3116" s="404"/>
      <c r="AD3116" s="404"/>
      <c r="AE3116" s="316"/>
      <c r="AF3116" s="316"/>
      <c r="AG3116" s="404"/>
      <c r="AI3116" s="316"/>
      <c r="AJ3116" s="316"/>
      <c r="AK3116" s="316"/>
      <c r="AM3116" s="416"/>
    </row>
    <row r="3117" spans="2:39" x14ac:dyDescent="0.25">
      <c r="B3117" s="331"/>
      <c r="C3117" s="332"/>
      <c r="D3117" s="332"/>
      <c r="E3117" s="333"/>
      <c r="F3117" s="333"/>
      <c r="G3117" s="330"/>
      <c r="H3117" s="330"/>
      <c r="M3117" s="334"/>
      <c r="N3117" s="330"/>
      <c r="O3117" s="330"/>
      <c r="P3117" s="330"/>
      <c r="Q3117" s="330"/>
      <c r="S3117" s="404"/>
      <c r="T3117" s="404"/>
      <c r="U3117" s="404"/>
      <c r="V3117" s="404"/>
      <c r="AB3117" s="404"/>
      <c r="AC3117" s="404"/>
      <c r="AD3117" s="404"/>
      <c r="AE3117" s="316"/>
      <c r="AF3117" s="316"/>
      <c r="AG3117" s="404"/>
      <c r="AI3117" s="316"/>
      <c r="AJ3117" s="316"/>
      <c r="AK3117" s="316"/>
      <c r="AM3117" s="416"/>
    </row>
    <row r="3118" spans="2:39" x14ac:dyDescent="0.25">
      <c r="B3118" s="331"/>
      <c r="C3118" s="332"/>
      <c r="D3118" s="332"/>
      <c r="E3118" s="333"/>
      <c r="F3118" s="333"/>
      <c r="G3118" s="330"/>
      <c r="H3118" s="330"/>
      <c r="M3118" s="334"/>
      <c r="N3118" s="330"/>
      <c r="O3118" s="330"/>
      <c r="P3118" s="330"/>
      <c r="Q3118" s="330"/>
      <c r="S3118" s="404"/>
      <c r="T3118" s="404"/>
      <c r="U3118" s="404"/>
      <c r="V3118" s="404"/>
      <c r="AB3118" s="404"/>
      <c r="AC3118" s="404"/>
      <c r="AD3118" s="404"/>
      <c r="AE3118" s="316"/>
      <c r="AF3118" s="316"/>
      <c r="AG3118" s="404"/>
      <c r="AI3118" s="316"/>
      <c r="AJ3118" s="316"/>
      <c r="AK3118" s="316"/>
      <c r="AM3118" s="416"/>
    </row>
    <row r="3119" spans="2:39" x14ac:dyDescent="0.25">
      <c r="B3119" s="331"/>
      <c r="C3119" s="332"/>
      <c r="D3119" s="332"/>
      <c r="E3119" s="333"/>
      <c r="F3119" s="333"/>
      <c r="G3119" s="330"/>
      <c r="H3119" s="330"/>
      <c r="M3119" s="334"/>
      <c r="N3119" s="330"/>
      <c r="O3119" s="330"/>
      <c r="P3119" s="330"/>
      <c r="Q3119" s="330"/>
      <c r="S3119" s="404"/>
      <c r="T3119" s="404"/>
      <c r="U3119" s="404"/>
      <c r="V3119" s="404"/>
      <c r="AB3119" s="404"/>
      <c r="AC3119" s="404"/>
      <c r="AD3119" s="404"/>
      <c r="AE3119" s="316"/>
      <c r="AF3119" s="316"/>
      <c r="AG3119" s="404"/>
      <c r="AI3119" s="316"/>
      <c r="AJ3119" s="316"/>
      <c r="AK3119" s="316"/>
      <c r="AM3119" s="416"/>
    </row>
    <row r="3120" spans="2:39" x14ac:dyDescent="0.25">
      <c r="B3120" s="331"/>
      <c r="C3120" s="332"/>
      <c r="D3120" s="332"/>
      <c r="E3120" s="333"/>
      <c r="F3120" s="333"/>
      <c r="G3120" s="330"/>
      <c r="H3120" s="330"/>
      <c r="M3120" s="334"/>
      <c r="N3120" s="330"/>
      <c r="O3120" s="330"/>
      <c r="P3120" s="330"/>
      <c r="Q3120" s="330"/>
      <c r="S3120" s="404"/>
      <c r="T3120" s="404"/>
      <c r="U3120" s="404"/>
      <c r="V3120" s="404"/>
      <c r="AB3120" s="404"/>
      <c r="AC3120" s="404"/>
      <c r="AD3120" s="404"/>
      <c r="AE3120" s="316"/>
      <c r="AF3120" s="316"/>
      <c r="AG3120" s="404"/>
      <c r="AI3120" s="316"/>
      <c r="AJ3120" s="316"/>
      <c r="AK3120" s="316"/>
      <c r="AM3120" s="416"/>
    </row>
    <row r="3121" spans="2:39" x14ac:dyDescent="0.25">
      <c r="B3121" s="331"/>
      <c r="C3121" s="332"/>
      <c r="D3121" s="332"/>
      <c r="E3121" s="333"/>
      <c r="F3121" s="333"/>
      <c r="G3121" s="330"/>
      <c r="H3121" s="330"/>
      <c r="M3121" s="334"/>
      <c r="N3121" s="330"/>
      <c r="O3121" s="330"/>
      <c r="P3121" s="330"/>
      <c r="Q3121" s="330"/>
      <c r="S3121" s="404"/>
      <c r="T3121" s="404"/>
      <c r="U3121" s="404"/>
      <c r="V3121" s="404"/>
      <c r="AB3121" s="404"/>
      <c r="AC3121" s="404"/>
      <c r="AD3121" s="404"/>
      <c r="AE3121" s="316"/>
      <c r="AF3121" s="316"/>
      <c r="AG3121" s="404"/>
      <c r="AI3121" s="316"/>
      <c r="AJ3121" s="316"/>
      <c r="AK3121" s="316"/>
      <c r="AM3121" s="416"/>
    </row>
    <row r="3122" spans="2:39" x14ac:dyDescent="0.25">
      <c r="B3122" s="331"/>
      <c r="C3122" s="332"/>
      <c r="D3122" s="332"/>
      <c r="E3122" s="333"/>
      <c r="F3122" s="333"/>
      <c r="G3122" s="330"/>
      <c r="H3122" s="330"/>
      <c r="M3122" s="334"/>
      <c r="N3122" s="330"/>
      <c r="O3122" s="330"/>
      <c r="P3122" s="330"/>
      <c r="Q3122" s="330"/>
      <c r="S3122" s="404"/>
      <c r="T3122" s="404"/>
      <c r="U3122" s="404"/>
      <c r="V3122" s="404"/>
      <c r="AB3122" s="404"/>
      <c r="AC3122" s="404"/>
      <c r="AD3122" s="404"/>
      <c r="AE3122" s="316"/>
      <c r="AF3122" s="316"/>
      <c r="AG3122" s="404"/>
      <c r="AI3122" s="316"/>
      <c r="AJ3122" s="316"/>
      <c r="AK3122" s="316"/>
      <c r="AM3122" s="416"/>
    </row>
    <row r="3123" spans="2:39" x14ac:dyDescent="0.25">
      <c r="B3123" s="331"/>
      <c r="C3123" s="332"/>
      <c r="D3123" s="332"/>
      <c r="E3123" s="333"/>
      <c r="F3123" s="333"/>
      <c r="G3123" s="330"/>
      <c r="H3123" s="330"/>
      <c r="M3123" s="334"/>
      <c r="N3123" s="330"/>
      <c r="O3123" s="330"/>
      <c r="P3123" s="330"/>
      <c r="Q3123" s="330"/>
      <c r="S3123" s="404"/>
      <c r="T3123" s="404"/>
      <c r="U3123" s="404"/>
      <c r="V3123" s="404"/>
      <c r="AB3123" s="404"/>
      <c r="AC3123" s="404"/>
      <c r="AD3123" s="404"/>
      <c r="AE3123" s="316"/>
      <c r="AF3123" s="316"/>
      <c r="AG3123" s="404"/>
      <c r="AI3123" s="316"/>
      <c r="AJ3123" s="316"/>
      <c r="AK3123" s="316"/>
      <c r="AM3123" s="416"/>
    </row>
    <row r="3124" spans="2:39" x14ac:dyDescent="0.25">
      <c r="B3124" s="331"/>
      <c r="C3124" s="332"/>
      <c r="D3124" s="332"/>
      <c r="E3124" s="333"/>
      <c r="F3124" s="333"/>
      <c r="G3124" s="330"/>
      <c r="H3124" s="330"/>
      <c r="M3124" s="334"/>
      <c r="N3124" s="330"/>
      <c r="O3124" s="330"/>
      <c r="P3124" s="330"/>
      <c r="Q3124" s="330"/>
      <c r="S3124" s="404"/>
      <c r="T3124" s="404"/>
      <c r="U3124" s="404"/>
      <c r="V3124" s="404"/>
      <c r="AB3124" s="404"/>
      <c r="AC3124" s="404"/>
      <c r="AD3124" s="404"/>
      <c r="AE3124" s="316"/>
      <c r="AF3124" s="316"/>
      <c r="AG3124" s="404"/>
      <c r="AI3124" s="316"/>
      <c r="AJ3124" s="316"/>
      <c r="AK3124" s="316"/>
      <c r="AM3124" s="416"/>
    </row>
    <row r="3125" spans="2:39" x14ac:dyDescent="0.25">
      <c r="B3125" s="331"/>
      <c r="C3125" s="332"/>
      <c r="D3125" s="332"/>
      <c r="E3125" s="333"/>
      <c r="F3125" s="333"/>
      <c r="G3125" s="330"/>
      <c r="H3125" s="330"/>
      <c r="M3125" s="334"/>
      <c r="N3125" s="330"/>
      <c r="O3125" s="330"/>
      <c r="P3125" s="330"/>
      <c r="Q3125" s="330"/>
      <c r="S3125" s="404"/>
      <c r="T3125" s="404"/>
      <c r="U3125" s="404"/>
      <c r="V3125" s="404"/>
      <c r="AB3125" s="404"/>
      <c r="AC3125" s="404"/>
      <c r="AD3125" s="404"/>
      <c r="AE3125" s="316"/>
      <c r="AF3125" s="316"/>
      <c r="AG3125" s="404"/>
      <c r="AI3125" s="316"/>
      <c r="AJ3125" s="316"/>
      <c r="AK3125" s="316"/>
      <c r="AM3125" s="416"/>
    </row>
    <row r="3126" spans="2:39" x14ac:dyDescent="0.25">
      <c r="B3126" s="331"/>
      <c r="C3126" s="332"/>
      <c r="D3126" s="332"/>
      <c r="E3126" s="333"/>
      <c r="F3126" s="333"/>
      <c r="G3126" s="330"/>
      <c r="H3126" s="330"/>
      <c r="M3126" s="334"/>
      <c r="N3126" s="330"/>
      <c r="O3126" s="330"/>
      <c r="P3126" s="330"/>
      <c r="Q3126" s="330"/>
      <c r="S3126" s="404"/>
      <c r="T3126" s="404"/>
      <c r="U3126" s="404"/>
      <c r="V3126" s="404"/>
      <c r="AB3126" s="404"/>
      <c r="AC3126" s="404"/>
      <c r="AD3126" s="404"/>
      <c r="AE3126" s="316"/>
      <c r="AF3126" s="316"/>
      <c r="AG3126" s="404"/>
      <c r="AI3126" s="316"/>
      <c r="AJ3126" s="316"/>
      <c r="AK3126" s="316"/>
      <c r="AM3126" s="416"/>
    </row>
    <row r="3127" spans="2:39" x14ac:dyDescent="0.25">
      <c r="B3127" s="331"/>
      <c r="C3127" s="332"/>
      <c r="D3127" s="332"/>
      <c r="E3127" s="333"/>
      <c r="F3127" s="333"/>
      <c r="G3127" s="330"/>
      <c r="H3127" s="330"/>
      <c r="M3127" s="334"/>
      <c r="N3127" s="330"/>
      <c r="O3127" s="330"/>
      <c r="P3127" s="330"/>
      <c r="Q3127" s="330"/>
      <c r="S3127" s="404"/>
      <c r="T3127" s="404"/>
      <c r="U3127" s="404"/>
      <c r="V3127" s="404"/>
      <c r="AB3127" s="404"/>
      <c r="AC3127" s="404"/>
      <c r="AD3127" s="404"/>
      <c r="AE3127" s="316"/>
      <c r="AF3127" s="316"/>
      <c r="AG3127" s="404"/>
      <c r="AI3127" s="316"/>
      <c r="AJ3127" s="316"/>
      <c r="AK3127" s="316"/>
      <c r="AM3127" s="416"/>
    </row>
    <row r="3128" spans="2:39" x14ac:dyDescent="0.25">
      <c r="B3128" s="331"/>
      <c r="C3128" s="332"/>
      <c r="D3128" s="332"/>
      <c r="E3128" s="333"/>
      <c r="F3128" s="333"/>
      <c r="G3128" s="330"/>
      <c r="H3128" s="330"/>
      <c r="M3128" s="334"/>
      <c r="N3128" s="330"/>
      <c r="O3128" s="330"/>
      <c r="P3128" s="330"/>
      <c r="Q3128" s="330"/>
      <c r="S3128" s="404"/>
      <c r="T3128" s="404"/>
      <c r="U3128" s="404"/>
      <c r="V3128" s="404"/>
      <c r="AB3128" s="404"/>
      <c r="AC3128" s="404"/>
      <c r="AD3128" s="404"/>
      <c r="AE3128" s="316"/>
      <c r="AF3128" s="316"/>
      <c r="AG3128" s="404"/>
      <c r="AI3128" s="316"/>
      <c r="AJ3128" s="316"/>
      <c r="AK3128" s="316"/>
      <c r="AM3128" s="416"/>
    </row>
    <row r="3129" spans="2:39" x14ac:dyDescent="0.25">
      <c r="B3129" s="331"/>
      <c r="C3129" s="332"/>
      <c r="D3129" s="332"/>
      <c r="E3129" s="333"/>
      <c r="F3129" s="333"/>
      <c r="G3129" s="330"/>
      <c r="H3129" s="330"/>
      <c r="M3129" s="334"/>
      <c r="N3129" s="330"/>
      <c r="O3129" s="330"/>
      <c r="P3129" s="330"/>
      <c r="Q3129" s="330"/>
      <c r="S3129" s="404"/>
      <c r="T3129" s="404"/>
      <c r="U3129" s="404"/>
      <c r="V3129" s="404"/>
      <c r="AB3129" s="404"/>
      <c r="AC3129" s="404"/>
      <c r="AD3129" s="404"/>
      <c r="AE3129" s="316"/>
      <c r="AF3129" s="316"/>
      <c r="AG3129" s="404"/>
      <c r="AI3129" s="316"/>
      <c r="AJ3129" s="316"/>
      <c r="AK3129" s="316"/>
      <c r="AM3129" s="416"/>
    </row>
    <row r="3130" spans="2:39" x14ac:dyDescent="0.25">
      <c r="B3130" s="331"/>
      <c r="C3130" s="332"/>
      <c r="D3130" s="332"/>
      <c r="E3130" s="333"/>
      <c r="F3130" s="333"/>
      <c r="G3130" s="330"/>
      <c r="H3130" s="330"/>
      <c r="M3130" s="334"/>
      <c r="N3130" s="330"/>
      <c r="O3130" s="330"/>
      <c r="P3130" s="330"/>
      <c r="Q3130" s="330"/>
      <c r="S3130" s="404"/>
      <c r="T3130" s="404"/>
      <c r="U3130" s="404"/>
      <c r="V3130" s="404"/>
      <c r="AB3130" s="404"/>
      <c r="AC3130" s="404"/>
      <c r="AD3130" s="404"/>
      <c r="AE3130" s="316"/>
      <c r="AF3130" s="316"/>
      <c r="AG3130" s="404"/>
      <c r="AI3130" s="316"/>
      <c r="AJ3130" s="316"/>
      <c r="AK3130" s="316"/>
      <c r="AM3130" s="416"/>
    </row>
    <row r="3131" spans="2:39" x14ac:dyDescent="0.25">
      <c r="B3131" s="331"/>
      <c r="C3131" s="332"/>
      <c r="D3131" s="332"/>
      <c r="E3131" s="333"/>
      <c r="F3131" s="333"/>
      <c r="G3131" s="330"/>
      <c r="H3131" s="330"/>
      <c r="M3131" s="334"/>
      <c r="N3131" s="330"/>
      <c r="O3131" s="330"/>
      <c r="P3131" s="330"/>
      <c r="Q3131" s="330"/>
      <c r="S3131" s="404"/>
      <c r="T3131" s="404"/>
      <c r="U3131" s="404"/>
      <c r="V3131" s="404"/>
      <c r="AB3131" s="404"/>
      <c r="AC3131" s="404"/>
      <c r="AD3131" s="404"/>
      <c r="AE3131" s="316"/>
      <c r="AF3131" s="316"/>
      <c r="AG3131" s="404"/>
      <c r="AI3131" s="316"/>
      <c r="AJ3131" s="316"/>
      <c r="AK3131" s="316"/>
      <c r="AM3131" s="416"/>
    </row>
    <row r="3132" spans="2:39" x14ac:dyDescent="0.25">
      <c r="B3132" s="331"/>
      <c r="C3132" s="332"/>
      <c r="D3132" s="332"/>
      <c r="E3132" s="333"/>
      <c r="F3132" s="333"/>
      <c r="G3132" s="330"/>
      <c r="H3132" s="330"/>
      <c r="M3132" s="334"/>
      <c r="N3132" s="330"/>
      <c r="O3132" s="330"/>
      <c r="P3132" s="330"/>
      <c r="Q3132" s="330"/>
      <c r="S3132" s="404"/>
      <c r="T3132" s="404"/>
      <c r="U3132" s="404"/>
      <c r="V3132" s="404"/>
      <c r="AB3132" s="404"/>
      <c r="AC3132" s="404"/>
      <c r="AD3132" s="404"/>
      <c r="AE3132" s="316"/>
      <c r="AF3132" s="316"/>
      <c r="AG3132" s="404"/>
      <c r="AI3132" s="316"/>
      <c r="AJ3132" s="316"/>
      <c r="AK3132" s="316"/>
      <c r="AM3132" s="416"/>
    </row>
    <row r="3133" spans="2:39" x14ac:dyDescent="0.25">
      <c r="B3133" s="331"/>
      <c r="C3133" s="332"/>
      <c r="D3133" s="332"/>
      <c r="E3133" s="333"/>
      <c r="F3133" s="333"/>
      <c r="G3133" s="330"/>
      <c r="H3133" s="330"/>
      <c r="M3133" s="334"/>
      <c r="N3133" s="330"/>
      <c r="O3133" s="330"/>
      <c r="P3133" s="330"/>
      <c r="Q3133" s="330"/>
      <c r="S3133" s="404"/>
      <c r="T3133" s="404"/>
      <c r="U3133" s="404"/>
      <c r="V3133" s="404"/>
      <c r="AB3133" s="404"/>
      <c r="AC3133" s="404"/>
      <c r="AD3133" s="404"/>
      <c r="AE3133" s="316"/>
      <c r="AF3133" s="316"/>
      <c r="AG3133" s="404"/>
      <c r="AI3133" s="316"/>
      <c r="AJ3133" s="316"/>
      <c r="AK3133" s="316"/>
      <c r="AM3133" s="416"/>
    </row>
    <row r="3134" spans="2:39" x14ac:dyDescent="0.25">
      <c r="B3134" s="331"/>
      <c r="C3134" s="332"/>
      <c r="D3134" s="332"/>
      <c r="E3134" s="333"/>
      <c r="F3134" s="333"/>
      <c r="G3134" s="330"/>
      <c r="H3134" s="330"/>
      <c r="M3134" s="334"/>
      <c r="N3134" s="330"/>
      <c r="O3134" s="330"/>
      <c r="P3134" s="330"/>
      <c r="Q3134" s="330"/>
      <c r="S3134" s="404"/>
      <c r="T3134" s="404"/>
      <c r="U3134" s="404"/>
      <c r="V3134" s="404"/>
      <c r="AB3134" s="404"/>
      <c r="AC3134" s="404"/>
      <c r="AD3134" s="404"/>
      <c r="AE3134" s="316"/>
      <c r="AF3134" s="316"/>
      <c r="AG3134" s="404"/>
      <c r="AI3134" s="316"/>
      <c r="AJ3134" s="316"/>
      <c r="AK3134" s="316"/>
      <c r="AM3134" s="416"/>
    </row>
    <row r="3135" spans="2:39" x14ac:dyDescent="0.25">
      <c r="B3135" s="331"/>
      <c r="C3135" s="332"/>
      <c r="D3135" s="332"/>
      <c r="E3135" s="333"/>
      <c r="F3135" s="333"/>
      <c r="G3135" s="330"/>
      <c r="H3135" s="330"/>
      <c r="M3135" s="334"/>
      <c r="N3135" s="330"/>
      <c r="O3135" s="330"/>
      <c r="P3135" s="330"/>
      <c r="Q3135" s="330"/>
      <c r="S3135" s="404"/>
      <c r="T3135" s="404"/>
      <c r="U3135" s="404"/>
      <c r="V3135" s="404"/>
      <c r="AB3135" s="404"/>
      <c r="AC3135" s="404"/>
      <c r="AD3135" s="404"/>
      <c r="AE3135" s="316"/>
      <c r="AF3135" s="316"/>
      <c r="AG3135" s="404"/>
      <c r="AI3135" s="316"/>
      <c r="AJ3135" s="316"/>
      <c r="AK3135" s="316"/>
      <c r="AM3135" s="416"/>
    </row>
    <row r="3136" spans="2:39" x14ac:dyDescent="0.25">
      <c r="B3136" s="331"/>
      <c r="C3136" s="332"/>
      <c r="D3136" s="332"/>
      <c r="E3136" s="333"/>
      <c r="F3136" s="333"/>
      <c r="G3136" s="330"/>
      <c r="H3136" s="330"/>
      <c r="M3136" s="334"/>
      <c r="N3136" s="330"/>
      <c r="O3136" s="330"/>
      <c r="P3136" s="330"/>
      <c r="Q3136" s="330"/>
      <c r="S3136" s="404"/>
      <c r="T3136" s="404"/>
      <c r="U3136" s="404"/>
      <c r="V3136" s="404"/>
      <c r="AB3136" s="404"/>
      <c r="AC3136" s="404"/>
      <c r="AD3136" s="404"/>
      <c r="AE3136" s="316"/>
      <c r="AF3136" s="316"/>
      <c r="AG3136" s="404"/>
      <c r="AI3136" s="316"/>
      <c r="AJ3136" s="316"/>
      <c r="AK3136" s="316"/>
      <c r="AM3136" s="416"/>
    </row>
    <row r="3137" spans="2:39" x14ac:dyDescent="0.25">
      <c r="B3137" s="331"/>
      <c r="C3137" s="332"/>
      <c r="D3137" s="332"/>
      <c r="E3137" s="333"/>
      <c r="F3137" s="333"/>
      <c r="G3137" s="330"/>
      <c r="H3137" s="330"/>
      <c r="M3137" s="334"/>
      <c r="N3137" s="330"/>
      <c r="O3137" s="330"/>
      <c r="P3137" s="330"/>
      <c r="Q3137" s="330"/>
      <c r="S3137" s="404"/>
      <c r="T3137" s="404"/>
      <c r="U3137" s="404"/>
      <c r="V3137" s="404"/>
      <c r="AB3137" s="404"/>
      <c r="AC3137" s="404"/>
      <c r="AD3137" s="404"/>
      <c r="AE3137" s="316"/>
      <c r="AF3137" s="316"/>
      <c r="AG3137" s="404"/>
      <c r="AI3137" s="316"/>
      <c r="AJ3137" s="316"/>
      <c r="AK3137" s="316"/>
      <c r="AM3137" s="416"/>
    </row>
    <row r="3138" spans="2:39" x14ac:dyDescent="0.25">
      <c r="B3138" s="331"/>
      <c r="C3138" s="332"/>
      <c r="D3138" s="332"/>
      <c r="E3138" s="333"/>
      <c r="F3138" s="333"/>
      <c r="G3138" s="330"/>
      <c r="H3138" s="330"/>
      <c r="M3138" s="334"/>
      <c r="N3138" s="330"/>
      <c r="O3138" s="330"/>
      <c r="P3138" s="330"/>
      <c r="Q3138" s="330"/>
      <c r="S3138" s="404"/>
      <c r="T3138" s="404"/>
      <c r="U3138" s="404"/>
      <c r="V3138" s="404"/>
      <c r="AB3138" s="404"/>
      <c r="AC3138" s="404"/>
      <c r="AD3138" s="404"/>
      <c r="AE3138" s="316"/>
      <c r="AF3138" s="316"/>
      <c r="AG3138" s="404"/>
      <c r="AI3138" s="316"/>
      <c r="AJ3138" s="316"/>
      <c r="AK3138" s="316"/>
      <c r="AM3138" s="416"/>
    </row>
    <row r="3139" spans="2:39" x14ac:dyDescent="0.25">
      <c r="B3139" s="331"/>
      <c r="C3139" s="332"/>
      <c r="D3139" s="332"/>
      <c r="E3139" s="333"/>
      <c r="F3139" s="333"/>
      <c r="G3139" s="330"/>
      <c r="H3139" s="330"/>
      <c r="M3139" s="334"/>
      <c r="N3139" s="330"/>
      <c r="O3139" s="330"/>
      <c r="P3139" s="330"/>
      <c r="Q3139" s="330"/>
      <c r="S3139" s="404"/>
      <c r="T3139" s="404"/>
      <c r="U3139" s="404"/>
      <c r="V3139" s="404"/>
      <c r="AB3139" s="404"/>
      <c r="AC3139" s="404"/>
      <c r="AD3139" s="404"/>
      <c r="AE3139" s="316"/>
      <c r="AF3139" s="316"/>
      <c r="AG3139" s="404"/>
      <c r="AI3139" s="316"/>
      <c r="AJ3139" s="316"/>
      <c r="AK3139" s="316"/>
      <c r="AM3139" s="416"/>
    </row>
    <row r="3140" spans="2:39" x14ac:dyDescent="0.25">
      <c r="B3140" s="331"/>
      <c r="C3140" s="332"/>
      <c r="D3140" s="332"/>
      <c r="E3140" s="333"/>
      <c r="F3140" s="333"/>
      <c r="G3140" s="330"/>
      <c r="H3140" s="330"/>
      <c r="M3140" s="334"/>
      <c r="N3140" s="330"/>
      <c r="O3140" s="330"/>
      <c r="P3140" s="330"/>
      <c r="Q3140" s="330"/>
      <c r="S3140" s="404"/>
      <c r="T3140" s="404"/>
      <c r="U3140" s="404"/>
      <c r="V3140" s="404"/>
      <c r="AB3140" s="404"/>
      <c r="AC3140" s="404"/>
      <c r="AD3140" s="404"/>
      <c r="AE3140" s="316"/>
      <c r="AF3140" s="316"/>
      <c r="AG3140" s="404"/>
      <c r="AI3140" s="316"/>
      <c r="AJ3140" s="316"/>
      <c r="AK3140" s="316"/>
      <c r="AM3140" s="416"/>
    </row>
    <row r="3141" spans="2:39" x14ac:dyDescent="0.25">
      <c r="B3141" s="331"/>
      <c r="C3141" s="332"/>
      <c r="D3141" s="332"/>
      <c r="E3141" s="333"/>
      <c r="F3141" s="333"/>
      <c r="G3141" s="330"/>
      <c r="H3141" s="330"/>
      <c r="M3141" s="334"/>
      <c r="N3141" s="330"/>
      <c r="O3141" s="330"/>
      <c r="P3141" s="330"/>
      <c r="Q3141" s="330"/>
      <c r="S3141" s="404"/>
      <c r="T3141" s="404"/>
      <c r="U3141" s="404"/>
      <c r="V3141" s="404"/>
      <c r="AB3141" s="404"/>
      <c r="AC3141" s="404"/>
      <c r="AD3141" s="404"/>
      <c r="AE3141" s="316"/>
      <c r="AF3141" s="316"/>
      <c r="AG3141" s="404"/>
      <c r="AI3141" s="316"/>
      <c r="AJ3141" s="316"/>
      <c r="AK3141" s="316"/>
      <c r="AM3141" s="416"/>
    </row>
    <row r="3142" spans="2:39" x14ac:dyDescent="0.25">
      <c r="B3142" s="331"/>
      <c r="C3142" s="332"/>
      <c r="D3142" s="332"/>
      <c r="E3142" s="333"/>
      <c r="F3142" s="333"/>
      <c r="G3142" s="330"/>
      <c r="H3142" s="330"/>
      <c r="M3142" s="334"/>
      <c r="N3142" s="330"/>
      <c r="O3142" s="330"/>
      <c r="P3142" s="330"/>
      <c r="Q3142" s="330"/>
      <c r="S3142" s="404"/>
      <c r="T3142" s="404"/>
      <c r="U3142" s="404"/>
      <c r="V3142" s="404"/>
      <c r="AB3142" s="404"/>
      <c r="AC3142" s="404"/>
      <c r="AD3142" s="404"/>
      <c r="AE3142" s="316"/>
      <c r="AF3142" s="316"/>
      <c r="AG3142" s="404"/>
      <c r="AI3142" s="316"/>
      <c r="AJ3142" s="316"/>
      <c r="AK3142" s="316"/>
      <c r="AM3142" s="416"/>
    </row>
    <row r="3143" spans="2:39" x14ac:dyDescent="0.25">
      <c r="B3143" s="331"/>
      <c r="C3143" s="332"/>
      <c r="D3143" s="332"/>
      <c r="E3143" s="333"/>
      <c r="F3143" s="333"/>
      <c r="G3143" s="330"/>
      <c r="H3143" s="330"/>
      <c r="M3143" s="334"/>
      <c r="N3143" s="330"/>
      <c r="O3143" s="330"/>
      <c r="P3143" s="330"/>
      <c r="Q3143" s="330"/>
      <c r="S3143" s="404"/>
      <c r="T3143" s="404"/>
      <c r="U3143" s="404"/>
      <c r="V3143" s="404"/>
      <c r="AB3143" s="404"/>
      <c r="AC3143" s="404"/>
      <c r="AD3143" s="404"/>
      <c r="AE3143" s="316"/>
      <c r="AF3143" s="316"/>
      <c r="AG3143" s="404"/>
      <c r="AI3143" s="316"/>
      <c r="AJ3143" s="316"/>
      <c r="AK3143" s="316"/>
      <c r="AM3143" s="416"/>
    </row>
    <row r="3144" spans="2:39" x14ac:dyDescent="0.25">
      <c r="B3144" s="331"/>
      <c r="C3144" s="332"/>
      <c r="D3144" s="332"/>
      <c r="E3144" s="333"/>
      <c r="F3144" s="333"/>
      <c r="G3144" s="330"/>
      <c r="H3144" s="330"/>
      <c r="M3144" s="334"/>
      <c r="N3144" s="330"/>
      <c r="O3144" s="330"/>
      <c r="P3144" s="330"/>
      <c r="Q3144" s="330"/>
      <c r="S3144" s="404"/>
      <c r="T3144" s="404"/>
      <c r="U3144" s="404"/>
      <c r="V3144" s="404"/>
      <c r="AB3144" s="404"/>
      <c r="AC3144" s="404"/>
      <c r="AD3144" s="404"/>
      <c r="AE3144" s="316"/>
      <c r="AF3144" s="316"/>
      <c r="AG3144" s="404"/>
      <c r="AI3144" s="316"/>
      <c r="AJ3144" s="316"/>
      <c r="AK3144" s="316"/>
      <c r="AM3144" s="416"/>
    </row>
    <row r="3145" spans="2:39" x14ac:dyDescent="0.25">
      <c r="B3145" s="331"/>
      <c r="C3145" s="332"/>
      <c r="D3145" s="332"/>
      <c r="E3145" s="333"/>
      <c r="F3145" s="333"/>
      <c r="G3145" s="330"/>
      <c r="H3145" s="330"/>
      <c r="M3145" s="334"/>
      <c r="N3145" s="330"/>
      <c r="O3145" s="330"/>
      <c r="P3145" s="330"/>
      <c r="Q3145" s="330"/>
      <c r="S3145" s="404"/>
      <c r="T3145" s="404"/>
      <c r="U3145" s="404"/>
      <c r="V3145" s="404"/>
      <c r="AB3145" s="404"/>
      <c r="AC3145" s="404"/>
      <c r="AD3145" s="404"/>
      <c r="AE3145" s="316"/>
      <c r="AF3145" s="316"/>
      <c r="AG3145" s="404"/>
      <c r="AI3145" s="316"/>
      <c r="AJ3145" s="316"/>
      <c r="AK3145" s="316"/>
      <c r="AM3145" s="416"/>
    </row>
    <row r="3146" spans="2:39" x14ac:dyDescent="0.25">
      <c r="B3146" s="331"/>
      <c r="C3146" s="332"/>
      <c r="D3146" s="332"/>
      <c r="E3146" s="333"/>
      <c r="F3146" s="333"/>
      <c r="G3146" s="330"/>
      <c r="H3146" s="330"/>
      <c r="M3146" s="334"/>
      <c r="N3146" s="330"/>
      <c r="O3146" s="330"/>
      <c r="P3146" s="330"/>
      <c r="Q3146" s="330"/>
      <c r="S3146" s="404"/>
      <c r="T3146" s="404"/>
      <c r="U3146" s="404"/>
      <c r="V3146" s="404"/>
      <c r="AB3146" s="404"/>
      <c r="AC3146" s="404"/>
      <c r="AD3146" s="404"/>
      <c r="AE3146" s="316"/>
      <c r="AF3146" s="316"/>
      <c r="AG3146" s="404"/>
      <c r="AI3146" s="316"/>
      <c r="AJ3146" s="316"/>
      <c r="AK3146" s="316"/>
      <c r="AM3146" s="416"/>
    </row>
    <row r="3147" spans="2:39" x14ac:dyDescent="0.25">
      <c r="B3147" s="331"/>
      <c r="C3147" s="332"/>
      <c r="D3147" s="332"/>
      <c r="E3147" s="333"/>
      <c r="F3147" s="333"/>
      <c r="G3147" s="330"/>
      <c r="H3147" s="330"/>
      <c r="M3147" s="334"/>
      <c r="N3147" s="330"/>
      <c r="O3147" s="330"/>
      <c r="P3147" s="330"/>
      <c r="Q3147" s="330"/>
      <c r="S3147" s="404"/>
      <c r="T3147" s="404"/>
      <c r="U3147" s="404"/>
      <c r="V3147" s="404"/>
      <c r="AB3147" s="404"/>
      <c r="AC3147" s="404"/>
      <c r="AD3147" s="404"/>
      <c r="AE3147" s="316"/>
      <c r="AF3147" s="316"/>
      <c r="AG3147" s="404"/>
      <c r="AI3147" s="316"/>
      <c r="AJ3147" s="316"/>
      <c r="AK3147" s="316"/>
      <c r="AM3147" s="416"/>
    </row>
    <row r="3148" spans="2:39" x14ac:dyDescent="0.25">
      <c r="B3148" s="331"/>
      <c r="C3148" s="332"/>
      <c r="D3148" s="332"/>
      <c r="E3148" s="333"/>
      <c r="F3148" s="333"/>
      <c r="G3148" s="330"/>
      <c r="H3148" s="330"/>
      <c r="M3148" s="334"/>
      <c r="N3148" s="330"/>
      <c r="O3148" s="330"/>
      <c r="P3148" s="330"/>
      <c r="Q3148" s="330"/>
      <c r="S3148" s="404"/>
      <c r="T3148" s="404"/>
      <c r="U3148" s="404"/>
      <c r="V3148" s="404"/>
      <c r="AB3148" s="404"/>
      <c r="AC3148" s="404"/>
      <c r="AD3148" s="404"/>
      <c r="AE3148" s="316"/>
      <c r="AF3148" s="316"/>
      <c r="AG3148" s="404"/>
      <c r="AI3148" s="316"/>
      <c r="AJ3148" s="316"/>
      <c r="AK3148" s="316"/>
      <c r="AM3148" s="416"/>
    </row>
    <row r="3149" spans="2:39" x14ac:dyDescent="0.25">
      <c r="B3149" s="331"/>
      <c r="C3149" s="332"/>
      <c r="D3149" s="332"/>
      <c r="E3149" s="333"/>
      <c r="F3149" s="333"/>
      <c r="G3149" s="330"/>
      <c r="H3149" s="330"/>
      <c r="M3149" s="334"/>
      <c r="N3149" s="330"/>
      <c r="O3149" s="330"/>
      <c r="P3149" s="330"/>
      <c r="Q3149" s="330"/>
      <c r="S3149" s="404"/>
      <c r="T3149" s="404"/>
      <c r="U3149" s="404"/>
      <c r="V3149" s="404"/>
      <c r="AB3149" s="404"/>
      <c r="AC3149" s="404"/>
      <c r="AD3149" s="404"/>
      <c r="AE3149" s="316"/>
      <c r="AF3149" s="316"/>
      <c r="AG3149" s="404"/>
      <c r="AI3149" s="316"/>
      <c r="AJ3149" s="316"/>
      <c r="AK3149" s="316"/>
      <c r="AM3149" s="416"/>
    </row>
    <row r="3150" spans="2:39" x14ac:dyDescent="0.25">
      <c r="B3150" s="331"/>
      <c r="C3150" s="332"/>
      <c r="D3150" s="332"/>
      <c r="E3150" s="333"/>
      <c r="F3150" s="333"/>
      <c r="G3150" s="330"/>
      <c r="H3150" s="330"/>
      <c r="M3150" s="334"/>
      <c r="N3150" s="330"/>
      <c r="O3150" s="330"/>
      <c r="P3150" s="330"/>
      <c r="Q3150" s="330"/>
      <c r="S3150" s="404"/>
      <c r="T3150" s="404"/>
      <c r="U3150" s="404"/>
      <c r="V3150" s="404"/>
      <c r="AB3150" s="404"/>
      <c r="AC3150" s="404"/>
      <c r="AD3150" s="404"/>
      <c r="AE3150" s="316"/>
      <c r="AF3150" s="316"/>
      <c r="AG3150" s="404"/>
      <c r="AI3150" s="316"/>
      <c r="AJ3150" s="316"/>
      <c r="AK3150" s="316"/>
      <c r="AM3150" s="416"/>
    </row>
    <row r="3151" spans="2:39" x14ac:dyDescent="0.25">
      <c r="B3151" s="331"/>
      <c r="C3151" s="332"/>
      <c r="D3151" s="332"/>
      <c r="E3151" s="333"/>
      <c r="F3151" s="333"/>
      <c r="G3151" s="330"/>
      <c r="H3151" s="330"/>
      <c r="M3151" s="334"/>
      <c r="N3151" s="330"/>
      <c r="O3151" s="330"/>
      <c r="P3151" s="330"/>
      <c r="Q3151" s="330"/>
      <c r="S3151" s="404"/>
      <c r="T3151" s="404"/>
      <c r="U3151" s="404"/>
      <c r="V3151" s="404"/>
      <c r="AB3151" s="404"/>
      <c r="AC3151" s="404"/>
      <c r="AD3151" s="404"/>
      <c r="AE3151" s="316"/>
      <c r="AF3151" s="316"/>
      <c r="AG3151" s="404"/>
      <c r="AI3151" s="316"/>
      <c r="AJ3151" s="316"/>
      <c r="AK3151" s="316"/>
      <c r="AM3151" s="416"/>
    </row>
    <row r="3152" spans="2:39" x14ac:dyDescent="0.25">
      <c r="B3152" s="331"/>
      <c r="C3152" s="332"/>
      <c r="D3152" s="332"/>
      <c r="E3152" s="333"/>
      <c r="F3152" s="333"/>
      <c r="G3152" s="330"/>
      <c r="H3152" s="330"/>
      <c r="M3152" s="334"/>
      <c r="N3152" s="330"/>
      <c r="O3152" s="330"/>
      <c r="P3152" s="330"/>
      <c r="Q3152" s="330"/>
      <c r="S3152" s="404"/>
      <c r="T3152" s="404"/>
      <c r="U3152" s="404"/>
      <c r="V3152" s="404"/>
      <c r="AB3152" s="404"/>
      <c r="AC3152" s="404"/>
      <c r="AD3152" s="404"/>
      <c r="AE3152" s="316"/>
      <c r="AF3152" s="316"/>
      <c r="AG3152" s="404"/>
      <c r="AI3152" s="316"/>
      <c r="AJ3152" s="316"/>
      <c r="AK3152" s="316"/>
      <c r="AM3152" s="416"/>
    </row>
    <row r="3153" spans="2:39" x14ac:dyDescent="0.25">
      <c r="B3153" s="331"/>
      <c r="C3153" s="332"/>
      <c r="D3153" s="332"/>
      <c r="E3153" s="333"/>
      <c r="F3153" s="333"/>
      <c r="G3153" s="330"/>
      <c r="H3153" s="330"/>
      <c r="M3153" s="334"/>
      <c r="N3153" s="330"/>
      <c r="O3153" s="330"/>
      <c r="P3153" s="330"/>
      <c r="Q3153" s="330"/>
      <c r="S3153" s="404"/>
      <c r="T3153" s="404"/>
      <c r="U3153" s="404"/>
      <c r="V3153" s="404"/>
      <c r="AB3153" s="404"/>
      <c r="AC3153" s="404"/>
      <c r="AD3153" s="404"/>
      <c r="AE3153" s="316"/>
      <c r="AF3153" s="316"/>
      <c r="AG3153" s="404"/>
      <c r="AI3153" s="316"/>
      <c r="AJ3153" s="316"/>
      <c r="AK3153" s="316"/>
      <c r="AM3153" s="416"/>
    </row>
    <row r="3154" spans="2:39" x14ac:dyDescent="0.25">
      <c r="B3154" s="331"/>
      <c r="C3154" s="332"/>
      <c r="D3154" s="332"/>
      <c r="E3154" s="333"/>
      <c r="F3154" s="333"/>
      <c r="G3154" s="330"/>
      <c r="H3154" s="330"/>
      <c r="M3154" s="334"/>
      <c r="N3154" s="330"/>
      <c r="O3154" s="330"/>
      <c r="P3154" s="330"/>
      <c r="Q3154" s="330"/>
      <c r="S3154" s="404"/>
      <c r="T3154" s="404"/>
      <c r="U3154" s="404"/>
      <c r="V3154" s="404"/>
      <c r="AB3154" s="404"/>
      <c r="AC3154" s="404"/>
      <c r="AD3154" s="404"/>
      <c r="AE3154" s="316"/>
      <c r="AF3154" s="316"/>
      <c r="AG3154" s="404"/>
      <c r="AI3154" s="316"/>
      <c r="AJ3154" s="316"/>
      <c r="AK3154" s="316"/>
      <c r="AM3154" s="416"/>
    </row>
    <row r="3155" spans="2:39" x14ac:dyDescent="0.25">
      <c r="B3155" s="331"/>
      <c r="C3155" s="332"/>
      <c r="D3155" s="332"/>
      <c r="E3155" s="333"/>
      <c r="F3155" s="333"/>
      <c r="G3155" s="330"/>
      <c r="H3155" s="330"/>
      <c r="M3155" s="334"/>
      <c r="N3155" s="330"/>
      <c r="O3155" s="330"/>
      <c r="P3155" s="330"/>
      <c r="Q3155" s="330"/>
      <c r="S3155" s="404"/>
      <c r="T3155" s="404"/>
      <c r="U3155" s="404"/>
      <c r="V3155" s="404"/>
      <c r="AB3155" s="404"/>
      <c r="AC3155" s="404"/>
      <c r="AD3155" s="404"/>
      <c r="AE3155" s="316"/>
      <c r="AF3155" s="316"/>
      <c r="AG3155" s="404"/>
      <c r="AI3155" s="316"/>
      <c r="AJ3155" s="316"/>
      <c r="AK3155" s="316"/>
      <c r="AM3155" s="416"/>
    </row>
    <row r="3156" spans="2:39" x14ac:dyDescent="0.25">
      <c r="B3156" s="331"/>
      <c r="C3156" s="332"/>
      <c r="D3156" s="332"/>
      <c r="E3156" s="333"/>
      <c r="F3156" s="333"/>
      <c r="G3156" s="330"/>
      <c r="H3156" s="330"/>
      <c r="M3156" s="334"/>
      <c r="N3156" s="330"/>
      <c r="O3156" s="330"/>
      <c r="P3156" s="330"/>
      <c r="Q3156" s="330"/>
      <c r="S3156" s="404"/>
      <c r="T3156" s="404"/>
      <c r="U3156" s="404"/>
      <c r="V3156" s="404"/>
      <c r="AB3156" s="404"/>
      <c r="AC3156" s="404"/>
      <c r="AD3156" s="404"/>
      <c r="AE3156" s="316"/>
      <c r="AF3156" s="316"/>
      <c r="AG3156" s="404"/>
      <c r="AI3156" s="316"/>
      <c r="AJ3156" s="316"/>
      <c r="AK3156" s="316"/>
      <c r="AM3156" s="416"/>
    </row>
    <row r="3157" spans="2:39" x14ac:dyDescent="0.25">
      <c r="B3157" s="331"/>
      <c r="C3157" s="332"/>
      <c r="D3157" s="332"/>
      <c r="E3157" s="333"/>
      <c r="F3157" s="333"/>
      <c r="G3157" s="330"/>
      <c r="H3157" s="330"/>
      <c r="M3157" s="334"/>
      <c r="N3157" s="330"/>
      <c r="O3157" s="330"/>
      <c r="P3157" s="330"/>
      <c r="Q3157" s="330"/>
      <c r="S3157" s="404"/>
      <c r="T3157" s="404"/>
      <c r="U3157" s="404"/>
      <c r="V3157" s="404"/>
      <c r="AB3157" s="404"/>
      <c r="AC3157" s="404"/>
      <c r="AD3157" s="404"/>
      <c r="AE3157" s="316"/>
      <c r="AF3157" s="316"/>
      <c r="AG3157" s="404"/>
      <c r="AI3157" s="316"/>
      <c r="AJ3157" s="316"/>
      <c r="AK3157" s="316"/>
      <c r="AM3157" s="416"/>
    </row>
    <row r="3158" spans="2:39" x14ac:dyDescent="0.25">
      <c r="B3158" s="331"/>
      <c r="C3158" s="332"/>
      <c r="D3158" s="332"/>
      <c r="E3158" s="333"/>
      <c r="F3158" s="333"/>
      <c r="G3158" s="330"/>
      <c r="H3158" s="330"/>
      <c r="M3158" s="334"/>
      <c r="N3158" s="330"/>
      <c r="O3158" s="330"/>
      <c r="P3158" s="330"/>
      <c r="Q3158" s="330"/>
      <c r="S3158" s="404"/>
      <c r="T3158" s="404"/>
      <c r="U3158" s="404"/>
      <c r="V3158" s="404"/>
      <c r="AB3158" s="404"/>
      <c r="AC3158" s="404"/>
      <c r="AD3158" s="404"/>
      <c r="AE3158" s="316"/>
      <c r="AF3158" s="316"/>
      <c r="AG3158" s="404"/>
      <c r="AI3158" s="316"/>
      <c r="AJ3158" s="316"/>
      <c r="AK3158" s="316"/>
      <c r="AM3158" s="416"/>
    </row>
    <row r="3159" spans="2:39" x14ac:dyDescent="0.25">
      <c r="B3159" s="331"/>
      <c r="C3159" s="332"/>
      <c r="D3159" s="332"/>
      <c r="E3159" s="333"/>
      <c r="F3159" s="333"/>
      <c r="G3159" s="330"/>
      <c r="H3159" s="330"/>
      <c r="M3159" s="334"/>
      <c r="N3159" s="330"/>
      <c r="O3159" s="330"/>
      <c r="P3159" s="330"/>
      <c r="Q3159" s="330"/>
      <c r="S3159" s="404"/>
      <c r="T3159" s="404"/>
      <c r="U3159" s="404"/>
      <c r="V3159" s="404"/>
      <c r="AB3159" s="404"/>
      <c r="AC3159" s="404"/>
      <c r="AD3159" s="404"/>
      <c r="AE3159" s="316"/>
      <c r="AF3159" s="316"/>
      <c r="AG3159" s="404"/>
      <c r="AI3159" s="316"/>
      <c r="AJ3159" s="316"/>
      <c r="AK3159" s="316"/>
      <c r="AM3159" s="416"/>
    </row>
    <row r="3160" spans="2:39" x14ac:dyDescent="0.25">
      <c r="B3160" s="331"/>
      <c r="C3160" s="332"/>
      <c r="D3160" s="332"/>
      <c r="E3160" s="333"/>
      <c r="F3160" s="333"/>
      <c r="G3160" s="330"/>
      <c r="H3160" s="330"/>
      <c r="M3160" s="334"/>
      <c r="N3160" s="330"/>
      <c r="O3160" s="330"/>
      <c r="P3160" s="330"/>
      <c r="Q3160" s="330"/>
      <c r="S3160" s="404"/>
      <c r="T3160" s="404"/>
      <c r="U3160" s="404"/>
      <c r="V3160" s="404"/>
      <c r="AB3160" s="404"/>
      <c r="AC3160" s="404"/>
      <c r="AD3160" s="404"/>
      <c r="AE3160" s="316"/>
      <c r="AF3160" s="316"/>
      <c r="AG3160" s="404"/>
      <c r="AI3160" s="316"/>
      <c r="AJ3160" s="316"/>
      <c r="AK3160" s="316"/>
      <c r="AM3160" s="416"/>
    </row>
    <row r="3161" spans="2:39" x14ac:dyDescent="0.25">
      <c r="B3161" s="331"/>
      <c r="C3161" s="332"/>
      <c r="D3161" s="332"/>
      <c r="E3161" s="333"/>
      <c r="F3161" s="333"/>
      <c r="G3161" s="330"/>
      <c r="H3161" s="330"/>
      <c r="M3161" s="334"/>
      <c r="N3161" s="330"/>
      <c r="O3161" s="330"/>
      <c r="P3161" s="330"/>
      <c r="Q3161" s="330"/>
      <c r="S3161" s="404"/>
      <c r="T3161" s="404"/>
      <c r="U3161" s="404"/>
      <c r="V3161" s="404"/>
      <c r="AB3161" s="404"/>
      <c r="AC3161" s="404"/>
      <c r="AD3161" s="404"/>
      <c r="AE3161" s="316"/>
      <c r="AF3161" s="316"/>
      <c r="AG3161" s="404"/>
      <c r="AI3161" s="316"/>
      <c r="AJ3161" s="316"/>
      <c r="AK3161" s="316"/>
      <c r="AM3161" s="416"/>
    </row>
    <row r="3162" spans="2:39" x14ac:dyDescent="0.25">
      <c r="B3162" s="331"/>
      <c r="C3162" s="332"/>
      <c r="D3162" s="332"/>
      <c r="E3162" s="333"/>
      <c r="F3162" s="333"/>
      <c r="G3162" s="330"/>
      <c r="H3162" s="330"/>
      <c r="M3162" s="334"/>
      <c r="N3162" s="330"/>
      <c r="O3162" s="330"/>
      <c r="P3162" s="330"/>
      <c r="Q3162" s="330"/>
      <c r="S3162" s="404"/>
      <c r="T3162" s="404"/>
      <c r="U3162" s="404"/>
      <c r="V3162" s="404"/>
      <c r="AB3162" s="404"/>
      <c r="AC3162" s="404"/>
      <c r="AD3162" s="404"/>
      <c r="AE3162" s="316"/>
      <c r="AF3162" s="316"/>
      <c r="AG3162" s="404"/>
      <c r="AI3162" s="316"/>
      <c r="AJ3162" s="316"/>
      <c r="AK3162" s="316"/>
      <c r="AM3162" s="416"/>
    </row>
    <row r="3163" spans="2:39" x14ac:dyDescent="0.25">
      <c r="B3163" s="331"/>
      <c r="C3163" s="332"/>
      <c r="D3163" s="332"/>
      <c r="E3163" s="333"/>
      <c r="F3163" s="333"/>
      <c r="G3163" s="330"/>
      <c r="H3163" s="330"/>
      <c r="M3163" s="334"/>
      <c r="N3163" s="330"/>
      <c r="O3163" s="330"/>
      <c r="P3163" s="330"/>
      <c r="Q3163" s="330"/>
      <c r="S3163" s="404"/>
      <c r="T3163" s="404"/>
      <c r="U3163" s="404"/>
      <c r="V3163" s="404"/>
      <c r="AB3163" s="404"/>
      <c r="AC3163" s="404"/>
      <c r="AD3163" s="404"/>
      <c r="AE3163" s="316"/>
      <c r="AF3163" s="316"/>
      <c r="AG3163" s="404"/>
      <c r="AI3163" s="316"/>
      <c r="AJ3163" s="316"/>
      <c r="AK3163" s="316"/>
      <c r="AM3163" s="416"/>
    </row>
    <row r="3164" spans="2:39" x14ac:dyDescent="0.25">
      <c r="B3164" s="331"/>
      <c r="C3164" s="332"/>
      <c r="D3164" s="332"/>
      <c r="E3164" s="333"/>
      <c r="F3164" s="333"/>
      <c r="G3164" s="330"/>
      <c r="H3164" s="330"/>
      <c r="M3164" s="334"/>
      <c r="N3164" s="330"/>
      <c r="O3164" s="330"/>
      <c r="P3164" s="330"/>
      <c r="Q3164" s="330"/>
      <c r="S3164" s="404"/>
      <c r="T3164" s="404"/>
      <c r="U3164" s="404"/>
      <c r="V3164" s="404"/>
      <c r="AB3164" s="404"/>
      <c r="AC3164" s="404"/>
      <c r="AD3164" s="404"/>
      <c r="AE3164" s="316"/>
      <c r="AF3164" s="316"/>
      <c r="AG3164" s="404"/>
      <c r="AI3164" s="316"/>
      <c r="AJ3164" s="316"/>
      <c r="AK3164" s="316"/>
      <c r="AM3164" s="416"/>
    </row>
    <row r="3165" spans="2:39" x14ac:dyDescent="0.25">
      <c r="B3165" s="331"/>
      <c r="C3165" s="332"/>
      <c r="D3165" s="332"/>
      <c r="E3165" s="333"/>
      <c r="F3165" s="333"/>
      <c r="G3165" s="330"/>
      <c r="H3165" s="330"/>
      <c r="M3165" s="334"/>
      <c r="N3165" s="330"/>
      <c r="O3165" s="330"/>
      <c r="P3165" s="330"/>
      <c r="Q3165" s="330"/>
      <c r="S3165" s="404"/>
      <c r="T3165" s="404"/>
      <c r="U3165" s="404"/>
      <c r="V3165" s="404"/>
      <c r="AB3165" s="404"/>
      <c r="AC3165" s="404"/>
      <c r="AD3165" s="404"/>
      <c r="AE3165" s="316"/>
      <c r="AF3165" s="316"/>
      <c r="AG3165" s="404"/>
      <c r="AI3165" s="316"/>
      <c r="AJ3165" s="316"/>
      <c r="AK3165" s="316"/>
      <c r="AM3165" s="416"/>
    </row>
    <row r="3166" spans="2:39" x14ac:dyDescent="0.25">
      <c r="B3166" s="331"/>
      <c r="C3166" s="332"/>
      <c r="D3166" s="332"/>
      <c r="E3166" s="333"/>
      <c r="F3166" s="333"/>
      <c r="G3166" s="330"/>
      <c r="H3166" s="330"/>
      <c r="M3166" s="334"/>
      <c r="N3166" s="330"/>
      <c r="O3166" s="330"/>
      <c r="P3166" s="330"/>
      <c r="Q3166" s="330"/>
      <c r="S3166" s="404"/>
      <c r="T3166" s="404"/>
      <c r="U3166" s="404"/>
      <c r="V3166" s="404"/>
      <c r="AB3166" s="404"/>
      <c r="AC3166" s="404"/>
      <c r="AD3166" s="404"/>
      <c r="AE3166" s="316"/>
      <c r="AF3166" s="316"/>
      <c r="AG3166" s="404"/>
      <c r="AI3166" s="316"/>
      <c r="AJ3166" s="316"/>
      <c r="AK3166" s="316"/>
      <c r="AM3166" s="416"/>
    </row>
    <row r="3167" spans="2:39" x14ac:dyDescent="0.25">
      <c r="B3167" s="331"/>
      <c r="C3167" s="332"/>
      <c r="D3167" s="332"/>
      <c r="E3167" s="333"/>
      <c r="F3167" s="333"/>
      <c r="G3167" s="330"/>
      <c r="H3167" s="330"/>
      <c r="M3167" s="334"/>
      <c r="N3167" s="330"/>
      <c r="O3167" s="330"/>
      <c r="P3167" s="330"/>
      <c r="Q3167" s="330"/>
      <c r="S3167" s="404"/>
      <c r="T3167" s="404"/>
      <c r="U3167" s="404"/>
      <c r="V3167" s="404"/>
      <c r="AB3167" s="404"/>
      <c r="AC3167" s="404"/>
      <c r="AD3167" s="404"/>
      <c r="AE3167" s="316"/>
      <c r="AF3167" s="316"/>
      <c r="AG3167" s="404"/>
      <c r="AI3167" s="316"/>
      <c r="AJ3167" s="316"/>
      <c r="AK3167" s="316"/>
      <c r="AM3167" s="416"/>
    </row>
    <row r="3168" spans="2:39" x14ac:dyDescent="0.25">
      <c r="B3168" s="331"/>
      <c r="C3168" s="332"/>
      <c r="D3168" s="332"/>
      <c r="E3168" s="333"/>
      <c r="F3168" s="333"/>
      <c r="G3168" s="330"/>
      <c r="H3168" s="330"/>
      <c r="M3168" s="334"/>
      <c r="N3168" s="330"/>
      <c r="O3168" s="330"/>
      <c r="P3168" s="330"/>
      <c r="Q3168" s="330"/>
      <c r="S3168" s="404"/>
      <c r="T3168" s="404"/>
      <c r="U3168" s="404"/>
      <c r="V3168" s="404"/>
      <c r="AB3168" s="404"/>
      <c r="AC3168" s="404"/>
      <c r="AD3168" s="404"/>
      <c r="AE3168" s="316"/>
      <c r="AF3168" s="316"/>
      <c r="AG3168" s="404"/>
      <c r="AI3168" s="316"/>
      <c r="AJ3168" s="316"/>
      <c r="AK3168" s="316"/>
      <c r="AM3168" s="416"/>
    </row>
    <row r="3169" spans="2:39" x14ac:dyDescent="0.25">
      <c r="B3169" s="331"/>
      <c r="C3169" s="332"/>
      <c r="D3169" s="332"/>
      <c r="E3169" s="333"/>
      <c r="F3169" s="333"/>
      <c r="G3169" s="330"/>
      <c r="H3169" s="330"/>
      <c r="M3169" s="334"/>
      <c r="N3169" s="330"/>
      <c r="O3169" s="330"/>
      <c r="P3169" s="330"/>
      <c r="Q3169" s="330"/>
      <c r="S3169" s="404"/>
      <c r="T3169" s="404"/>
      <c r="U3169" s="404"/>
      <c r="V3169" s="404"/>
      <c r="AB3169" s="404"/>
      <c r="AC3169" s="404"/>
      <c r="AD3169" s="404"/>
      <c r="AE3169" s="316"/>
      <c r="AF3169" s="316"/>
      <c r="AG3169" s="404"/>
      <c r="AI3169" s="316"/>
      <c r="AJ3169" s="316"/>
      <c r="AK3169" s="316"/>
      <c r="AM3169" s="416"/>
    </row>
    <row r="3170" spans="2:39" x14ac:dyDescent="0.25">
      <c r="B3170" s="331"/>
      <c r="C3170" s="332"/>
      <c r="D3170" s="332"/>
      <c r="E3170" s="333"/>
      <c r="F3170" s="333"/>
      <c r="G3170" s="330"/>
      <c r="H3170" s="330"/>
      <c r="M3170" s="334"/>
      <c r="N3170" s="330"/>
      <c r="O3170" s="330"/>
      <c r="P3170" s="330"/>
      <c r="Q3170" s="330"/>
      <c r="S3170" s="404"/>
      <c r="T3170" s="404"/>
      <c r="U3170" s="404"/>
      <c r="V3170" s="404"/>
      <c r="AB3170" s="404"/>
      <c r="AC3170" s="404"/>
      <c r="AD3170" s="404"/>
      <c r="AE3170" s="316"/>
      <c r="AF3170" s="316"/>
      <c r="AG3170" s="404"/>
      <c r="AI3170" s="316"/>
      <c r="AJ3170" s="316"/>
      <c r="AK3170" s="316"/>
      <c r="AM3170" s="416"/>
    </row>
    <row r="3171" spans="2:39" x14ac:dyDescent="0.25">
      <c r="B3171" s="331"/>
      <c r="C3171" s="332"/>
      <c r="D3171" s="332"/>
      <c r="E3171" s="333"/>
      <c r="F3171" s="333"/>
      <c r="G3171" s="330"/>
      <c r="H3171" s="330"/>
      <c r="M3171" s="334"/>
      <c r="N3171" s="330"/>
      <c r="O3171" s="330"/>
      <c r="P3171" s="330"/>
      <c r="Q3171" s="330"/>
      <c r="S3171" s="404"/>
      <c r="T3171" s="404"/>
      <c r="U3171" s="404"/>
      <c r="V3171" s="404"/>
      <c r="AB3171" s="404"/>
      <c r="AC3171" s="404"/>
      <c r="AD3171" s="404"/>
      <c r="AE3171" s="316"/>
      <c r="AF3171" s="316"/>
      <c r="AG3171" s="404"/>
      <c r="AI3171" s="316"/>
      <c r="AJ3171" s="316"/>
      <c r="AK3171" s="316"/>
      <c r="AM3171" s="416"/>
    </row>
    <row r="3172" spans="2:39" x14ac:dyDescent="0.25">
      <c r="B3172" s="331"/>
      <c r="C3172" s="332"/>
      <c r="D3172" s="332"/>
      <c r="E3172" s="333"/>
      <c r="F3172" s="333"/>
      <c r="G3172" s="330"/>
      <c r="H3172" s="330"/>
      <c r="M3172" s="334"/>
      <c r="N3172" s="330"/>
      <c r="O3172" s="330"/>
      <c r="P3172" s="330"/>
      <c r="Q3172" s="330"/>
      <c r="S3172" s="404"/>
      <c r="T3172" s="404"/>
      <c r="U3172" s="404"/>
      <c r="V3172" s="404"/>
      <c r="AB3172" s="404"/>
      <c r="AC3172" s="404"/>
      <c r="AD3172" s="404"/>
      <c r="AE3172" s="316"/>
      <c r="AF3172" s="316"/>
      <c r="AG3172" s="404"/>
      <c r="AI3172" s="316"/>
      <c r="AJ3172" s="316"/>
      <c r="AK3172" s="316"/>
      <c r="AM3172" s="416"/>
    </row>
    <row r="3173" spans="2:39" x14ac:dyDescent="0.25">
      <c r="B3173" s="331"/>
      <c r="C3173" s="332"/>
      <c r="D3173" s="332"/>
      <c r="E3173" s="333"/>
      <c r="F3173" s="333"/>
      <c r="G3173" s="330"/>
      <c r="H3173" s="330"/>
      <c r="M3173" s="334"/>
      <c r="N3173" s="330"/>
      <c r="O3173" s="330"/>
      <c r="P3173" s="330"/>
      <c r="Q3173" s="330"/>
      <c r="S3173" s="404"/>
      <c r="T3173" s="404"/>
      <c r="U3173" s="404"/>
      <c r="V3173" s="404"/>
      <c r="AB3173" s="404"/>
      <c r="AC3173" s="404"/>
      <c r="AD3173" s="404"/>
      <c r="AE3173" s="316"/>
      <c r="AF3173" s="316"/>
      <c r="AG3173" s="404"/>
      <c r="AI3173" s="316"/>
      <c r="AJ3173" s="316"/>
      <c r="AK3173" s="316"/>
      <c r="AM3173" s="416"/>
    </row>
    <row r="3174" spans="2:39" x14ac:dyDescent="0.25">
      <c r="B3174" s="331"/>
      <c r="C3174" s="332"/>
      <c r="D3174" s="332"/>
      <c r="E3174" s="333"/>
      <c r="F3174" s="333"/>
      <c r="G3174" s="330"/>
      <c r="H3174" s="330"/>
      <c r="M3174" s="334"/>
      <c r="N3174" s="330"/>
      <c r="O3174" s="330"/>
      <c r="P3174" s="330"/>
      <c r="Q3174" s="330"/>
      <c r="S3174" s="404"/>
      <c r="T3174" s="404"/>
      <c r="U3174" s="404"/>
      <c r="V3174" s="404"/>
      <c r="AB3174" s="404"/>
      <c r="AC3174" s="404"/>
      <c r="AD3174" s="404"/>
      <c r="AE3174" s="316"/>
      <c r="AF3174" s="316"/>
      <c r="AG3174" s="404"/>
      <c r="AI3174" s="316"/>
      <c r="AJ3174" s="316"/>
      <c r="AK3174" s="316"/>
      <c r="AM3174" s="416"/>
    </row>
    <row r="3175" spans="2:39" x14ac:dyDescent="0.25">
      <c r="B3175" s="331"/>
      <c r="C3175" s="332"/>
      <c r="D3175" s="332"/>
      <c r="E3175" s="333"/>
      <c r="F3175" s="333"/>
      <c r="G3175" s="330"/>
      <c r="H3175" s="330"/>
      <c r="M3175" s="334"/>
      <c r="N3175" s="330"/>
      <c r="O3175" s="330"/>
      <c r="P3175" s="330"/>
      <c r="Q3175" s="330"/>
      <c r="S3175" s="404"/>
      <c r="T3175" s="404"/>
      <c r="U3175" s="404"/>
      <c r="V3175" s="404"/>
      <c r="AB3175" s="404"/>
      <c r="AC3175" s="404"/>
      <c r="AD3175" s="404"/>
      <c r="AE3175" s="316"/>
      <c r="AF3175" s="316"/>
      <c r="AG3175" s="404"/>
      <c r="AI3175" s="316"/>
      <c r="AJ3175" s="316"/>
      <c r="AK3175" s="316"/>
      <c r="AM3175" s="416"/>
    </row>
    <row r="3176" spans="2:39" x14ac:dyDescent="0.25">
      <c r="B3176" s="331"/>
      <c r="C3176" s="332"/>
      <c r="D3176" s="332"/>
      <c r="E3176" s="333"/>
      <c r="F3176" s="333"/>
      <c r="G3176" s="330"/>
      <c r="H3176" s="330"/>
      <c r="M3176" s="334"/>
      <c r="N3176" s="330"/>
      <c r="O3176" s="330"/>
      <c r="P3176" s="330"/>
      <c r="Q3176" s="330"/>
      <c r="S3176" s="404"/>
      <c r="T3176" s="404"/>
      <c r="U3176" s="404"/>
      <c r="V3176" s="404"/>
      <c r="AB3176" s="404"/>
      <c r="AC3176" s="404"/>
      <c r="AD3176" s="404"/>
      <c r="AE3176" s="316"/>
      <c r="AF3176" s="316"/>
      <c r="AG3176" s="404"/>
      <c r="AI3176" s="316"/>
      <c r="AJ3176" s="316"/>
      <c r="AK3176" s="316"/>
      <c r="AM3176" s="416"/>
    </row>
    <row r="3177" spans="2:39" x14ac:dyDescent="0.25">
      <c r="B3177" s="331"/>
      <c r="C3177" s="332"/>
      <c r="D3177" s="332"/>
      <c r="E3177" s="333"/>
      <c r="F3177" s="333"/>
      <c r="G3177" s="330"/>
      <c r="H3177" s="330"/>
      <c r="M3177" s="334"/>
      <c r="N3177" s="330"/>
      <c r="O3177" s="330"/>
      <c r="P3177" s="330"/>
      <c r="Q3177" s="330"/>
      <c r="S3177" s="404"/>
      <c r="T3177" s="404"/>
      <c r="U3177" s="404"/>
      <c r="V3177" s="404"/>
      <c r="AB3177" s="404"/>
      <c r="AC3177" s="404"/>
      <c r="AD3177" s="404"/>
      <c r="AE3177" s="316"/>
      <c r="AF3177" s="316"/>
      <c r="AG3177" s="404"/>
      <c r="AI3177" s="316"/>
      <c r="AJ3177" s="316"/>
      <c r="AK3177" s="316"/>
      <c r="AM3177" s="416"/>
    </row>
    <row r="3178" spans="2:39" x14ac:dyDescent="0.25">
      <c r="B3178" s="331"/>
      <c r="C3178" s="332"/>
      <c r="D3178" s="332"/>
      <c r="E3178" s="333"/>
      <c r="F3178" s="333"/>
      <c r="G3178" s="330"/>
      <c r="H3178" s="330"/>
      <c r="M3178" s="334"/>
      <c r="N3178" s="330"/>
      <c r="O3178" s="330"/>
      <c r="P3178" s="330"/>
      <c r="Q3178" s="330"/>
      <c r="S3178" s="404"/>
      <c r="T3178" s="404"/>
      <c r="U3178" s="404"/>
      <c r="V3178" s="404"/>
      <c r="AB3178" s="404"/>
      <c r="AC3178" s="404"/>
      <c r="AD3178" s="404"/>
      <c r="AE3178" s="316"/>
      <c r="AF3178" s="316"/>
      <c r="AG3178" s="404"/>
      <c r="AI3178" s="316"/>
      <c r="AJ3178" s="316"/>
      <c r="AK3178" s="316"/>
      <c r="AM3178" s="416"/>
    </row>
    <row r="3179" spans="2:39" x14ac:dyDescent="0.25">
      <c r="B3179" s="331"/>
      <c r="C3179" s="332"/>
      <c r="D3179" s="332"/>
      <c r="E3179" s="333"/>
      <c r="F3179" s="333"/>
      <c r="G3179" s="330"/>
      <c r="H3179" s="330"/>
      <c r="M3179" s="334"/>
      <c r="N3179" s="330"/>
      <c r="O3179" s="330"/>
      <c r="P3179" s="330"/>
      <c r="Q3179" s="330"/>
      <c r="S3179" s="404"/>
      <c r="T3179" s="404"/>
      <c r="U3179" s="404"/>
      <c r="V3179" s="404"/>
      <c r="AB3179" s="404"/>
      <c r="AC3179" s="404"/>
      <c r="AD3179" s="404"/>
      <c r="AE3179" s="316"/>
      <c r="AF3179" s="316"/>
      <c r="AG3179" s="404"/>
      <c r="AI3179" s="316"/>
      <c r="AJ3179" s="316"/>
      <c r="AK3179" s="316"/>
      <c r="AM3179" s="416"/>
    </row>
    <row r="3180" spans="2:39" x14ac:dyDescent="0.25">
      <c r="B3180" s="331"/>
      <c r="C3180" s="332"/>
      <c r="D3180" s="332"/>
      <c r="E3180" s="333"/>
      <c r="F3180" s="333"/>
      <c r="G3180" s="330"/>
      <c r="H3180" s="330"/>
      <c r="M3180" s="334"/>
      <c r="N3180" s="330"/>
      <c r="O3180" s="330"/>
      <c r="P3180" s="330"/>
      <c r="Q3180" s="330"/>
      <c r="S3180" s="404"/>
      <c r="T3180" s="404"/>
      <c r="U3180" s="404"/>
      <c r="V3180" s="404"/>
      <c r="AB3180" s="404"/>
      <c r="AC3180" s="404"/>
      <c r="AD3180" s="404"/>
      <c r="AE3180" s="316"/>
      <c r="AF3180" s="316"/>
      <c r="AG3180" s="404"/>
      <c r="AI3180" s="316"/>
      <c r="AJ3180" s="316"/>
      <c r="AK3180" s="316"/>
      <c r="AM3180" s="416"/>
    </row>
    <row r="3181" spans="2:39" x14ac:dyDescent="0.25">
      <c r="B3181" s="331"/>
      <c r="C3181" s="332"/>
      <c r="D3181" s="332"/>
      <c r="E3181" s="333"/>
      <c r="F3181" s="333"/>
      <c r="G3181" s="330"/>
      <c r="H3181" s="330"/>
      <c r="M3181" s="334"/>
      <c r="N3181" s="330"/>
      <c r="O3181" s="330"/>
      <c r="P3181" s="330"/>
      <c r="Q3181" s="330"/>
      <c r="S3181" s="404"/>
      <c r="T3181" s="404"/>
      <c r="U3181" s="404"/>
      <c r="V3181" s="404"/>
      <c r="AB3181" s="404"/>
      <c r="AC3181" s="404"/>
      <c r="AD3181" s="404"/>
      <c r="AE3181" s="316"/>
      <c r="AF3181" s="316"/>
      <c r="AG3181" s="404"/>
      <c r="AI3181" s="316"/>
      <c r="AJ3181" s="316"/>
      <c r="AK3181" s="316"/>
      <c r="AM3181" s="416"/>
    </row>
    <row r="3182" spans="2:39" x14ac:dyDescent="0.25">
      <c r="M3182" s="334"/>
    </row>
  </sheetData>
  <phoneticPr fontId="65" type="noConversion"/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1EAE8-1E61-4126-9BB7-9B88B63F132F}">
  <dimension ref="B1:J320"/>
  <sheetViews>
    <sheetView showGridLines="0" workbookViewId="0">
      <selection activeCell="C5" sqref="C5"/>
    </sheetView>
  </sheetViews>
  <sheetFormatPr defaultRowHeight="14.25" x14ac:dyDescent="0.25"/>
  <cols>
    <col min="1" max="1" width="1.42578125" customWidth="1"/>
    <col min="2" max="2" width="14.28515625" style="347" bestFit="1" customWidth="1"/>
    <col min="3" max="3" width="14.7109375" style="349" customWidth="1"/>
    <col min="4" max="6" width="14.7109375" style="350" customWidth="1"/>
    <col min="7" max="7" width="1.140625" customWidth="1"/>
    <col min="8" max="8" width="13.85546875" bestFit="1" customWidth="1"/>
    <col min="9" max="9" width="11.7109375" bestFit="1" customWidth="1"/>
    <col min="10" max="10" width="14.85546875" customWidth="1"/>
    <col min="11" max="11" width="15.42578125" bestFit="1" customWidth="1"/>
  </cols>
  <sheetData>
    <row r="1" spans="2:10" ht="6.75" customHeight="1" x14ac:dyDescent="0.25"/>
    <row r="2" spans="2:10" ht="28.5" customHeight="1" x14ac:dyDescent="0.5">
      <c r="B2" s="355" t="s">
        <v>280</v>
      </c>
      <c r="H2" s="355" t="s">
        <v>278</v>
      </c>
    </row>
    <row r="3" spans="2:10" ht="6.75" customHeight="1" x14ac:dyDescent="0.25"/>
    <row r="4" spans="2:10" s="346" customFormat="1" ht="27.95" customHeight="1" x14ac:dyDescent="0.25">
      <c r="B4" s="348" t="s">
        <v>27</v>
      </c>
      <c r="C4" s="351" t="s">
        <v>267</v>
      </c>
      <c r="D4" s="352" t="s">
        <v>156</v>
      </c>
      <c r="E4" s="352" t="s">
        <v>269</v>
      </c>
      <c r="F4" s="352" t="s">
        <v>276</v>
      </c>
      <c r="H4" s="346" t="s">
        <v>27</v>
      </c>
      <c r="I4" s="346" t="s">
        <v>267</v>
      </c>
      <c r="J4" t="s">
        <v>269</v>
      </c>
    </row>
    <row r="5" spans="2:10" s="346" customFormat="1" ht="27.95" customHeight="1" x14ac:dyDescent="0.25">
      <c r="B5" s="348">
        <v>43972</v>
      </c>
      <c r="C5" s="354">
        <v>4294</v>
      </c>
      <c r="D5" s="353">
        <v>-7.2340739647153603E-3</v>
      </c>
      <c r="E5" s="353">
        <v>1.3440296475286899E-2</v>
      </c>
      <c r="F5" s="353">
        <v>2.0674370440002299E-2</v>
      </c>
      <c r="H5" s="348">
        <v>43286</v>
      </c>
      <c r="I5" s="358">
        <v>19566.720799999999</v>
      </c>
      <c r="J5" s="353">
        <v>6.6079261137505896E-2</v>
      </c>
    </row>
    <row r="6" spans="2:10" s="346" customFormat="1" ht="27.95" customHeight="1" x14ac:dyDescent="0.25">
      <c r="B6" s="348">
        <v>43971</v>
      </c>
      <c r="C6" s="354">
        <v>2497</v>
      </c>
      <c r="D6" s="353">
        <v>1.60498351044338E-2</v>
      </c>
      <c r="E6" s="353">
        <v>7.9221302503545404E-3</v>
      </c>
      <c r="F6" s="353">
        <v>-8.1277048540792998E-3</v>
      </c>
      <c r="H6" s="348">
        <v>43908</v>
      </c>
      <c r="I6" s="358">
        <v>17872</v>
      </c>
      <c r="J6" s="353">
        <v>5.2957683042103611E-2</v>
      </c>
    </row>
    <row r="7" spans="2:10" s="346" customFormat="1" ht="27.95" customHeight="1" x14ac:dyDescent="0.25">
      <c r="B7" s="348">
        <v>43970</v>
      </c>
      <c r="C7" s="354">
        <v>11045</v>
      </c>
      <c r="D7" s="353">
        <v>-9.5337405035006793E-3</v>
      </c>
      <c r="E7" s="353">
        <v>3.53218461381022E-2</v>
      </c>
      <c r="F7" s="353">
        <v>4.4855586641602899E-2</v>
      </c>
      <c r="H7" s="348">
        <v>43711</v>
      </c>
      <c r="I7" s="358">
        <v>16145.246800000001</v>
      </c>
      <c r="J7" s="353">
        <v>4.4579783287174726E-2</v>
      </c>
    </row>
    <row r="8" spans="2:10" s="346" customFormat="1" ht="27.95" customHeight="1" x14ac:dyDescent="0.25">
      <c r="B8" s="348">
        <v>43969</v>
      </c>
      <c r="C8" s="354">
        <v>726</v>
      </c>
      <c r="D8" s="353">
        <v>2.9659141212925899E-2</v>
      </c>
      <c r="E8" s="353">
        <v>2.40675482594124E-3</v>
      </c>
      <c r="F8" s="353">
        <v>-2.7252386386984701E-2</v>
      </c>
      <c r="H8" s="348">
        <v>43354</v>
      </c>
      <c r="I8" s="358">
        <v>15525.340700000001</v>
      </c>
      <c r="J8" s="353">
        <v>5.4992490386192631E-2</v>
      </c>
    </row>
    <row r="9" spans="2:10" s="346" customFormat="1" ht="27.95" customHeight="1" x14ac:dyDescent="0.25">
      <c r="B9" s="348">
        <v>43968</v>
      </c>
      <c r="C9" s="354">
        <v>0</v>
      </c>
      <c r="D9" s="353">
        <v>0</v>
      </c>
      <c r="E9" s="353">
        <v>0</v>
      </c>
      <c r="F9" s="353">
        <v>0</v>
      </c>
      <c r="H9" s="348">
        <v>43894</v>
      </c>
      <c r="I9" s="358">
        <v>15368</v>
      </c>
      <c r="J9" s="353">
        <v>4.2007779420889631E-2</v>
      </c>
    </row>
    <row r="10" spans="2:10" s="346" customFormat="1" ht="27.95" customHeight="1" x14ac:dyDescent="0.25">
      <c r="B10" s="348">
        <v>43967</v>
      </c>
      <c r="C10" s="354">
        <v>0</v>
      </c>
      <c r="D10" s="353">
        <v>0</v>
      </c>
      <c r="E10" s="353">
        <v>0</v>
      </c>
      <c r="F10" s="353">
        <v>0</v>
      </c>
      <c r="H10" s="348">
        <v>43022</v>
      </c>
      <c r="I10" s="358">
        <v>15025.97</v>
      </c>
      <c r="J10" s="353">
        <v>6.3784230075347559E-2</v>
      </c>
    </row>
    <row r="11" spans="2:10" s="346" customFormat="1" ht="27.95" customHeight="1" x14ac:dyDescent="0.25">
      <c r="B11" s="348">
        <v>43966</v>
      </c>
      <c r="C11" s="354">
        <v>3597.73</v>
      </c>
      <c r="D11" s="353">
        <v>4.4860097323601196E-3</v>
      </c>
      <c r="E11" s="353">
        <v>1.19555703248317E-2</v>
      </c>
      <c r="F11" s="353">
        <v>7.4695605924715901E-3</v>
      </c>
      <c r="H11" s="348">
        <v>43951</v>
      </c>
      <c r="I11" s="358">
        <v>15016.13</v>
      </c>
      <c r="J11" s="353">
        <v>4.623965910063349E-2</v>
      </c>
    </row>
    <row r="12" spans="2:10" s="346" customFormat="1" ht="27.95" customHeight="1" x14ac:dyDescent="0.25">
      <c r="B12" s="348">
        <v>43965</v>
      </c>
      <c r="C12" s="354">
        <v>2273.58</v>
      </c>
      <c r="D12" s="353">
        <v>1.1914763614145001E-2</v>
      </c>
      <c r="E12" s="353">
        <v>7.6467254416320999E-3</v>
      </c>
      <c r="F12" s="353">
        <v>-4.2680381725128799E-3</v>
      </c>
      <c r="H12" s="348">
        <v>43903</v>
      </c>
      <c r="I12" s="358">
        <v>14935.64</v>
      </c>
      <c r="J12" s="353">
        <v>4.9695717856741359E-2</v>
      </c>
    </row>
    <row r="13" spans="2:10" s="346" customFormat="1" ht="27.95" customHeight="1" x14ac:dyDescent="0.25">
      <c r="B13" s="348">
        <v>43964</v>
      </c>
      <c r="C13" s="354">
        <v>-4474</v>
      </c>
      <c r="D13" s="353">
        <v>-1.80490067248976E-2</v>
      </c>
      <c r="E13" s="353">
        <v>-1.5163341966677299E-2</v>
      </c>
      <c r="F13" s="353">
        <v>2.8856647582203199E-3</v>
      </c>
      <c r="H13" s="348">
        <v>43906</v>
      </c>
      <c r="I13" s="358">
        <v>14302.11</v>
      </c>
      <c r="J13" s="353">
        <v>4.5310184828776558E-2</v>
      </c>
    </row>
    <row r="14" spans="2:10" s="346" customFormat="1" ht="27.95" customHeight="1" x14ac:dyDescent="0.25">
      <c r="B14" s="348">
        <v>43963</v>
      </c>
      <c r="C14" s="354">
        <v>-2616</v>
      </c>
      <c r="D14" s="353">
        <v>-2.0538324285334499E-2</v>
      </c>
      <c r="E14" s="353">
        <v>-8.7337501250719096E-3</v>
      </c>
      <c r="F14" s="353">
        <v>1.18045741602626E-2</v>
      </c>
      <c r="H14" s="348">
        <v>43281</v>
      </c>
      <c r="I14" s="358">
        <v>13065</v>
      </c>
      <c r="J14" s="353">
        <v>4.9333542916874557E-2</v>
      </c>
    </row>
    <row r="15" spans="2:10" s="346" customFormat="1" ht="27.95" customHeight="1" x14ac:dyDescent="0.25">
      <c r="B15" s="348">
        <v>43962</v>
      </c>
      <c r="C15" s="354">
        <v>8762.44</v>
      </c>
      <c r="D15" s="353">
        <v>1.4879845249616999E-4</v>
      </c>
      <c r="E15" s="353">
        <v>2.9000903510511801E-2</v>
      </c>
      <c r="F15" s="353">
        <v>2.8852105058015699E-2</v>
      </c>
    </row>
    <row r="16" spans="2:10" s="346" customFormat="1" ht="27.95" customHeight="1" x14ac:dyDescent="0.5">
      <c r="B16" s="348">
        <v>43961</v>
      </c>
      <c r="C16" s="354">
        <v>0</v>
      </c>
      <c r="D16" s="353">
        <v>0</v>
      </c>
      <c r="E16" s="353">
        <v>0</v>
      </c>
      <c r="F16" s="353">
        <v>0</v>
      </c>
      <c r="H16" s="355" t="s">
        <v>279</v>
      </c>
    </row>
    <row r="17" spans="2:10" s="346" customFormat="1" ht="27.95" customHeight="1" x14ac:dyDescent="0.25">
      <c r="B17" s="348">
        <v>43960</v>
      </c>
      <c r="C17" s="354">
        <v>0</v>
      </c>
      <c r="D17" s="353">
        <v>0</v>
      </c>
      <c r="E17" s="353">
        <v>0</v>
      </c>
      <c r="F17" s="353">
        <v>0</v>
      </c>
      <c r="H17" s="348" t="s">
        <v>27</v>
      </c>
      <c r="I17" s="346" t="s">
        <v>267</v>
      </c>
      <c r="J17" s="346" t="s">
        <v>269</v>
      </c>
    </row>
    <row r="18" spans="2:10" s="346" customFormat="1" ht="27.95" customHeight="1" x14ac:dyDescent="0.25">
      <c r="B18" s="348">
        <v>43959</v>
      </c>
      <c r="C18" s="354">
        <v>-22125.49</v>
      </c>
      <c r="D18" s="353">
        <v>1.64446759431504E-2</v>
      </c>
      <c r="E18" s="353">
        <v>-7.5415487526895406E-2</v>
      </c>
      <c r="F18" s="353">
        <v>-9.1860163470045803E-2</v>
      </c>
      <c r="H18" s="348">
        <v>43902</v>
      </c>
      <c r="I18" s="356">
        <v>-37750.480000000003</v>
      </c>
      <c r="J18" s="353">
        <v>-0.1321767055786438</v>
      </c>
    </row>
    <row r="19" spans="2:10" s="346" customFormat="1" ht="27.95" customHeight="1" x14ac:dyDescent="0.25">
      <c r="B19" s="348">
        <v>43958</v>
      </c>
      <c r="C19" s="354">
        <v>-4940.99</v>
      </c>
      <c r="D19" s="353">
        <v>1.16886064457559E-2</v>
      </c>
      <c r="E19" s="353">
        <v>-1.5660489535025399E-2</v>
      </c>
      <c r="F19" s="353">
        <v>-2.73490959807813E-2</v>
      </c>
      <c r="H19" s="348">
        <v>43920</v>
      </c>
      <c r="I19" s="356">
        <v>-32795.050000000003</v>
      </c>
      <c r="J19" s="353">
        <v>-0.11553791457464792</v>
      </c>
    </row>
    <row r="20" spans="2:10" s="346" customFormat="1" ht="27.95" customHeight="1" x14ac:dyDescent="0.25">
      <c r="B20" s="348">
        <v>43957</v>
      </c>
      <c r="C20" s="354">
        <v>0</v>
      </c>
      <c r="D20" s="353">
        <v>-6.7746009874843603E-3</v>
      </c>
      <c r="E20" s="353">
        <v>0</v>
      </c>
      <c r="F20" s="353">
        <v>6.7746009874843603E-3</v>
      </c>
      <c r="H20" s="348">
        <v>43899</v>
      </c>
      <c r="I20" s="356">
        <v>-32643.06</v>
      </c>
      <c r="J20" s="353">
        <v>-9.9804427342308641E-2</v>
      </c>
    </row>
    <row r="21" spans="2:10" s="346" customFormat="1" ht="27.95" customHeight="1" x14ac:dyDescent="0.25">
      <c r="B21" s="348">
        <v>43956</v>
      </c>
      <c r="C21" s="354">
        <v>-901.03</v>
      </c>
      <c r="D21" s="353">
        <v>9.1240875912410001E-3</v>
      </c>
      <c r="E21" s="353">
        <v>-2.8117846239698102E-3</v>
      </c>
      <c r="F21" s="353">
        <v>-1.1935872215210801E-2</v>
      </c>
      <c r="H21" s="348">
        <v>43290</v>
      </c>
      <c r="I21" s="356">
        <v>-29099.2415</v>
      </c>
      <c r="J21" s="353">
        <v>-0.10930904662920161</v>
      </c>
    </row>
    <row r="22" spans="2:10" s="346" customFormat="1" ht="27.95" customHeight="1" x14ac:dyDescent="0.25">
      <c r="B22" s="348">
        <v>43955</v>
      </c>
      <c r="C22" s="354">
        <v>-9688.93</v>
      </c>
      <c r="D22" s="353">
        <v>3.1461019030079502E-3</v>
      </c>
      <c r="E22" s="353">
        <v>-3.01508242944519E-2</v>
      </c>
      <c r="F22" s="353">
        <v>-3.3296926197459803E-2</v>
      </c>
      <c r="H22" s="348">
        <v>43959</v>
      </c>
      <c r="I22" s="356">
        <v>-22125.49</v>
      </c>
      <c r="J22" s="353">
        <v>-7.5415487526895433E-2</v>
      </c>
    </row>
    <row r="23" spans="2:10" s="346" customFormat="1" ht="27.95" customHeight="1" x14ac:dyDescent="0.25">
      <c r="B23" s="348">
        <v>43954</v>
      </c>
      <c r="C23" s="354">
        <v>0</v>
      </c>
      <c r="D23" s="353">
        <v>0</v>
      </c>
      <c r="E23" s="353">
        <v>0</v>
      </c>
      <c r="F23" s="353">
        <v>0</v>
      </c>
      <c r="H23" s="348">
        <v>43915</v>
      </c>
      <c r="I23" s="356">
        <v>-19596.79</v>
      </c>
      <c r="J23" s="353">
        <v>-6.2780401655995327E-2</v>
      </c>
    </row>
    <row r="24" spans="2:10" s="346" customFormat="1" ht="27.95" customHeight="1" x14ac:dyDescent="0.25">
      <c r="B24" s="348">
        <v>43953</v>
      </c>
      <c r="C24" s="354">
        <v>0</v>
      </c>
      <c r="D24" s="353">
        <v>0</v>
      </c>
      <c r="E24" s="353">
        <v>0</v>
      </c>
      <c r="F24" s="353">
        <v>0</v>
      </c>
      <c r="H24" s="348">
        <v>43353</v>
      </c>
      <c r="I24" s="356">
        <v>-18196.288100000002</v>
      </c>
      <c r="J24" s="353">
        <v>-6.8203991524466517E-2</v>
      </c>
    </row>
    <row r="25" spans="2:10" s="346" customFormat="1" ht="27.95" customHeight="1" x14ac:dyDescent="0.25">
      <c r="B25" s="348">
        <v>43952</v>
      </c>
      <c r="C25" s="354">
        <v>5217</v>
      </c>
      <c r="D25" s="353">
        <v>-2.80193980448004E-2</v>
      </c>
      <c r="E25" s="353">
        <v>1.5810878496596101E-2</v>
      </c>
      <c r="F25" s="353">
        <v>4.3830276541396401E-2</v>
      </c>
      <c r="H25" s="357">
        <v>43549</v>
      </c>
      <c r="I25" s="356">
        <v>-14759.1299</v>
      </c>
      <c r="J25" s="353">
        <v>-4.923480204854986E-2</v>
      </c>
    </row>
    <row r="26" spans="2:10" s="346" customFormat="1" ht="27.95" customHeight="1" x14ac:dyDescent="0.25">
      <c r="B26" s="348">
        <v>43951</v>
      </c>
      <c r="C26" s="354">
        <v>15016.13</v>
      </c>
      <c r="D26" s="353">
        <v>-8.7982029202544592E-3</v>
      </c>
      <c r="E26" s="353">
        <v>4.6239659100633497E-2</v>
      </c>
      <c r="F26" s="353">
        <v>5.5037862020888E-2</v>
      </c>
      <c r="H26" s="357">
        <v>43901</v>
      </c>
      <c r="I26" s="356">
        <v>-14074.91</v>
      </c>
      <c r="J26" s="353">
        <v>-4.3527513259895116E-2</v>
      </c>
    </row>
    <row r="27" spans="2:10" s="346" customFormat="1" ht="27.95" customHeight="1" x14ac:dyDescent="0.25">
      <c r="B27" s="348">
        <v>43950</v>
      </c>
      <c r="C27" s="354">
        <v>-1400.3</v>
      </c>
      <c r="D27" s="353">
        <v>2.5125255149378301E-2</v>
      </c>
      <c r="E27" s="353">
        <v>-4.5210408719141603E-3</v>
      </c>
      <c r="F27" s="353">
        <v>-2.9646296021292502E-2</v>
      </c>
      <c r="H27" s="357">
        <v>43885</v>
      </c>
      <c r="I27" s="356">
        <v>-12672.84</v>
      </c>
      <c r="J27" s="353">
        <v>-3.5037946965486927E-2</v>
      </c>
    </row>
    <row r="28" spans="2:10" s="346" customFormat="1" ht="27.95" customHeight="1" x14ac:dyDescent="0.25">
      <c r="B28" s="348">
        <v>43949</v>
      </c>
      <c r="C28" s="354">
        <v>-766.73</v>
      </c>
      <c r="D28" s="353">
        <v>-4.6444342926753902E-3</v>
      </c>
      <c r="E28" s="353">
        <v>-2.4643407739779102E-3</v>
      </c>
      <c r="F28" s="353">
        <v>2.1800935186974701E-3</v>
      </c>
      <c r="H28"/>
      <c r="I28"/>
      <c r="J28"/>
    </row>
    <row r="29" spans="2:10" s="346" customFormat="1" ht="27.95" customHeight="1" x14ac:dyDescent="0.5">
      <c r="B29" s="348">
        <v>43948</v>
      </c>
      <c r="C29" s="354">
        <v>-1264.06</v>
      </c>
      <c r="D29" s="353">
        <v>1.4247821144372799E-2</v>
      </c>
      <c r="E29" s="353">
        <v>-4.0528176342036898E-3</v>
      </c>
      <c r="F29" s="353">
        <v>-1.8300638778576499E-2</v>
      </c>
      <c r="H29" s="274" t="s">
        <v>283</v>
      </c>
      <c r="I29"/>
      <c r="J29"/>
    </row>
    <row r="30" spans="2:10" s="346" customFormat="1" ht="27.75" customHeight="1" x14ac:dyDescent="0.25">
      <c r="B30" s="348">
        <v>43947</v>
      </c>
      <c r="C30" s="354">
        <v>0</v>
      </c>
      <c r="D30" s="353">
        <v>0</v>
      </c>
      <c r="E30" s="353">
        <v>0</v>
      </c>
      <c r="F30" s="353">
        <v>0</v>
      </c>
      <c r="H30" t="s">
        <v>27</v>
      </c>
      <c r="I30" t="s">
        <v>250</v>
      </c>
      <c r="J30"/>
    </row>
    <row r="31" spans="2:10" s="346" customFormat="1" ht="27.75" customHeight="1" x14ac:dyDescent="0.25">
      <c r="B31" s="348">
        <v>43946</v>
      </c>
      <c r="C31" s="354">
        <v>0</v>
      </c>
      <c r="D31" s="353">
        <v>0</v>
      </c>
      <c r="E31" s="353">
        <v>0</v>
      </c>
      <c r="F31" s="353">
        <v>0</v>
      </c>
      <c r="H31" s="383">
        <v>43872</v>
      </c>
      <c r="I31" s="384">
        <v>387194</v>
      </c>
      <c r="J31"/>
    </row>
    <row r="32" spans="2:10" s="346" customFormat="1" ht="27.75" customHeight="1" x14ac:dyDescent="0.25">
      <c r="B32" s="348">
        <v>43945</v>
      </c>
      <c r="C32" s="354">
        <v>476.61</v>
      </c>
      <c r="D32" s="353">
        <v>1.4299992311832E-2</v>
      </c>
      <c r="E32" s="353">
        <v>1.5219345086940001E-3</v>
      </c>
      <c r="F32" s="353">
        <v>-1.2778057803137999E-2</v>
      </c>
      <c r="H32" s="383">
        <v>43873</v>
      </c>
      <c r="I32" s="384">
        <v>385882</v>
      </c>
      <c r="J32"/>
    </row>
    <row r="33" spans="2:10" s="346" customFormat="1" ht="27.75" customHeight="1" x14ac:dyDescent="0.25">
      <c r="B33" s="348">
        <v>43944</v>
      </c>
      <c r="C33" s="354">
        <v>-1782.12</v>
      </c>
      <c r="D33" s="353">
        <v>-1.9499259028161401E-4</v>
      </c>
      <c r="E33" s="353">
        <v>-5.69942744759213E-3</v>
      </c>
      <c r="F33" s="353">
        <v>-5.5044348573105202E-3</v>
      </c>
      <c r="H33" s="383">
        <v>43871</v>
      </c>
      <c r="I33" s="384">
        <v>381622.73</v>
      </c>
      <c r="J33"/>
    </row>
    <row r="34" spans="2:10" s="346" customFormat="1" ht="27.75" customHeight="1" x14ac:dyDescent="0.25">
      <c r="B34" s="348">
        <v>43943</v>
      </c>
      <c r="C34" s="354">
        <v>-1025.76</v>
      </c>
      <c r="D34" s="353">
        <v>2.15229851444615E-2</v>
      </c>
      <c r="E34" s="353">
        <v>-3.2619090079517902E-3</v>
      </c>
      <c r="F34" s="353">
        <v>-2.4784894152413299E-2</v>
      </c>
      <c r="H34" s="383">
        <v>43870</v>
      </c>
      <c r="I34" s="384">
        <v>378879.73</v>
      </c>
      <c r="J34"/>
    </row>
    <row r="35" spans="2:10" s="346" customFormat="1" ht="27.75" customHeight="1" x14ac:dyDescent="0.25">
      <c r="B35" s="347"/>
      <c r="C35" s="349"/>
      <c r="D35" s="350"/>
      <c r="E35" s="350"/>
      <c r="F35" s="350"/>
      <c r="H35" s="383">
        <v>43869</v>
      </c>
      <c r="I35" s="384">
        <v>378879.73</v>
      </c>
      <c r="J35"/>
    </row>
    <row r="36" spans="2:10" s="346" customFormat="1" ht="27.75" customHeight="1" x14ac:dyDescent="0.25">
      <c r="B36" s="347"/>
      <c r="C36" s="349"/>
      <c r="D36" s="350"/>
      <c r="E36" s="350"/>
      <c r="F36" s="350"/>
      <c r="H36"/>
      <c r="I36"/>
      <c r="J36"/>
    </row>
    <row r="37" spans="2:10" s="346" customFormat="1" ht="27.95" customHeight="1" x14ac:dyDescent="0.25">
      <c r="B37" s="347"/>
      <c r="C37" s="349"/>
      <c r="D37" s="350"/>
      <c r="E37" s="350"/>
      <c r="F37" s="350"/>
      <c r="H37"/>
      <c r="I37"/>
      <c r="J37"/>
    </row>
    <row r="38" spans="2:10" s="346" customFormat="1" ht="27.95" customHeight="1" x14ac:dyDescent="0.25">
      <c r="B38" s="347"/>
      <c r="C38" s="349"/>
      <c r="D38" s="350"/>
      <c r="E38" s="350"/>
      <c r="F38" s="350"/>
      <c r="H38"/>
      <c r="I38"/>
      <c r="J38"/>
    </row>
    <row r="39" spans="2:10" s="346" customFormat="1" ht="27.95" customHeight="1" x14ac:dyDescent="0.25">
      <c r="B39" s="347"/>
      <c r="C39" s="349"/>
      <c r="D39" s="350"/>
      <c r="E39" s="350"/>
      <c r="F39" s="350"/>
      <c r="H39"/>
      <c r="I39"/>
      <c r="J39"/>
    </row>
    <row r="40" spans="2:10" s="346" customFormat="1" ht="27.95" customHeight="1" x14ac:dyDescent="0.25">
      <c r="B40" s="347"/>
      <c r="C40" s="349"/>
      <c r="D40" s="350"/>
      <c r="E40" s="350"/>
      <c r="F40" s="350"/>
      <c r="H40"/>
      <c r="I40"/>
      <c r="J40"/>
    </row>
    <row r="41" spans="2:10" s="346" customFormat="1" ht="27.95" customHeight="1" x14ac:dyDescent="0.25">
      <c r="B41" s="347"/>
      <c r="C41" s="349"/>
      <c r="D41" s="350"/>
      <c r="E41" s="350"/>
      <c r="F41" s="350"/>
      <c r="H41"/>
      <c r="I41"/>
      <c r="J41"/>
    </row>
    <row r="42" spans="2:10" s="346" customFormat="1" ht="27.95" customHeight="1" x14ac:dyDescent="0.25">
      <c r="B42" s="347"/>
      <c r="C42" s="349"/>
      <c r="D42" s="350"/>
      <c r="E42" s="350"/>
      <c r="F42" s="350"/>
      <c r="H42"/>
      <c r="I42"/>
      <c r="J42"/>
    </row>
    <row r="43" spans="2:10" s="346" customFormat="1" ht="27.95" customHeight="1" x14ac:dyDescent="0.25">
      <c r="B43" s="347"/>
      <c r="C43" s="349"/>
      <c r="D43" s="350"/>
      <c r="E43" s="350"/>
      <c r="F43" s="350"/>
      <c r="H43"/>
      <c r="I43"/>
      <c r="J43"/>
    </row>
    <row r="44" spans="2:10" s="346" customFormat="1" ht="27.95" customHeight="1" x14ac:dyDescent="0.25">
      <c r="B44" s="347"/>
      <c r="C44" s="349"/>
      <c r="D44" s="350"/>
      <c r="E44" s="350"/>
      <c r="F44" s="350"/>
      <c r="H44"/>
      <c r="I44"/>
      <c r="J44"/>
    </row>
    <row r="45" spans="2:10" s="346" customFormat="1" ht="27.95" customHeight="1" x14ac:dyDescent="0.25">
      <c r="B45" s="347"/>
      <c r="C45" s="349"/>
      <c r="D45" s="350"/>
      <c r="E45" s="350"/>
      <c r="F45" s="350"/>
      <c r="H45"/>
      <c r="I45"/>
      <c r="J45"/>
    </row>
    <row r="46" spans="2:10" s="346" customFormat="1" ht="27.95" customHeight="1" x14ac:dyDescent="0.25">
      <c r="B46" s="347"/>
      <c r="C46" s="349"/>
      <c r="D46" s="350"/>
      <c r="E46" s="350"/>
      <c r="F46" s="350"/>
      <c r="H46"/>
      <c r="I46"/>
      <c r="J46"/>
    </row>
    <row r="47" spans="2:10" s="346" customFormat="1" ht="27.95" customHeight="1" x14ac:dyDescent="0.25">
      <c r="B47" s="347"/>
      <c r="C47" s="349"/>
      <c r="D47" s="350"/>
      <c r="E47" s="350"/>
      <c r="F47" s="350"/>
      <c r="H47"/>
      <c r="I47"/>
      <c r="J47"/>
    </row>
    <row r="48" spans="2:10" s="346" customFormat="1" ht="27.95" customHeight="1" x14ac:dyDescent="0.25">
      <c r="B48" s="347"/>
      <c r="C48" s="349"/>
      <c r="D48" s="350"/>
      <c r="E48" s="350"/>
      <c r="F48" s="350"/>
      <c r="H48"/>
      <c r="I48"/>
      <c r="J48"/>
    </row>
    <row r="49" spans="2:10" s="346" customFormat="1" ht="27.95" customHeight="1" x14ac:dyDescent="0.25">
      <c r="B49" s="347"/>
      <c r="C49" s="349"/>
      <c r="D49" s="350"/>
      <c r="E49" s="350"/>
      <c r="F49" s="350"/>
      <c r="H49"/>
      <c r="I49"/>
      <c r="J49"/>
    </row>
    <row r="50" spans="2:10" s="346" customFormat="1" ht="27.95" customHeight="1" x14ac:dyDescent="0.25">
      <c r="B50" s="347"/>
      <c r="C50" s="349"/>
      <c r="D50" s="350"/>
      <c r="E50" s="350"/>
      <c r="F50" s="350"/>
      <c r="H50"/>
      <c r="I50"/>
      <c r="J50"/>
    </row>
    <row r="51" spans="2:10" s="346" customFormat="1" ht="27.95" customHeight="1" x14ac:dyDescent="0.25">
      <c r="B51" s="347"/>
      <c r="C51" s="349"/>
      <c r="D51" s="350"/>
      <c r="E51" s="350"/>
      <c r="F51" s="350"/>
      <c r="H51"/>
      <c r="I51"/>
      <c r="J51"/>
    </row>
    <row r="52" spans="2:10" s="346" customFormat="1" ht="27.95" customHeight="1" x14ac:dyDescent="0.25">
      <c r="B52" s="347"/>
      <c r="C52" s="349"/>
      <c r="D52" s="350"/>
      <c r="E52" s="350"/>
      <c r="F52" s="350"/>
      <c r="H52"/>
      <c r="I52"/>
      <c r="J52"/>
    </row>
    <row r="53" spans="2:10" s="346" customFormat="1" ht="27.95" customHeight="1" x14ac:dyDescent="0.25">
      <c r="B53" s="347"/>
      <c r="C53" s="349"/>
      <c r="D53" s="350"/>
      <c r="E53" s="350"/>
      <c r="F53" s="350"/>
      <c r="H53"/>
      <c r="I53"/>
      <c r="J53"/>
    </row>
    <row r="54" spans="2:10" s="346" customFormat="1" ht="27.95" customHeight="1" x14ac:dyDescent="0.25">
      <c r="B54" s="347"/>
      <c r="C54" s="349"/>
      <c r="D54" s="350"/>
      <c r="E54" s="350"/>
      <c r="F54" s="350"/>
      <c r="H54"/>
      <c r="I54"/>
      <c r="J54"/>
    </row>
    <row r="55" spans="2:10" s="346" customFormat="1" ht="27.95" customHeight="1" x14ac:dyDescent="0.25">
      <c r="B55" s="347"/>
      <c r="C55" s="349"/>
      <c r="D55" s="350"/>
      <c r="E55" s="350"/>
      <c r="F55" s="350"/>
      <c r="H55"/>
      <c r="I55"/>
      <c r="J55"/>
    </row>
    <row r="56" spans="2:10" s="346" customFormat="1" ht="27.95" customHeight="1" x14ac:dyDescent="0.25">
      <c r="B56" s="347"/>
      <c r="C56" s="349"/>
      <c r="D56" s="350"/>
      <c r="E56" s="350"/>
      <c r="F56" s="350"/>
      <c r="H56"/>
      <c r="I56"/>
      <c r="J56"/>
    </row>
    <row r="57" spans="2:10" s="346" customFormat="1" ht="27.95" customHeight="1" x14ac:dyDescent="0.25">
      <c r="B57" s="347"/>
      <c r="C57" s="349"/>
      <c r="D57" s="350"/>
      <c r="E57" s="350"/>
      <c r="F57" s="350"/>
      <c r="H57"/>
      <c r="I57"/>
      <c r="J57"/>
    </row>
    <row r="58" spans="2:10" s="346" customFormat="1" ht="27.95" customHeight="1" x14ac:dyDescent="0.25">
      <c r="B58" s="347"/>
      <c r="C58" s="349"/>
      <c r="D58" s="350"/>
      <c r="E58" s="350"/>
      <c r="F58" s="350"/>
      <c r="H58"/>
      <c r="I58"/>
      <c r="J58"/>
    </row>
    <row r="59" spans="2:10" s="346" customFormat="1" ht="27.95" customHeight="1" x14ac:dyDescent="0.25">
      <c r="B59" s="347"/>
      <c r="C59" s="349"/>
      <c r="D59" s="350"/>
      <c r="E59" s="350"/>
      <c r="F59" s="350"/>
      <c r="H59"/>
      <c r="I59"/>
      <c r="J59"/>
    </row>
    <row r="60" spans="2:10" s="346" customFormat="1" ht="27.95" customHeight="1" x14ac:dyDescent="0.25">
      <c r="B60" s="347"/>
      <c r="C60" s="349"/>
      <c r="D60" s="350"/>
      <c r="E60" s="350"/>
      <c r="F60" s="350"/>
      <c r="H60"/>
      <c r="I60"/>
      <c r="J60"/>
    </row>
    <row r="61" spans="2:10" s="346" customFormat="1" ht="27.95" customHeight="1" x14ac:dyDescent="0.25">
      <c r="B61" s="347"/>
      <c r="C61" s="349"/>
      <c r="D61" s="350"/>
      <c r="E61" s="350"/>
      <c r="F61" s="350"/>
      <c r="H61"/>
      <c r="I61"/>
      <c r="J61"/>
    </row>
    <row r="62" spans="2:10" s="346" customFormat="1" ht="27.95" customHeight="1" x14ac:dyDescent="0.25">
      <c r="B62" s="347"/>
      <c r="C62" s="349"/>
      <c r="D62" s="350"/>
      <c r="E62" s="350"/>
      <c r="F62" s="350"/>
      <c r="H62"/>
      <c r="I62"/>
      <c r="J62"/>
    </row>
    <row r="63" spans="2:10" s="346" customFormat="1" ht="27.95" customHeight="1" x14ac:dyDescent="0.25">
      <c r="B63" s="347"/>
      <c r="C63" s="349"/>
      <c r="D63" s="350"/>
      <c r="E63" s="350"/>
      <c r="F63" s="350"/>
      <c r="H63"/>
      <c r="I63"/>
      <c r="J63"/>
    </row>
    <row r="64" spans="2:10" s="346" customFormat="1" ht="27.95" customHeight="1" x14ac:dyDescent="0.25">
      <c r="B64" s="347"/>
      <c r="C64" s="349"/>
      <c r="D64" s="350"/>
      <c r="E64" s="350"/>
      <c r="F64" s="350"/>
      <c r="H64"/>
      <c r="I64"/>
      <c r="J64"/>
    </row>
    <row r="65" spans="2:10" s="346" customFormat="1" ht="27.95" customHeight="1" x14ac:dyDescent="0.25">
      <c r="B65" s="347"/>
      <c r="C65" s="349"/>
      <c r="D65" s="350"/>
      <c r="E65" s="350"/>
      <c r="F65" s="350"/>
      <c r="H65"/>
      <c r="I65"/>
      <c r="J65"/>
    </row>
    <row r="66" spans="2:10" s="346" customFormat="1" ht="27.95" customHeight="1" x14ac:dyDescent="0.25">
      <c r="B66" s="347"/>
      <c r="C66" s="349"/>
      <c r="D66" s="350"/>
      <c r="E66" s="350"/>
      <c r="F66" s="350"/>
      <c r="H66"/>
      <c r="I66"/>
      <c r="J66"/>
    </row>
    <row r="67" spans="2:10" s="346" customFormat="1" ht="27.95" customHeight="1" x14ac:dyDescent="0.25">
      <c r="B67" s="347"/>
      <c r="C67" s="349"/>
      <c r="D67" s="350"/>
      <c r="E67" s="350"/>
      <c r="F67" s="350"/>
      <c r="H67"/>
      <c r="I67"/>
      <c r="J67"/>
    </row>
    <row r="68" spans="2:10" s="346" customFormat="1" ht="27.95" customHeight="1" x14ac:dyDescent="0.25">
      <c r="B68" s="347"/>
      <c r="C68" s="349"/>
      <c r="D68" s="350"/>
      <c r="E68" s="350"/>
      <c r="F68" s="350"/>
      <c r="H68"/>
      <c r="I68"/>
      <c r="J68"/>
    </row>
    <row r="69" spans="2:10" s="346" customFormat="1" ht="27.95" customHeight="1" x14ac:dyDescent="0.25">
      <c r="B69" s="347"/>
      <c r="C69" s="349"/>
      <c r="D69" s="350"/>
      <c r="E69" s="350"/>
      <c r="F69" s="350"/>
      <c r="H69"/>
      <c r="I69"/>
      <c r="J69"/>
    </row>
    <row r="70" spans="2:10" s="346" customFormat="1" ht="27.95" customHeight="1" x14ac:dyDescent="0.25">
      <c r="B70" s="347"/>
      <c r="C70" s="349"/>
      <c r="D70" s="350"/>
      <c r="E70" s="350"/>
      <c r="F70" s="350"/>
      <c r="H70"/>
      <c r="I70"/>
      <c r="J70"/>
    </row>
    <row r="71" spans="2:10" s="346" customFormat="1" ht="27.95" customHeight="1" x14ac:dyDescent="0.25">
      <c r="B71" s="347"/>
      <c r="C71" s="349"/>
      <c r="D71" s="350"/>
      <c r="E71" s="350"/>
      <c r="F71" s="350"/>
      <c r="H71"/>
      <c r="I71"/>
      <c r="J71"/>
    </row>
    <row r="72" spans="2:10" s="346" customFormat="1" ht="27.95" customHeight="1" x14ac:dyDescent="0.25">
      <c r="B72" s="347"/>
      <c r="C72" s="349"/>
      <c r="D72" s="350"/>
      <c r="E72" s="350"/>
      <c r="F72" s="350"/>
      <c r="H72"/>
      <c r="I72"/>
      <c r="J72"/>
    </row>
    <row r="73" spans="2:10" s="346" customFormat="1" ht="27.95" customHeight="1" x14ac:dyDescent="0.25">
      <c r="B73" s="347"/>
      <c r="C73" s="349"/>
      <c r="D73" s="350"/>
      <c r="E73" s="350"/>
      <c r="F73" s="350"/>
      <c r="H73"/>
      <c r="I73"/>
      <c r="J73"/>
    </row>
    <row r="74" spans="2:10" s="346" customFormat="1" ht="27.95" customHeight="1" x14ac:dyDescent="0.25">
      <c r="B74" s="347"/>
      <c r="C74" s="349"/>
      <c r="D74" s="350"/>
      <c r="E74" s="350"/>
      <c r="F74" s="350"/>
      <c r="H74"/>
      <c r="I74"/>
      <c r="J74"/>
    </row>
    <row r="75" spans="2:10" s="346" customFormat="1" ht="27.95" customHeight="1" x14ac:dyDescent="0.25">
      <c r="B75" s="347"/>
      <c r="C75" s="349"/>
      <c r="D75" s="350"/>
      <c r="E75" s="350"/>
      <c r="F75" s="350"/>
      <c r="H75"/>
      <c r="I75"/>
      <c r="J75"/>
    </row>
    <row r="76" spans="2:10" s="346" customFormat="1" ht="27.95" customHeight="1" x14ac:dyDescent="0.25">
      <c r="B76" s="347"/>
      <c r="C76" s="349"/>
      <c r="D76" s="350"/>
      <c r="E76" s="350"/>
      <c r="F76" s="350"/>
      <c r="H76"/>
      <c r="I76"/>
      <c r="J76"/>
    </row>
    <row r="77" spans="2:10" s="346" customFormat="1" ht="27.95" customHeight="1" x14ac:dyDescent="0.25">
      <c r="B77" s="347"/>
      <c r="C77" s="349"/>
      <c r="D77" s="350"/>
      <c r="E77" s="350"/>
      <c r="F77" s="350"/>
      <c r="H77"/>
      <c r="I77"/>
      <c r="J77"/>
    </row>
    <row r="78" spans="2:10" s="346" customFormat="1" ht="27.95" customHeight="1" x14ac:dyDescent="0.25">
      <c r="B78" s="347"/>
      <c r="C78" s="349"/>
      <c r="D78" s="350"/>
      <c r="E78" s="350"/>
      <c r="F78" s="350"/>
      <c r="H78"/>
      <c r="I78"/>
      <c r="J78"/>
    </row>
    <row r="79" spans="2:10" s="346" customFormat="1" ht="27.95" customHeight="1" x14ac:dyDescent="0.25">
      <c r="B79" s="347"/>
      <c r="C79" s="349"/>
      <c r="D79" s="350"/>
      <c r="E79" s="350"/>
      <c r="F79" s="350"/>
      <c r="H79"/>
      <c r="I79"/>
      <c r="J79"/>
    </row>
    <row r="80" spans="2:10" s="346" customFormat="1" ht="27.95" customHeight="1" x14ac:dyDescent="0.25">
      <c r="B80" s="347"/>
      <c r="C80" s="349"/>
      <c r="D80" s="350"/>
      <c r="E80" s="350"/>
      <c r="F80" s="350"/>
      <c r="H80"/>
      <c r="I80"/>
      <c r="J80"/>
    </row>
    <row r="81" spans="2:10" s="346" customFormat="1" ht="27.95" customHeight="1" x14ac:dyDescent="0.25">
      <c r="B81" s="347"/>
      <c r="C81" s="349"/>
      <c r="D81" s="350"/>
      <c r="E81" s="350"/>
      <c r="F81" s="350"/>
      <c r="H81"/>
      <c r="I81"/>
      <c r="J81"/>
    </row>
    <row r="82" spans="2:10" s="346" customFormat="1" ht="27.95" customHeight="1" x14ac:dyDescent="0.25">
      <c r="B82" s="347"/>
      <c r="C82" s="349"/>
      <c r="D82" s="350"/>
      <c r="E82" s="350"/>
      <c r="F82" s="350"/>
      <c r="H82"/>
      <c r="I82"/>
      <c r="J82"/>
    </row>
    <row r="83" spans="2:10" s="346" customFormat="1" ht="27.95" customHeight="1" x14ac:dyDescent="0.25">
      <c r="B83" s="347"/>
      <c r="C83" s="349"/>
      <c r="D83" s="350"/>
      <c r="E83" s="350"/>
      <c r="F83" s="350"/>
      <c r="H83"/>
      <c r="I83"/>
      <c r="J83"/>
    </row>
    <row r="84" spans="2:10" s="346" customFormat="1" ht="27.95" customHeight="1" x14ac:dyDescent="0.25">
      <c r="B84" s="347"/>
      <c r="C84" s="349"/>
      <c r="D84" s="350"/>
      <c r="E84" s="350"/>
      <c r="F84" s="350"/>
      <c r="H84"/>
      <c r="I84"/>
      <c r="J84"/>
    </row>
    <row r="85" spans="2:10" s="346" customFormat="1" ht="27.95" customHeight="1" x14ac:dyDescent="0.25">
      <c r="B85" s="347"/>
      <c r="C85" s="349"/>
      <c r="D85" s="350"/>
      <c r="E85" s="350"/>
      <c r="F85" s="350"/>
      <c r="H85"/>
      <c r="I85"/>
      <c r="J85"/>
    </row>
    <row r="86" spans="2:10" s="346" customFormat="1" ht="27.95" customHeight="1" x14ac:dyDescent="0.25">
      <c r="B86" s="347"/>
      <c r="C86" s="349"/>
      <c r="D86" s="350"/>
      <c r="E86" s="350"/>
      <c r="F86" s="350"/>
      <c r="H86"/>
      <c r="I86"/>
      <c r="J86"/>
    </row>
    <row r="87" spans="2:10" s="346" customFormat="1" ht="27.95" customHeight="1" x14ac:dyDescent="0.25">
      <c r="B87" s="347"/>
      <c r="C87" s="349"/>
      <c r="D87" s="350"/>
      <c r="E87" s="350"/>
      <c r="F87" s="350"/>
      <c r="H87"/>
      <c r="I87"/>
      <c r="J87"/>
    </row>
    <row r="88" spans="2:10" s="346" customFormat="1" ht="27.95" customHeight="1" x14ac:dyDescent="0.25">
      <c r="B88" s="347"/>
      <c r="C88" s="349"/>
      <c r="D88" s="350"/>
      <c r="E88" s="350"/>
      <c r="F88" s="350"/>
      <c r="H88"/>
      <c r="I88"/>
      <c r="J88"/>
    </row>
    <row r="89" spans="2:10" s="346" customFormat="1" ht="27.95" customHeight="1" x14ac:dyDescent="0.25">
      <c r="B89" s="347"/>
      <c r="C89" s="349"/>
      <c r="D89" s="350"/>
      <c r="E89" s="350"/>
      <c r="F89" s="350"/>
      <c r="H89"/>
      <c r="I89"/>
      <c r="J89"/>
    </row>
    <row r="90" spans="2:10" s="346" customFormat="1" ht="27.95" customHeight="1" x14ac:dyDescent="0.25">
      <c r="B90" s="347"/>
      <c r="C90" s="349"/>
      <c r="D90" s="350"/>
      <c r="E90" s="350"/>
      <c r="F90" s="350"/>
      <c r="H90"/>
      <c r="I90"/>
      <c r="J90"/>
    </row>
    <row r="91" spans="2:10" s="346" customFormat="1" ht="27.95" customHeight="1" x14ac:dyDescent="0.25">
      <c r="B91" s="347"/>
      <c r="C91" s="349"/>
      <c r="D91" s="350"/>
      <c r="E91" s="350"/>
      <c r="F91" s="350"/>
      <c r="H91"/>
      <c r="I91"/>
      <c r="J91"/>
    </row>
    <row r="92" spans="2:10" s="346" customFormat="1" ht="27.95" customHeight="1" x14ac:dyDescent="0.25">
      <c r="B92" s="347"/>
      <c r="C92" s="349"/>
      <c r="D92" s="350"/>
      <c r="E92" s="350"/>
      <c r="F92" s="350"/>
      <c r="H92"/>
      <c r="I92"/>
      <c r="J92"/>
    </row>
    <row r="93" spans="2:10" s="346" customFormat="1" ht="27.95" customHeight="1" x14ac:dyDescent="0.25">
      <c r="B93" s="347"/>
      <c r="C93" s="349"/>
      <c r="D93" s="350"/>
      <c r="E93" s="350"/>
      <c r="F93" s="350"/>
      <c r="H93"/>
      <c r="I93"/>
      <c r="J93"/>
    </row>
    <row r="94" spans="2:10" s="346" customFormat="1" ht="27.95" customHeight="1" x14ac:dyDescent="0.25">
      <c r="B94" s="347"/>
      <c r="C94" s="349"/>
      <c r="D94" s="350"/>
      <c r="E94" s="350"/>
      <c r="F94" s="350"/>
      <c r="H94"/>
      <c r="I94"/>
      <c r="J94"/>
    </row>
    <row r="95" spans="2:10" s="346" customFormat="1" x14ac:dyDescent="0.25">
      <c r="B95" s="347"/>
      <c r="C95" s="349"/>
      <c r="D95" s="350"/>
      <c r="E95" s="350"/>
      <c r="F95" s="350"/>
      <c r="H95"/>
      <c r="I95"/>
      <c r="J95"/>
    </row>
    <row r="96" spans="2:10" s="346" customFormat="1" x14ac:dyDescent="0.25">
      <c r="B96" s="347"/>
      <c r="C96" s="349"/>
      <c r="D96" s="350"/>
      <c r="E96" s="350"/>
      <c r="F96" s="350"/>
      <c r="H96"/>
      <c r="I96"/>
      <c r="J96"/>
    </row>
    <row r="97" spans="2:10" s="346" customFormat="1" x14ac:dyDescent="0.25">
      <c r="B97" s="347"/>
      <c r="C97" s="349"/>
      <c r="D97" s="350"/>
      <c r="E97" s="350"/>
      <c r="F97" s="350"/>
      <c r="H97"/>
      <c r="I97"/>
      <c r="J97"/>
    </row>
    <row r="98" spans="2:10" s="346" customFormat="1" x14ac:dyDescent="0.25">
      <c r="B98" s="347"/>
      <c r="C98" s="349"/>
      <c r="D98" s="350"/>
      <c r="E98" s="350"/>
      <c r="F98" s="350"/>
      <c r="H98"/>
      <c r="I98"/>
      <c r="J98"/>
    </row>
    <row r="99" spans="2:10" s="346" customFormat="1" x14ac:dyDescent="0.25">
      <c r="B99" s="347"/>
      <c r="C99" s="349"/>
      <c r="D99" s="350"/>
      <c r="E99" s="350"/>
      <c r="F99" s="350"/>
      <c r="H99"/>
      <c r="I99"/>
      <c r="J99"/>
    </row>
    <row r="100" spans="2:10" s="346" customFormat="1" x14ac:dyDescent="0.25">
      <c r="B100" s="347"/>
      <c r="C100" s="349"/>
      <c r="D100" s="350"/>
      <c r="E100" s="350"/>
      <c r="F100" s="350"/>
      <c r="H100"/>
      <c r="I100"/>
      <c r="J100"/>
    </row>
    <row r="101" spans="2:10" s="346" customFormat="1" x14ac:dyDescent="0.25">
      <c r="B101" s="347"/>
      <c r="C101" s="349"/>
      <c r="D101" s="350"/>
      <c r="E101" s="350"/>
      <c r="F101" s="350"/>
      <c r="H101"/>
      <c r="I101"/>
      <c r="J101"/>
    </row>
    <row r="102" spans="2:10" s="346" customFormat="1" x14ac:dyDescent="0.25">
      <c r="B102" s="347"/>
      <c r="C102" s="349"/>
      <c r="D102" s="350"/>
      <c r="E102" s="350"/>
      <c r="F102" s="350"/>
      <c r="H102"/>
      <c r="I102"/>
      <c r="J102"/>
    </row>
    <row r="103" spans="2:10" s="346" customFormat="1" x14ac:dyDescent="0.25">
      <c r="B103" s="347"/>
      <c r="C103" s="349"/>
      <c r="D103" s="350"/>
      <c r="E103" s="350"/>
      <c r="F103" s="350"/>
      <c r="H103"/>
      <c r="I103"/>
      <c r="J103"/>
    </row>
    <row r="104" spans="2:10" s="346" customFormat="1" x14ac:dyDescent="0.25">
      <c r="B104" s="347"/>
      <c r="C104" s="349"/>
      <c r="D104" s="350"/>
      <c r="E104" s="350"/>
      <c r="F104" s="350"/>
      <c r="H104"/>
      <c r="I104"/>
      <c r="J104"/>
    </row>
    <row r="105" spans="2:10" s="346" customFormat="1" x14ac:dyDescent="0.25">
      <c r="B105" s="347"/>
      <c r="C105" s="349"/>
      <c r="D105" s="350"/>
      <c r="E105" s="350"/>
      <c r="F105" s="350"/>
      <c r="H105"/>
      <c r="I105"/>
      <c r="J105"/>
    </row>
    <row r="106" spans="2:10" s="346" customFormat="1" x14ac:dyDescent="0.25">
      <c r="B106" s="347"/>
      <c r="C106" s="349"/>
      <c r="D106" s="350"/>
      <c r="E106" s="350"/>
      <c r="F106" s="350"/>
      <c r="H106"/>
      <c r="I106"/>
      <c r="J106"/>
    </row>
    <row r="107" spans="2:10" s="346" customFormat="1" x14ac:dyDescent="0.25">
      <c r="B107" s="347"/>
      <c r="C107" s="349"/>
      <c r="D107" s="350"/>
      <c r="E107" s="350"/>
      <c r="F107" s="350"/>
      <c r="H107"/>
      <c r="I107"/>
      <c r="J107"/>
    </row>
    <row r="108" spans="2:10" s="346" customFormat="1" x14ac:dyDescent="0.25">
      <c r="B108" s="347"/>
      <c r="C108" s="349"/>
      <c r="D108" s="350"/>
      <c r="E108" s="350"/>
      <c r="F108" s="350"/>
      <c r="H108"/>
      <c r="I108"/>
      <c r="J108"/>
    </row>
    <row r="109" spans="2:10" s="346" customFormat="1" x14ac:dyDescent="0.25">
      <c r="B109" s="347"/>
      <c r="C109" s="349"/>
      <c r="D109" s="350"/>
      <c r="E109" s="350"/>
      <c r="F109" s="350"/>
      <c r="H109"/>
      <c r="I109"/>
      <c r="J109"/>
    </row>
    <row r="110" spans="2:10" s="346" customFormat="1" x14ac:dyDescent="0.25">
      <c r="B110" s="347"/>
      <c r="C110" s="349"/>
      <c r="D110" s="350"/>
      <c r="E110" s="350"/>
      <c r="F110" s="350"/>
      <c r="H110"/>
      <c r="I110"/>
      <c r="J110"/>
    </row>
    <row r="111" spans="2:10" s="346" customFormat="1" x14ac:dyDescent="0.25">
      <c r="B111" s="347"/>
      <c r="C111" s="349"/>
      <c r="D111" s="350"/>
      <c r="E111" s="350"/>
      <c r="F111" s="350"/>
      <c r="H111"/>
      <c r="I111"/>
      <c r="J111"/>
    </row>
    <row r="112" spans="2:10" s="346" customFormat="1" x14ac:dyDescent="0.25">
      <c r="B112" s="347"/>
      <c r="C112" s="349"/>
      <c r="D112" s="350"/>
      <c r="E112" s="350"/>
      <c r="F112" s="350"/>
      <c r="H112"/>
      <c r="I112"/>
      <c r="J112"/>
    </row>
    <row r="113" spans="2:10" s="346" customFormat="1" x14ac:dyDescent="0.25">
      <c r="B113" s="347"/>
      <c r="C113" s="349"/>
      <c r="D113" s="350"/>
      <c r="E113" s="350"/>
      <c r="F113" s="350"/>
      <c r="H113"/>
      <c r="I113"/>
      <c r="J113"/>
    </row>
    <row r="114" spans="2:10" s="346" customFormat="1" x14ac:dyDescent="0.25">
      <c r="B114" s="347"/>
      <c r="C114" s="349"/>
      <c r="D114" s="350"/>
      <c r="E114" s="350"/>
      <c r="F114" s="350"/>
      <c r="H114"/>
      <c r="I114"/>
      <c r="J114"/>
    </row>
    <row r="115" spans="2:10" s="346" customFormat="1" x14ac:dyDescent="0.25">
      <c r="B115" s="347"/>
      <c r="C115" s="349"/>
      <c r="D115" s="350"/>
      <c r="E115" s="350"/>
      <c r="F115" s="350"/>
      <c r="H115"/>
      <c r="I115"/>
      <c r="J115"/>
    </row>
    <row r="116" spans="2:10" s="346" customFormat="1" x14ac:dyDescent="0.25">
      <c r="B116" s="347"/>
      <c r="C116" s="349"/>
      <c r="D116" s="350"/>
      <c r="E116" s="350"/>
      <c r="F116" s="350"/>
      <c r="H116"/>
      <c r="I116"/>
      <c r="J116"/>
    </row>
    <row r="117" spans="2:10" s="346" customFormat="1" x14ac:dyDescent="0.25">
      <c r="B117" s="347"/>
      <c r="C117" s="349"/>
      <c r="D117" s="350"/>
      <c r="E117" s="350"/>
      <c r="F117" s="350"/>
      <c r="H117"/>
      <c r="I117"/>
      <c r="J117"/>
    </row>
    <row r="118" spans="2:10" s="346" customFormat="1" x14ac:dyDescent="0.25">
      <c r="B118" s="347"/>
      <c r="C118" s="349"/>
      <c r="D118" s="350"/>
      <c r="E118" s="350"/>
      <c r="F118" s="350"/>
      <c r="H118"/>
      <c r="I118"/>
      <c r="J118"/>
    </row>
    <row r="119" spans="2:10" s="346" customFormat="1" x14ac:dyDescent="0.25">
      <c r="B119" s="347"/>
      <c r="C119" s="349"/>
      <c r="D119" s="350"/>
      <c r="E119" s="350"/>
      <c r="F119" s="350"/>
      <c r="H119"/>
      <c r="I119"/>
      <c r="J119"/>
    </row>
    <row r="120" spans="2:10" s="346" customFormat="1" x14ac:dyDescent="0.25">
      <c r="B120" s="347"/>
      <c r="C120" s="349"/>
      <c r="D120" s="350"/>
      <c r="E120" s="350"/>
      <c r="F120" s="350"/>
      <c r="H120"/>
      <c r="I120"/>
      <c r="J120"/>
    </row>
    <row r="121" spans="2:10" s="346" customFormat="1" x14ac:dyDescent="0.25">
      <c r="B121" s="347"/>
      <c r="C121" s="349"/>
      <c r="D121" s="350"/>
      <c r="E121" s="350"/>
      <c r="F121" s="350"/>
      <c r="H121"/>
      <c r="I121"/>
      <c r="J121"/>
    </row>
    <row r="122" spans="2:10" s="346" customFormat="1" x14ac:dyDescent="0.25">
      <c r="B122" s="347"/>
      <c r="C122" s="349"/>
      <c r="D122" s="350"/>
      <c r="E122" s="350"/>
      <c r="F122" s="350"/>
      <c r="H122"/>
      <c r="I122"/>
      <c r="J122"/>
    </row>
    <row r="123" spans="2:10" s="346" customFormat="1" x14ac:dyDescent="0.25">
      <c r="B123" s="347"/>
      <c r="C123" s="349"/>
      <c r="D123" s="350"/>
      <c r="E123" s="350"/>
      <c r="F123" s="350"/>
      <c r="H123"/>
      <c r="I123"/>
      <c r="J123"/>
    </row>
    <row r="124" spans="2:10" s="346" customFormat="1" x14ac:dyDescent="0.25">
      <c r="B124" s="347"/>
      <c r="C124" s="349"/>
      <c r="D124" s="350"/>
      <c r="E124" s="350"/>
      <c r="F124" s="350"/>
      <c r="H124"/>
      <c r="I124"/>
      <c r="J124"/>
    </row>
    <row r="125" spans="2:10" s="346" customFormat="1" x14ac:dyDescent="0.25">
      <c r="B125" s="347"/>
      <c r="C125" s="349"/>
      <c r="D125" s="350"/>
      <c r="E125" s="350"/>
      <c r="F125" s="350"/>
      <c r="H125"/>
      <c r="I125"/>
      <c r="J125"/>
    </row>
    <row r="126" spans="2:10" s="346" customFormat="1" x14ac:dyDescent="0.25">
      <c r="B126" s="347"/>
      <c r="C126" s="349"/>
      <c r="D126" s="350"/>
      <c r="E126" s="350"/>
      <c r="F126" s="350"/>
      <c r="H126"/>
      <c r="I126"/>
      <c r="J126"/>
    </row>
    <row r="127" spans="2:10" s="346" customFormat="1" x14ac:dyDescent="0.25">
      <c r="B127" s="347"/>
      <c r="C127" s="349"/>
      <c r="D127" s="350"/>
      <c r="E127" s="350"/>
      <c r="F127" s="350"/>
      <c r="H127"/>
      <c r="I127"/>
      <c r="J127"/>
    </row>
    <row r="128" spans="2:10" s="346" customFormat="1" x14ac:dyDescent="0.25">
      <c r="B128" s="347"/>
      <c r="C128" s="349"/>
      <c r="D128" s="350"/>
      <c r="E128" s="350"/>
      <c r="F128" s="350"/>
      <c r="H128"/>
      <c r="I128"/>
      <c r="J128"/>
    </row>
    <row r="129" spans="2:10" s="346" customFormat="1" x14ac:dyDescent="0.25">
      <c r="B129" s="347"/>
      <c r="C129" s="349"/>
      <c r="D129" s="350"/>
      <c r="E129" s="350"/>
      <c r="F129" s="350"/>
      <c r="H129"/>
      <c r="I129"/>
      <c r="J129"/>
    </row>
    <row r="130" spans="2:10" s="346" customFormat="1" x14ac:dyDescent="0.25">
      <c r="B130" s="347"/>
      <c r="C130" s="349"/>
      <c r="D130" s="350"/>
      <c r="E130" s="350"/>
      <c r="F130" s="350"/>
      <c r="H130"/>
      <c r="I130"/>
      <c r="J130"/>
    </row>
    <row r="131" spans="2:10" s="346" customFormat="1" x14ac:dyDescent="0.25">
      <c r="B131" s="347"/>
      <c r="C131" s="349"/>
      <c r="D131" s="350"/>
      <c r="E131" s="350"/>
      <c r="F131" s="350"/>
      <c r="H131"/>
      <c r="I131"/>
      <c r="J131"/>
    </row>
    <row r="132" spans="2:10" s="346" customFormat="1" x14ac:dyDescent="0.25">
      <c r="B132" s="347"/>
      <c r="C132" s="349"/>
      <c r="D132" s="350"/>
      <c r="E132" s="350"/>
      <c r="F132" s="350"/>
      <c r="H132"/>
      <c r="I132"/>
      <c r="J132"/>
    </row>
    <row r="133" spans="2:10" s="346" customFormat="1" x14ac:dyDescent="0.25">
      <c r="B133" s="347"/>
      <c r="C133" s="349"/>
      <c r="D133" s="350"/>
      <c r="E133" s="350"/>
      <c r="F133" s="350"/>
      <c r="H133"/>
      <c r="I133"/>
      <c r="J133"/>
    </row>
    <row r="134" spans="2:10" s="346" customFormat="1" x14ac:dyDescent="0.25">
      <c r="B134" s="347"/>
      <c r="C134" s="349"/>
      <c r="D134" s="350"/>
      <c r="E134" s="350"/>
      <c r="F134" s="350"/>
      <c r="H134"/>
      <c r="I134"/>
      <c r="J134"/>
    </row>
    <row r="135" spans="2:10" s="346" customFormat="1" x14ac:dyDescent="0.25">
      <c r="B135" s="347"/>
      <c r="C135" s="349"/>
      <c r="D135" s="350"/>
      <c r="E135" s="350"/>
      <c r="F135" s="350"/>
      <c r="H135"/>
      <c r="I135"/>
      <c r="J135"/>
    </row>
    <row r="136" spans="2:10" s="346" customFormat="1" x14ac:dyDescent="0.25">
      <c r="B136" s="347"/>
      <c r="C136" s="349"/>
      <c r="D136" s="350"/>
      <c r="E136" s="350"/>
      <c r="F136" s="350"/>
      <c r="H136"/>
      <c r="I136"/>
      <c r="J136"/>
    </row>
    <row r="137" spans="2:10" s="346" customFormat="1" x14ac:dyDescent="0.25">
      <c r="B137" s="347"/>
      <c r="C137" s="349"/>
      <c r="D137" s="350"/>
      <c r="E137" s="350"/>
      <c r="F137" s="350"/>
      <c r="H137"/>
      <c r="I137"/>
      <c r="J137"/>
    </row>
    <row r="138" spans="2:10" s="346" customFormat="1" x14ac:dyDescent="0.25">
      <c r="B138" s="347"/>
      <c r="C138" s="349"/>
      <c r="D138" s="350"/>
      <c r="E138" s="350"/>
      <c r="F138" s="350"/>
      <c r="H138"/>
      <c r="I138"/>
      <c r="J138"/>
    </row>
    <row r="139" spans="2:10" s="346" customFormat="1" x14ac:dyDescent="0.25">
      <c r="B139" s="347"/>
      <c r="C139" s="349"/>
      <c r="D139" s="350"/>
      <c r="E139" s="350"/>
      <c r="F139" s="350"/>
      <c r="H139"/>
      <c r="I139"/>
      <c r="J139"/>
    </row>
    <row r="140" spans="2:10" s="346" customFormat="1" x14ac:dyDescent="0.25">
      <c r="B140" s="347"/>
      <c r="C140" s="349"/>
      <c r="D140" s="350"/>
      <c r="E140" s="350"/>
      <c r="F140" s="350"/>
      <c r="H140"/>
      <c r="I140"/>
      <c r="J140"/>
    </row>
    <row r="141" spans="2:10" s="346" customFormat="1" x14ac:dyDescent="0.25">
      <c r="B141" s="347"/>
      <c r="C141" s="349"/>
      <c r="D141" s="350"/>
      <c r="E141" s="350"/>
      <c r="F141" s="350"/>
      <c r="H141"/>
      <c r="I141"/>
      <c r="J141"/>
    </row>
    <row r="142" spans="2:10" s="346" customFormat="1" x14ac:dyDescent="0.25">
      <c r="B142" s="347"/>
      <c r="C142" s="349"/>
      <c r="D142" s="350"/>
      <c r="E142" s="350"/>
      <c r="F142" s="350"/>
      <c r="H142"/>
      <c r="I142"/>
      <c r="J142"/>
    </row>
    <row r="143" spans="2:10" s="346" customFormat="1" x14ac:dyDescent="0.25">
      <c r="B143" s="347"/>
      <c r="C143" s="349"/>
      <c r="D143" s="350"/>
      <c r="E143" s="350"/>
      <c r="F143" s="350"/>
      <c r="H143"/>
      <c r="I143"/>
      <c r="J143"/>
    </row>
    <row r="144" spans="2:10" s="346" customFormat="1" x14ac:dyDescent="0.25">
      <c r="B144" s="347"/>
      <c r="C144" s="349"/>
      <c r="D144" s="350"/>
      <c r="E144" s="350"/>
      <c r="F144" s="350"/>
      <c r="H144"/>
      <c r="I144"/>
      <c r="J144"/>
    </row>
    <row r="145" spans="2:10" s="346" customFormat="1" x14ac:dyDescent="0.25">
      <c r="B145" s="347"/>
      <c r="C145" s="349"/>
      <c r="D145" s="350"/>
      <c r="E145" s="350"/>
      <c r="F145" s="350"/>
      <c r="H145"/>
      <c r="I145"/>
      <c r="J145"/>
    </row>
    <row r="146" spans="2:10" s="346" customFormat="1" x14ac:dyDescent="0.25">
      <c r="B146" s="347"/>
      <c r="C146" s="349"/>
      <c r="D146" s="350"/>
      <c r="E146" s="350"/>
      <c r="F146" s="350"/>
      <c r="H146"/>
      <c r="I146"/>
      <c r="J146"/>
    </row>
    <row r="147" spans="2:10" s="346" customFormat="1" x14ac:dyDescent="0.25">
      <c r="B147" s="347"/>
      <c r="C147" s="349"/>
      <c r="D147" s="350"/>
      <c r="E147" s="350"/>
      <c r="F147" s="350"/>
      <c r="H147"/>
      <c r="I147"/>
      <c r="J147"/>
    </row>
    <row r="148" spans="2:10" s="346" customFormat="1" x14ac:dyDescent="0.25">
      <c r="B148" s="347"/>
      <c r="C148" s="349"/>
      <c r="D148" s="350"/>
      <c r="E148" s="350"/>
      <c r="F148" s="350"/>
      <c r="H148"/>
      <c r="I148"/>
      <c r="J148"/>
    </row>
    <row r="149" spans="2:10" s="346" customFormat="1" x14ac:dyDescent="0.25">
      <c r="B149" s="347"/>
      <c r="C149" s="349"/>
      <c r="D149" s="350"/>
      <c r="E149" s="350"/>
      <c r="F149" s="350"/>
      <c r="H149"/>
      <c r="I149"/>
      <c r="J149"/>
    </row>
    <row r="150" spans="2:10" s="346" customFormat="1" x14ac:dyDescent="0.25">
      <c r="B150" s="347"/>
      <c r="C150" s="349"/>
      <c r="D150" s="350"/>
      <c r="E150" s="350"/>
      <c r="F150" s="350"/>
      <c r="H150"/>
      <c r="I150"/>
      <c r="J150"/>
    </row>
    <row r="151" spans="2:10" s="346" customFormat="1" x14ac:dyDescent="0.25">
      <c r="B151" s="347"/>
      <c r="C151" s="349"/>
      <c r="D151" s="350"/>
      <c r="E151" s="350"/>
      <c r="F151" s="350"/>
      <c r="H151"/>
      <c r="I151"/>
      <c r="J151"/>
    </row>
    <row r="152" spans="2:10" s="346" customFormat="1" x14ac:dyDescent="0.25">
      <c r="B152" s="347"/>
      <c r="C152" s="349"/>
      <c r="D152" s="350"/>
      <c r="E152" s="350"/>
      <c r="F152" s="350"/>
      <c r="H152"/>
      <c r="I152"/>
      <c r="J152"/>
    </row>
    <row r="153" spans="2:10" s="346" customFormat="1" x14ac:dyDescent="0.25">
      <c r="B153" s="347"/>
      <c r="C153" s="349"/>
      <c r="D153" s="350"/>
      <c r="E153" s="350"/>
      <c r="F153" s="350"/>
      <c r="H153"/>
      <c r="I153"/>
      <c r="J153"/>
    </row>
    <row r="154" spans="2:10" s="346" customFormat="1" x14ac:dyDescent="0.25">
      <c r="B154" s="347"/>
      <c r="C154" s="349"/>
      <c r="D154" s="350"/>
      <c r="E154" s="350"/>
      <c r="F154" s="350"/>
      <c r="H154"/>
      <c r="I154"/>
      <c r="J154"/>
    </row>
    <row r="155" spans="2:10" s="346" customFormat="1" x14ac:dyDescent="0.25">
      <c r="B155" s="347"/>
      <c r="C155" s="349"/>
      <c r="D155" s="350"/>
      <c r="E155" s="350"/>
      <c r="F155" s="350"/>
      <c r="H155"/>
      <c r="I155"/>
      <c r="J155"/>
    </row>
    <row r="156" spans="2:10" s="346" customFormat="1" x14ac:dyDescent="0.25">
      <c r="B156" s="347"/>
      <c r="C156" s="349"/>
      <c r="D156" s="350"/>
      <c r="E156" s="350"/>
      <c r="F156" s="350"/>
      <c r="H156"/>
      <c r="I156"/>
      <c r="J156"/>
    </row>
    <row r="157" spans="2:10" s="346" customFormat="1" x14ac:dyDescent="0.25">
      <c r="B157" s="347"/>
      <c r="C157" s="349"/>
      <c r="D157" s="350"/>
      <c r="E157" s="350"/>
      <c r="F157" s="350"/>
      <c r="H157"/>
      <c r="I157"/>
      <c r="J157"/>
    </row>
    <row r="158" spans="2:10" s="346" customFormat="1" x14ac:dyDescent="0.25">
      <c r="B158" s="347"/>
      <c r="C158" s="349"/>
      <c r="D158" s="350"/>
      <c r="E158" s="350"/>
      <c r="F158" s="350"/>
      <c r="H158"/>
      <c r="I158"/>
      <c r="J158"/>
    </row>
    <row r="159" spans="2:10" s="346" customFormat="1" x14ac:dyDescent="0.25">
      <c r="B159" s="347"/>
      <c r="C159" s="349"/>
      <c r="D159" s="350"/>
      <c r="E159" s="350"/>
      <c r="F159" s="350"/>
      <c r="H159"/>
      <c r="I159"/>
      <c r="J159"/>
    </row>
    <row r="160" spans="2:10" s="346" customFormat="1" x14ac:dyDescent="0.25">
      <c r="B160" s="347"/>
      <c r="C160" s="349"/>
      <c r="D160" s="350"/>
      <c r="E160" s="350"/>
      <c r="F160" s="350"/>
      <c r="H160"/>
      <c r="I160"/>
      <c r="J160"/>
    </row>
    <row r="161" spans="2:10" s="346" customFormat="1" x14ac:dyDescent="0.25">
      <c r="B161" s="347"/>
      <c r="C161" s="349"/>
      <c r="D161" s="350"/>
      <c r="E161" s="350"/>
      <c r="F161" s="350"/>
      <c r="H161"/>
      <c r="I161"/>
      <c r="J161"/>
    </row>
    <row r="162" spans="2:10" s="346" customFormat="1" x14ac:dyDescent="0.25">
      <c r="B162" s="347"/>
      <c r="C162" s="349"/>
      <c r="D162" s="350"/>
      <c r="E162" s="350"/>
      <c r="F162" s="350"/>
      <c r="H162"/>
      <c r="I162"/>
      <c r="J162"/>
    </row>
    <row r="163" spans="2:10" s="346" customFormat="1" x14ac:dyDescent="0.25">
      <c r="B163" s="347"/>
      <c r="C163" s="349"/>
      <c r="D163" s="350"/>
      <c r="E163" s="350"/>
      <c r="F163" s="350"/>
      <c r="H163"/>
      <c r="I163"/>
      <c r="J163"/>
    </row>
    <row r="164" spans="2:10" s="346" customFormat="1" x14ac:dyDescent="0.25">
      <c r="B164" s="347"/>
      <c r="C164" s="349"/>
      <c r="D164" s="350"/>
      <c r="E164" s="350"/>
      <c r="F164" s="350"/>
      <c r="H164"/>
      <c r="I164"/>
      <c r="J164"/>
    </row>
    <row r="165" spans="2:10" s="346" customFormat="1" x14ac:dyDescent="0.25">
      <c r="B165" s="347"/>
      <c r="C165" s="349"/>
      <c r="D165" s="350"/>
      <c r="E165" s="350"/>
      <c r="F165" s="350"/>
      <c r="H165"/>
      <c r="I165"/>
      <c r="J165"/>
    </row>
    <row r="166" spans="2:10" s="346" customFormat="1" x14ac:dyDescent="0.25">
      <c r="B166" s="347"/>
      <c r="C166" s="349"/>
      <c r="D166" s="350"/>
      <c r="E166" s="350"/>
      <c r="F166" s="350"/>
      <c r="H166"/>
      <c r="I166"/>
      <c r="J166"/>
    </row>
    <row r="167" spans="2:10" s="346" customFormat="1" x14ac:dyDescent="0.25">
      <c r="B167" s="347"/>
      <c r="C167" s="349"/>
      <c r="D167" s="350"/>
      <c r="E167" s="350"/>
      <c r="F167" s="350"/>
      <c r="H167"/>
      <c r="I167"/>
      <c r="J167"/>
    </row>
    <row r="168" spans="2:10" s="346" customFormat="1" x14ac:dyDescent="0.25">
      <c r="B168" s="347"/>
      <c r="C168" s="349"/>
      <c r="D168" s="350"/>
      <c r="E168" s="350"/>
      <c r="F168" s="350"/>
      <c r="H168"/>
      <c r="I168"/>
      <c r="J168"/>
    </row>
    <row r="169" spans="2:10" s="346" customFormat="1" x14ac:dyDescent="0.25">
      <c r="B169" s="347"/>
      <c r="C169" s="349"/>
      <c r="D169" s="350"/>
      <c r="E169" s="350"/>
      <c r="F169" s="350"/>
      <c r="H169"/>
      <c r="I169"/>
      <c r="J169"/>
    </row>
    <row r="170" spans="2:10" s="346" customFormat="1" x14ac:dyDescent="0.25">
      <c r="B170" s="347"/>
      <c r="C170" s="349"/>
      <c r="D170" s="350"/>
      <c r="E170" s="350"/>
      <c r="F170" s="350"/>
      <c r="H170"/>
      <c r="I170"/>
      <c r="J170"/>
    </row>
    <row r="171" spans="2:10" s="346" customFormat="1" x14ac:dyDescent="0.25">
      <c r="B171" s="347"/>
      <c r="C171" s="349"/>
      <c r="D171" s="350"/>
      <c r="E171" s="350"/>
      <c r="F171" s="350"/>
      <c r="H171"/>
      <c r="I171"/>
      <c r="J171"/>
    </row>
    <row r="172" spans="2:10" s="346" customFormat="1" x14ac:dyDescent="0.25">
      <c r="B172" s="347"/>
      <c r="C172" s="349"/>
      <c r="D172" s="350"/>
      <c r="E172" s="350"/>
      <c r="F172" s="350"/>
      <c r="H172"/>
      <c r="I172"/>
      <c r="J172"/>
    </row>
    <row r="173" spans="2:10" s="346" customFormat="1" x14ac:dyDescent="0.25">
      <c r="B173" s="347"/>
      <c r="C173" s="349"/>
      <c r="D173" s="350"/>
      <c r="E173" s="350"/>
      <c r="F173" s="350"/>
      <c r="H173"/>
      <c r="I173"/>
      <c r="J173"/>
    </row>
    <row r="174" spans="2:10" s="346" customFormat="1" x14ac:dyDescent="0.25">
      <c r="B174" s="347"/>
      <c r="C174" s="349"/>
      <c r="D174" s="350"/>
      <c r="E174" s="350"/>
      <c r="F174" s="350"/>
      <c r="H174"/>
      <c r="I174"/>
      <c r="J174"/>
    </row>
    <row r="175" spans="2:10" s="346" customFormat="1" x14ac:dyDescent="0.25">
      <c r="B175" s="347"/>
      <c r="C175" s="349"/>
      <c r="D175" s="350"/>
      <c r="E175" s="350"/>
      <c r="F175" s="350"/>
      <c r="H175"/>
      <c r="I175"/>
      <c r="J175"/>
    </row>
    <row r="176" spans="2:10" s="346" customFormat="1" x14ac:dyDescent="0.25">
      <c r="B176" s="347"/>
      <c r="C176" s="349"/>
      <c r="D176" s="350"/>
      <c r="E176" s="350"/>
      <c r="F176" s="350"/>
      <c r="H176"/>
      <c r="I176"/>
      <c r="J176"/>
    </row>
    <row r="177" spans="2:10" s="346" customFormat="1" x14ac:dyDescent="0.25">
      <c r="B177" s="347"/>
      <c r="C177" s="349"/>
      <c r="D177" s="350"/>
      <c r="E177" s="350"/>
      <c r="F177" s="350"/>
      <c r="H177"/>
      <c r="I177"/>
      <c r="J177"/>
    </row>
    <row r="178" spans="2:10" s="346" customFormat="1" x14ac:dyDescent="0.25">
      <c r="B178" s="347"/>
      <c r="C178" s="349"/>
      <c r="D178" s="350"/>
      <c r="E178" s="350"/>
      <c r="F178" s="350"/>
      <c r="H178"/>
      <c r="I178"/>
      <c r="J178"/>
    </row>
    <row r="179" spans="2:10" s="346" customFormat="1" x14ac:dyDescent="0.25">
      <c r="B179" s="347"/>
      <c r="C179" s="349"/>
      <c r="D179" s="350"/>
      <c r="E179" s="350"/>
      <c r="F179" s="350"/>
      <c r="H179"/>
      <c r="I179"/>
      <c r="J179"/>
    </row>
    <row r="180" spans="2:10" s="346" customFormat="1" x14ac:dyDescent="0.25">
      <c r="B180" s="347"/>
      <c r="C180" s="349"/>
      <c r="D180" s="350"/>
      <c r="E180" s="350"/>
      <c r="F180" s="350"/>
      <c r="H180"/>
      <c r="I180"/>
      <c r="J180"/>
    </row>
    <row r="181" spans="2:10" s="346" customFormat="1" x14ac:dyDescent="0.25">
      <c r="B181" s="347"/>
      <c r="C181" s="349"/>
      <c r="D181" s="350"/>
      <c r="E181" s="350"/>
      <c r="F181" s="350"/>
      <c r="H181"/>
      <c r="I181"/>
      <c r="J181"/>
    </row>
    <row r="182" spans="2:10" s="346" customFormat="1" x14ac:dyDescent="0.25">
      <c r="B182" s="347"/>
      <c r="C182" s="349"/>
      <c r="D182" s="350"/>
      <c r="E182" s="350"/>
      <c r="F182" s="350"/>
      <c r="H182"/>
      <c r="I182"/>
      <c r="J182"/>
    </row>
    <row r="183" spans="2:10" s="346" customFormat="1" x14ac:dyDescent="0.25">
      <c r="B183" s="347"/>
      <c r="C183" s="349"/>
      <c r="D183" s="350"/>
      <c r="E183" s="350"/>
      <c r="F183" s="350"/>
      <c r="H183"/>
      <c r="I183"/>
      <c r="J183"/>
    </row>
    <row r="184" spans="2:10" s="346" customFormat="1" x14ac:dyDescent="0.25">
      <c r="B184" s="347"/>
      <c r="C184" s="349"/>
      <c r="D184" s="350"/>
      <c r="E184" s="350"/>
      <c r="F184" s="350"/>
      <c r="H184"/>
      <c r="I184"/>
      <c r="J184"/>
    </row>
    <row r="185" spans="2:10" s="346" customFormat="1" x14ac:dyDescent="0.25">
      <c r="B185" s="347"/>
      <c r="C185" s="349"/>
      <c r="D185" s="350"/>
      <c r="E185" s="350"/>
      <c r="F185" s="350"/>
      <c r="H185"/>
      <c r="I185"/>
      <c r="J185"/>
    </row>
    <row r="186" spans="2:10" s="346" customFormat="1" x14ac:dyDescent="0.25">
      <c r="B186" s="347"/>
      <c r="C186" s="349"/>
      <c r="D186" s="350"/>
      <c r="E186" s="350"/>
      <c r="F186" s="350"/>
      <c r="H186"/>
      <c r="I186"/>
      <c r="J186"/>
    </row>
    <row r="187" spans="2:10" s="346" customFormat="1" x14ac:dyDescent="0.25">
      <c r="B187" s="347"/>
      <c r="C187" s="349"/>
      <c r="D187" s="350"/>
      <c r="E187" s="350"/>
      <c r="F187" s="350"/>
      <c r="H187"/>
      <c r="I187"/>
      <c r="J187"/>
    </row>
    <row r="188" spans="2:10" s="346" customFormat="1" x14ac:dyDescent="0.25">
      <c r="B188" s="347"/>
      <c r="C188" s="349"/>
      <c r="D188" s="350"/>
      <c r="E188" s="350"/>
      <c r="F188" s="350"/>
      <c r="H188"/>
      <c r="I188"/>
      <c r="J188"/>
    </row>
    <row r="189" spans="2:10" s="346" customFormat="1" x14ac:dyDescent="0.25">
      <c r="B189" s="347"/>
      <c r="C189" s="349"/>
      <c r="D189" s="350"/>
      <c r="E189" s="350"/>
      <c r="F189" s="350"/>
      <c r="H189"/>
      <c r="I189"/>
      <c r="J189"/>
    </row>
    <row r="190" spans="2:10" s="346" customFormat="1" x14ac:dyDescent="0.25">
      <c r="B190" s="347"/>
      <c r="C190" s="349"/>
      <c r="D190" s="350"/>
      <c r="E190" s="350"/>
      <c r="F190" s="350"/>
      <c r="H190"/>
      <c r="I190"/>
      <c r="J190"/>
    </row>
    <row r="191" spans="2:10" s="346" customFormat="1" x14ac:dyDescent="0.25">
      <c r="B191" s="347"/>
      <c r="C191" s="349"/>
      <c r="D191" s="350"/>
      <c r="E191" s="350"/>
      <c r="F191" s="350"/>
      <c r="H191"/>
      <c r="I191"/>
      <c r="J191"/>
    </row>
    <row r="192" spans="2:10" s="346" customFormat="1" x14ac:dyDescent="0.25">
      <c r="B192" s="347"/>
      <c r="C192" s="349"/>
      <c r="D192" s="350"/>
      <c r="E192" s="350"/>
      <c r="F192" s="350"/>
      <c r="H192"/>
      <c r="I192"/>
      <c r="J192"/>
    </row>
    <row r="193" spans="2:10" s="346" customFormat="1" x14ac:dyDescent="0.25">
      <c r="B193" s="347"/>
      <c r="C193" s="349"/>
      <c r="D193" s="350"/>
      <c r="E193" s="350"/>
      <c r="F193" s="350"/>
      <c r="H193"/>
      <c r="I193"/>
      <c r="J193"/>
    </row>
    <row r="194" spans="2:10" s="346" customFormat="1" x14ac:dyDescent="0.25">
      <c r="B194" s="347"/>
      <c r="C194" s="349"/>
      <c r="D194" s="350"/>
      <c r="E194" s="350"/>
      <c r="F194" s="350"/>
      <c r="H194"/>
      <c r="I194"/>
      <c r="J194"/>
    </row>
    <row r="195" spans="2:10" s="346" customFormat="1" x14ac:dyDescent="0.25">
      <c r="B195" s="347"/>
      <c r="C195" s="349"/>
      <c r="D195" s="350"/>
      <c r="E195" s="350"/>
      <c r="F195" s="350"/>
      <c r="H195"/>
      <c r="I195"/>
      <c r="J195"/>
    </row>
    <row r="196" spans="2:10" s="346" customFormat="1" x14ac:dyDescent="0.25">
      <c r="B196" s="347"/>
      <c r="C196" s="349"/>
      <c r="D196" s="350"/>
      <c r="E196" s="350"/>
      <c r="F196" s="350"/>
      <c r="H196"/>
      <c r="I196"/>
      <c r="J196"/>
    </row>
    <row r="197" spans="2:10" s="346" customFormat="1" x14ac:dyDescent="0.25">
      <c r="B197" s="347"/>
      <c r="C197" s="349"/>
      <c r="D197" s="350"/>
      <c r="E197" s="350"/>
      <c r="F197" s="350"/>
      <c r="H197"/>
      <c r="I197"/>
      <c r="J197"/>
    </row>
    <row r="198" spans="2:10" s="346" customFormat="1" x14ac:dyDescent="0.25">
      <c r="B198" s="347"/>
      <c r="C198" s="349"/>
      <c r="D198" s="350"/>
      <c r="E198" s="350"/>
      <c r="F198" s="350"/>
      <c r="H198"/>
      <c r="I198"/>
      <c r="J198"/>
    </row>
    <row r="199" spans="2:10" s="346" customFormat="1" x14ac:dyDescent="0.25">
      <c r="B199" s="347"/>
      <c r="C199" s="349"/>
      <c r="D199" s="350"/>
      <c r="E199" s="350"/>
      <c r="F199" s="350"/>
      <c r="H199"/>
      <c r="I199"/>
      <c r="J199"/>
    </row>
    <row r="200" spans="2:10" s="346" customFormat="1" x14ac:dyDescent="0.25">
      <c r="B200" s="347"/>
      <c r="C200" s="349"/>
      <c r="D200" s="350"/>
      <c r="E200" s="350"/>
      <c r="F200" s="350"/>
      <c r="H200"/>
      <c r="I200"/>
      <c r="J200"/>
    </row>
    <row r="201" spans="2:10" s="346" customFormat="1" x14ac:dyDescent="0.25">
      <c r="B201" s="347"/>
      <c r="C201" s="349"/>
      <c r="D201" s="350"/>
      <c r="E201" s="350"/>
      <c r="F201" s="350"/>
      <c r="H201"/>
      <c r="I201"/>
      <c r="J201"/>
    </row>
    <row r="202" spans="2:10" s="346" customFormat="1" x14ac:dyDescent="0.25">
      <c r="B202" s="347"/>
      <c r="C202" s="349"/>
      <c r="D202" s="350"/>
      <c r="E202" s="350"/>
      <c r="F202" s="350"/>
      <c r="H202"/>
      <c r="I202"/>
      <c r="J202"/>
    </row>
    <row r="203" spans="2:10" s="346" customFormat="1" x14ac:dyDescent="0.25">
      <c r="B203" s="347"/>
      <c r="C203" s="349"/>
      <c r="D203" s="350"/>
      <c r="E203" s="350"/>
      <c r="F203" s="350"/>
      <c r="H203"/>
      <c r="I203"/>
      <c r="J203"/>
    </row>
    <row r="204" spans="2:10" s="346" customFormat="1" x14ac:dyDescent="0.25">
      <c r="B204" s="347"/>
      <c r="C204" s="349"/>
      <c r="D204" s="350"/>
      <c r="E204" s="350"/>
      <c r="F204" s="350"/>
      <c r="H204"/>
      <c r="I204"/>
      <c r="J204"/>
    </row>
    <row r="205" spans="2:10" s="346" customFormat="1" x14ac:dyDescent="0.25">
      <c r="B205" s="347"/>
      <c r="C205" s="349"/>
      <c r="D205" s="350"/>
      <c r="E205" s="350"/>
      <c r="F205" s="350"/>
      <c r="H205"/>
      <c r="I205"/>
      <c r="J205"/>
    </row>
    <row r="206" spans="2:10" s="346" customFormat="1" x14ac:dyDescent="0.25">
      <c r="B206" s="347"/>
      <c r="C206" s="349"/>
      <c r="D206" s="350"/>
      <c r="E206" s="350"/>
      <c r="F206" s="350"/>
      <c r="H206"/>
      <c r="I206"/>
      <c r="J206"/>
    </row>
    <row r="207" spans="2:10" s="346" customFormat="1" x14ac:dyDescent="0.25">
      <c r="B207" s="347"/>
      <c r="C207" s="349"/>
      <c r="D207" s="350"/>
      <c r="E207" s="350"/>
      <c r="F207" s="350"/>
      <c r="H207"/>
      <c r="I207"/>
      <c r="J207"/>
    </row>
    <row r="208" spans="2:10" s="346" customFormat="1" x14ac:dyDescent="0.25">
      <c r="B208" s="347"/>
      <c r="C208" s="349"/>
      <c r="D208" s="350"/>
      <c r="E208" s="350"/>
      <c r="F208" s="350"/>
      <c r="H208"/>
      <c r="I208"/>
      <c r="J208"/>
    </row>
    <row r="209" spans="2:10" s="346" customFormat="1" x14ac:dyDescent="0.25">
      <c r="B209" s="347"/>
      <c r="C209" s="349"/>
      <c r="D209" s="350"/>
      <c r="E209" s="350"/>
      <c r="F209" s="350"/>
      <c r="H209"/>
      <c r="I209"/>
      <c r="J209"/>
    </row>
    <row r="210" spans="2:10" s="346" customFormat="1" x14ac:dyDescent="0.25">
      <c r="B210" s="347"/>
      <c r="C210" s="349"/>
      <c r="D210" s="350"/>
      <c r="E210" s="350"/>
      <c r="F210" s="350"/>
      <c r="H210"/>
      <c r="I210"/>
      <c r="J210"/>
    </row>
    <row r="211" spans="2:10" s="346" customFormat="1" x14ac:dyDescent="0.25">
      <c r="B211" s="347"/>
      <c r="C211" s="349"/>
      <c r="D211" s="350"/>
      <c r="E211" s="350"/>
      <c r="F211" s="350"/>
      <c r="H211"/>
      <c r="I211"/>
      <c r="J211"/>
    </row>
    <row r="212" spans="2:10" s="346" customFormat="1" x14ac:dyDescent="0.25">
      <c r="B212" s="347"/>
      <c r="C212" s="349"/>
      <c r="D212" s="350"/>
      <c r="E212" s="350"/>
      <c r="F212" s="350"/>
      <c r="H212"/>
      <c r="I212"/>
      <c r="J212"/>
    </row>
    <row r="213" spans="2:10" s="346" customFormat="1" x14ac:dyDescent="0.25">
      <c r="B213" s="347"/>
      <c r="C213" s="349"/>
      <c r="D213" s="350"/>
      <c r="E213" s="350"/>
      <c r="F213" s="350"/>
      <c r="H213"/>
      <c r="I213"/>
      <c r="J213"/>
    </row>
    <row r="214" spans="2:10" s="346" customFormat="1" x14ac:dyDescent="0.25">
      <c r="B214" s="347"/>
      <c r="C214" s="349"/>
      <c r="D214" s="350"/>
      <c r="E214" s="350"/>
      <c r="F214" s="350"/>
      <c r="H214"/>
      <c r="I214"/>
      <c r="J214"/>
    </row>
    <row r="215" spans="2:10" s="346" customFormat="1" x14ac:dyDescent="0.25">
      <c r="B215" s="347"/>
      <c r="C215" s="349"/>
      <c r="D215" s="350"/>
      <c r="E215" s="350"/>
      <c r="F215" s="350"/>
      <c r="H215"/>
      <c r="I215"/>
      <c r="J215"/>
    </row>
    <row r="216" spans="2:10" s="346" customFormat="1" x14ac:dyDescent="0.25">
      <c r="B216" s="347"/>
      <c r="C216" s="349"/>
      <c r="D216" s="350"/>
      <c r="E216" s="350"/>
      <c r="F216" s="350"/>
      <c r="H216"/>
      <c r="I216"/>
      <c r="J216"/>
    </row>
    <row r="217" spans="2:10" s="346" customFormat="1" x14ac:dyDescent="0.25">
      <c r="B217" s="347"/>
      <c r="C217" s="349"/>
      <c r="D217" s="350"/>
      <c r="E217" s="350"/>
      <c r="F217" s="350"/>
      <c r="H217"/>
      <c r="I217"/>
      <c r="J217"/>
    </row>
    <row r="218" spans="2:10" s="346" customFormat="1" x14ac:dyDescent="0.25">
      <c r="B218" s="347"/>
      <c r="C218" s="349"/>
      <c r="D218" s="350"/>
      <c r="E218" s="350"/>
      <c r="F218" s="350"/>
      <c r="H218"/>
      <c r="I218"/>
      <c r="J218"/>
    </row>
    <row r="219" spans="2:10" s="346" customFormat="1" x14ac:dyDescent="0.25">
      <c r="B219" s="347"/>
      <c r="C219" s="349"/>
      <c r="D219" s="350"/>
      <c r="E219" s="350"/>
      <c r="F219" s="350"/>
      <c r="H219"/>
      <c r="I219"/>
      <c r="J219"/>
    </row>
    <row r="220" spans="2:10" s="346" customFormat="1" x14ac:dyDescent="0.25">
      <c r="B220" s="347"/>
      <c r="C220" s="349"/>
      <c r="D220" s="350"/>
      <c r="E220" s="350"/>
      <c r="F220" s="350"/>
      <c r="H220"/>
      <c r="I220"/>
      <c r="J220"/>
    </row>
    <row r="221" spans="2:10" s="346" customFormat="1" x14ac:dyDescent="0.25">
      <c r="B221" s="347"/>
      <c r="C221" s="349"/>
      <c r="D221" s="350"/>
      <c r="E221" s="350"/>
      <c r="F221" s="350"/>
      <c r="H221"/>
      <c r="I221"/>
      <c r="J221"/>
    </row>
    <row r="222" spans="2:10" s="346" customFormat="1" x14ac:dyDescent="0.25">
      <c r="B222" s="347"/>
      <c r="C222" s="349"/>
      <c r="D222" s="350"/>
      <c r="E222" s="350"/>
      <c r="F222" s="350"/>
      <c r="H222"/>
      <c r="I222"/>
      <c r="J222"/>
    </row>
    <row r="223" spans="2:10" s="346" customFormat="1" x14ac:dyDescent="0.25">
      <c r="B223" s="347"/>
      <c r="C223" s="349"/>
      <c r="D223" s="350"/>
      <c r="E223" s="350"/>
      <c r="F223" s="350"/>
      <c r="H223"/>
      <c r="I223"/>
      <c r="J223"/>
    </row>
    <row r="224" spans="2:10" s="346" customFormat="1" x14ac:dyDescent="0.25">
      <c r="B224" s="347"/>
      <c r="C224" s="349"/>
      <c r="D224" s="350"/>
      <c r="E224" s="350"/>
      <c r="F224" s="350"/>
      <c r="H224"/>
      <c r="I224"/>
      <c r="J224"/>
    </row>
    <row r="225" spans="2:10" s="346" customFormat="1" x14ac:dyDescent="0.25">
      <c r="B225" s="347"/>
      <c r="C225" s="349"/>
      <c r="D225" s="350"/>
      <c r="E225" s="350"/>
      <c r="F225" s="350"/>
      <c r="H225"/>
      <c r="I225"/>
      <c r="J225"/>
    </row>
    <row r="226" spans="2:10" s="346" customFormat="1" x14ac:dyDescent="0.25">
      <c r="B226" s="347"/>
      <c r="C226" s="349"/>
      <c r="D226" s="350"/>
      <c r="E226" s="350"/>
      <c r="F226" s="350"/>
      <c r="H226"/>
      <c r="I226"/>
      <c r="J226"/>
    </row>
    <row r="227" spans="2:10" s="346" customFormat="1" x14ac:dyDescent="0.25">
      <c r="B227" s="347"/>
      <c r="C227" s="349"/>
      <c r="D227" s="350"/>
      <c r="E227" s="350"/>
      <c r="F227" s="350"/>
      <c r="H227"/>
      <c r="I227"/>
      <c r="J227"/>
    </row>
    <row r="228" spans="2:10" s="346" customFormat="1" x14ac:dyDescent="0.25">
      <c r="B228" s="347"/>
      <c r="C228" s="349"/>
      <c r="D228" s="350"/>
      <c r="E228" s="350"/>
      <c r="F228" s="350"/>
      <c r="H228"/>
      <c r="I228"/>
      <c r="J228"/>
    </row>
    <row r="229" spans="2:10" s="346" customFormat="1" x14ac:dyDescent="0.25">
      <c r="B229" s="347"/>
      <c r="C229" s="349"/>
      <c r="D229" s="350"/>
      <c r="E229" s="350"/>
      <c r="F229" s="350"/>
      <c r="H229"/>
      <c r="I229"/>
      <c r="J229"/>
    </row>
    <row r="230" spans="2:10" s="346" customFormat="1" x14ac:dyDescent="0.25">
      <c r="B230" s="347"/>
      <c r="C230" s="349"/>
      <c r="D230" s="350"/>
      <c r="E230" s="350"/>
      <c r="F230" s="350"/>
      <c r="H230"/>
      <c r="I230"/>
      <c r="J230"/>
    </row>
    <row r="231" spans="2:10" s="346" customFormat="1" x14ac:dyDescent="0.25">
      <c r="B231" s="347"/>
      <c r="C231" s="349"/>
      <c r="D231" s="350"/>
      <c r="E231" s="350"/>
      <c r="F231" s="350"/>
      <c r="H231"/>
      <c r="I231"/>
      <c r="J231"/>
    </row>
    <row r="232" spans="2:10" s="346" customFormat="1" x14ac:dyDescent="0.25">
      <c r="B232" s="347"/>
      <c r="C232" s="349"/>
      <c r="D232" s="350"/>
      <c r="E232" s="350"/>
      <c r="F232" s="350"/>
      <c r="H232"/>
      <c r="I232"/>
      <c r="J232"/>
    </row>
    <row r="233" spans="2:10" s="346" customFormat="1" x14ac:dyDescent="0.25">
      <c r="B233" s="347"/>
      <c r="C233" s="349"/>
      <c r="D233" s="350"/>
      <c r="E233" s="350"/>
      <c r="F233" s="350"/>
      <c r="H233"/>
      <c r="I233"/>
      <c r="J233"/>
    </row>
    <row r="234" spans="2:10" s="346" customFormat="1" x14ac:dyDescent="0.25">
      <c r="B234" s="347"/>
      <c r="C234" s="349"/>
      <c r="D234" s="350"/>
      <c r="E234" s="350"/>
      <c r="F234" s="350"/>
      <c r="H234"/>
      <c r="I234"/>
      <c r="J234"/>
    </row>
    <row r="235" spans="2:10" s="346" customFormat="1" x14ac:dyDescent="0.25">
      <c r="B235" s="347"/>
      <c r="C235" s="349"/>
      <c r="D235" s="350"/>
      <c r="E235" s="350"/>
      <c r="F235" s="350"/>
      <c r="H235"/>
      <c r="I235"/>
      <c r="J235"/>
    </row>
    <row r="236" spans="2:10" s="346" customFormat="1" x14ac:dyDescent="0.25">
      <c r="B236" s="347"/>
      <c r="C236" s="349"/>
      <c r="D236" s="350"/>
      <c r="E236" s="350"/>
      <c r="F236" s="350"/>
      <c r="H236"/>
      <c r="I236"/>
      <c r="J236"/>
    </row>
    <row r="237" spans="2:10" s="346" customFormat="1" x14ac:dyDescent="0.25">
      <c r="B237" s="347"/>
      <c r="C237" s="349"/>
      <c r="D237" s="350"/>
      <c r="E237" s="350"/>
      <c r="F237" s="350"/>
      <c r="H237"/>
      <c r="I237"/>
      <c r="J237"/>
    </row>
    <row r="238" spans="2:10" s="346" customFormat="1" x14ac:dyDescent="0.25">
      <c r="B238" s="347"/>
      <c r="C238" s="349"/>
      <c r="D238" s="350"/>
      <c r="E238" s="350"/>
      <c r="F238" s="350"/>
      <c r="H238"/>
      <c r="I238"/>
      <c r="J238"/>
    </row>
    <row r="239" spans="2:10" s="346" customFormat="1" x14ac:dyDescent="0.25">
      <c r="B239" s="347"/>
      <c r="C239" s="349"/>
      <c r="D239" s="350"/>
      <c r="E239" s="350"/>
      <c r="F239" s="350"/>
      <c r="H239"/>
      <c r="I239"/>
      <c r="J239"/>
    </row>
    <row r="240" spans="2:10" s="346" customFormat="1" x14ac:dyDescent="0.25">
      <c r="B240" s="347"/>
      <c r="C240" s="349"/>
      <c r="D240" s="350"/>
      <c r="E240" s="350"/>
      <c r="F240" s="350"/>
      <c r="H240"/>
      <c r="I240"/>
      <c r="J240"/>
    </row>
    <row r="241" spans="2:10" s="346" customFormat="1" x14ac:dyDescent="0.25">
      <c r="B241" s="347"/>
      <c r="C241" s="349"/>
      <c r="D241" s="350"/>
      <c r="E241" s="350"/>
      <c r="F241" s="350"/>
      <c r="H241"/>
      <c r="I241"/>
      <c r="J241"/>
    </row>
    <row r="242" spans="2:10" s="346" customFormat="1" x14ac:dyDescent="0.25">
      <c r="B242" s="347"/>
      <c r="C242" s="349"/>
      <c r="D242" s="350"/>
      <c r="E242" s="350"/>
      <c r="F242" s="350"/>
      <c r="H242"/>
      <c r="I242"/>
      <c r="J242"/>
    </row>
    <row r="243" spans="2:10" s="346" customFormat="1" x14ac:dyDescent="0.25">
      <c r="B243" s="347"/>
      <c r="C243" s="349"/>
      <c r="D243" s="350"/>
      <c r="E243" s="350"/>
      <c r="F243" s="350"/>
      <c r="H243"/>
      <c r="I243"/>
      <c r="J243"/>
    </row>
    <row r="244" spans="2:10" s="346" customFormat="1" x14ac:dyDescent="0.25">
      <c r="B244" s="347"/>
      <c r="C244" s="349"/>
      <c r="D244" s="350"/>
      <c r="E244" s="350"/>
      <c r="F244" s="350"/>
      <c r="H244"/>
      <c r="I244"/>
      <c r="J244"/>
    </row>
    <row r="245" spans="2:10" s="346" customFormat="1" x14ac:dyDescent="0.25">
      <c r="B245" s="347"/>
      <c r="C245" s="349"/>
      <c r="D245" s="350"/>
      <c r="E245" s="350"/>
      <c r="F245" s="350"/>
      <c r="H245"/>
      <c r="I245"/>
      <c r="J245"/>
    </row>
    <row r="246" spans="2:10" s="346" customFormat="1" x14ac:dyDescent="0.25">
      <c r="B246" s="347"/>
      <c r="C246" s="349"/>
      <c r="D246" s="350"/>
      <c r="E246" s="350"/>
      <c r="F246" s="350"/>
      <c r="H246"/>
      <c r="I246"/>
      <c r="J246"/>
    </row>
    <row r="247" spans="2:10" s="346" customFormat="1" x14ac:dyDescent="0.25">
      <c r="B247" s="347"/>
      <c r="C247" s="349"/>
      <c r="D247" s="350"/>
      <c r="E247" s="350"/>
      <c r="F247" s="350"/>
      <c r="H247"/>
      <c r="I247"/>
      <c r="J247"/>
    </row>
    <row r="248" spans="2:10" s="346" customFormat="1" x14ac:dyDescent="0.25">
      <c r="B248" s="347"/>
      <c r="C248" s="349"/>
      <c r="D248" s="350"/>
      <c r="E248" s="350"/>
      <c r="F248" s="350"/>
      <c r="H248"/>
      <c r="I248"/>
      <c r="J248"/>
    </row>
    <row r="249" spans="2:10" s="346" customFormat="1" x14ac:dyDescent="0.25">
      <c r="B249" s="347"/>
      <c r="C249" s="349"/>
      <c r="D249" s="350"/>
      <c r="E249" s="350"/>
      <c r="F249" s="350"/>
      <c r="H249"/>
      <c r="I249"/>
      <c r="J249"/>
    </row>
    <row r="250" spans="2:10" s="346" customFormat="1" x14ac:dyDescent="0.25">
      <c r="B250" s="347"/>
      <c r="C250" s="349"/>
      <c r="D250" s="350"/>
      <c r="E250" s="350"/>
      <c r="F250" s="350"/>
      <c r="H250"/>
      <c r="I250"/>
      <c r="J250"/>
    </row>
    <row r="251" spans="2:10" s="346" customFormat="1" x14ac:dyDescent="0.25">
      <c r="B251" s="347"/>
      <c r="C251" s="349"/>
      <c r="D251" s="350"/>
      <c r="E251" s="350"/>
      <c r="F251" s="350"/>
      <c r="H251"/>
      <c r="I251"/>
      <c r="J251"/>
    </row>
    <row r="252" spans="2:10" s="346" customFormat="1" x14ac:dyDescent="0.25">
      <c r="B252" s="347"/>
      <c r="C252" s="349"/>
      <c r="D252" s="350"/>
      <c r="E252" s="350"/>
      <c r="F252" s="350"/>
      <c r="H252"/>
      <c r="I252"/>
      <c r="J252"/>
    </row>
    <row r="253" spans="2:10" s="346" customFormat="1" x14ac:dyDescent="0.25">
      <c r="B253" s="347"/>
      <c r="C253" s="349"/>
      <c r="D253" s="350"/>
      <c r="E253" s="350"/>
      <c r="F253" s="350"/>
      <c r="H253"/>
      <c r="I253"/>
      <c r="J253"/>
    </row>
    <row r="254" spans="2:10" s="346" customFormat="1" x14ac:dyDescent="0.25">
      <c r="B254" s="347"/>
      <c r="C254" s="349"/>
      <c r="D254" s="350"/>
      <c r="E254" s="350"/>
      <c r="F254" s="350"/>
      <c r="H254"/>
      <c r="I254"/>
      <c r="J254"/>
    </row>
    <row r="255" spans="2:10" s="346" customFormat="1" x14ac:dyDescent="0.25">
      <c r="B255" s="347"/>
      <c r="C255" s="349"/>
      <c r="D255" s="350"/>
      <c r="E255" s="350"/>
      <c r="F255" s="350"/>
      <c r="H255"/>
      <c r="I255"/>
      <c r="J255"/>
    </row>
    <row r="256" spans="2:10" s="346" customFormat="1" x14ac:dyDescent="0.25">
      <c r="B256" s="347"/>
      <c r="C256" s="349"/>
      <c r="D256" s="350"/>
      <c r="E256" s="350"/>
      <c r="F256" s="350"/>
      <c r="H256"/>
      <c r="I256"/>
      <c r="J256"/>
    </row>
    <row r="257" spans="2:10" s="346" customFormat="1" x14ac:dyDescent="0.25">
      <c r="B257" s="347"/>
      <c r="C257" s="349"/>
      <c r="D257" s="350"/>
      <c r="E257" s="350"/>
      <c r="F257" s="350"/>
      <c r="H257"/>
      <c r="I257"/>
      <c r="J257"/>
    </row>
    <row r="258" spans="2:10" s="346" customFormat="1" x14ac:dyDescent="0.25">
      <c r="B258" s="347"/>
      <c r="C258" s="349"/>
      <c r="D258" s="350"/>
      <c r="E258" s="350"/>
      <c r="F258" s="350"/>
      <c r="H258"/>
      <c r="I258"/>
      <c r="J258"/>
    </row>
    <row r="259" spans="2:10" s="346" customFormat="1" x14ac:dyDescent="0.25">
      <c r="B259" s="347"/>
      <c r="C259" s="349"/>
      <c r="D259" s="350"/>
      <c r="E259" s="350"/>
      <c r="F259" s="350"/>
      <c r="H259"/>
      <c r="I259"/>
      <c r="J259"/>
    </row>
    <row r="260" spans="2:10" s="346" customFormat="1" x14ac:dyDescent="0.25">
      <c r="B260" s="347"/>
      <c r="C260" s="349"/>
      <c r="D260" s="350"/>
      <c r="E260" s="350"/>
      <c r="F260" s="350"/>
      <c r="H260"/>
      <c r="I260"/>
      <c r="J260"/>
    </row>
    <row r="261" spans="2:10" s="346" customFormat="1" x14ac:dyDescent="0.25">
      <c r="B261" s="347"/>
      <c r="C261" s="349"/>
      <c r="D261" s="350"/>
      <c r="E261" s="350"/>
      <c r="F261" s="350"/>
      <c r="H261"/>
      <c r="I261"/>
      <c r="J261"/>
    </row>
    <row r="262" spans="2:10" s="346" customFormat="1" x14ac:dyDescent="0.25">
      <c r="B262" s="347"/>
      <c r="C262" s="349"/>
      <c r="D262" s="350"/>
      <c r="E262" s="350"/>
      <c r="F262" s="350"/>
      <c r="H262"/>
      <c r="I262"/>
      <c r="J262"/>
    </row>
    <row r="263" spans="2:10" s="346" customFormat="1" x14ac:dyDescent="0.25">
      <c r="B263" s="347"/>
      <c r="C263" s="349"/>
      <c r="D263" s="350"/>
      <c r="E263" s="350"/>
      <c r="F263" s="350"/>
      <c r="H263"/>
      <c r="I263"/>
      <c r="J263"/>
    </row>
    <row r="264" spans="2:10" s="346" customFormat="1" x14ac:dyDescent="0.25">
      <c r="B264" s="347"/>
      <c r="C264" s="349"/>
      <c r="D264" s="350"/>
      <c r="E264" s="350"/>
      <c r="F264" s="350"/>
      <c r="H264"/>
      <c r="I264"/>
      <c r="J264"/>
    </row>
    <row r="265" spans="2:10" s="346" customFormat="1" x14ac:dyDescent="0.25">
      <c r="B265" s="347"/>
      <c r="C265" s="349"/>
      <c r="D265" s="350"/>
      <c r="E265" s="350"/>
      <c r="F265" s="350"/>
      <c r="H265"/>
      <c r="I265"/>
      <c r="J265"/>
    </row>
    <row r="266" spans="2:10" s="346" customFormat="1" x14ac:dyDescent="0.25">
      <c r="B266" s="347"/>
      <c r="C266" s="349"/>
      <c r="D266" s="350"/>
      <c r="E266" s="350"/>
      <c r="F266" s="350"/>
      <c r="H266"/>
      <c r="I266"/>
      <c r="J266"/>
    </row>
    <row r="267" spans="2:10" s="346" customFormat="1" x14ac:dyDescent="0.25">
      <c r="B267" s="347"/>
      <c r="C267" s="349"/>
      <c r="D267" s="350"/>
      <c r="E267" s="350"/>
      <c r="F267" s="350"/>
      <c r="H267"/>
      <c r="I267"/>
      <c r="J267"/>
    </row>
    <row r="268" spans="2:10" s="346" customFormat="1" x14ac:dyDescent="0.25">
      <c r="B268" s="347"/>
      <c r="C268" s="349"/>
      <c r="D268" s="350"/>
      <c r="E268" s="350"/>
      <c r="F268" s="350"/>
      <c r="H268"/>
      <c r="I268"/>
      <c r="J268"/>
    </row>
    <row r="269" spans="2:10" s="346" customFormat="1" x14ac:dyDescent="0.25">
      <c r="B269" s="347"/>
      <c r="C269" s="349"/>
      <c r="D269" s="350"/>
      <c r="E269" s="350"/>
      <c r="F269" s="350"/>
      <c r="H269"/>
      <c r="I269"/>
      <c r="J269"/>
    </row>
    <row r="270" spans="2:10" s="346" customFormat="1" x14ac:dyDescent="0.25">
      <c r="B270" s="347"/>
      <c r="C270" s="349"/>
      <c r="D270" s="350"/>
      <c r="E270" s="350"/>
      <c r="F270" s="350"/>
      <c r="H270"/>
      <c r="I270"/>
      <c r="J270"/>
    </row>
    <row r="271" spans="2:10" s="346" customFormat="1" x14ac:dyDescent="0.25">
      <c r="B271" s="347"/>
      <c r="C271" s="349"/>
      <c r="D271" s="350"/>
      <c r="E271" s="350"/>
      <c r="F271" s="350"/>
      <c r="H271"/>
      <c r="I271"/>
      <c r="J271"/>
    </row>
    <row r="272" spans="2:10" s="346" customFormat="1" x14ac:dyDescent="0.25">
      <c r="B272" s="347"/>
      <c r="C272" s="349"/>
      <c r="D272" s="350"/>
      <c r="E272" s="350"/>
      <c r="F272" s="350"/>
      <c r="H272"/>
      <c r="I272"/>
      <c r="J272"/>
    </row>
    <row r="273" spans="2:10" s="346" customFormat="1" x14ac:dyDescent="0.25">
      <c r="B273" s="347"/>
      <c r="C273" s="349"/>
      <c r="D273" s="350"/>
      <c r="E273" s="350"/>
      <c r="F273" s="350"/>
      <c r="H273"/>
      <c r="I273"/>
      <c r="J273"/>
    </row>
    <row r="274" spans="2:10" s="346" customFormat="1" x14ac:dyDescent="0.25">
      <c r="B274" s="347"/>
      <c r="C274" s="349"/>
      <c r="D274" s="350"/>
      <c r="E274" s="350"/>
      <c r="F274" s="350"/>
      <c r="H274"/>
      <c r="I274"/>
      <c r="J274"/>
    </row>
    <row r="275" spans="2:10" s="346" customFormat="1" x14ac:dyDescent="0.25">
      <c r="B275" s="347"/>
      <c r="C275" s="349"/>
      <c r="D275" s="350"/>
      <c r="E275" s="350"/>
      <c r="F275" s="350"/>
      <c r="H275"/>
      <c r="I275"/>
      <c r="J275"/>
    </row>
    <row r="276" spans="2:10" s="346" customFormat="1" x14ac:dyDescent="0.25">
      <c r="B276" s="347"/>
      <c r="C276" s="349"/>
      <c r="D276" s="350"/>
      <c r="E276" s="350"/>
      <c r="F276" s="350"/>
      <c r="H276"/>
      <c r="I276"/>
      <c r="J276"/>
    </row>
    <row r="277" spans="2:10" s="346" customFormat="1" x14ac:dyDescent="0.25">
      <c r="B277" s="347"/>
      <c r="C277" s="349"/>
      <c r="D277" s="350"/>
      <c r="E277" s="350"/>
      <c r="F277" s="350"/>
      <c r="H277"/>
      <c r="I277"/>
      <c r="J277"/>
    </row>
    <row r="278" spans="2:10" s="346" customFormat="1" x14ac:dyDescent="0.25">
      <c r="B278" s="347"/>
      <c r="C278" s="349"/>
      <c r="D278" s="350"/>
      <c r="E278" s="350"/>
      <c r="F278" s="350"/>
      <c r="H278"/>
      <c r="I278"/>
      <c r="J278"/>
    </row>
    <row r="279" spans="2:10" s="346" customFormat="1" x14ac:dyDescent="0.25">
      <c r="B279" s="347"/>
      <c r="C279" s="349"/>
      <c r="D279" s="350"/>
      <c r="E279" s="350"/>
      <c r="F279" s="350"/>
      <c r="H279"/>
      <c r="I279"/>
      <c r="J279"/>
    </row>
    <row r="280" spans="2:10" s="346" customFormat="1" x14ac:dyDescent="0.25">
      <c r="B280" s="347"/>
      <c r="C280" s="349"/>
      <c r="D280" s="350"/>
      <c r="E280" s="350"/>
      <c r="F280" s="350"/>
      <c r="H280"/>
      <c r="I280"/>
      <c r="J280"/>
    </row>
    <row r="281" spans="2:10" s="346" customFormat="1" x14ac:dyDescent="0.25">
      <c r="B281" s="347"/>
      <c r="C281" s="349"/>
      <c r="D281" s="350"/>
      <c r="E281" s="350"/>
      <c r="F281" s="350"/>
      <c r="H281"/>
      <c r="I281"/>
      <c r="J281"/>
    </row>
    <row r="282" spans="2:10" s="346" customFormat="1" x14ac:dyDescent="0.25">
      <c r="B282" s="347"/>
      <c r="C282" s="349"/>
      <c r="D282" s="350"/>
      <c r="E282" s="350"/>
      <c r="F282" s="350"/>
      <c r="H282"/>
      <c r="I282"/>
      <c r="J282"/>
    </row>
    <row r="283" spans="2:10" s="346" customFormat="1" x14ac:dyDescent="0.25">
      <c r="B283" s="347"/>
      <c r="C283" s="349"/>
      <c r="D283" s="350"/>
      <c r="E283" s="350"/>
      <c r="F283" s="350"/>
      <c r="H283"/>
      <c r="I283"/>
      <c r="J283"/>
    </row>
    <row r="284" spans="2:10" s="346" customFormat="1" x14ac:dyDescent="0.25">
      <c r="B284" s="347"/>
      <c r="C284" s="349"/>
      <c r="D284" s="350"/>
      <c r="E284" s="350"/>
      <c r="F284" s="350"/>
      <c r="H284"/>
      <c r="I284"/>
      <c r="J284"/>
    </row>
    <row r="285" spans="2:10" s="346" customFormat="1" x14ac:dyDescent="0.25">
      <c r="B285" s="347"/>
      <c r="C285" s="349"/>
      <c r="D285" s="350"/>
      <c r="E285" s="350"/>
      <c r="F285" s="350"/>
      <c r="H285"/>
      <c r="I285"/>
      <c r="J285"/>
    </row>
    <row r="286" spans="2:10" s="346" customFormat="1" x14ac:dyDescent="0.25">
      <c r="B286" s="347"/>
      <c r="C286" s="349"/>
      <c r="D286" s="350"/>
      <c r="E286" s="350"/>
      <c r="F286" s="350"/>
      <c r="H286"/>
      <c r="I286"/>
      <c r="J286"/>
    </row>
    <row r="287" spans="2:10" s="346" customFormat="1" x14ac:dyDescent="0.25">
      <c r="B287" s="347"/>
      <c r="C287" s="349"/>
      <c r="D287" s="350"/>
      <c r="E287" s="350"/>
      <c r="F287" s="350"/>
      <c r="H287"/>
      <c r="I287"/>
      <c r="J287"/>
    </row>
    <row r="288" spans="2:10" s="346" customFormat="1" x14ac:dyDescent="0.25">
      <c r="B288" s="347"/>
      <c r="C288" s="349"/>
      <c r="D288" s="350"/>
      <c r="E288" s="350"/>
      <c r="F288" s="350"/>
      <c r="H288"/>
      <c r="I288"/>
      <c r="J288"/>
    </row>
    <row r="289" spans="2:10" s="346" customFormat="1" x14ac:dyDescent="0.25">
      <c r="B289" s="347"/>
      <c r="C289" s="349"/>
      <c r="D289" s="350"/>
      <c r="E289" s="350"/>
      <c r="F289" s="350"/>
      <c r="H289"/>
      <c r="I289"/>
      <c r="J289"/>
    </row>
    <row r="290" spans="2:10" s="346" customFormat="1" x14ac:dyDescent="0.25">
      <c r="B290" s="347"/>
      <c r="C290" s="349"/>
      <c r="D290" s="350"/>
      <c r="E290" s="350"/>
      <c r="F290" s="350"/>
      <c r="H290"/>
      <c r="I290"/>
      <c r="J290"/>
    </row>
    <row r="291" spans="2:10" s="346" customFormat="1" x14ac:dyDescent="0.25">
      <c r="B291" s="347"/>
      <c r="C291" s="349"/>
      <c r="D291" s="350"/>
      <c r="E291" s="350"/>
      <c r="F291" s="350"/>
      <c r="H291"/>
      <c r="I291"/>
      <c r="J291"/>
    </row>
    <row r="292" spans="2:10" s="346" customFormat="1" x14ac:dyDescent="0.25">
      <c r="B292" s="347"/>
      <c r="C292" s="349"/>
      <c r="D292" s="350"/>
      <c r="E292" s="350"/>
      <c r="F292" s="350"/>
      <c r="H292"/>
      <c r="I292"/>
      <c r="J292"/>
    </row>
    <row r="293" spans="2:10" s="346" customFormat="1" x14ac:dyDescent="0.25">
      <c r="B293" s="347"/>
      <c r="C293" s="349"/>
      <c r="D293" s="350"/>
      <c r="E293" s="350"/>
      <c r="F293" s="350"/>
      <c r="H293"/>
      <c r="I293"/>
      <c r="J293"/>
    </row>
    <row r="294" spans="2:10" s="346" customFormat="1" x14ac:dyDescent="0.25">
      <c r="B294" s="347"/>
      <c r="C294" s="349"/>
      <c r="D294" s="350"/>
      <c r="E294" s="350"/>
      <c r="F294" s="350"/>
      <c r="H294"/>
      <c r="I294"/>
      <c r="J294"/>
    </row>
    <row r="295" spans="2:10" s="346" customFormat="1" x14ac:dyDescent="0.25">
      <c r="B295" s="347"/>
      <c r="C295" s="349"/>
      <c r="D295" s="350"/>
      <c r="E295" s="350"/>
      <c r="F295" s="350"/>
      <c r="H295"/>
      <c r="I295"/>
      <c r="J295"/>
    </row>
    <row r="296" spans="2:10" s="346" customFormat="1" x14ac:dyDescent="0.25">
      <c r="B296" s="347"/>
      <c r="C296" s="349"/>
      <c r="D296" s="350"/>
      <c r="E296" s="350"/>
      <c r="F296" s="350"/>
      <c r="H296"/>
      <c r="I296"/>
      <c r="J296"/>
    </row>
    <row r="297" spans="2:10" s="346" customFormat="1" x14ac:dyDescent="0.25">
      <c r="B297" s="347"/>
      <c r="C297" s="349"/>
      <c r="D297" s="350"/>
      <c r="E297" s="350"/>
      <c r="F297" s="350"/>
      <c r="H297"/>
      <c r="I297"/>
      <c r="J297"/>
    </row>
    <row r="298" spans="2:10" s="346" customFormat="1" x14ac:dyDescent="0.25">
      <c r="B298" s="347"/>
      <c r="C298" s="349"/>
      <c r="D298" s="350"/>
      <c r="E298" s="350"/>
      <c r="F298" s="350"/>
      <c r="H298"/>
      <c r="I298"/>
      <c r="J298"/>
    </row>
    <row r="299" spans="2:10" s="346" customFormat="1" x14ac:dyDescent="0.25">
      <c r="B299" s="347"/>
      <c r="C299" s="349"/>
      <c r="D299" s="350"/>
      <c r="E299" s="350"/>
      <c r="F299" s="350"/>
      <c r="H299"/>
      <c r="I299"/>
      <c r="J299"/>
    </row>
    <row r="300" spans="2:10" s="346" customFormat="1" x14ac:dyDescent="0.25">
      <c r="B300" s="347"/>
      <c r="C300" s="349"/>
      <c r="D300" s="350"/>
      <c r="E300" s="350"/>
      <c r="F300" s="350"/>
      <c r="H300"/>
      <c r="I300"/>
      <c r="J300"/>
    </row>
    <row r="301" spans="2:10" s="346" customFormat="1" x14ac:dyDescent="0.25">
      <c r="B301" s="347"/>
      <c r="C301" s="349"/>
      <c r="D301" s="350"/>
      <c r="E301" s="350"/>
      <c r="F301" s="350"/>
      <c r="H301"/>
      <c r="I301"/>
      <c r="J301"/>
    </row>
    <row r="302" spans="2:10" s="346" customFormat="1" x14ac:dyDescent="0.25">
      <c r="B302" s="347"/>
      <c r="C302" s="349"/>
      <c r="D302" s="350"/>
      <c r="E302" s="350"/>
      <c r="F302" s="350"/>
      <c r="H302"/>
      <c r="I302"/>
      <c r="J302"/>
    </row>
    <row r="303" spans="2:10" s="346" customFormat="1" x14ac:dyDescent="0.25">
      <c r="B303" s="347"/>
      <c r="C303" s="349"/>
      <c r="D303" s="350"/>
      <c r="E303" s="350"/>
      <c r="F303" s="350"/>
      <c r="H303"/>
      <c r="I303"/>
      <c r="J303"/>
    </row>
    <row r="304" spans="2:10" s="346" customFormat="1" x14ac:dyDescent="0.25">
      <c r="B304" s="347"/>
      <c r="C304" s="349"/>
      <c r="D304" s="350"/>
      <c r="E304" s="350"/>
      <c r="F304" s="350"/>
      <c r="H304"/>
      <c r="I304"/>
      <c r="J304"/>
    </row>
    <row r="305" spans="2:10" s="346" customFormat="1" x14ac:dyDescent="0.25">
      <c r="B305" s="347"/>
      <c r="C305" s="349"/>
      <c r="D305" s="350"/>
      <c r="E305" s="350"/>
      <c r="F305" s="350"/>
      <c r="H305"/>
      <c r="I305"/>
      <c r="J305"/>
    </row>
    <row r="306" spans="2:10" s="346" customFormat="1" x14ac:dyDescent="0.25">
      <c r="B306" s="347"/>
      <c r="C306" s="349"/>
      <c r="D306" s="350"/>
      <c r="E306" s="350"/>
      <c r="F306" s="350"/>
      <c r="H306"/>
      <c r="I306"/>
      <c r="J306"/>
    </row>
    <row r="307" spans="2:10" s="346" customFormat="1" x14ac:dyDescent="0.25">
      <c r="B307" s="347"/>
      <c r="C307" s="349"/>
      <c r="D307" s="350"/>
      <c r="E307" s="350"/>
      <c r="F307" s="350"/>
      <c r="H307"/>
      <c r="I307"/>
      <c r="J307"/>
    </row>
    <row r="308" spans="2:10" s="346" customFormat="1" x14ac:dyDescent="0.25">
      <c r="B308" s="347"/>
      <c r="C308" s="349"/>
      <c r="D308" s="350"/>
      <c r="E308" s="350"/>
      <c r="F308" s="350"/>
      <c r="H308"/>
      <c r="I308"/>
      <c r="J308"/>
    </row>
    <row r="309" spans="2:10" s="346" customFormat="1" x14ac:dyDescent="0.25">
      <c r="B309" s="347"/>
      <c r="C309" s="349"/>
      <c r="D309" s="350"/>
      <c r="E309" s="350"/>
      <c r="F309" s="350"/>
      <c r="H309"/>
      <c r="I309"/>
      <c r="J309"/>
    </row>
    <row r="310" spans="2:10" s="346" customFormat="1" x14ac:dyDescent="0.25">
      <c r="B310" s="347"/>
      <c r="C310" s="349"/>
      <c r="D310" s="350"/>
      <c r="E310" s="350"/>
      <c r="F310" s="350"/>
      <c r="H310"/>
      <c r="I310"/>
      <c r="J310"/>
    </row>
    <row r="311" spans="2:10" s="346" customFormat="1" ht="27.95" customHeight="1" x14ac:dyDescent="0.25">
      <c r="B311" s="347"/>
      <c r="C311" s="349"/>
      <c r="D311" s="350"/>
      <c r="E311" s="350"/>
      <c r="F311" s="350"/>
      <c r="H311"/>
      <c r="I311"/>
      <c r="J311"/>
    </row>
    <row r="312" spans="2:10" s="346" customFormat="1" ht="27.95" customHeight="1" x14ac:dyDescent="0.25">
      <c r="B312" s="347"/>
      <c r="C312" s="349"/>
      <c r="D312" s="350"/>
      <c r="E312" s="350"/>
      <c r="F312" s="350"/>
      <c r="H312"/>
      <c r="I312"/>
      <c r="J312"/>
    </row>
    <row r="313" spans="2:10" s="346" customFormat="1" ht="27.95" customHeight="1" x14ac:dyDescent="0.25">
      <c r="B313" s="347"/>
      <c r="C313" s="349"/>
      <c r="D313" s="350"/>
      <c r="E313" s="350"/>
      <c r="F313" s="350"/>
      <c r="H313"/>
      <c r="I313"/>
      <c r="J313"/>
    </row>
    <row r="314" spans="2:10" s="346" customFormat="1" ht="27.95" customHeight="1" x14ac:dyDescent="0.25">
      <c r="B314" s="347"/>
      <c r="C314" s="349"/>
      <c r="D314" s="350"/>
      <c r="E314" s="350"/>
      <c r="F314" s="350"/>
      <c r="H314"/>
      <c r="I314"/>
      <c r="J314"/>
    </row>
    <row r="315" spans="2:10" s="346" customFormat="1" ht="27.95" customHeight="1" x14ac:dyDescent="0.25">
      <c r="B315" s="347"/>
      <c r="C315" s="349"/>
      <c r="D315" s="350"/>
      <c r="E315" s="350"/>
      <c r="F315" s="350"/>
      <c r="H315"/>
      <c r="I315"/>
      <c r="J315"/>
    </row>
    <row r="316" spans="2:10" s="346" customFormat="1" ht="27.95" customHeight="1" x14ac:dyDescent="0.25">
      <c r="B316" s="347"/>
      <c r="C316" s="349"/>
      <c r="D316" s="350"/>
      <c r="E316" s="350"/>
      <c r="F316" s="350"/>
      <c r="H316"/>
      <c r="I316"/>
      <c r="J316"/>
    </row>
    <row r="317" spans="2:10" s="346" customFormat="1" ht="27.95" customHeight="1" x14ac:dyDescent="0.25">
      <c r="B317" s="347"/>
      <c r="C317" s="349"/>
      <c r="D317" s="350"/>
      <c r="E317" s="350"/>
      <c r="F317" s="350"/>
      <c r="H317"/>
      <c r="I317"/>
      <c r="J317"/>
    </row>
    <row r="318" spans="2:10" s="346" customFormat="1" ht="27.95" customHeight="1" x14ac:dyDescent="0.25">
      <c r="B318" s="347"/>
      <c r="C318" s="349"/>
      <c r="D318" s="350"/>
      <c r="E318" s="350"/>
      <c r="F318" s="350"/>
      <c r="H318"/>
      <c r="I318"/>
      <c r="J318"/>
    </row>
    <row r="319" spans="2:10" s="346" customFormat="1" ht="27.95" customHeight="1" x14ac:dyDescent="0.25">
      <c r="B319" s="347"/>
      <c r="C319" s="349"/>
      <c r="D319" s="350"/>
      <c r="E319" s="350"/>
      <c r="F319" s="350"/>
      <c r="H319"/>
      <c r="I319"/>
      <c r="J319"/>
    </row>
    <row r="320" spans="2:10" s="346" customFormat="1" ht="27.95" customHeight="1" x14ac:dyDescent="0.25">
      <c r="B320" s="347"/>
      <c r="C320" s="349"/>
      <c r="D320" s="350"/>
      <c r="E320" s="350"/>
      <c r="F320" s="350"/>
      <c r="H320"/>
      <c r="I320"/>
      <c r="J320"/>
    </row>
  </sheetData>
  <pageMargins left="0.7" right="0.7" top="0.75" bottom="0.75" header="0.3" footer="0.3"/>
  <pageSetup orientation="portrait" r:id="rId1"/>
  <drawing r:id="rId2"/>
  <tableParts count="4">
    <tablePart r:id="rId3"/>
    <tablePart r:id="rId4"/>
    <tablePart r:id="rId5"/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94BFC-2D25-454D-80B6-64DB840AE174}">
  <sheetPr codeName="Sheet7"/>
  <dimension ref="B1:AN47"/>
  <sheetViews>
    <sheetView showGridLines="0" topLeftCell="A7" workbookViewId="0">
      <selection activeCell="F10" sqref="F10"/>
    </sheetView>
  </sheetViews>
  <sheetFormatPr defaultRowHeight="14.25" x14ac:dyDescent="0.25"/>
  <cols>
    <col min="1" max="1" width="1.28515625" customWidth="1"/>
    <col min="2" max="11" width="12.7109375" customWidth="1"/>
    <col min="12" max="12" width="12.7109375" style="280" customWidth="1"/>
    <col min="13" max="35" width="12.7109375" customWidth="1"/>
  </cols>
  <sheetData>
    <row r="1" spans="2:12" ht="6.75" customHeight="1" x14ac:dyDescent="0.25"/>
    <row r="2" spans="2:12" ht="25.5" x14ac:dyDescent="0.5">
      <c r="B2" s="274" t="s">
        <v>182</v>
      </c>
    </row>
    <row r="3" spans="2:12" ht="7.5" customHeight="1" thickBot="1" x14ac:dyDescent="0.3"/>
    <row r="4" spans="2:12" s="84" customFormat="1" ht="29.1" customHeight="1" thickTop="1" thickBot="1" x14ac:dyDescent="0.3">
      <c r="B4" s="84" t="s">
        <v>176</v>
      </c>
      <c r="C4" s="275">
        <v>43882</v>
      </c>
      <c r="L4" s="273"/>
    </row>
    <row r="5" spans="2:12" s="84" customFormat="1" ht="29.1" customHeight="1" thickTop="1" thickBot="1" x14ac:dyDescent="0.3">
      <c r="B5" s="84" t="s">
        <v>177</v>
      </c>
      <c r="C5" s="275">
        <v>43952</v>
      </c>
      <c r="L5" s="273"/>
    </row>
    <row r="6" spans="2:12" s="84" customFormat="1" ht="29.1" customHeight="1" thickTop="1" x14ac:dyDescent="0.25">
      <c r="L6" s="273"/>
    </row>
    <row r="7" spans="2:12" s="84" customFormat="1" ht="29.1" customHeight="1" x14ac:dyDescent="0.5">
      <c r="B7" s="276" t="s">
        <v>183</v>
      </c>
      <c r="L7" s="273"/>
    </row>
    <row r="8" spans="2:12" s="84" customFormat="1" ht="7.5" customHeight="1" x14ac:dyDescent="0.25">
      <c r="L8" s="273"/>
    </row>
    <row r="9" spans="2:12" s="84" customFormat="1" ht="29.1" customHeight="1" x14ac:dyDescent="0.25">
      <c r="B9" s="278" t="s">
        <v>201</v>
      </c>
      <c r="C9" s="279" t="s">
        <v>171</v>
      </c>
      <c r="D9" s="279" t="s">
        <v>172</v>
      </c>
      <c r="E9" s="279" t="s">
        <v>178</v>
      </c>
      <c r="F9" s="279" t="s">
        <v>179</v>
      </c>
      <c r="G9" s="278" t="s">
        <v>191</v>
      </c>
      <c r="H9" s="278" t="s">
        <v>192</v>
      </c>
      <c r="I9" s="279" t="s">
        <v>59</v>
      </c>
      <c r="J9" s="278"/>
      <c r="L9" s="273"/>
    </row>
    <row r="10" spans="2:12" s="84" customFormat="1" ht="29.1" customHeight="1" x14ac:dyDescent="0.25">
      <c r="B10" s="84" t="s">
        <v>252</v>
      </c>
      <c r="C10" s="180">
        <f>VLOOKUP(StartDate,Dailies[],MATCH("RRSP Total",Daily_Cols,EXACT_MATCH),EXACT_MATCH)</f>
        <v>372346</v>
      </c>
      <c r="D10" s="180">
        <f>VLOOKUP(EndDate,Dailies[],MATCH("RRSP Total",Daily_Cols,EXACT_MATCH),EXACT_MATCH)</f>
        <v>329962.69</v>
      </c>
      <c r="E10" s="180">
        <f>(D10-C10)-(H10-G10)</f>
        <v>-59114.149999999965</v>
      </c>
      <c r="F10" s="277">
        <f t="shared" ref="F10:F12" si="0">E10/C10</f>
        <v>-0.15876134025879146</v>
      </c>
      <c r="G10" s="87">
        <f>VLOOKUP(StartDate,Dailies[],MATCH("RRSP Principal",Daily_Cols,EXACT_MATCH),EXACT_MATCH)</f>
        <v>326672.64000000001</v>
      </c>
      <c r="H10" s="87">
        <f>VLOOKUP(EndDate,Dailies[],MATCH("RRSP Principal",Daily_Cols,EXACT_MATCH),EXACT_MATCH)</f>
        <v>343403.48</v>
      </c>
      <c r="I10" s="84" t="s">
        <v>253</v>
      </c>
      <c r="L10" s="273"/>
    </row>
    <row r="11" spans="2:12" s="84" customFormat="1" ht="29.1" customHeight="1" x14ac:dyDescent="0.25">
      <c r="B11" s="84" t="s">
        <v>133</v>
      </c>
      <c r="C11" s="180">
        <f>VLOOKUP(StartDate,Dailies[],MATCH("CIBC RESP",Daily_Cols,EXACT_MATCH),EXACT_MATCH)</f>
        <v>44911.72</v>
      </c>
      <c r="D11" s="180">
        <f>VLOOKUP(EndDate,Dailies[],MATCH("CIBC RESP",Daily_Cols,EXACT_MATCH),EXACT_MATCH)</f>
        <v>34935.69</v>
      </c>
      <c r="E11" s="180">
        <f>(D11-C11)-(H11-G11)</f>
        <v>-10396.029999999999</v>
      </c>
      <c r="F11" s="277">
        <f>IFERROR(E11/C11,0)</f>
        <v>-0.23147699531436336</v>
      </c>
      <c r="G11" s="87">
        <f>VLOOKUP(StartDate,Dailies[],MATCH("CIBC RESP Principal",Daily_Cols,EXACT_MATCH),EXACT_MATCH)</f>
        <v>37490.450000000004</v>
      </c>
      <c r="H11" s="87">
        <f>VLOOKUP(EndDate,Dailies[],MATCH("CIBC RESP Principal",Daily_Cols,EXACT_MATCH),EXACT_MATCH)</f>
        <v>37910.450000000004</v>
      </c>
      <c r="I11" s="84" t="s">
        <v>185</v>
      </c>
      <c r="L11" s="273"/>
    </row>
    <row r="12" spans="2:12" s="84" customFormat="1" ht="29.1" customHeight="1" x14ac:dyDescent="0.25">
      <c r="B12" s="84" t="s">
        <v>143</v>
      </c>
      <c r="C12" s="180" cm="1">
        <f t="array" ref="C12">_xll.Close_Historical($B12,StartDate)</f>
        <v>85.8</v>
      </c>
      <c r="D12" s="180" cm="1">
        <f t="array" ref="D12">_xll.Close_Historical($B12,EndDate)</f>
        <v>87.3</v>
      </c>
      <c r="E12" s="180">
        <f t="shared" ref="E12" si="1">D12-C12</f>
        <v>1.5</v>
      </c>
      <c r="F12" s="277">
        <f t="shared" si="0"/>
        <v>1.7482517482517484E-2</v>
      </c>
      <c r="G12" s="271" t="s">
        <v>193</v>
      </c>
      <c r="H12" s="271" t="s">
        <v>193</v>
      </c>
      <c r="I12" s="84" t="s">
        <v>194</v>
      </c>
      <c r="L12" s="273"/>
    </row>
    <row r="13" spans="2:12" s="84" customFormat="1" ht="29.1" customHeight="1" x14ac:dyDescent="0.25">
      <c r="B13" s="84" t="s">
        <v>181</v>
      </c>
      <c r="C13" s="180" cm="1">
        <f t="array" ref="C13">_xll.Close_Historical($B13,StartDate)</f>
        <v>30.65</v>
      </c>
      <c r="D13" s="180" cm="1">
        <f t="array" ref="D13">_xll.Close_Historical($B13,EndDate)</f>
        <v>33.29</v>
      </c>
      <c r="E13" s="180">
        <f t="shared" ref="E13:E23" si="2">D13-C13</f>
        <v>2.6400000000000006</v>
      </c>
      <c r="F13" s="277">
        <f t="shared" ref="F13:F23" si="3">E13/C13</f>
        <v>8.6133768352365442E-2</v>
      </c>
      <c r="G13" s="271" t="s">
        <v>193</v>
      </c>
      <c r="H13" s="271" t="s">
        <v>193</v>
      </c>
      <c r="I13" s="84" t="s">
        <v>249</v>
      </c>
      <c r="L13" s="273"/>
    </row>
    <row r="14" spans="2:12" s="84" customFormat="1" ht="29.1" customHeight="1" x14ac:dyDescent="0.25">
      <c r="B14" s="84" t="s">
        <v>144</v>
      </c>
      <c r="C14" s="180" cm="1">
        <f t="array" ref="C14">_xll.Close_Historical($B14,StartDate)</f>
        <v>154.69999999999999</v>
      </c>
      <c r="D14" s="180" cm="1">
        <f t="array" ref="D14">_xll.Close_Historical($B14,EndDate)</f>
        <v>159.78</v>
      </c>
      <c r="E14" s="180">
        <f t="shared" si="2"/>
        <v>5.0800000000000125</v>
      </c>
      <c r="F14" s="277">
        <f t="shared" si="3"/>
        <v>3.2837750484809393E-2</v>
      </c>
      <c r="G14" s="271" t="s">
        <v>193</v>
      </c>
      <c r="H14" s="271" t="s">
        <v>193</v>
      </c>
      <c r="I14" s="84" t="s">
        <v>248</v>
      </c>
      <c r="L14" s="273"/>
    </row>
    <row r="15" spans="2:12" s="84" customFormat="1" ht="29.1" customHeight="1" x14ac:dyDescent="0.25">
      <c r="B15" s="302" t="s">
        <v>246</v>
      </c>
      <c r="C15" s="180" cm="1">
        <f t="array" ref="C15">_xll.Close_Historical($B15,StartDate)</f>
        <v>83.02</v>
      </c>
      <c r="D15" s="180" cm="1">
        <f t="array" ref="D15">_xll.Close_Historical($B15,EndDate)</f>
        <v>60.74</v>
      </c>
      <c r="E15" s="180">
        <f t="shared" si="2"/>
        <v>-22.279999999999994</v>
      </c>
      <c r="F15" s="277">
        <f t="shared" si="3"/>
        <v>-0.26836906769453139</v>
      </c>
      <c r="G15" s="271" t="s">
        <v>193</v>
      </c>
      <c r="H15" s="271" t="s">
        <v>193</v>
      </c>
      <c r="I15" s="302" t="s">
        <v>247</v>
      </c>
      <c r="L15" s="273"/>
    </row>
    <row r="16" spans="2:12" s="84" customFormat="1" ht="29.1" customHeight="1" x14ac:dyDescent="0.25">
      <c r="B16" s="302" t="s">
        <v>243</v>
      </c>
      <c r="C16" s="180" cm="1">
        <f t="array" ref="C16">_xll.Close_Historical($B16,StartDate)</f>
        <v>230.27</v>
      </c>
      <c r="D16" s="180" cm="1">
        <f t="array" ref="D16">_xll.Close_Historical($B16,EndDate)</f>
        <v>212.74</v>
      </c>
      <c r="E16" s="303">
        <f t="shared" si="2"/>
        <v>-17.53</v>
      </c>
      <c r="F16" s="304">
        <f t="shared" si="3"/>
        <v>-7.6128023624440877E-2</v>
      </c>
      <c r="G16" s="305" t="s">
        <v>193</v>
      </c>
      <c r="H16" s="305" t="s">
        <v>193</v>
      </c>
      <c r="I16" s="84" t="s">
        <v>244</v>
      </c>
      <c r="L16" s="273"/>
    </row>
    <row r="17" spans="2:40" s="84" customFormat="1" ht="29.1" customHeight="1" x14ac:dyDescent="0.25">
      <c r="B17" s="302" t="s">
        <v>214</v>
      </c>
      <c r="C17" s="180" cm="1">
        <f t="array" ref="C17">_xll.Close_Historical($B17,StartDate)</f>
        <v>17.28</v>
      </c>
      <c r="D17" s="180" cm="1">
        <f t="array" ref="D17">_xll.Close_Historical($B17,EndDate)</f>
        <v>13.92</v>
      </c>
      <c r="E17" s="303">
        <f t="shared" si="2"/>
        <v>-3.3600000000000012</v>
      </c>
      <c r="F17" s="304">
        <f t="shared" si="3"/>
        <v>-0.1944444444444445</v>
      </c>
      <c r="G17" s="305" t="s">
        <v>193</v>
      </c>
      <c r="H17" s="305" t="s">
        <v>193</v>
      </c>
      <c r="I17" s="302" t="s">
        <v>215</v>
      </c>
      <c r="L17" s="273"/>
    </row>
    <row r="18" spans="2:40" s="84" customFormat="1" ht="29.1" customHeight="1" x14ac:dyDescent="0.25">
      <c r="B18" s="84" t="s">
        <v>195</v>
      </c>
      <c r="C18" s="180" cm="1">
        <f t="array" ref="C18">_xll.Close_Historical($B18,StartDate)</f>
        <v>26.83</v>
      </c>
      <c r="D18" s="180" cm="1">
        <f t="array" ref="D18">_xll.Close_Historical($B18,EndDate)</f>
        <v>26.82</v>
      </c>
      <c r="E18" s="303">
        <f t="shared" si="2"/>
        <v>-9.9999999999980105E-3</v>
      </c>
      <c r="F18" s="304">
        <f t="shared" si="3"/>
        <v>-3.7271710771517001E-4</v>
      </c>
      <c r="G18" s="305" t="s">
        <v>193</v>
      </c>
      <c r="H18" s="305" t="s">
        <v>193</v>
      </c>
      <c r="I18" s="84" t="s">
        <v>196</v>
      </c>
      <c r="L18" s="273"/>
    </row>
    <row r="19" spans="2:40" s="84" customFormat="1" ht="29.1" customHeight="1" x14ac:dyDescent="0.25">
      <c r="B19" s="84" t="s">
        <v>241</v>
      </c>
      <c r="C19" s="180" cm="1">
        <f t="array" ref="C19">_xll.Close_Historical($B19,StartDate)</f>
        <v>90.62</v>
      </c>
      <c r="D19" s="180" cm="1">
        <f t="array" ref="D19">_xll.Close_Historical($B19,EndDate)</f>
        <v>102.39</v>
      </c>
      <c r="E19" s="180">
        <f t="shared" si="2"/>
        <v>11.769999999999996</v>
      </c>
      <c r="F19" s="277">
        <f t="shared" si="3"/>
        <v>0.1298830280291326</v>
      </c>
      <c r="G19" s="271" t="s">
        <v>193</v>
      </c>
      <c r="H19" s="271" t="s">
        <v>193</v>
      </c>
      <c r="I19" s="84" t="s">
        <v>242</v>
      </c>
      <c r="L19" s="273"/>
    </row>
    <row r="20" spans="2:40" s="302" customFormat="1" ht="29.1" customHeight="1" x14ac:dyDescent="0.25">
      <c r="B20" s="84" t="s">
        <v>175</v>
      </c>
      <c r="C20" s="180" cm="1">
        <f t="array" ref="C20">_xll.Close_Historical($B20,StartDate)</f>
        <v>99.57</v>
      </c>
      <c r="D20" s="180" cm="1">
        <f t="array" ref="D20">_xll.Close_Historical($B20,EndDate)</f>
        <v>73.540000000000006</v>
      </c>
      <c r="E20" s="180">
        <f t="shared" si="2"/>
        <v>-26.029999999999987</v>
      </c>
      <c r="F20" s="277">
        <f t="shared" si="3"/>
        <v>-0.26142412373204771</v>
      </c>
      <c r="G20" s="271" t="s">
        <v>193</v>
      </c>
      <c r="H20" s="271" t="s">
        <v>193</v>
      </c>
      <c r="I20" s="302" t="s">
        <v>188</v>
      </c>
      <c r="L20" s="301"/>
    </row>
    <row r="21" spans="2:40" s="302" customFormat="1" ht="29.1" customHeight="1" x14ac:dyDescent="0.25">
      <c r="B21" s="84" t="s">
        <v>142</v>
      </c>
      <c r="C21" s="180" cm="1">
        <f t="array" ref="C21">_xll.Close_Historical($B21,StartDate)</f>
        <v>306.49</v>
      </c>
      <c r="D21" s="180" cm="1">
        <f t="array" ref="D21">_xll.Close_Historical($B21,EndDate)</f>
        <v>259.82</v>
      </c>
      <c r="E21" s="180">
        <f t="shared" si="2"/>
        <v>-46.670000000000016</v>
      </c>
      <c r="F21" s="277">
        <f t="shared" si="3"/>
        <v>-0.15227250481255511</v>
      </c>
      <c r="G21" s="271" t="s">
        <v>193</v>
      </c>
      <c r="H21" s="271" t="s">
        <v>193</v>
      </c>
      <c r="I21" s="84" t="s">
        <v>186</v>
      </c>
      <c r="L21" s="310"/>
    </row>
    <row r="22" spans="2:40" s="302" customFormat="1" ht="29.1" customHeight="1" x14ac:dyDescent="0.25">
      <c r="B22" s="84" t="s">
        <v>180</v>
      </c>
      <c r="C22" s="180" cm="1">
        <f t="array" ref="C22">_xll.Close_Historical($B22,StartDate)</f>
        <v>169.89</v>
      </c>
      <c r="D22" s="180" cm="1">
        <f t="array" ref="D22">_xll.Close_Historical($B22,EndDate)</f>
        <v>141.81</v>
      </c>
      <c r="E22" s="180">
        <f t="shared" si="2"/>
        <v>-28.079999999999984</v>
      </c>
      <c r="F22" s="277">
        <f t="shared" si="3"/>
        <v>-0.16528341868267696</v>
      </c>
      <c r="G22" s="271" t="s">
        <v>193</v>
      </c>
      <c r="H22" s="271" t="s">
        <v>193</v>
      </c>
      <c r="I22" s="84" t="s">
        <v>189</v>
      </c>
      <c r="L22" s="311"/>
    </row>
    <row r="23" spans="2:40" s="302" customFormat="1" ht="29.1" customHeight="1" x14ac:dyDescent="0.25">
      <c r="B23" s="302" t="s">
        <v>239</v>
      </c>
      <c r="C23" s="180" cm="1">
        <f t="array" ref="C23">_xll.Close_Historical($B23,StartDate)</f>
        <v>99.44</v>
      </c>
      <c r="D23" s="180" cm="1">
        <f t="array" ref="D23">_xll.Close_Historical($B23,EndDate)</f>
        <v>88.9</v>
      </c>
      <c r="E23" s="303">
        <f t="shared" si="2"/>
        <v>-10.539999999999992</v>
      </c>
      <c r="F23" s="304">
        <f t="shared" si="3"/>
        <v>-0.10599356395816566</v>
      </c>
      <c r="G23" s="305" t="s">
        <v>193</v>
      </c>
      <c r="H23" s="305" t="s">
        <v>193</v>
      </c>
      <c r="I23" s="302" t="s">
        <v>240</v>
      </c>
      <c r="L23" s="312"/>
    </row>
    <row r="24" spans="2:40" s="84" customFormat="1" ht="7.5" customHeight="1" x14ac:dyDescent="0.25">
      <c r="L24" s="273"/>
    </row>
    <row r="25" spans="2:40" s="282" customFormat="1" ht="29.1" customHeight="1" x14ac:dyDescent="0.25">
      <c r="B25" s="289" t="s">
        <v>200</v>
      </c>
      <c r="C25" s="281"/>
      <c r="D25" s="281"/>
      <c r="E25" s="281"/>
      <c r="F25" s="281"/>
      <c r="G25" s="281"/>
      <c r="H25" s="281"/>
      <c r="I25" s="281"/>
      <c r="J25" s="281"/>
      <c r="K25" s="281"/>
      <c r="L25" s="281"/>
      <c r="M25" s="284"/>
    </row>
    <row r="26" spans="2:40" s="292" customFormat="1" ht="29.1" customHeight="1" x14ac:dyDescent="0.25">
      <c r="B26" s="294" t="s">
        <v>213</v>
      </c>
      <c r="C26" s="291">
        <f ca="1">IF(AND(WEEKDAY(TODAY())&gt;1,WEEKDAY(TODAY())&lt;7,HOUR(NOW())&gt;17),TODAY(),WORKDAY(TODAY(),-1,USHolidays))</f>
        <v>43980</v>
      </c>
      <c r="D26" s="281"/>
      <c r="E26" s="281"/>
      <c r="F26" s="281"/>
      <c r="G26" s="281"/>
      <c r="H26" s="281"/>
      <c r="I26" s="281"/>
      <c r="J26" s="281"/>
      <c r="K26" s="281"/>
      <c r="L26" s="291"/>
      <c r="M26" s="309"/>
    </row>
    <row r="27" spans="2:40" s="282" customFormat="1" ht="29.1" customHeight="1" x14ac:dyDescent="0.25">
      <c r="B27" s="296" t="s">
        <v>201</v>
      </c>
      <c r="C27" s="297" t="s">
        <v>59</v>
      </c>
      <c r="D27" s="290" t="s">
        <v>281</v>
      </c>
      <c r="E27" s="290" t="s">
        <v>282</v>
      </c>
      <c r="F27" s="290" t="s">
        <v>197</v>
      </c>
      <c r="G27" s="290" t="s">
        <v>198</v>
      </c>
      <c r="H27" s="290" t="s">
        <v>199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 s="291"/>
      <c r="AN27" s="291"/>
    </row>
    <row r="28" spans="2:40" s="293" customFormat="1" ht="29.1" customHeight="1" x14ac:dyDescent="0.25">
      <c r="B28" s="296"/>
      <c r="C28" s="297"/>
      <c r="D28" s="300">
        <f ca="1">WORKDAY(TODAY(),-7*(5/7),USHolidays)</f>
        <v>43973</v>
      </c>
      <c r="E28" s="300">
        <f ca="1">WORKDAY(TODAY(),-14*(5/7),USHolidays)</f>
        <v>43966</v>
      </c>
      <c r="F28" s="300">
        <f ca="1">WORKDAY(TODAY(),-31*(5/7),USHolidays)</f>
        <v>43949</v>
      </c>
      <c r="G28" s="300">
        <f ca="1">WORKDAY(TODAY(),-91*(5/7),USHolidays)</f>
        <v>43889</v>
      </c>
      <c r="H28" s="300">
        <f ca="1">WORKDAY(TODAY(),-181*(5/7),USHolidays)</f>
        <v>43796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 spans="2:40" s="282" customFormat="1" ht="29.1" customHeight="1" x14ac:dyDescent="0.25">
      <c r="B29" s="269" t="str">
        <f t="shared" ref="B29:B39" si="4">B10</f>
        <v>RRSP</v>
      </c>
      <c r="C29" s="298" t="str">
        <f t="shared" ref="C29:C30" si="5">I10</f>
        <v>All RRSPs</v>
      </c>
      <c r="D29" s="299">
        <f ca="1">((VLOOKUP(iLastTradeDate,Dailies[],MATCH("RRSP Total",Daily_Cols,EXACT_MATCH),EXACT_MATCH)-VLOOKUP(TODAY()-7,Dailies[],MATCH("RRSP Total",Daily_Cols,EXACT_MATCH),EXACT_MATCH))-(VLOOKUP(iLastTradeDate,Dailies[],MATCH("RRSP Principal",Daily_Cols,EXACT_MATCH),EXACT_MATCH)-VLOOKUP(TODAY()-7,Dailies[],MATCH("RRSP Principal",Daily_Cols,EXACT_MATCH),EXACT_MATCH)))/VLOOKUP(TODAY()-7,Dailies[],MATCH("RRSP Total",Daily_Cols,EXACT_MATCH),EXACT_MATCH)</f>
        <v>-0.10182449208395199</v>
      </c>
      <c r="E29" s="299">
        <f ca="1">((VLOOKUP(iLastTradeDate,Dailies[],MATCH("RRSP Total",Daily_Cols,EXACT_MATCH),EXACT_MATCH)-VLOOKUP(TODAY()-14,Dailies[],MATCH("RRSP Total",Daily_Cols,EXACT_MATCH),EXACT_MATCH))-(VLOOKUP(iLastTradeDate,Dailies[],MATCH("RRSP Principal",Daily_Cols,EXACT_MATCH),EXACT_MATCH)-VLOOKUP(TODAY()-14,Dailies[],MATCH("RRSP Principal",Daily_Cols,EXACT_MATCH),EXACT_MATCH)))/VLOOKUP(TODAY()-14,Dailies[],MATCH("RRSP Total",Daily_Cols,EXACT_MATCH),EXACT_MATCH)</f>
        <v>-3.3234194566752515E-2</v>
      </c>
      <c r="F29" s="299">
        <f ca="1">((VLOOKUP(iLastTradeDate,Dailies[],MATCH("RRSP Total",Daily_Cols,EXACT_MATCH),EXACT_MATCH)-VLOOKUP(TODAY()-30,Dailies[],MATCH("RRSP Total",Daily_Cols,EXACT_MATCH),EXACT_MATCH))-(VLOOKUP(iLastTradeDate,Dailies[],MATCH("RRSP Principal",Daily_Cols,EXACT_MATCH),EXACT_MATCH)-VLOOKUP(TODAY()-30,Dailies[],MATCH("RRSP Principal",Daily_Cols,EXACT_MATCH),EXACT_MATCH)))/VLOOKUP(TODAY()-30,Dailies[],MATCH("RRSP Total",Daily_Cols,EXACT_MATCH),EXACT_MATCH)</f>
        <v>-6.4186834475856935E-2</v>
      </c>
      <c r="G29" s="299">
        <f ca="1">((VLOOKUP(iLastTradeDate,Dailies[],MATCH("RRSP Total",Daily_Cols,EXACT_MATCH),EXACT_MATCH)-VLOOKUP(TODAY()-90,Dailies[],MATCH("RRSP Total",Daily_Cols,EXACT_MATCH),EXACT_MATCH))-(VLOOKUP(iLastTradeDate,Dailies[],MATCH("RRSP Principal",Daily_Cols,EXACT_MATCH),EXACT_MATCH)-VLOOKUP(TODAY()-90,Dailies[],MATCH("RRSP Principal",Daily_Cols,EXACT_MATCH),EXACT_MATCH)))/VLOOKUP(TODAY()-90,Dailies[],MATCH("RRSP Total",Daily_Cols,EXACT_MATCH),EXACT_MATCH)</f>
        <v>-0.19966373159032269</v>
      </c>
      <c r="H29" s="299">
        <f ca="1">((VLOOKUP(iLastTradeDate,Dailies[],MATCH("RRSP Total",Daily_Cols,EXACT_MATCH),EXACT_MATCH)-VLOOKUP(TODAY()-180,Dailies[],MATCH("RRSP Total",Daily_Cols,EXACT_MATCH),EXACT_MATCH))-(VLOOKUP(iLastTradeDate,Dailies[],MATCH("RRSP Principal",Daily_Cols,EXACT_MATCH),EXACT_MATCH)-VLOOKUP(TODAY()-180,Dailies[],MATCH("RRSP Principal",Daily_Cols,EXACT_MATCH),EXACT_MATCH)))/VLOOKUP(TODAY()-180,Dailies[],MATCH("RRSP Total",Daily_Cols,EXACT_MATCH),EXACT_MATCH)</f>
        <v>-0.28130146014614893</v>
      </c>
      <c r="I29"/>
      <c r="J29" t="s">
        <v>288</v>
      </c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 spans="2:40" s="282" customFormat="1" ht="29.1" customHeight="1" x14ac:dyDescent="0.25">
      <c r="B30" s="84" t="str">
        <f t="shared" si="4"/>
        <v>RESP CAD</v>
      </c>
      <c r="C30" s="285" t="str">
        <f t="shared" si="5"/>
        <v>My CAD RESP</v>
      </c>
      <c r="D30" s="290">
        <f ca="1">((VLOOKUP(iLastTradeDate,Dailies[],MATCH("CIBC RESP",Daily_Cols,EXACT_MATCH),EXACT_MATCH)-VLOOKUP(TODAY()-7,Dailies[],MATCH("CIBC RESP",Daily_Cols,EXACT_MATCH),EXACT_MATCH))-(VLOOKUP(iLastTradeDate,Dailies[],MATCH("CIBC RESP Principal",Daily_Cols,EXACT_MATCH),EXACT_MATCH)-VLOOKUP(TODAY()-7,Dailies[],MATCH("CIBC RESP Principal",Daily_Cols,EXACT_MATCH),EXACT_MATCH)))/VLOOKUP(TODAY()-7,Dailies[],MATCH("CIBC RESP",Daily_Cols,EXACT_MATCH),EXACT_MATCH)</f>
        <v>3.3033614836893592E-2</v>
      </c>
      <c r="E30" s="290">
        <f ca="1">((VLOOKUP(iLastTradeDate,Dailies[],MATCH("CIBC RESP",Daily_Cols,EXACT_MATCH),EXACT_MATCH)-VLOOKUP(TODAY()-14,Dailies[],MATCH("CIBC RESP",Daily_Cols,EXACT_MATCH),EXACT_MATCH))-(VLOOKUP(iLastTradeDate,Dailies[],MATCH("CIBC RESP Principal",Daily_Cols,EXACT_MATCH),EXACT_MATCH)-VLOOKUP(TODAY()-14,Dailies[],MATCH("CIBC RESP Principal",Daily_Cols,EXACT_MATCH),EXACT_MATCH)))/VLOOKUP(TODAY()-14,Dailies[],MATCH("CIBC RESP",Daily_Cols,EXACT_MATCH),EXACT_MATCH)</f>
        <v>2.723795330352714E-2</v>
      </c>
      <c r="F30" s="290">
        <f ca="1">((VLOOKUP(iLastTradeDate,Dailies[],MATCH("CIBC RESP",Daily_Cols,EXACT_MATCH),EXACT_MATCH)-VLOOKUP(TODAY()-30,Dailies[],MATCH("CIBC RESP",Daily_Cols,EXACT_MATCH),EXACT_MATCH))-(VLOOKUP(iLastTradeDate,Dailies[],MATCH("CIBC RESP Principal",Daily_Cols,EXACT_MATCH),EXACT_MATCH)-VLOOKUP(TODAY()-30,Dailies[],MATCH("CIBC RESP Principal",Daily_Cols,EXACT_MATCH),EXACT_MATCH)))/VLOOKUP(TODAY()-30,Dailies[],MATCH("CIBC RESP",Daily_Cols,EXACT_MATCH),EXACT_MATCH)</f>
        <v>3.9694256043803569E-2</v>
      </c>
      <c r="G30" s="290">
        <f ca="1">((VLOOKUP(iLastTradeDate,Dailies[],MATCH("CIBC RESP",Daily_Cols,EXACT_MATCH),EXACT_MATCH)-VLOOKUP(TODAY()-90,Dailies[],MATCH("CIBC RESP",Daily_Cols,EXACT_MATCH),EXACT_MATCH))-(VLOOKUP(iLastTradeDate,Dailies[],MATCH("CIBC RESP Principal",Daily_Cols,EXACT_MATCH),EXACT_MATCH)-VLOOKUP(TODAY()-90,Dailies[],MATCH("CIBC RESP Principal",Daily_Cols,EXACT_MATCH),EXACT_MATCH)))/VLOOKUP(TODAY()-90,Dailies[],MATCH("CIBC RESP",Daily_Cols,EXACT_MATCH),EXACT_MATCH)</f>
        <v>-9.2847184151261766E-2</v>
      </c>
      <c r="H30" s="290">
        <f ca="1">((VLOOKUP(iLastTradeDate,Dailies[],MATCH("CIBC RESP",Daily_Cols,EXACT_MATCH),EXACT_MATCH)-VLOOKUP(TODAY()-180,Dailies[],MATCH("CIBC RESP",Daily_Cols,EXACT_MATCH),EXACT_MATCH))-(VLOOKUP(iLastTradeDate,Dailies[],MATCH("CIBC RESP Principal",Daily_Cols,EXACT_MATCH),EXACT_MATCH)-VLOOKUP(TODAY()-180,Dailies[],MATCH("CIBC RESP Principal",Daily_Cols,EXACT_MATCH),EXACT_MATCH)))/VLOOKUP(TODAY()-180,Dailies[],MATCH("CIBC RESP",Daily_Cols,EXACT_MATCH),EXACT_MATCH)</f>
        <v>-0.13887325553158958</v>
      </c>
      <c r="I30" s="281"/>
      <c r="J30" s="281"/>
      <c r="K30" s="281"/>
      <c r="L30" s="290"/>
      <c r="M30" s="284"/>
    </row>
    <row r="31" spans="2:40" s="282" customFormat="1" ht="29.1" customHeight="1" x14ac:dyDescent="0.25">
      <c r="B31" s="84" t="str">
        <f t="shared" si="4"/>
        <v>BND</v>
      </c>
      <c r="C31" s="285" t="str">
        <f t="shared" ref="C31:C42" si="6">I12</f>
        <v>Bonds general</v>
      </c>
      <c r="D31" s="281">
        <f ca="1">(VLOOKUP(iLastTradeDate,Quotes[],MATCH($B31,Quotes[#Headers],EXACT_MATCH))-VLOOKUP(D$28,Quotes[],MATCH($B31,Quotes[#Headers],EXACT_MATCH)))/VLOOKUP(D$28,Quotes[],MATCH($B31,Quotes[#Headers],EXACT_MATCH))</f>
        <v>0</v>
      </c>
      <c r="E31" s="281">
        <f ca="1">(VLOOKUP(iLastTradeDate,Quotes[],MATCH($B31,Quotes[#Headers],EXACT_MATCH))-VLOOKUP(E$28,Quotes[],MATCH($B31,Quotes[#Headers],EXACT_MATCH)))/VLOOKUP(E$28,Quotes[],MATCH($B31,Quotes[#Headers],EXACT_MATCH))</f>
        <v>2.0606754436177086E-3</v>
      </c>
      <c r="F31" s="281">
        <f ca="1">(VLOOKUP(iLastTradeDate,Quotes[],MATCH($B31,Quotes[#Headers],EXACT_MATCH))-VLOOKUP(F$28,Quotes[],MATCH($B31,Quotes[#Headers],EXACT_MATCH)))/VLOOKUP(F$28,Quotes[],MATCH($B31,Quotes[#Headers],EXACT_MATCH))</f>
        <v>1.1425959780627419E-4</v>
      </c>
      <c r="G31" s="281">
        <f ca="1">(VLOOKUP(iLastTradeDate,Quotes[],MATCH($B31,Quotes[#Headers],EXACT_MATCH))-VLOOKUP(G$28,Quotes[],MATCH($B31,Quotes[#Headers],EXACT_MATCH)))/VLOOKUP(G$28,Quotes[],MATCH($B31,Quotes[#Headers],EXACT_MATCH))</f>
        <v>8.1778392075559543E-3</v>
      </c>
      <c r="H31" s="281">
        <f ca="1">(VLOOKUP(iLastTradeDate,Quotes[],MATCH($B31,Quotes[#Headers],EXACT_MATCH))-VLOOKUP(H$28,Quotes[],MATCH($B31,Quotes[#Headers],EXACT_MATCH)))/VLOOKUP(H$28,Quotes[],MATCH($B31,Quotes[#Headers],EXACT_MATCH))</f>
        <v>3.8438723454739525E-2</v>
      </c>
      <c r="I31" s="281"/>
      <c r="J31" s="281"/>
      <c r="K31" s="281"/>
      <c r="L31" s="291"/>
      <c r="M31" s="284"/>
    </row>
    <row r="32" spans="2:40" s="282" customFormat="1" ht="29.1" customHeight="1" x14ac:dyDescent="0.25">
      <c r="B32" s="84" t="str">
        <f t="shared" si="4"/>
        <v>GDX</v>
      </c>
      <c r="C32" s="285" t="str">
        <f t="shared" si="6"/>
        <v>Gold producers</v>
      </c>
      <c r="D32" s="281">
        <f ca="1">(VLOOKUP(iLastTradeDate,Quotes[],MATCH($B32,Quotes[#Headers],EXACT_MATCH))-VLOOKUP(D$28,Quotes[],MATCH($B32,Quotes[#Headers],EXACT_MATCH)))/VLOOKUP(D$28,Quotes[],MATCH($B32,Quotes[#Headers],EXACT_MATCH))</f>
        <v>0</v>
      </c>
      <c r="E32" s="281">
        <f ca="1">(VLOOKUP(iLastTradeDate,Quotes[],MATCH($B32,Quotes[#Headers],EXACT_MATCH))-VLOOKUP(E$28,Quotes[],MATCH($B32,Quotes[#Headers],EXACT_MATCH)))/VLOOKUP(E$28,Quotes[],MATCH($B32,Quotes[#Headers],EXACT_MATCH))</f>
        <v>1.0937927262783468E-3</v>
      </c>
      <c r="F32" s="281">
        <f ca="1">(VLOOKUP(iLastTradeDate,Quotes[],MATCH($B32,Quotes[#Headers],EXACT_MATCH))-VLOOKUP(F$28,Quotes[],MATCH($B32,Quotes[#Headers],EXACT_MATCH)))/VLOOKUP(F$28,Quotes[],MATCH($B32,Quotes[#Headers],EXACT_MATCH))</f>
        <v>8.2815734989647949E-2</v>
      </c>
      <c r="G32" s="281">
        <f ca="1">(VLOOKUP(iLastTradeDate,Quotes[],MATCH($B32,Quotes[#Headers],EXACT_MATCH))-VLOOKUP(G$28,Quotes[],MATCH($B32,Quotes[#Headers],EXACT_MATCH)))/VLOOKUP(G$28,Quotes[],MATCH($B32,Quotes[#Headers],EXACT_MATCH))</f>
        <v>0.39626239511823041</v>
      </c>
      <c r="H32" s="281">
        <f ca="1">(VLOOKUP(iLastTradeDate,Quotes[],MATCH($B32,Quotes[#Headers],EXACT_MATCH))-VLOOKUP(H$28,Quotes[],MATCH($B32,Quotes[#Headers],EXACT_MATCH)))/VLOOKUP(H$28,Quotes[],MATCH($B32,Quotes[#Headers],EXACT_MATCH))</f>
        <v>0.37321830457614402</v>
      </c>
      <c r="I32" s="281"/>
      <c r="J32" s="281"/>
      <c r="K32" s="286"/>
      <c r="L32" s="281"/>
      <c r="M32" s="284"/>
    </row>
    <row r="33" spans="2:13" s="282" customFormat="1" ht="29.1" customHeight="1" x14ac:dyDescent="0.25">
      <c r="B33" s="84" t="str">
        <f t="shared" si="4"/>
        <v>GLD</v>
      </c>
      <c r="C33" s="285" t="str">
        <f t="shared" si="6"/>
        <v>Gold reserves</v>
      </c>
      <c r="D33" s="281">
        <f ca="1">(VLOOKUP(iLastTradeDate,Quotes[],MATCH($B33,Quotes[#Headers],EXACT_MATCH))-VLOOKUP(D$28,Quotes[],MATCH($B33,Quotes[#Headers],EXACT_MATCH)))/VLOOKUP(D$28,Quotes[],MATCH($B33,Quotes[#Headers],EXACT_MATCH))</f>
        <v>0</v>
      </c>
      <c r="E33" s="281">
        <f ca="1">(VLOOKUP(iLastTradeDate,Quotes[],MATCH($B33,Quotes[#Headers],EXACT_MATCH))-VLOOKUP(E$28,Quotes[],MATCH($B33,Quotes[#Headers],EXACT_MATCH)))/VLOOKUP(E$28,Quotes[],MATCH($B33,Quotes[#Headers],EXACT_MATCH))</f>
        <v>4.3921185872018475E-3</v>
      </c>
      <c r="F33" s="281">
        <f ca="1">(VLOOKUP(iLastTradeDate,Quotes[],MATCH($B33,Quotes[#Headers],EXACT_MATCH))-VLOOKUP(F$28,Quotes[],MATCH($B33,Quotes[#Headers],EXACT_MATCH)))/VLOOKUP(F$28,Quotes[],MATCH($B33,Quotes[#Headers],EXACT_MATCH))</f>
        <v>2.3688137279283775E-2</v>
      </c>
      <c r="G33" s="281">
        <f ca="1">(VLOOKUP(iLastTradeDate,Quotes[],MATCH($B33,Quotes[#Headers],EXACT_MATCH))-VLOOKUP(G$28,Quotes[],MATCH($B33,Quotes[#Headers],EXACT_MATCH)))/VLOOKUP(G$28,Quotes[],MATCH($B33,Quotes[#Headers],EXACT_MATCH))</f>
        <v>0.10965089634721668</v>
      </c>
      <c r="H33" s="281">
        <f ca="1">(VLOOKUP(iLastTradeDate,Quotes[],MATCH($B33,Quotes[#Headers],EXACT_MATCH))-VLOOKUP(H$28,Quotes[],MATCH($B33,Quotes[#Headers],EXACT_MATCH)))/VLOOKUP(H$28,Quotes[],MATCH($B33,Quotes[#Headers],EXACT_MATCH))</f>
        <v>0.20173709948178978</v>
      </c>
      <c r="I33" s="281"/>
      <c r="J33" s="281"/>
      <c r="K33" s="286"/>
      <c r="L33" s="281"/>
      <c r="M33" s="284"/>
    </row>
    <row r="34" spans="2:13" s="282" customFormat="1" ht="29.1" customHeight="1" x14ac:dyDescent="0.25">
      <c r="B34" s="84" t="str">
        <f t="shared" si="4"/>
        <v>IJR</v>
      </c>
      <c r="C34" s="285" t="str">
        <f t="shared" si="6"/>
        <v>S&amp;P Small-cap 600</v>
      </c>
      <c r="D34" s="281">
        <f ca="1">(VLOOKUP(iLastTradeDate,Quotes[],MATCH($B34,Quotes[#Headers],EXACT_MATCH))-VLOOKUP(D$28,Quotes[],MATCH($B34,Quotes[#Headers],EXACT_MATCH)))/VLOOKUP(D$28,Quotes[],MATCH($B34,Quotes[#Headers],EXACT_MATCH))</f>
        <v>0</v>
      </c>
      <c r="E34" s="281">
        <f ca="1">(VLOOKUP(iLastTradeDate,Quotes[],MATCH($B34,Quotes[#Headers],EXACT_MATCH))-VLOOKUP(E$28,Quotes[],MATCH($B34,Quotes[#Headers],EXACT_MATCH)))/VLOOKUP(E$28,Quotes[],MATCH($B34,Quotes[#Headers],EXACT_MATCH))</f>
        <v>8.2224496758785404E-2</v>
      </c>
      <c r="F34" s="281">
        <f ca="1">(VLOOKUP(iLastTradeDate,Quotes[],MATCH($B34,Quotes[#Headers],EXACT_MATCH))-VLOOKUP(F$28,Quotes[],MATCH($B34,Quotes[#Headers],EXACT_MATCH)))/VLOOKUP(F$28,Quotes[],MATCH($B34,Quotes[#Headers],EXACT_MATCH))</f>
        <v>1.3742409715564069E-2</v>
      </c>
      <c r="G34" s="281">
        <f ca="1">(VLOOKUP(iLastTradeDate,Quotes[],MATCH($B34,Quotes[#Headers],EXACT_MATCH))-VLOOKUP(G$28,Quotes[],MATCH($B34,Quotes[#Headers],EXACT_MATCH)))/VLOOKUP(G$28,Quotes[],MATCH($B34,Quotes[#Headers],EXACT_MATCH))</f>
        <v>-0.12845171039978029</v>
      </c>
      <c r="H34" s="281">
        <f ca="1">(VLOOKUP(iLastTradeDate,Quotes[],MATCH($B34,Quotes[#Headers],EXACT_MATCH))-VLOOKUP(H$28,Quotes[],MATCH($B34,Quotes[#Headers],EXACT_MATCH)))/VLOOKUP(H$28,Quotes[],MATCH($B34,Quotes[#Headers],EXACT_MATCH))</f>
        <v>-0.22953606995384995</v>
      </c>
      <c r="I34" s="281"/>
      <c r="J34" s="281"/>
      <c r="K34" s="281"/>
      <c r="L34" s="281"/>
      <c r="M34" s="284"/>
    </row>
    <row r="35" spans="2:13" s="282" customFormat="1" ht="29.1" customHeight="1" x14ac:dyDescent="0.25">
      <c r="B35" s="84" t="str">
        <f t="shared" si="4"/>
        <v>QQQ</v>
      </c>
      <c r="C35" s="285" t="str">
        <f t="shared" si="6"/>
        <v>NASDAQ-100</v>
      </c>
      <c r="D35" s="281">
        <f ca="1">(VLOOKUP(iLastTradeDate,Quotes[],MATCH($B35,Quotes[#Headers],EXACT_MATCH))-VLOOKUP(D$28,Quotes[],MATCH($B35,Quotes[#Headers],EXACT_MATCH)))/VLOOKUP(D$28,Quotes[],MATCH($B35,Quotes[#Headers],EXACT_MATCH))</f>
        <v>0</v>
      </c>
      <c r="E35" s="281">
        <f ca="1">(VLOOKUP(iLastTradeDate,Quotes[],MATCH($B35,Quotes[#Headers],EXACT_MATCH))-VLOOKUP(E$28,Quotes[],MATCH($B35,Quotes[#Headers],EXACT_MATCH)))/VLOOKUP(E$28,Quotes[],MATCH($B35,Quotes[#Headers],EXACT_MATCH))</f>
        <v>3.6368522416804654E-2</v>
      </c>
      <c r="F35" s="281">
        <f ca="1">(VLOOKUP(iLastTradeDate,Quotes[],MATCH($B35,Quotes[#Headers],EXACT_MATCH))-VLOOKUP(F$28,Quotes[],MATCH($B35,Quotes[#Headers],EXACT_MATCH)))/VLOOKUP(F$28,Quotes[],MATCH($B35,Quotes[#Headers],EXACT_MATCH))</f>
        <v>9.4042553191489298E-2</v>
      </c>
      <c r="G35" s="281">
        <f ca="1">(VLOOKUP(iLastTradeDate,Quotes[],MATCH($B35,Quotes[#Headers],EXACT_MATCH))-VLOOKUP(G$28,Quotes[],MATCH($B35,Quotes[#Headers],EXACT_MATCH)))/VLOOKUP(G$28,Quotes[],MATCH($B35,Quotes[#Headers],EXACT_MATCH))</f>
        <v>0.12194530643909997</v>
      </c>
      <c r="H35" s="281">
        <f ca="1">(VLOOKUP(iLastTradeDate,Quotes[],MATCH($B35,Quotes[#Headers],EXACT_MATCH))-VLOOKUP(H$28,Quotes[],MATCH($B35,Quotes[#Headers],EXACT_MATCH)))/VLOOKUP(H$28,Quotes[],MATCH($B35,Quotes[#Headers],EXACT_MATCH))</f>
        <v>0.12303436225975536</v>
      </c>
      <c r="I35" s="281"/>
      <c r="J35" s="281"/>
      <c r="K35" s="281"/>
      <c r="L35" s="281"/>
      <c r="M35" s="284"/>
    </row>
    <row r="36" spans="2:13" s="282" customFormat="1" ht="29.1" customHeight="1" x14ac:dyDescent="0.25">
      <c r="B36" s="84" t="str">
        <f t="shared" si="4"/>
        <v>SLV</v>
      </c>
      <c r="C36" s="285" t="str">
        <f t="shared" si="6"/>
        <v>Silver</v>
      </c>
      <c r="D36" s="281">
        <f ca="1">(VLOOKUP(iLastTradeDate,Quotes[],MATCH($B36,Quotes[#Headers],EXACT_MATCH))-VLOOKUP(D$28,Quotes[],MATCH($B36,Quotes[#Headers],EXACT_MATCH)))/VLOOKUP(D$28,Quotes[],MATCH($B36,Quotes[#Headers],EXACT_MATCH))</f>
        <v>0</v>
      </c>
      <c r="E36" s="281">
        <f ca="1">(VLOOKUP(iLastTradeDate,Quotes[],MATCH($B36,Quotes[#Headers],EXACT_MATCH))-VLOOKUP(E$28,Quotes[],MATCH($B36,Quotes[#Headers],EXACT_MATCH)))/VLOOKUP(E$28,Quotes[],MATCH($B36,Quotes[#Headers],EXACT_MATCH))</f>
        <v>5.4803352675693078E-2</v>
      </c>
      <c r="F36" s="281">
        <f ca="1">(VLOOKUP(iLastTradeDate,Quotes[],MATCH($B36,Quotes[#Headers],EXACT_MATCH))-VLOOKUP(F$28,Quotes[],MATCH($B36,Quotes[#Headers],EXACT_MATCH)))/VLOOKUP(F$28,Quotes[],MATCH($B36,Quotes[#Headers],EXACT_MATCH))</f>
        <v>0.16028368794326239</v>
      </c>
      <c r="G36" s="281">
        <f ca="1">(VLOOKUP(iLastTradeDate,Quotes[],MATCH($B36,Quotes[#Headers],EXACT_MATCH))-VLOOKUP(G$28,Quotes[],MATCH($B36,Quotes[#Headers],EXACT_MATCH)))/VLOOKUP(G$28,Quotes[],MATCH($B36,Quotes[#Headers],EXACT_MATCH))</f>
        <v>5.3444945267224736E-2</v>
      </c>
      <c r="H36" s="281">
        <f ca="1">(VLOOKUP(iLastTradeDate,Quotes[],MATCH($B36,Quotes[#Headers],EXACT_MATCH))-VLOOKUP(H$28,Quotes[],MATCH($B36,Quotes[#Headers],EXACT_MATCH)))/VLOOKUP(H$28,Quotes[],MATCH($B36,Quotes[#Headers],EXACT_MATCH))</f>
        <v>3.2828282828282804E-2</v>
      </c>
      <c r="I36" s="281"/>
      <c r="J36" s="281"/>
      <c r="K36" s="281"/>
      <c r="L36" s="281"/>
      <c r="M36" s="284"/>
    </row>
    <row r="37" spans="2:13" s="282" customFormat="1" ht="29.1" customHeight="1" x14ac:dyDescent="0.25">
      <c r="B37" s="84" t="str">
        <f t="shared" si="4"/>
        <v>UUP</v>
      </c>
      <c r="C37" s="285" t="str">
        <f t="shared" si="6"/>
        <v>Currency - USD Bullish</v>
      </c>
      <c r="D37" s="281">
        <f ca="1">(VLOOKUP(iLastTradeDate,Quotes[],MATCH($B37,Quotes[#Headers],EXACT_MATCH))-VLOOKUP(D$28,Quotes[],MATCH($B37,Quotes[#Headers],EXACT_MATCH)))/VLOOKUP(D$28,Quotes[],MATCH($B37,Quotes[#Headers],EXACT_MATCH))</f>
        <v>0</v>
      </c>
      <c r="E37" s="281">
        <f ca="1">(VLOOKUP(iLastTradeDate,Quotes[],MATCH($B37,Quotes[#Headers],EXACT_MATCH))-VLOOKUP(E$28,Quotes[],MATCH($B37,Quotes[#Headers],EXACT_MATCH)))/VLOOKUP(E$28,Quotes[],MATCH($B37,Quotes[#Headers],EXACT_MATCH))</f>
        <v>-1.214128035320082E-2</v>
      </c>
      <c r="F37" s="281">
        <f ca="1">(VLOOKUP(iLastTradeDate,Quotes[],MATCH($B37,Quotes[#Headers],EXACT_MATCH))-VLOOKUP(F$28,Quotes[],MATCH($B37,Quotes[#Headers],EXACT_MATCH)))/VLOOKUP(F$28,Quotes[],MATCH($B37,Quotes[#Headers],EXACT_MATCH))</f>
        <v>-8.1270779460657135E-3</v>
      </c>
      <c r="G37" s="281">
        <f ca="1">(VLOOKUP(iLastTradeDate,Quotes[],MATCH($B37,Quotes[#Headers],EXACT_MATCH))-VLOOKUP(G$28,Quotes[],MATCH($B37,Quotes[#Headers],EXACT_MATCH)))/VLOOKUP(G$28,Quotes[],MATCH($B37,Quotes[#Headers],EXACT_MATCH))</f>
        <v>1.2061816811157191E-2</v>
      </c>
      <c r="H37" s="281">
        <f ca="1">(VLOOKUP(iLastTradeDate,Quotes[],MATCH($B37,Quotes[#Headers],EXACT_MATCH))-VLOOKUP(H$28,Quotes[],MATCH($B37,Quotes[#Headers],EXACT_MATCH)))/VLOOKUP(H$28,Quotes[],MATCH($B37,Quotes[#Headers],EXACT_MATCH))</f>
        <v>-3.3407572383073441E-3</v>
      </c>
      <c r="I37" s="281"/>
      <c r="J37" s="281"/>
      <c r="K37" s="281"/>
      <c r="L37" s="281"/>
      <c r="M37" s="284"/>
    </row>
    <row r="38" spans="2:13" s="282" customFormat="1" ht="29.1" customHeight="1" x14ac:dyDescent="0.25">
      <c r="B38" s="84" t="str">
        <f t="shared" si="4"/>
        <v>VGLT</v>
      </c>
      <c r="C38" s="285" t="str">
        <f t="shared" si="6"/>
        <v>US Treasury bonds long-term</v>
      </c>
      <c r="D38" s="281">
        <f ca="1">(VLOOKUP(iLastTradeDate,Quotes[],MATCH($B38,Quotes[#Headers],EXACT_MATCH))-VLOOKUP(D$28,Quotes[],MATCH($B38,Quotes[#Headers],EXACT_MATCH)))/VLOOKUP(D$28,Quotes[],MATCH($B38,Quotes[#Headers],EXACT_MATCH))</f>
        <v>0</v>
      </c>
      <c r="E38" s="281">
        <f ca="1">(VLOOKUP(iLastTradeDate,Quotes[],MATCH($B38,Quotes[#Headers],EXACT_MATCH))-VLOOKUP(E$28,Quotes[],MATCH($B38,Quotes[#Headers],EXACT_MATCH)))/VLOOKUP(E$28,Quotes[],MATCH($B38,Quotes[#Headers],EXACT_MATCH))</f>
        <v>-1.4752163650668764E-2</v>
      </c>
      <c r="F38" s="281">
        <f ca="1">(VLOOKUP(iLastTradeDate,Quotes[],MATCH($B38,Quotes[#Headers],EXACT_MATCH))-VLOOKUP(F$28,Quotes[],MATCH($B38,Quotes[#Headers],EXACT_MATCH)))/VLOOKUP(F$28,Quotes[],MATCH($B38,Quotes[#Headers],EXACT_MATCH))</f>
        <v>-3.1328563140591709E-2</v>
      </c>
      <c r="G38" s="281">
        <f ca="1">(VLOOKUP(iLastTradeDate,Quotes[],MATCH($B38,Quotes[#Headers],EXACT_MATCH))-VLOOKUP(G$28,Quotes[],MATCH($B38,Quotes[#Headers],EXACT_MATCH)))/VLOOKUP(G$28,Quotes[],MATCH($B38,Quotes[#Headers],EXACT_MATCH))</f>
        <v>5.4304356977478541E-2</v>
      </c>
      <c r="H38" s="281">
        <f ca="1">(VLOOKUP(iLastTradeDate,Quotes[],MATCH($B38,Quotes[#Headers],EXACT_MATCH))-VLOOKUP(H$28,Quotes[],MATCH($B38,Quotes[#Headers],EXACT_MATCH)))/VLOOKUP(H$28,Quotes[],MATCH($B38,Quotes[#Headers],EXACT_MATCH))</f>
        <v>0.1612379738031762</v>
      </c>
      <c r="I38" s="281"/>
      <c r="J38" s="281"/>
      <c r="K38" s="281"/>
      <c r="L38" s="281"/>
      <c r="M38" s="284"/>
    </row>
    <row r="39" spans="2:13" s="301" customFormat="1" ht="29.1" customHeight="1" x14ac:dyDescent="0.25">
      <c r="B39" s="302" t="str">
        <f t="shared" si="4"/>
        <v>VNQ</v>
      </c>
      <c r="C39" s="306" t="str">
        <f t="shared" si="6"/>
        <v>Real Estate</v>
      </c>
      <c r="D39" s="281">
        <f ca="1">(VLOOKUP(iLastTradeDate,Quotes[],MATCH($B39,Quotes[#Headers],EXACT_MATCH))-VLOOKUP(D$28,Quotes[],MATCH($B39,Quotes[#Headers],EXACT_MATCH)))/VLOOKUP(D$28,Quotes[],MATCH($B39,Quotes[#Headers],EXACT_MATCH))</f>
        <v>0</v>
      </c>
      <c r="E39" s="281">
        <f ca="1">(VLOOKUP(iLastTradeDate,Quotes[],MATCH($B39,Quotes[#Headers],EXACT_MATCH))-VLOOKUP(E$28,Quotes[],MATCH($B39,Quotes[#Headers],EXACT_MATCH)))/VLOOKUP(E$28,Quotes[],MATCH($B39,Quotes[#Headers],EXACT_MATCH))</f>
        <v>5.421511627906983E-2</v>
      </c>
      <c r="F39" s="281">
        <f ca="1">(VLOOKUP(iLastTradeDate,Quotes[],MATCH($B39,Quotes[#Headers],EXACT_MATCH))-VLOOKUP(F$28,Quotes[],MATCH($B39,Quotes[#Headers],EXACT_MATCH)))/VLOOKUP(F$28,Quotes[],MATCH($B39,Quotes[#Headers],EXACT_MATCH))</f>
        <v>-4.3896651726865257E-2</v>
      </c>
      <c r="G39" s="281">
        <f ca="1">(VLOOKUP(iLastTradeDate,Quotes[],MATCH($B39,Quotes[#Headers],EXACT_MATCH))-VLOOKUP(G$28,Quotes[],MATCH($B39,Quotes[#Headers],EXACT_MATCH)))/VLOOKUP(G$28,Quotes[],MATCH($B39,Quotes[#Headers],EXACT_MATCH))</f>
        <v>-0.16947211725638381</v>
      </c>
      <c r="H39" s="281">
        <f ca="1">(VLOOKUP(iLastTradeDate,Quotes[],MATCH($B39,Quotes[#Headers],EXACT_MATCH))-VLOOKUP(H$28,Quotes[],MATCH($B39,Quotes[#Headers],EXACT_MATCH)))/VLOOKUP(H$28,Quotes[],MATCH($B39,Quotes[#Headers],EXACT_MATCH))</f>
        <v>-0.22427807486631016</v>
      </c>
      <c r="I39" s="307"/>
      <c r="J39" s="307"/>
      <c r="K39" s="307"/>
      <c r="L39" s="307"/>
      <c r="M39" s="308"/>
    </row>
    <row r="40" spans="2:13" s="310" customFormat="1" ht="29.1" customHeight="1" x14ac:dyDescent="0.25">
      <c r="B40" s="302" t="str">
        <f>B21</f>
        <v>VOO</v>
      </c>
      <c r="C40" s="306" t="str">
        <f t="shared" si="6"/>
        <v>S&amp;P 500</v>
      </c>
      <c r="D40" s="281">
        <f ca="1">(VLOOKUP(iLastTradeDate,Quotes[],MATCH($B40,Quotes[#Headers],EXACT_MATCH))-VLOOKUP(D$28,Quotes[],MATCH($B40,Quotes[#Headers],EXACT_MATCH)))/VLOOKUP(D$28,Quotes[],MATCH($B40,Quotes[#Headers],EXACT_MATCH))</f>
        <v>0</v>
      </c>
      <c r="E40" s="281">
        <f ca="1">(VLOOKUP(iLastTradeDate,Quotes[],MATCH($B40,Quotes[#Headers],EXACT_MATCH))-VLOOKUP(E$28,Quotes[],MATCH($B40,Quotes[#Headers],EXACT_MATCH)))/VLOOKUP(E$28,Quotes[],MATCH($B40,Quotes[#Headers],EXACT_MATCH))</f>
        <v>3.0033454987834461E-2</v>
      </c>
      <c r="F40" s="281">
        <f ca="1">(VLOOKUP(iLastTradeDate,Quotes[],MATCH($B40,Quotes[#Headers],EXACT_MATCH))-VLOOKUP(F$28,Quotes[],MATCH($B40,Quotes[#Headers],EXACT_MATCH)))/VLOOKUP(F$28,Quotes[],MATCH($B40,Quotes[#Headers],EXACT_MATCH))</f>
        <v>3.1445104309425882E-2</v>
      </c>
      <c r="G40" s="281">
        <f ca="1">(VLOOKUP(iLastTradeDate,Quotes[],MATCH($B40,Quotes[#Headers],EXACT_MATCH))-VLOOKUP(G$28,Quotes[],MATCH($B40,Quotes[#Headers],EXACT_MATCH)))/VLOOKUP(G$28,Quotes[],MATCH($B40,Quotes[#Headers],EXACT_MATCH))</f>
        <v>-2.9439905792301882E-3</v>
      </c>
      <c r="H40" s="281">
        <f ca="1">(VLOOKUP(iLastTradeDate,Quotes[],MATCH($B40,Quotes[#Headers],EXACT_MATCH))-VLOOKUP(H$28,Quotes[],MATCH($B40,Quotes[#Headers],EXACT_MATCH)))/VLOOKUP(H$28,Quotes[],MATCH($B40,Quotes[#Headers],EXACT_MATCH))</f>
        <v>-6.4950303699613451E-2</v>
      </c>
      <c r="I40" s="307"/>
      <c r="J40" s="307"/>
      <c r="K40" s="307"/>
      <c r="L40" s="307"/>
      <c r="M40" s="308"/>
    </row>
    <row r="41" spans="2:13" s="311" customFormat="1" ht="29.1" customHeight="1" x14ac:dyDescent="0.25">
      <c r="B41" s="302" t="str">
        <f>B22</f>
        <v>VTI</v>
      </c>
      <c r="C41" s="306" t="str">
        <f t="shared" si="6"/>
        <v>TMI</v>
      </c>
      <c r="D41" s="281">
        <f ca="1">(VLOOKUP(iLastTradeDate,Quotes[],MATCH($B41,Quotes[#Headers],EXACT_MATCH))-VLOOKUP(D$28,Quotes[],MATCH($B41,Quotes[#Headers],EXACT_MATCH)))/VLOOKUP(D$28,Quotes[],MATCH($B41,Quotes[#Headers],EXACT_MATCH))</f>
        <v>0</v>
      </c>
      <c r="E41" s="281">
        <f ca="1">(VLOOKUP(iLastTradeDate,Quotes[],MATCH($B41,Quotes[#Headers],EXACT_MATCH))-VLOOKUP(E$28,Quotes[],MATCH($B41,Quotes[#Headers],EXACT_MATCH)))/VLOOKUP(E$28,Quotes[],MATCH($B41,Quotes[#Headers],EXACT_MATCH))</f>
        <v>4.1090175902106625E-2</v>
      </c>
      <c r="F41" s="281">
        <f ca="1">(VLOOKUP(iLastTradeDate,Quotes[],MATCH($B41,Quotes[#Headers],EXACT_MATCH))-VLOOKUP(F$28,Quotes[],MATCH($B41,Quotes[#Headers],EXACT_MATCH)))/VLOOKUP(F$28,Quotes[],MATCH($B41,Quotes[#Headers],EXACT_MATCH))</f>
        <v>4.2104530586679741E-2</v>
      </c>
      <c r="G41" s="281">
        <f ca="1">(VLOOKUP(iLastTradeDate,Quotes[],MATCH($B41,Quotes[#Headers],EXACT_MATCH))-VLOOKUP(G$28,Quotes[],MATCH($B41,Quotes[#Headers],EXACT_MATCH)))/VLOOKUP(G$28,Quotes[],MATCH($B41,Quotes[#Headers],EXACT_MATCH))</f>
        <v>-4.6530178144109854E-3</v>
      </c>
      <c r="H41" s="281">
        <f ca="1">(VLOOKUP(iLastTradeDate,Quotes[],MATCH($B41,Quotes[#Headers],EXACT_MATCH))-VLOOKUP(H$28,Quotes[],MATCH($B41,Quotes[#Headers],EXACT_MATCH)))/VLOOKUP(H$28,Quotes[],MATCH($B41,Quotes[#Headers],EXACT_MATCH))</f>
        <v>-6.8433495085230805E-2</v>
      </c>
      <c r="I41" s="307"/>
      <c r="J41" s="307"/>
      <c r="K41" s="307"/>
      <c r="L41" s="307"/>
      <c r="M41" s="308"/>
    </row>
    <row r="42" spans="2:13" s="312" customFormat="1" ht="29.1" customHeight="1" x14ac:dyDescent="0.25">
      <c r="B42" s="302" t="str">
        <f>B23</f>
        <v>XLK</v>
      </c>
      <c r="C42" s="306" t="str">
        <f t="shared" si="6"/>
        <v>US Tech</v>
      </c>
      <c r="D42" s="281">
        <f ca="1">(VLOOKUP(iLastTradeDate,Quotes[],MATCH($B42,Quotes[#Headers],EXACT_MATCH))-VLOOKUP(D$28,Quotes[],MATCH($B42,Quotes[#Headers],EXACT_MATCH)))/VLOOKUP(D$28,Quotes[],MATCH($B42,Quotes[#Headers],EXACT_MATCH))</f>
        <v>0</v>
      </c>
      <c r="E42" s="281">
        <f ca="1">(VLOOKUP(iLastTradeDate,Quotes[],MATCH($B42,Quotes[#Headers],EXACT_MATCH))-VLOOKUP(E$28,Quotes[],MATCH($B42,Quotes[#Headers],EXACT_MATCH)))/VLOOKUP(E$28,Quotes[],MATCH($B42,Quotes[#Headers],EXACT_MATCH))</f>
        <v>4.3115438108484019E-2</v>
      </c>
      <c r="F42" s="281">
        <f ca="1">(VLOOKUP(iLastTradeDate,Quotes[],MATCH($B42,Quotes[#Headers],EXACT_MATCH))-VLOOKUP(F$28,Quotes[],MATCH($B42,Quotes[#Headers],EXACT_MATCH)))/VLOOKUP(F$28,Quotes[],MATCH($B42,Quotes[#Headers],EXACT_MATCH))</f>
        <v>0.10544217687074826</v>
      </c>
      <c r="G42" s="281">
        <f ca="1">(VLOOKUP(iLastTradeDate,Quotes[],MATCH($B42,Quotes[#Headers],EXACT_MATCH))-VLOOKUP(G$28,Quotes[],MATCH($B42,Quotes[#Headers],EXACT_MATCH)))/VLOOKUP(G$28,Quotes[],MATCH($B42,Quotes[#Headers],EXACT_MATCH))</f>
        <v>0.10331560484327254</v>
      </c>
      <c r="H42" s="281">
        <f ca="1">(VLOOKUP(iLastTradeDate,Quotes[],MATCH($B42,Quotes[#Headers],EXACT_MATCH))-VLOOKUP(H$28,Quotes[],MATCH($B42,Quotes[#Headers],EXACT_MATCH)))/VLOOKUP(H$28,Quotes[],MATCH($B42,Quotes[#Headers],EXACT_MATCH))</f>
        <v>0.10269169871069891</v>
      </c>
      <c r="I42" s="307"/>
      <c r="J42" s="307"/>
      <c r="K42" s="307"/>
      <c r="L42" s="307"/>
      <c r="M42" s="308"/>
    </row>
    <row r="43" spans="2:13" s="84" customFormat="1" ht="7.5" customHeight="1" x14ac:dyDescent="0.25">
      <c r="F43" s="290"/>
      <c r="L43" s="273"/>
    </row>
    <row r="44" spans="2:13" s="84" customFormat="1" ht="29.1" customHeight="1" x14ac:dyDescent="0.25">
      <c r="L44" s="273"/>
    </row>
    <row r="45" spans="2:13" s="84" customFormat="1" ht="29.1" customHeight="1" x14ac:dyDescent="0.25">
      <c r="L45" s="273"/>
    </row>
    <row r="46" spans="2:13" s="84" customFormat="1" ht="29.1" customHeight="1" x14ac:dyDescent="0.25">
      <c r="L46" s="273"/>
    </row>
    <row r="47" spans="2:13" s="84" customFormat="1" ht="29.1" customHeight="1" x14ac:dyDescent="0.25">
      <c r="L47" s="273"/>
    </row>
  </sheetData>
  <sortState xmlns:xlrd2="http://schemas.microsoft.com/office/spreadsheetml/2017/richdata2" ref="B12:B23">
    <sortCondition ref="B12"/>
  </sortState>
  <phoneticPr fontId="65" type="noConversion"/>
  <conditionalFormatting sqref="F43">
    <cfRule type="top10" dxfId="21" priority="64" rank="1"/>
  </conditionalFormatting>
  <conditionalFormatting sqref="F10:F24">
    <cfRule type="top10" dxfId="20" priority="61" rank="3"/>
  </conditionalFormatting>
  <conditionalFormatting sqref="D29:D42">
    <cfRule type="top10" dxfId="19" priority="5" rank="1"/>
  </conditionalFormatting>
  <conditionalFormatting sqref="E29:E42">
    <cfRule type="top10" dxfId="18" priority="4" rank="1"/>
  </conditionalFormatting>
  <conditionalFormatting sqref="F29:F42">
    <cfRule type="top10" dxfId="17" priority="3" rank="1"/>
  </conditionalFormatting>
  <conditionalFormatting sqref="G29:G42">
    <cfRule type="top10" dxfId="16" priority="2" rank="1"/>
  </conditionalFormatting>
  <conditionalFormatting sqref="H29:H42">
    <cfRule type="top10" dxfId="15" priority="1" rank="1"/>
  </conditionalFormatting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6E811-868D-4A99-8994-5806063016DC}">
  <sheetPr codeName="Sheet9"/>
  <dimension ref="B1:M39"/>
  <sheetViews>
    <sheetView showGridLines="0" topLeftCell="A7" workbookViewId="0">
      <selection activeCell="H21" sqref="H21"/>
    </sheetView>
  </sheetViews>
  <sheetFormatPr defaultRowHeight="14.25" x14ac:dyDescent="0.25"/>
  <cols>
    <col min="1" max="1" width="1.28515625" customWidth="1"/>
    <col min="2" max="11" width="12.7109375" customWidth="1"/>
    <col min="12" max="12" width="12.7109375" style="280" customWidth="1"/>
    <col min="13" max="17" width="12.7109375" customWidth="1"/>
  </cols>
  <sheetData>
    <row r="1" spans="2:12" ht="6.75" customHeight="1" x14ac:dyDescent="0.25"/>
    <row r="2" spans="2:12" ht="25.5" x14ac:dyDescent="0.5">
      <c r="B2" s="274" t="s">
        <v>182</v>
      </c>
    </row>
    <row r="3" spans="2:12" ht="7.5" customHeight="1" thickBot="1" x14ac:dyDescent="0.3"/>
    <row r="4" spans="2:12" s="84" customFormat="1" ht="29.1" customHeight="1" thickTop="1" thickBot="1" x14ac:dyDescent="0.3">
      <c r="B4" s="84" t="s">
        <v>176</v>
      </c>
      <c r="C4" s="275">
        <v>43882</v>
      </c>
      <c r="L4" s="283"/>
    </row>
    <row r="5" spans="2:12" s="84" customFormat="1" ht="29.1" customHeight="1" thickTop="1" thickBot="1" x14ac:dyDescent="0.3">
      <c r="B5" s="84" t="s">
        <v>177</v>
      </c>
      <c r="C5" s="275">
        <v>43913</v>
      </c>
      <c r="L5" s="283"/>
    </row>
    <row r="6" spans="2:12" s="84" customFormat="1" ht="29.1" customHeight="1" thickTop="1" x14ac:dyDescent="0.25">
      <c r="L6" s="283"/>
    </row>
    <row r="7" spans="2:12" s="84" customFormat="1" ht="29.1" customHeight="1" x14ac:dyDescent="0.5">
      <c r="B7" s="276" t="s">
        <v>183</v>
      </c>
      <c r="L7" s="283"/>
    </row>
    <row r="8" spans="2:12" s="84" customFormat="1" ht="7.5" customHeight="1" x14ac:dyDescent="0.25">
      <c r="L8" s="283"/>
    </row>
    <row r="9" spans="2:12" s="84" customFormat="1" ht="29.1" customHeight="1" x14ac:dyDescent="0.25">
      <c r="B9" s="278" t="s">
        <v>201</v>
      </c>
      <c r="C9" s="279" t="s">
        <v>171</v>
      </c>
      <c r="D9" s="279" t="s">
        <v>172</v>
      </c>
      <c r="E9" s="279" t="s">
        <v>178</v>
      </c>
      <c r="F9" s="279" t="s">
        <v>179</v>
      </c>
      <c r="G9" s="278" t="s">
        <v>191</v>
      </c>
      <c r="H9" s="278" t="s">
        <v>192</v>
      </c>
      <c r="I9" s="279" t="s">
        <v>59</v>
      </c>
      <c r="J9" s="278"/>
      <c r="L9" s="283"/>
    </row>
    <row r="10" spans="2:12" s="84" customFormat="1" ht="29.1" customHeight="1" x14ac:dyDescent="0.25">
      <c r="B10" s="84" t="s">
        <v>252</v>
      </c>
      <c r="C10" s="180">
        <f>VLOOKUP(StartDate,Dailies[],MATCH("RRSP Total",Daily_Cols,EXACT_MATCH),EXACT_MATCH)</f>
        <v>372346</v>
      </c>
      <c r="D10" s="180">
        <f>VLOOKUP(EndDate,Dailies[],MATCH("RRSP Total",Daily_Cols,EXACT_MATCH),EXACT_MATCH)</f>
        <v>340323</v>
      </c>
      <c r="E10" s="180">
        <f>(D10-C10)-(H10-G10)</f>
        <v>-36993.839999999967</v>
      </c>
      <c r="F10" s="277">
        <f t="shared" ref="F10:F19" si="0">E10/C10</f>
        <v>-9.9353397109140332E-2</v>
      </c>
      <c r="G10" s="87">
        <f>VLOOKUP(StartDate,Dailies[],MATCH("RRSP Principal",Daily_Cols,EXACT_MATCH),EXACT_MATCH)</f>
        <v>326672.64000000001</v>
      </c>
      <c r="H10" s="87">
        <f>VLOOKUP(EndDate,Dailies[],MATCH("RRSP Principal",Daily_Cols,EXACT_MATCH),EXACT_MATCH)</f>
        <v>331643.48</v>
      </c>
      <c r="I10" s="84" t="s">
        <v>184</v>
      </c>
      <c r="L10" s="283"/>
    </row>
    <row r="11" spans="2:12" s="84" customFormat="1" ht="29.1" customHeight="1" x14ac:dyDescent="0.25">
      <c r="B11" s="84" t="s">
        <v>133</v>
      </c>
      <c r="C11" s="180">
        <f>VLOOKUP(StartDate,Dailies[],MATCH("CIBC RESP",Daily_Cols,EXACT_MATCH),EXACT_MATCH)</f>
        <v>44911.72</v>
      </c>
      <c r="D11" s="180">
        <f>VLOOKUP(EndDate,Dailies[],MATCH("CIBC RESP",Daily_Cols,EXACT_MATCH),EXACT_MATCH)</f>
        <v>28205.52</v>
      </c>
      <c r="E11" s="180">
        <f>(D11-C11)-(H11-G11)</f>
        <v>-16916.2</v>
      </c>
      <c r="F11" s="277">
        <f t="shared" si="0"/>
        <v>-0.37665446792062296</v>
      </c>
      <c r="G11" s="87">
        <f>VLOOKUP(StartDate,Dailies[],MATCH("CIBC RESP Principal",Daily_Cols,EXACT_MATCH),EXACT_MATCH)</f>
        <v>37490.450000000004</v>
      </c>
      <c r="H11" s="87">
        <f>VLOOKUP(EndDate,Dailies[],MATCH("CIBC RESP Principal",Daily_Cols,EXACT_MATCH),EXACT_MATCH)</f>
        <v>37700.450000000004</v>
      </c>
      <c r="I11" s="84" t="s">
        <v>185</v>
      </c>
      <c r="L11" s="283"/>
    </row>
    <row r="12" spans="2:12" s="84" customFormat="1" ht="29.1" customHeight="1" x14ac:dyDescent="0.25">
      <c r="B12" s="84" t="s">
        <v>202</v>
      </c>
      <c r="C12" s="180">
        <f>VLOOKUP(StartDate,Quotes[],MATCH(B12,Quotes[#Headers],EXACT_MATCH))</f>
        <v>36.835000000000001</v>
      </c>
      <c r="D12" s="180">
        <f>VLOOKUP(EndDate,Quotes[],MATCH(B12,Quotes[#Headers],EXACT_MATCH))</f>
        <v>23.91</v>
      </c>
      <c r="E12" s="180">
        <f t="shared" ref="E12:E19" si="1">D12-C12</f>
        <v>-12.925000000000001</v>
      </c>
      <c r="F12" s="277">
        <f t="shared" si="0"/>
        <v>-0.35088910004072216</v>
      </c>
      <c r="G12" s="271" t="s">
        <v>193</v>
      </c>
      <c r="H12" s="271" t="s">
        <v>193</v>
      </c>
      <c r="I12" s="84" t="s">
        <v>186</v>
      </c>
      <c r="L12" s="283"/>
    </row>
    <row r="13" spans="2:12" s="84" customFormat="1" ht="29.1" customHeight="1" x14ac:dyDescent="0.25">
      <c r="B13" s="84" t="s">
        <v>209</v>
      </c>
      <c r="C13" s="180">
        <f>VLOOKUP(StartDate,Quotes[],MATCH(B13,Quotes[#Headers],EXACT_MATCH))</f>
        <v>13.76</v>
      </c>
      <c r="D13" s="180">
        <f>VLOOKUP(EndDate,Quotes[],MATCH(B13,Quotes[#Headers],EXACT_MATCH))</f>
        <v>13.07</v>
      </c>
      <c r="E13" s="180">
        <f t="shared" si="1"/>
        <v>-0.6899999999999995</v>
      </c>
      <c r="F13" s="277">
        <f t="shared" si="0"/>
        <v>-5.0145348837209267E-2</v>
      </c>
      <c r="G13" s="271" t="s">
        <v>193</v>
      </c>
      <c r="H13" s="271" t="s">
        <v>193</v>
      </c>
      <c r="I13" s="84" t="s">
        <v>187</v>
      </c>
      <c r="L13" s="283"/>
    </row>
    <row r="14" spans="2:12" s="84" customFormat="1" ht="29.1" customHeight="1" x14ac:dyDescent="0.25">
      <c r="B14" s="84" t="s">
        <v>211</v>
      </c>
      <c r="C14" s="180">
        <f>VLOOKUP(StartDate,Quotes[],MATCH(B14,Quotes[#Headers],EXACT_MATCH))</f>
        <v>27.52</v>
      </c>
      <c r="D14" s="180">
        <f>VLOOKUP(EndDate,Quotes[],MATCH(B14,Quotes[#Headers],EXACT_MATCH))</f>
        <v>20.72</v>
      </c>
      <c r="E14" s="180">
        <f t="shared" si="1"/>
        <v>-6.8000000000000007</v>
      </c>
      <c r="F14" s="277">
        <f t="shared" si="0"/>
        <v>-0.24709302325581398</v>
      </c>
      <c r="G14" s="271" t="s">
        <v>193</v>
      </c>
      <c r="H14" s="271" t="s">
        <v>193</v>
      </c>
      <c r="I14" s="84" t="s">
        <v>212</v>
      </c>
      <c r="L14" s="283"/>
    </row>
    <row r="15" spans="2:12" s="84" customFormat="1" ht="29.1" customHeight="1" x14ac:dyDescent="0.25">
      <c r="B15" s="84" t="s">
        <v>207</v>
      </c>
      <c r="C15" s="180">
        <f>VLOOKUP(StartDate,Quotes[],MATCH(B15,Quotes[#Headers],EXACT_MATCH))</f>
        <v>37.99</v>
      </c>
      <c r="D15" s="180">
        <f>VLOOKUP(EndDate,Quotes[],MATCH(B15,Quotes[#Headers],EXACT_MATCH))</f>
        <v>19.78</v>
      </c>
      <c r="E15" s="180">
        <f t="shared" si="1"/>
        <v>-18.21</v>
      </c>
      <c r="F15" s="277">
        <f t="shared" si="0"/>
        <v>-0.47933666754409054</v>
      </c>
      <c r="G15" s="271" t="s">
        <v>193</v>
      </c>
      <c r="H15" s="271" t="s">
        <v>193</v>
      </c>
      <c r="I15" s="84" t="s">
        <v>188</v>
      </c>
      <c r="L15" s="283"/>
    </row>
    <row r="16" spans="2:12" s="84" customFormat="1" ht="29.1" customHeight="1" x14ac:dyDescent="0.25">
      <c r="B16" s="84" t="s">
        <v>208</v>
      </c>
      <c r="C16" s="180">
        <f>VLOOKUP(StartDate,Quotes[],MATCH(B16,Quotes[#Headers],EXACT_MATCH))</f>
        <v>36</v>
      </c>
      <c r="D16" s="180">
        <f>VLOOKUP(EndDate,Quotes[],MATCH(B16,Quotes[#Headers],EXACT_MATCH))</f>
        <v>22.69</v>
      </c>
      <c r="E16" s="180">
        <f t="shared" si="1"/>
        <v>-13.309999999999999</v>
      </c>
      <c r="F16" s="277">
        <f t="shared" si="0"/>
        <v>-0.36972222222222217</v>
      </c>
      <c r="G16" s="271" t="s">
        <v>193</v>
      </c>
      <c r="H16" s="271" t="s">
        <v>193</v>
      </c>
      <c r="I16" s="84" t="s">
        <v>210</v>
      </c>
      <c r="L16" s="283"/>
    </row>
    <row r="17" spans="2:13" s="84" customFormat="1" ht="29.1" customHeight="1" x14ac:dyDescent="0.25">
      <c r="B17" s="84" t="s">
        <v>206</v>
      </c>
      <c r="C17" s="180">
        <f>VLOOKUP(StartDate,Quotes[],MATCH(B17,Quotes[#Headers],EXACT_MATCH))</f>
        <v>31.46</v>
      </c>
      <c r="D17" s="180">
        <f>VLOOKUP(EndDate,Quotes[],MATCH(B17,Quotes[#Headers],EXACT_MATCH))</f>
        <v>24.64</v>
      </c>
      <c r="E17" s="180">
        <f t="shared" si="1"/>
        <v>-6.82</v>
      </c>
      <c r="F17" s="277">
        <f t="shared" si="0"/>
        <v>-0.2167832167832168</v>
      </c>
      <c r="G17" s="271" t="s">
        <v>193</v>
      </c>
      <c r="H17" s="271" t="s">
        <v>193</v>
      </c>
      <c r="I17" s="84" t="s">
        <v>190</v>
      </c>
      <c r="L17" s="283"/>
    </row>
    <row r="18" spans="2:13" s="84" customFormat="1" ht="29.1" customHeight="1" x14ac:dyDescent="0.25">
      <c r="B18" s="84" t="s">
        <v>205</v>
      </c>
      <c r="C18" s="180">
        <f>VLOOKUP(StartDate,Quotes[],MATCH(B18,Quotes[#Headers],EXACT_MATCH))</f>
        <v>26.66</v>
      </c>
      <c r="D18" s="180">
        <f>VLOOKUP(EndDate,Quotes[],MATCH(B18,Quotes[#Headers],EXACT_MATCH))</f>
        <v>25.23</v>
      </c>
      <c r="E18" s="180">
        <f t="shared" si="1"/>
        <v>-1.4299999999999997</v>
      </c>
      <c r="F18" s="277">
        <f t="shared" si="0"/>
        <v>-5.3638409602400586E-2</v>
      </c>
      <c r="G18" s="271" t="s">
        <v>193</v>
      </c>
      <c r="H18" s="271" t="s">
        <v>193</v>
      </c>
      <c r="I18" s="84" t="s">
        <v>194</v>
      </c>
      <c r="L18" s="283"/>
    </row>
    <row r="19" spans="2:13" s="84" customFormat="1" ht="29.1" customHeight="1" x14ac:dyDescent="0.25">
      <c r="B19" s="84" t="s">
        <v>203</v>
      </c>
      <c r="C19" s="180">
        <f>VLOOKUP(StartDate,Quotes[],MATCH(B19,Quotes[#Headers],EXACT_MATCH))</f>
        <v>74.650000000000006</v>
      </c>
      <c r="D19" s="180">
        <f>VLOOKUP(EndDate,Quotes[],MATCH(B19,Quotes[#Headers],EXACT_MATCH))</f>
        <v>67.875</v>
      </c>
      <c r="E19" s="180">
        <f t="shared" si="1"/>
        <v>-6.7750000000000057</v>
      </c>
      <c r="F19" s="277">
        <f t="shared" si="0"/>
        <v>-9.0756865371734829E-2</v>
      </c>
      <c r="G19" s="271" t="s">
        <v>193</v>
      </c>
      <c r="H19" s="271" t="s">
        <v>193</v>
      </c>
      <c r="I19" s="84" t="s">
        <v>204</v>
      </c>
      <c r="L19" s="283"/>
    </row>
    <row r="20" spans="2:13" s="84" customFormat="1" ht="7.5" customHeight="1" x14ac:dyDescent="0.25">
      <c r="L20" s="283"/>
    </row>
    <row r="21" spans="2:13" s="283" customFormat="1" ht="29.1" customHeight="1" x14ac:dyDescent="0.25">
      <c r="B21" s="289" t="s">
        <v>200</v>
      </c>
      <c r="C21" s="281"/>
      <c r="D21" s="281"/>
      <c r="E21" s="281"/>
      <c r="F21" s="281"/>
      <c r="G21" s="281"/>
      <c r="H21" s="281"/>
      <c r="I21" s="281"/>
      <c r="J21" s="281"/>
      <c r="K21" s="281"/>
      <c r="L21" s="281"/>
      <c r="M21" s="284"/>
    </row>
    <row r="22" spans="2:13" s="295" customFormat="1" ht="29.1" customHeight="1" x14ac:dyDescent="0.25">
      <c r="B22" s="294" t="s">
        <v>213</v>
      </c>
      <c r="C22" s="291">
        <f ca="1">iLastTradeDate</f>
        <v>43980</v>
      </c>
      <c r="D22" s="281"/>
      <c r="E22" s="281"/>
      <c r="F22" s="281"/>
      <c r="G22" s="281"/>
      <c r="H22" s="281"/>
      <c r="I22" s="281"/>
      <c r="J22" s="281"/>
      <c r="K22" s="281"/>
      <c r="L22" s="281"/>
      <c r="M22" s="284"/>
    </row>
    <row r="23" spans="2:13" s="283" customFormat="1" ht="29.1" customHeight="1" x14ac:dyDescent="0.25">
      <c r="B23" s="287" t="s">
        <v>201</v>
      </c>
      <c r="C23" s="279" t="s">
        <v>59</v>
      </c>
      <c r="D23" s="288" t="s">
        <v>281</v>
      </c>
      <c r="E23" s="288" t="s">
        <v>282</v>
      </c>
      <c r="F23" s="288" t="s">
        <v>197</v>
      </c>
      <c r="G23" s="288" t="s">
        <v>198</v>
      </c>
      <c r="H23" s="288" t="s">
        <v>199</v>
      </c>
      <c r="I23" s="291"/>
      <c r="J23" s="281"/>
      <c r="K23" s="281"/>
      <c r="L23" s="281"/>
      <c r="M23" s="284"/>
    </row>
    <row r="24" spans="2:13" s="283" customFormat="1" ht="29.1" customHeight="1" x14ac:dyDescent="0.25">
      <c r="B24" s="84" t="s">
        <v>252</v>
      </c>
      <c r="C24" s="285" t="str">
        <f t="shared" ref="C24:C33" si="2">I10</f>
        <v>My USD RRSP</v>
      </c>
      <c r="D24" s="299">
        <f ca="1">'USD Markets'!D29</f>
        <v>-0.10182449208395199</v>
      </c>
      <c r="E24" s="299">
        <f ca="1">'USD Markets'!E29</f>
        <v>-3.3234194566752515E-2</v>
      </c>
      <c r="F24" s="299">
        <f ca="1">'USD Markets'!F29</f>
        <v>-6.4186834475856935E-2</v>
      </c>
      <c r="G24" s="299">
        <f ca="1">'USD Markets'!G29</f>
        <v>-0.19966373159032269</v>
      </c>
      <c r="H24" s="299">
        <f ca="1">'USD Markets'!H29</f>
        <v>-0.28130146014614893</v>
      </c>
      <c r="I24" s="281"/>
      <c r="J24" s="281"/>
      <c r="K24" s="281"/>
      <c r="L24" s="281"/>
      <c r="M24" s="284"/>
    </row>
    <row r="25" spans="2:13" s="283" customFormat="1" ht="29.1" customHeight="1" x14ac:dyDescent="0.25">
      <c r="B25" s="84" t="str">
        <f>B11</f>
        <v>RESP CAD</v>
      </c>
      <c r="C25" s="285" t="str">
        <f t="shared" si="2"/>
        <v>My CAD RESP</v>
      </c>
      <c r="D25" s="290">
        <f ca="1">'USD Markets'!D30</f>
        <v>3.3033614836893592E-2</v>
      </c>
      <c r="E25" s="290">
        <f ca="1">'USD Markets'!E30</f>
        <v>2.723795330352714E-2</v>
      </c>
      <c r="F25" s="290">
        <f ca="1">'USD Markets'!F30</f>
        <v>3.9694256043803569E-2</v>
      </c>
      <c r="G25" s="290">
        <f ca="1">'USD Markets'!G30</f>
        <v>-9.2847184151261766E-2</v>
      </c>
      <c r="H25" s="290">
        <f ca="1">'USD Markets'!H30</f>
        <v>-0.13887325553158958</v>
      </c>
      <c r="I25" s="281"/>
      <c r="J25" s="281"/>
      <c r="K25" s="281"/>
      <c r="L25" s="281"/>
      <c r="M25" s="284"/>
    </row>
    <row r="26" spans="2:13" s="283" customFormat="1" ht="29.1" customHeight="1" x14ac:dyDescent="0.25">
      <c r="B26" s="84" t="str">
        <f>B12</f>
        <v>XSP.TO</v>
      </c>
      <c r="C26" s="285" t="str">
        <f t="shared" si="2"/>
        <v>S&amp;P 500</v>
      </c>
      <c r="D26" s="277">
        <f ca="1">(VLOOKUP(iLastTradeDate,Quotes[],MATCH(B26,Quotes[#Headers],EXACT_MATCH))-VLOOKUP(TODAY()-7,Quotes[],MATCH(B26,Quotes[#Headers],EXACT_MATCH)))/VLOOKUP(TODAY()-7,Quotes[],MATCH(B26,Quotes[#Headers],EXACT_MATCH))</f>
        <v>0</v>
      </c>
      <c r="E26" s="277">
        <f ca="1">(VLOOKUP(iLastTradeDate,Quotes[],MATCH(B26,Quotes[#Headers],EXACT_MATCH))-VLOOKUP(TODAY()-14,Quotes[],MATCH(B26,Quotes[#Headers],EXACT_MATCH)))/VLOOKUP(TODAY()-14,Quotes[],MATCH(B26,Quotes[#Headers],EXACT_MATCH))</f>
        <v>3.8079999999999926E-2</v>
      </c>
      <c r="F26" s="277">
        <f ca="1">(VLOOKUP(iLastTradeDate,Quotes[],MATCH(B26,Quotes[#Headers],EXACT_MATCH))-VLOOKUP(TODAY()-30,Quotes[],MATCH(B26,Quotes[#Headers],EXACT_MATCH)))/VLOOKUP(TODAY()-30,Quotes[],MATCH(B26,Quotes[#Headers],EXACT_MATCH))</f>
        <v>1.3116801998750611E-2</v>
      </c>
      <c r="G26" s="277">
        <f ca="1">(VLOOKUP(iLastTradeDate,Quotes[],MATCH(B26,Quotes[#Headers],EXACT_MATCH))-VLOOKUP(TODAY()-90,Quotes[],MATCH(B26,Quotes[#Headers],EXACT_MATCH)))/VLOOKUP(TODAY()-90,Quotes[],MATCH(B26,Quotes[#Headers],EXACT_MATCH))</f>
        <v>-7.3439412484700732E-3</v>
      </c>
      <c r="H26" s="277">
        <f ca="1">(VLOOKUP(iLastTradeDate,Quotes[],MATCH(B26,Quotes[#Headers],EXACT_MATCH))-VLOOKUP(TODAY()-180,Quotes[],MATCH(B26,Quotes[#Headers],EXACT_MATCH)))/VLOOKUP(TODAY()-180,Quotes[],MATCH(B26,Quotes[#Headers],EXACT_MATCH))</f>
        <v>-7.2347726622819589E-2</v>
      </c>
      <c r="I26" s="281"/>
      <c r="J26" s="281"/>
      <c r="K26" s="281"/>
      <c r="L26" s="281"/>
      <c r="M26" s="284"/>
    </row>
    <row r="27" spans="2:13" s="283" customFormat="1" ht="29.1" customHeight="1" x14ac:dyDescent="0.25">
      <c r="B27" s="84" t="str">
        <f>B13</f>
        <v>CGL.TO</v>
      </c>
      <c r="C27" s="285" t="str">
        <f t="shared" si="2"/>
        <v>Gold Reserves</v>
      </c>
      <c r="D27" s="277">
        <f ca="1">(VLOOKUP(iLastTradeDate,Quotes[],MATCH(B27,Quotes[#Headers],EXACT_MATCH))-VLOOKUP(TODAY()-7,Quotes[],MATCH(B27,Quotes[#Headers],EXACT_MATCH)))/VLOOKUP(TODAY()-7,Quotes[],MATCH(B27,Quotes[#Headers],EXACT_MATCH))</f>
        <v>0</v>
      </c>
      <c r="E27" s="277">
        <f ca="1">(VLOOKUP(iLastTradeDate,Quotes[],MATCH(B27,Quotes[#Headers],EXACT_MATCH))-VLOOKUP(TODAY()-14,Quotes[],MATCH(B27,Quotes[#Headers],EXACT_MATCH)))/VLOOKUP(TODAY()-14,Quotes[],MATCH(B27,Quotes[#Headers],EXACT_MATCH))</f>
        <v>6.8259385665527558E-4</v>
      </c>
      <c r="F27" s="277">
        <f ca="1">(VLOOKUP(iLastTradeDate,Quotes[],MATCH(B27,Quotes[#Headers],EXACT_MATCH))-VLOOKUP(TODAY()-30,Quotes[],MATCH(B27,Quotes[#Headers],EXACT_MATCH)))/VLOOKUP(TODAY()-30,Quotes[],MATCH(B27,Quotes[#Headers],EXACT_MATCH))</f>
        <v>2.0891364902507013E-2</v>
      </c>
      <c r="G27" s="277">
        <f ca="1">(VLOOKUP(iLastTradeDate,Quotes[],MATCH(B27,Quotes[#Headers],EXACT_MATCH))-VLOOKUP(TODAY()-90,Quotes[],MATCH(B27,Quotes[#Headers],EXACT_MATCH)))/VLOOKUP(TODAY()-90,Quotes[],MATCH(B27,Quotes[#Headers],EXACT_MATCH))</f>
        <v>0.10808767951625092</v>
      </c>
      <c r="H27" s="277">
        <f ca="1">(VLOOKUP(iLastTradeDate,Quotes[],MATCH(B27,Quotes[#Headers],EXACT_MATCH))-VLOOKUP(TODAY()-180,Quotes[],MATCH(B27,Quotes[#Headers],EXACT_MATCH)))/VLOOKUP(TODAY()-180,Quotes[],MATCH(B27,Quotes[#Headers],EXACT_MATCH))</f>
        <v>0.19283970707892606</v>
      </c>
      <c r="I27" s="281"/>
      <c r="J27" s="281"/>
      <c r="K27" s="286"/>
      <c r="L27" s="281"/>
      <c r="M27" s="284"/>
    </row>
    <row r="28" spans="2:13" s="283" customFormat="1" ht="29.1" customHeight="1" x14ac:dyDescent="0.25">
      <c r="B28" s="84" t="str">
        <f t="shared" ref="B28:B32" si="3">B14</f>
        <v>VGRO.TO</v>
      </c>
      <c r="C28" s="285" t="str">
        <f t="shared" si="2"/>
        <v>Global TMI</v>
      </c>
      <c r="D28" s="277">
        <f ca="1">(VLOOKUP(iLastTradeDate,Quotes[],MATCH(B28,Quotes[#Headers],EXACT_MATCH))-VLOOKUP(TODAY()-7,Quotes[],MATCH(B28,Quotes[#Headers],EXACT_MATCH)))/VLOOKUP(TODAY()-7,Quotes[],MATCH(B28,Quotes[#Headers],EXACT_MATCH))</f>
        <v>0</v>
      </c>
      <c r="E28" s="277">
        <f ca="1">(VLOOKUP(iLastTradeDate,Quotes[],MATCH(B28,Quotes[#Headers],EXACT_MATCH))-VLOOKUP(TODAY()-14,Quotes[],MATCH(B28,Quotes[#Headers],EXACT_MATCH)))/VLOOKUP(TODAY()-14,Quotes[],MATCH(B28,Quotes[#Headers],EXACT_MATCH))</f>
        <v>2.2708840227088349E-2</v>
      </c>
      <c r="F28" s="277">
        <f ca="1">(VLOOKUP(iLastTradeDate,Quotes[],MATCH(B28,Quotes[#Headers],EXACT_MATCH))-VLOOKUP(TODAY()-30,Quotes[],MATCH(B28,Quotes[#Headers],EXACT_MATCH)))/VLOOKUP(TODAY()-30,Quotes[],MATCH(B28,Quotes[#Headers],EXACT_MATCH))</f>
        <v>3.1821797931582455E-3</v>
      </c>
      <c r="G28" s="277">
        <f ca="1">(VLOOKUP(iLastTradeDate,Quotes[],MATCH(B28,Quotes[#Headers],EXACT_MATCH))-VLOOKUP(TODAY()-90,Quotes[],MATCH(B28,Quotes[#Headers],EXACT_MATCH)))/VLOOKUP(TODAY()-90,Quotes[],MATCH(B28,Quotes[#Headers],EXACT_MATCH))</f>
        <v>-1.6380655226209115E-2</v>
      </c>
      <c r="H28" s="277">
        <f ca="1">(VLOOKUP(iLastTradeDate,Quotes[],MATCH(B28,Quotes[#Headers],EXACT_MATCH))-VLOOKUP(TODAY()-180,Quotes[],MATCH(B28,Quotes[#Headers],EXACT_MATCH)))/VLOOKUP(TODAY()-180,Quotes[],MATCH(B28,Quotes[#Headers],EXACT_MATCH))</f>
        <v>-5.4722638680659699E-2</v>
      </c>
      <c r="I28" s="281"/>
      <c r="J28" s="281"/>
      <c r="K28" s="286"/>
      <c r="L28" s="281"/>
      <c r="M28" s="284"/>
    </row>
    <row r="29" spans="2:13" s="283" customFormat="1" ht="29.1" customHeight="1" x14ac:dyDescent="0.25">
      <c r="B29" s="84" t="str">
        <f t="shared" si="3"/>
        <v>VRE.TO</v>
      </c>
      <c r="C29" s="285" t="str">
        <f t="shared" si="2"/>
        <v>Real Estate</v>
      </c>
      <c r="D29" s="277">
        <f ca="1">(VLOOKUP(iLastTradeDate,Quotes[],MATCH(B29,Quotes[#Headers],EXACT_MATCH))-VLOOKUP(TODAY()-7,Quotes[],MATCH(B29,Quotes[#Headers],EXACT_MATCH)))/VLOOKUP(TODAY()-7,Quotes[],MATCH(B29,Quotes[#Headers],EXACT_MATCH))</f>
        <v>0</v>
      </c>
      <c r="E29" s="277">
        <f ca="1">(VLOOKUP(iLastTradeDate,Quotes[],MATCH(B29,Quotes[#Headers],EXACT_MATCH))-VLOOKUP(TODAY()-14,Quotes[],MATCH(B29,Quotes[#Headers],EXACT_MATCH)))/VLOOKUP(TODAY()-14,Quotes[],MATCH(B29,Quotes[#Headers],EXACT_MATCH))</f>
        <v>3.3912324234904895E-2</v>
      </c>
      <c r="F29" s="277">
        <f ca="1">(VLOOKUP(iLastTradeDate,Quotes[],MATCH(B29,Quotes[#Headers],EXACT_MATCH))-VLOOKUP(TODAY()-30,Quotes[],MATCH(B29,Quotes[#Headers],EXACT_MATCH)))/VLOOKUP(TODAY()-30,Quotes[],MATCH(B29,Quotes[#Headers],EXACT_MATCH))</f>
        <v>-6.7512122342409497E-2</v>
      </c>
      <c r="G29" s="277">
        <f ca="1">(VLOOKUP(iLastTradeDate,Quotes[],MATCH(B29,Quotes[#Headers],EXACT_MATCH))-VLOOKUP(TODAY()-90,Quotes[],MATCH(B29,Quotes[#Headers],EXACT_MATCH)))/VLOOKUP(TODAY()-90,Quotes[],MATCH(B29,Quotes[#Headers],EXACT_MATCH))</f>
        <v>-0.28469241773962811</v>
      </c>
      <c r="H29" s="277">
        <f ca="1">(VLOOKUP(iLastTradeDate,Quotes[],MATCH(B29,Quotes[#Headers],EXACT_MATCH))-VLOOKUP(TODAY()-180,Quotes[],MATCH(B29,Quotes[#Headers],EXACT_MATCH)))/VLOOKUP(TODAY()-180,Quotes[],MATCH(B29,Quotes[#Headers],EXACT_MATCH))</f>
        <v>-0.30977360574268359</v>
      </c>
      <c r="I29" s="281"/>
      <c r="J29" s="281"/>
      <c r="K29" s="281"/>
      <c r="L29" s="281"/>
      <c r="M29" s="284"/>
    </row>
    <row r="30" spans="2:13" s="283" customFormat="1" ht="29.1" customHeight="1" x14ac:dyDescent="0.25">
      <c r="B30" s="84" t="str">
        <f t="shared" si="3"/>
        <v>VCN.TO</v>
      </c>
      <c r="C30" s="285" t="str">
        <f t="shared" si="2"/>
        <v>Canadian TMI</v>
      </c>
      <c r="D30" s="277">
        <f ca="1">(VLOOKUP(iLastTradeDate,Quotes[],MATCH(B30,Quotes[#Headers],EXACT_MATCH))-VLOOKUP(TODAY()-7,Quotes[],MATCH(B30,Quotes[#Headers],EXACT_MATCH)))/VLOOKUP(TODAY()-7,Quotes[],MATCH(B30,Quotes[#Headers],EXACT_MATCH))</f>
        <v>0</v>
      </c>
      <c r="E30" s="277">
        <f ca="1">(VLOOKUP(iLastTradeDate,Quotes[],MATCH(B30,Quotes[#Headers],EXACT_MATCH))-VLOOKUP(TODAY()-14,Quotes[],MATCH(B30,Quotes[#Headers],EXACT_MATCH)))/VLOOKUP(TODAY()-14,Quotes[],MATCH(B30,Quotes[#Headers],EXACT_MATCH))</f>
        <v>2.4966261808367019E-2</v>
      </c>
      <c r="F30" s="277">
        <f ca="1">(VLOOKUP(iLastTradeDate,Quotes[],MATCH(B30,Quotes[#Headers],EXACT_MATCH))-VLOOKUP(TODAY()-30,Quotes[],MATCH(B30,Quotes[#Headers],EXACT_MATCH)))/VLOOKUP(TODAY()-30,Quotes[],MATCH(B30,Quotes[#Headers],EXACT_MATCH))</f>
        <v>-1.2032520325203284E-2</v>
      </c>
      <c r="G30" s="277">
        <f ca="1">(VLOOKUP(iLastTradeDate,Quotes[],MATCH(B30,Quotes[#Headers],EXACT_MATCH))-VLOOKUP(TODAY()-90,Quotes[],MATCH(B30,Quotes[#Headers],EXACT_MATCH)))/VLOOKUP(TODAY()-90,Quotes[],MATCH(B30,Quotes[#Headers],EXACT_MATCH))</f>
        <v>-7.6595744680851049E-2</v>
      </c>
      <c r="H30" s="277">
        <f ca="1">(VLOOKUP(iLastTradeDate,Quotes[],MATCH(B30,Quotes[#Headers],EXACT_MATCH))-VLOOKUP(TODAY()-180,Quotes[],MATCH(B30,Quotes[#Headers],EXACT_MATCH)))/VLOOKUP(TODAY()-180,Quotes[],MATCH(B30,Quotes[#Headers],EXACT_MATCH))</f>
        <v>-0.11839814277423104</v>
      </c>
      <c r="I30" s="281"/>
      <c r="J30" s="281"/>
      <c r="K30" s="281"/>
      <c r="L30" s="281"/>
      <c r="M30" s="284"/>
    </row>
    <row r="31" spans="2:13" s="283" customFormat="1" ht="29.1" customHeight="1" x14ac:dyDescent="0.25">
      <c r="B31" s="84" t="str">
        <f t="shared" si="3"/>
        <v>HEP.TO</v>
      </c>
      <c r="C31" s="285" t="str">
        <f t="shared" si="2"/>
        <v>Gold Producers</v>
      </c>
      <c r="D31" s="277">
        <f ca="1">(VLOOKUP(iLastTradeDate,Quotes[],MATCH(B31,Quotes[#Headers],EXACT_MATCH))-VLOOKUP(TODAY()-7,Quotes[],MATCH(B31,Quotes[#Headers],EXACT_MATCH)))/VLOOKUP(TODAY()-7,Quotes[],MATCH(B31,Quotes[#Headers],EXACT_MATCH))</f>
        <v>0</v>
      </c>
      <c r="E31" s="277">
        <f ca="1">(VLOOKUP(iLastTradeDate,Quotes[],MATCH(B31,Quotes[#Headers],EXACT_MATCH))-VLOOKUP(TODAY()-14,Quotes[],MATCH(B31,Quotes[#Headers],EXACT_MATCH)))/VLOOKUP(TODAY()-14,Quotes[],MATCH(B31,Quotes[#Headers],EXACT_MATCH))</f>
        <v>-7.5983717774762861E-3</v>
      </c>
      <c r="F31" s="277">
        <f ca="1">(VLOOKUP(iLastTradeDate,Quotes[],MATCH(B31,Quotes[#Headers],EXACT_MATCH))-VLOOKUP(TODAY()-30,Quotes[],MATCH(B31,Quotes[#Headers],EXACT_MATCH)))/VLOOKUP(TODAY()-30,Quotes[],MATCH(B31,Quotes[#Headers],EXACT_MATCH))</f>
        <v>7.0863836017569598E-2</v>
      </c>
      <c r="G31" s="277">
        <f ca="1">(VLOOKUP(iLastTradeDate,Quotes[],MATCH(B31,Quotes[#Headers],EXACT_MATCH))-VLOOKUP(TODAY()-90,Quotes[],MATCH(B31,Quotes[#Headers],EXACT_MATCH)))/VLOOKUP(TODAY()-90,Quotes[],MATCH(B31,Quotes[#Headers],EXACT_MATCH))</f>
        <v>0.37223264540337719</v>
      </c>
      <c r="H31" s="277">
        <f ca="1">(VLOOKUP(iLastTradeDate,Quotes[],MATCH(B31,Quotes[#Headers],EXACT_MATCH))-VLOOKUP(TODAY()-180,Quotes[],MATCH(B31,Quotes[#Headers],EXACT_MATCH)))/VLOOKUP(TODAY()-180,Quotes[],MATCH(B31,Quotes[#Headers],EXACT_MATCH))</f>
        <v>0.27111574556830031</v>
      </c>
      <c r="I31" s="281"/>
      <c r="J31" s="281"/>
      <c r="K31" s="281"/>
      <c r="L31" s="281"/>
      <c r="M31" s="284"/>
    </row>
    <row r="32" spans="2:13" s="283" customFormat="1" ht="29.1" customHeight="1" x14ac:dyDescent="0.25">
      <c r="B32" s="84" t="str">
        <f t="shared" si="3"/>
        <v>VAB.TO</v>
      </c>
      <c r="C32" s="285" t="str">
        <f t="shared" si="2"/>
        <v>Bonds general</v>
      </c>
      <c r="D32" s="277">
        <f ca="1">(VLOOKUP(iLastTradeDate,Quotes[],MATCH(B32,Quotes[#Headers],EXACT_MATCH))-VLOOKUP(TODAY()-7,Quotes[],MATCH(B32,Quotes[#Headers],EXACT_MATCH)))/VLOOKUP(TODAY()-7,Quotes[],MATCH(B32,Quotes[#Headers],EXACT_MATCH))</f>
        <v>0</v>
      </c>
      <c r="E32" s="277">
        <f ca="1">(VLOOKUP(iLastTradeDate,Quotes[],MATCH(B32,Quotes[#Headers],EXACT_MATCH))-VLOOKUP(TODAY()-14,Quotes[],MATCH(B32,Quotes[#Headers],EXACT_MATCH)))/VLOOKUP(TODAY()-14,Quotes[],MATCH(B32,Quotes[#Headers],EXACT_MATCH))</f>
        <v>0</v>
      </c>
      <c r="F32" s="277">
        <f ca="1">(VLOOKUP(iLastTradeDate,Quotes[],MATCH(B32,Quotes[#Headers],EXACT_MATCH))-VLOOKUP(TODAY()-30,Quotes[],MATCH(B32,Quotes[#Headers],EXACT_MATCH)))/VLOOKUP(TODAY()-30,Quotes[],MATCH(B32,Quotes[#Headers],EXACT_MATCH))</f>
        <v>3.3444816053511653E-3</v>
      </c>
      <c r="G32" s="277">
        <f ca="1">(VLOOKUP(iLastTradeDate,Quotes[],MATCH(B32,Quotes[#Headers],EXACT_MATCH))-VLOOKUP(TODAY()-90,Quotes[],MATCH(B32,Quotes[#Headers],EXACT_MATCH)))/VLOOKUP(TODAY()-90,Quotes[],MATCH(B32,Quotes[#Headers],EXACT_MATCH))</f>
        <v>1.3133208255159529E-2</v>
      </c>
      <c r="H32" s="277">
        <f ca="1">(VLOOKUP(iLastTradeDate,Quotes[],MATCH(B32,Quotes[#Headers],EXACT_MATCH))-VLOOKUP(TODAY()-180,Quotes[],MATCH(B32,Quotes[#Headers],EXACT_MATCH)))/VLOOKUP(TODAY()-180,Quotes[],MATCH(B32,Quotes[#Headers],EXACT_MATCH))</f>
        <v>3.2110091743119261E-2</v>
      </c>
      <c r="I32" s="281"/>
      <c r="J32" s="281"/>
      <c r="K32" s="281"/>
      <c r="L32" s="281"/>
      <c r="M32" s="284"/>
    </row>
    <row r="33" spans="2:13" s="283" customFormat="1" ht="29.1" customHeight="1" x14ac:dyDescent="0.25">
      <c r="B33" s="84" t="str">
        <f>B19</f>
        <v>FXC</v>
      </c>
      <c r="C33" s="285" t="str">
        <f t="shared" si="2"/>
        <v>Currency - CAD</v>
      </c>
      <c r="D33" s="277">
        <f ca="1">(VLOOKUP(iLastTradeDate,Quotes[],MATCH(B33,Quotes[#Headers],EXACT_MATCH))-VLOOKUP(TODAY()-7,Quotes[],MATCH(B33,Quotes[#Headers],EXACT_MATCH)))/VLOOKUP(TODAY()-7,Quotes[],MATCH(B33,Quotes[#Headers],EXACT_MATCH))</f>
        <v>0</v>
      </c>
      <c r="E33" s="277">
        <f ca="1">(VLOOKUP(iLastTradeDate,Quotes[],MATCH(B33,Quotes[#Headers],EXACT_MATCH))-VLOOKUP(TODAY()-14,Quotes[],MATCH(B33,Quotes[#Headers],EXACT_MATCH)))/VLOOKUP(TODAY()-14,Quotes[],MATCH(B33,Quotes[#Headers],EXACT_MATCH))</f>
        <v>1.4437517244534109E-2</v>
      </c>
      <c r="F33" s="277">
        <f ca="1">(VLOOKUP(iLastTradeDate,Quotes[],MATCH(B33,Quotes[#Headers],EXACT_MATCH))-VLOOKUP(TODAY()-30,Quotes[],MATCH(B33,Quotes[#Headers],EXACT_MATCH)))/VLOOKUP(TODAY()-30,Quotes[],MATCH(B33,Quotes[#Headers],EXACT_MATCH))</f>
        <v>-1.2498522134207978E-3</v>
      </c>
      <c r="G33" s="277">
        <f ca="1">(VLOOKUP(iLastTradeDate,Quotes[],MATCH(B33,Quotes[#Headers],EXACT_MATCH))-VLOOKUP(TODAY()-90,Quotes[],MATCH(B33,Quotes[#Headers],EXACT_MATCH)))/VLOOKUP(TODAY()-90,Quotes[],MATCH(B33,Quotes[#Headers],EXACT_MATCH))</f>
        <v>-3.4957160342717349E-2</v>
      </c>
      <c r="H33" s="277">
        <f ca="1">(VLOOKUP(iLastTradeDate,Quotes[],MATCH(B33,Quotes[#Headers],EXACT_MATCH))-VLOOKUP(TODAY()-180,Quotes[],MATCH(B33,Quotes[#Headers],EXACT_MATCH)))/VLOOKUP(TODAY()-180,Quotes[],MATCH(B33,Quotes[#Headers],EXACT_MATCH))</f>
        <v>-4.5073947974000494E-2</v>
      </c>
      <c r="I33" s="281"/>
      <c r="J33" s="281"/>
      <c r="K33" s="281"/>
      <c r="L33" s="281"/>
      <c r="M33" s="284"/>
    </row>
    <row r="34" spans="2:13" s="84" customFormat="1" ht="7.5" customHeight="1" x14ac:dyDescent="0.25">
      <c r="L34" s="283"/>
    </row>
    <row r="35" spans="2:13" s="84" customFormat="1" ht="29.1" customHeight="1" x14ac:dyDescent="0.25">
      <c r="L35" s="283"/>
    </row>
    <row r="36" spans="2:13" s="84" customFormat="1" ht="29.1" customHeight="1" x14ac:dyDescent="0.25">
      <c r="L36" s="283"/>
    </row>
    <row r="37" spans="2:13" s="84" customFormat="1" ht="29.1" customHeight="1" x14ac:dyDescent="0.25">
      <c r="L37" s="283"/>
    </row>
    <row r="38" spans="2:13" s="84" customFormat="1" ht="29.1" customHeight="1" x14ac:dyDescent="0.25">
      <c r="L38" s="283"/>
    </row>
    <row r="39" spans="2:13" s="84" customFormat="1" ht="29.1" customHeight="1" x14ac:dyDescent="0.25">
      <c r="L39" s="283"/>
    </row>
  </sheetData>
  <conditionalFormatting sqref="D24:D33">
    <cfRule type="top10" dxfId="14" priority="13" rank="1"/>
    <cfRule type="top10" dxfId="13" priority="30" rank="1"/>
    <cfRule type="top10" dxfId="12" priority="39" rank="1"/>
  </conditionalFormatting>
  <conditionalFormatting sqref="E24:E33">
    <cfRule type="top10" dxfId="11" priority="10" rank="1"/>
    <cfRule type="top10" dxfId="10" priority="11" rank="1"/>
    <cfRule type="top10" dxfId="9" priority="12" rank="1"/>
  </conditionalFormatting>
  <conditionalFormatting sqref="F24:F33">
    <cfRule type="top10" dxfId="8" priority="7" rank="1"/>
    <cfRule type="top10" dxfId="7" priority="8" rank="1"/>
    <cfRule type="top10" dxfId="6" priority="9" rank="1"/>
  </conditionalFormatting>
  <conditionalFormatting sqref="G24:G33">
    <cfRule type="top10" dxfId="5" priority="4" rank="1"/>
    <cfRule type="top10" dxfId="4" priority="5" rank="1"/>
    <cfRule type="top10" dxfId="3" priority="6" rank="1"/>
  </conditionalFormatting>
  <conditionalFormatting sqref="H24:H33">
    <cfRule type="top10" dxfId="2" priority="1" rank="1"/>
    <cfRule type="top10" dxfId="1" priority="2" rank="1"/>
    <cfRule type="top10" dxfId="0" priority="3" rank="1"/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01F0B-9080-4715-9443-7C7EA0C134C1}">
  <sheetPr codeName="Sheet8"/>
  <dimension ref="A1:C41"/>
  <sheetViews>
    <sheetView topLeftCell="A8" workbookViewId="0">
      <selection activeCell="A41" sqref="A41"/>
    </sheetView>
  </sheetViews>
  <sheetFormatPr defaultRowHeight="14.25" x14ac:dyDescent="0.25"/>
  <cols>
    <col min="2" max="2" width="11.42578125" bestFit="1" customWidth="1"/>
  </cols>
  <sheetData>
    <row r="1" spans="1:3" x14ac:dyDescent="0.25">
      <c r="A1" t="s">
        <v>216</v>
      </c>
      <c r="B1" s="418">
        <v>43101</v>
      </c>
      <c r="C1" t="s">
        <v>217</v>
      </c>
    </row>
    <row r="2" spans="1:3" x14ac:dyDescent="0.25">
      <c r="A2" t="s">
        <v>216</v>
      </c>
      <c r="B2" s="418">
        <v>43115</v>
      </c>
      <c r="C2" t="s">
        <v>218</v>
      </c>
    </row>
    <row r="3" spans="1:3" x14ac:dyDescent="0.25">
      <c r="A3" t="s">
        <v>219</v>
      </c>
      <c r="B3" s="418">
        <v>43145</v>
      </c>
      <c r="C3" t="s">
        <v>220</v>
      </c>
    </row>
    <row r="4" spans="1:3" x14ac:dyDescent="0.25">
      <c r="A4" t="s">
        <v>216</v>
      </c>
      <c r="B4" s="418">
        <v>43150</v>
      </c>
      <c r="C4" t="s">
        <v>221</v>
      </c>
    </row>
    <row r="5" spans="1:3" x14ac:dyDescent="0.25">
      <c r="A5" t="s">
        <v>222</v>
      </c>
      <c r="B5" s="418">
        <v>43189</v>
      </c>
      <c r="C5" t="s">
        <v>223</v>
      </c>
    </row>
    <row r="6" spans="1:3" x14ac:dyDescent="0.25">
      <c r="A6" t="s">
        <v>224</v>
      </c>
      <c r="B6" s="418">
        <v>43191</v>
      </c>
      <c r="C6" t="s">
        <v>225</v>
      </c>
    </row>
    <row r="7" spans="1:3" x14ac:dyDescent="0.25">
      <c r="A7" t="s">
        <v>224</v>
      </c>
      <c r="B7" s="418">
        <v>43233</v>
      </c>
      <c r="C7" t="s">
        <v>226</v>
      </c>
    </row>
    <row r="8" spans="1:3" x14ac:dyDescent="0.25">
      <c r="A8" t="s">
        <v>216</v>
      </c>
      <c r="B8" s="418">
        <v>43248</v>
      </c>
      <c r="C8" t="s">
        <v>227</v>
      </c>
    </row>
    <row r="9" spans="1:3" x14ac:dyDescent="0.25">
      <c r="A9" t="s">
        <v>222</v>
      </c>
      <c r="B9" s="418">
        <v>43252</v>
      </c>
      <c r="C9" t="s">
        <v>228</v>
      </c>
    </row>
    <row r="10" spans="1:3" x14ac:dyDescent="0.25">
      <c r="A10" t="s">
        <v>224</v>
      </c>
      <c r="B10" s="418">
        <v>43268</v>
      </c>
      <c r="C10" t="s">
        <v>229</v>
      </c>
    </row>
    <row r="11" spans="1:3" x14ac:dyDescent="0.25">
      <c r="A11" t="s">
        <v>219</v>
      </c>
      <c r="B11" s="418">
        <v>43285</v>
      </c>
      <c r="C11" t="s">
        <v>230</v>
      </c>
    </row>
    <row r="12" spans="1:3" x14ac:dyDescent="0.25">
      <c r="A12" t="s">
        <v>216</v>
      </c>
      <c r="B12" s="418">
        <v>43346</v>
      </c>
      <c r="C12" t="s">
        <v>231</v>
      </c>
    </row>
    <row r="13" spans="1:3" x14ac:dyDescent="0.25">
      <c r="A13" t="s">
        <v>216</v>
      </c>
      <c r="B13" s="418">
        <v>43381</v>
      </c>
      <c r="C13" t="s">
        <v>232</v>
      </c>
    </row>
    <row r="14" spans="1:3" x14ac:dyDescent="0.25">
      <c r="A14" t="s">
        <v>219</v>
      </c>
      <c r="B14" s="418">
        <v>43404</v>
      </c>
      <c r="C14" t="s">
        <v>233</v>
      </c>
    </row>
    <row r="15" spans="1:3" x14ac:dyDescent="0.25">
      <c r="A15" t="s">
        <v>224</v>
      </c>
      <c r="B15" s="418">
        <v>43415</v>
      </c>
      <c r="C15" t="s">
        <v>234</v>
      </c>
    </row>
    <row r="16" spans="1:3" x14ac:dyDescent="0.25">
      <c r="A16" t="s">
        <v>235</v>
      </c>
      <c r="B16" s="418">
        <v>43426</v>
      </c>
      <c r="C16" t="s">
        <v>236</v>
      </c>
    </row>
    <row r="17" spans="1:3" x14ac:dyDescent="0.25">
      <c r="A17" t="s">
        <v>237</v>
      </c>
      <c r="B17" s="418">
        <v>43466</v>
      </c>
      <c r="C17" t="s">
        <v>217</v>
      </c>
    </row>
    <row r="18" spans="1:3" x14ac:dyDescent="0.25">
      <c r="A18" t="s">
        <v>216</v>
      </c>
      <c r="B18" s="418">
        <v>43486</v>
      </c>
      <c r="C18" t="s">
        <v>218</v>
      </c>
    </row>
    <row r="19" spans="1:3" x14ac:dyDescent="0.25">
      <c r="A19" t="s">
        <v>235</v>
      </c>
      <c r="B19" s="418">
        <v>43510</v>
      </c>
      <c r="C19" t="s">
        <v>220</v>
      </c>
    </row>
    <row r="20" spans="1:3" x14ac:dyDescent="0.25">
      <c r="A20" t="s">
        <v>216</v>
      </c>
      <c r="B20" s="418">
        <v>43514</v>
      </c>
      <c r="C20" t="s">
        <v>221</v>
      </c>
    </row>
    <row r="21" spans="1:3" x14ac:dyDescent="0.25">
      <c r="A21" t="s">
        <v>222</v>
      </c>
      <c r="B21" s="418">
        <v>43574</v>
      </c>
      <c r="C21" t="s">
        <v>223</v>
      </c>
    </row>
    <row r="22" spans="1:3" x14ac:dyDescent="0.25">
      <c r="A22" t="s">
        <v>224</v>
      </c>
      <c r="B22" s="418">
        <v>43576</v>
      </c>
      <c r="C22" t="s">
        <v>225</v>
      </c>
    </row>
    <row r="23" spans="1:3" x14ac:dyDescent="0.25">
      <c r="A23" t="s">
        <v>224</v>
      </c>
      <c r="B23" s="418">
        <v>43597</v>
      </c>
      <c r="C23" t="s">
        <v>226</v>
      </c>
    </row>
    <row r="24" spans="1:3" x14ac:dyDescent="0.25">
      <c r="A24" t="s">
        <v>216</v>
      </c>
      <c r="B24" s="418">
        <v>43612</v>
      </c>
      <c r="C24" t="s">
        <v>227</v>
      </c>
    </row>
    <row r="25" spans="1:3" x14ac:dyDescent="0.25">
      <c r="A25" t="s">
        <v>224</v>
      </c>
      <c r="B25" s="418">
        <v>43632</v>
      </c>
      <c r="C25" t="s">
        <v>229</v>
      </c>
    </row>
    <row r="26" spans="1:3" x14ac:dyDescent="0.25">
      <c r="A26" t="s">
        <v>235</v>
      </c>
      <c r="B26" s="418">
        <v>43650</v>
      </c>
      <c r="C26" t="s">
        <v>230</v>
      </c>
    </row>
    <row r="27" spans="1:3" x14ac:dyDescent="0.25">
      <c r="A27" t="s">
        <v>216</v>
      </c>
      <c r="B27" s="418">
        <v>43710</v>
      </c>
      <c r="C27" t="s">
        <v>231</v>
      </c>
    </row>
    <row r="28" spans="1:3" x14ac:dyDescent="0.25">
      <c r="A28" t="s">
        <v>216</v>
      </c>
      <c r="B28" s="418">
        <v>43752</v>
      </c>
      <c r="C28" t="s">
        <v>232</v>
      </c>
    </row>
    <row r="29" spans="1:3" x14ac:dyDescent="0.25">
      <c r="A29" t="s">
        <v>235</v>
      </c>
      <c r="B29" s="418">
        <v>43769</v>
      </c>
      <c r="C29" t="s">
        <v>233</v>
      </c>
    </row>
    <row r="30" spans="1:3" x14ac:dyDescent="0.25">
      <c r="A30" t="s">
        <v>216</v>
      </c>
      <c r="B30" s="418">
        <v>43780</v>
      </c>
      <c r="C30" t="s">
        <v>234</v>
      </c>
    </row>
    <row r="31" spans="1:3" x14ac:dyDescent="0.25">
      <c r="A31" t="s">
        <v>235</v>
      </c>
      <c r="B31" s="418">
        <v>43797</v>
      </c>
      <c r="C31" t="s">
        <v>236</v>
      </c>
    </row>
    <row r="32" spans="1:3" x14ac:dyDescent="0.25">
      <c r="A32" t="s">
        <v>219</v>
      </c>
      <c r="B32" s="418">
        <v>43824</v>
      </c>
      <c r="C32" t="s">
        <v>238</v>
      </c>
    </row>
    <row r="33" spans="1:3" x14ac:dyDescent="0.25">
      <c r="A33" t="s">
        <v>219</v>
      </c>
      <c r="B33" s="417">
        <v>43831</v>
      </c>
      <c r="C33" t="s">
        <v>217</v>
      </c>
    </row>
    <row r="34" spans="1:3" x14ac:dyDescent="0.25">
      <c r="A34" t="s">
        <v>216</v>
      </c>
      <c r="B34" s="417">
        <v>43850</v>
      </c>
      <c r="C34" t="s">
        <v>218</v>
      </c>
    </row>
    <row r="35" spans="1:3" x14ac:dyDescent="0.25">
      <c r="A35" t="s">
        <v>216</v>
      </c>
      <c r="B35" s="417">
        <v>43878</v>
      </c>
      <c r="C35" t="s">
        <v>221</v>
      </c>
    </row>
    <row r="36" spans="1:3" x14ac:dyDescent="0.25">
      <c r="A36" t="s">
        <v>222</v>
      </c>
      <c r="B36" s="417">
        <v>43931</v>
      </c>
      <c r="C36" t="s">
        <v>223</v>
      </c>
    </row>
    <row r="37" spans="1:3" x14ac:dyDescent="0.25">
      <c r="A37" t="s">
        <v>216</v>
      </c>
      <c r="B37" s="417">
        <v>43976</v>
      </c>
      <c r="C37" t="s">
        <v>227</v>
      </c>
    </row>
    <row r="38" spans="1:3" x14ac:dyDescent="0.25">
      <c r="A38" t="s">
        <v>222</v>
      </c>
      <c r="B38" s="417">
        <v>44015</v>
      </c>
      <c r="C38" t="s">
        <v>230</v>
      </c>
    </row>
    <row r="39" spans="1:3" x14ac:dyDescent="0.25">
      <c r="A39" t="s">
        <v>216</v>
      </c>
      <c r="B39" s="417">
        <v>44081</v>
      </c>
      <c r="C39" t="s">
        <v>231</v>
      </c>
    </row>
    <row r="40" spans="1:3" x14ac:dyDescent="0.25">
      <c r="A40" t="s">
        <v>235</v>
      </c>
      <c r="B40" s="417">
        <v>44161</v>
      </c>
      <c r="C40" t="s">
        <v>287</v>
      </c>
    </row>
    <row r="41" spans="1:3" x14ac:dyDescent="0.25">
      <c r="A41" t="s">
        <v>222</v>
      </c>
      <c r="B41" s="417">
        <v>44190</v>
      </c>
      <c r="C41" t="s">
        <v>238</v>
      </c>
    </row>
  </sheetData>
  <hyperlinks>
    <hyperlink ref="C32" r:id="rId1" display="https://www.calendarlabs.com/holidays/us/christmas.php" xr:uid="{EF8AABD3-3E3B-4721-A26A-515BF531FA0D}"/>
    <hyperlink ref="C31" r:id="rId2" display="https://www.calendarlabs.com/holidays/us/thanksgiving-day.php" xr:uid="{00BC4BD9-E3AC-48CA-BF68-5750F4903986}"/>
    <hyperlink ref="C30" r:id="rId3" display="https://www.calendarlabs.com/holidays/us/veterans-day.php" xr:uid="{B50C50DA-836B-4AA9-9432-D0B1202EF2C1}"/>
    <hyperlink ref="C29" r:id="rId4" display="https://www.calendarlabs.com/holidays/us/halloween.php" xr:uid="{8439505D-3B5B-4F99-BCE3-6738E7CD2147}"/>
    <hyperlink ref="C28" r:id="rId5" display="https://www.calendarlabs.com/holidays/us/columbus-day.php" xr:uid="{2CFFF9FE-52FA-4449-8E46-80FFEAF1EB2B}"/>
    <hyperlink ref="C27" r:id="rId6" display="https://www.calendarlabs.com/holidays/us/labor-day.php" xr:uid="{F6A52C90-42CB-4040-9AF8-7EF358C23D7D}"/>
    <hyperlink ref="C26" r:id="rId7" display="https://www.calendarlabs.com/holidays/us/independence-day.php" xr:uid="{635D6ABB-1549-48A5-9031-DCBF2566B751}"/>
    <hyperlink ref="C25" r:id="rId8" display="https://www.calendarlabs.com/holidays/shared/fathers-day.php" xr:uid="{400972AD-F6FD-47BD-BE61-26311C907CC0}"/>
    <hyperlink ref="C24" r:id="rId9" display="https://www.calendarlabs.com/holidays/us/memorial-day.php" xr:uid="{1EFCEDC1-4099-4B66-B739-34EEDED2B55D}"/>
    <hyperlink ref="C23" r:id="rId10" display="https://www.calendarlabs.com/holidays/shared/mothers-day.php" xr:uid="{1363B1C3-8CB9-4615-B84F-AD979B9F4F4B}"/>
    <hyperlink ref="C22" r:id="rId11" display="https://www.calendarlabs.com/holidays/us/easter.php" xr:uid="{C8E3E68F-BB06-4A30-AF61-082754E1C521}"/>
    <hyperlink ref="C21" r:id="rId12" display="https://www.calendarlabs.com/holidays/us/good-friday.php" xr:uid="{DF69EFBB-8DD0-49C0-8C9B-0C24C12FE3C2}"/>
    <hyperlink ref="C20" r:id="rId13" display="https://www.calendarlabs.com/holidays/us/presidents-day.php" xr:uid="{1C68ABD9-C327-46AF-9A9E-197C6A7E45BE}"/>
    <hyperlink ref="C19" r:id="rId14" display="https://www.calendarlabs.com/holidays/us/valentines-day.php" xr:uid="{99285305-ADE2-4292-B24F-A81C0B1DE970}"/>
    <hyperlink ref="C18" r:id="rId15" display="https://www.calendarlabs.com/holidays/us/martin-luther-king-day.php" xr:uid="{8933938E-3CB7-4C91-B0AC-5E1030750288}"/>
    <hyperlink ref="C17" r:id="rId16" display="https://www.calendarlabs.com/holidays/us/new-years-day.php" xr:uid="{643B3A14-4062-498D-A2E4-187227CF68D4}"/>
    <hyperlink ref="C16" r:id="rId17" display="https://www.calendarlabs.com/holidays/us/thanksgiving-day.php" xr:uid="{3990EA4F-B7E6-48D6-9CFF-F792D1E8F8ED}"/>
    <hyperlink ref="C15" r:id="rId18" display="https://www.calendarlabs.com/holidays/us/veterans-day.php" xr:uid="{845E2D72-A3A8-4541-A0BF-7970B9877F01}"/>
    <hyperlink ref="C14" r:id="rId19" display="https://www.calendarlabs.com/holidays/us/halloween.php" xr:uid="{84B43F68-DAF5-4301-9F61-ABA96A64083E}"/>
    <hyperlink ref="C13" r:id="rId20" display="https://www.calendarlabs.com/holidays/us/columbus-day.php" xr:uid="{EBAF0743-7756-4A82-BB04-199D84A1C0A9}"/>
    <hyperlink ref="C12" r:id="rId21" display="https://www.calendarlabs.com/holidays/us/labor-day.php" xr:uid="{C33868EB-F4D5-492A-8EA4-8E04AA41224C}"/>
    <hyperlink ref="C11" r:id="rId22" display="https://www.calendarlabs.com/holidays/us/independence-day.php" xr:uid="{AE2D2172-26F4-49BB-BE7E-769840D283B8}"/>
    <hyperlink ref="C10" r:id="rId23" display="https://www.calendarlabs.com/holidays/shared/fathers-day.php" xr:uid="{6F07DE12-EB29-40A9-8A25-F789AC08326F}"/>
    <hyperlink ref="C9" r:id="rId24" display="https://www.calendarlabs.com/holidays/fun/national-donut-day.php" xr:uid="{5E9F345A-CC0F-4227-9FA5-52173F6831EE}"/>
    <hyperlink ref="C8" r:id="rId25" display="https://www.calendarlabs.com/holidays/us/memorial-day.php" xr:uid="{A988A89C-343A-4997-BFE8-4BD96556AC2B}"/>
    <hyperlink ref="C7" r:id="rId26" display="https://www.calendarlabs.com/holidays/shared/mothers-day.php" xr:uid="{C16F39BB-7867-4CD4-8F95-4E5D2D110884}"/>
    <hyperlink ref="C6" r:id="rId27" display="https://www.calendarlabs.com/holidays/us/easter.php" xr:uid="{7C39FD3D-5F7F-46DB-BE5C-F556D0A946CD}"/>
    <hyperlink ref="C5" r:id="rId28" display="https://www.calendarlabs.com/holidays/us/good-friday.php" xr:uid="{5BBC66EF-B0EB-4AE0-92A3-84DF02CFDE73}"/>
    <hyperlink ref="C4" r:id="rId29" display="https://www.calendarlabs.com/holidays/us/presidents-day.php" xr:uid="{F146188A-481F-46F7-816F-D70FAAF9D9CF}"/>
    <hyperlink ref="C3" r:id="rId30" display="https://www.calendarlabs.com/holidays/us/valentines-day.php" xr:uid="{3029A097-05A9-47FE-BBBF-1F2425D3D695}"/>
    <hyperlink ref="C2" r:id="rId31" display="https://www.calendarlabs.com/holidays/us/martin-luther-king-day.php" xr:uid="{46867F8B-88F9-47ED-A218-ABC1A21F24AD}"/>
    <hyperlink ref="C1" r:id="rId32" display="https://www.calendarlabs.com/holidays/us/new-years-day.php" xr:uid="{706AB6D8-9114-46A0-BC0A-F910D6CF7E5B}"/>
  </hyperlinks>
  <pageMargins left="0.7" right="0.7" top="0.75" bottom="0.75" header="0.3" footer="0.3"/>
  <pageSetup orientation="portrait" r:id="rId3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3">
    <tabColor theme="0" tint="-0.249977111117893"/>
  </sheetPr>
  <dimension ref="B1:IR2349"/>
  <sheetViews>
    <sheetView showGridLines="0" topLeftCell="A22" zoomScaleNormal="100" workbookViewId="0">
      <selection activeCell="H39" sqref="H39"/>
    </sheetView>
  </sheetViews>
  <sheetFormatPr defaultColWidth="9.140625" defaultRowHeight="16.5" x14ac:dyDescent="0.3"/>
  <cols>
    <col min="1" max="1" width="0.85546875" style="56" customWidth="1"/>
    <col min="2" max="2" width="11.85546875" style="56" customWidth="1"/>
    <col min="3" max="3" width="12.42578125" style="56" customWidth="1"/>
    <col min="4" max="4" width="12" style="56" customWidth="1"/>
    <col min="5" max="5" width="11.5703125" style="56" customWidth="1"/>
    <col min="6" max="6" width="14.85546875" style="56" customWidth="1"/>
    <col min="7" max="7" width="11.7109375" style="56" customWidth="1"/>
    <col min="8" max="8" width="11.42578125" style="56" customWidth="1"/>
    <col min="9" max="9" width="12" style="56" customWidth="1"/>
    <col min="10" max="11" width="11.42578125" style="56" customWidth="1"/>
    <col min="12" max="19" width="12.42578125" style="56" customWidth="1"/>
    <col min="20" max="20" width="11.140625" style="56" customWidth="1"/>
    <col min="21" max="21" width="11.85546875" style="56" customWidth="1"/>
    <col min="22" max="22" width="11" style="392" customWidth="1"/>
    <col min="23" max="23" width="11.5703125" style="392" customWidth="1"/>
    <col min="24" max="27" width="9.140625" style="392"/>
    <col min="28" max="28" width="9.140625" style="392" customWidth="1"/>
    <col min="29" max="29" width="10.7109375" style="392" customWidth="1"/>
    <col min="30" max="30" width="10.5703125" style="392" customWidth="1"/>
    <col min="31" max="31" width="11.140625" style="392" customWidth="1"/>
    <col min="32" max="32" width="11" style="392" customWidth="1"/>
    <col min="33" max="33" width="11.140625" style="392" customWidth="1"/>
    <col min="34" max="34" width="11.5703125" style="392" customWidth="1"/>
    <col min="35" max="252" width="9.140625" style="392"/>
    <col min="253" max="16384" width="9.140625" style="56"/>
  </cols>
  <sheetData>
    <row r="1" spans="2:252" ht="4.5" customHeight="1" x14ac:dyDescent="0.3">
      <c r="B1" s="55"/>
      <c r="C1" s="55"/>
      <c r="D1" s="55"/>
      <c r="E1" s="55"/>
      <c r="F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</row>
    <row r="2" spans="2:252" s="62" customFormat="1" ht="22.15" customHeight="1" x14ac:dyDescent="0.25">
      <c r="B2" s="57" t="s">
        <v>2</v>
      </c>
      <c r="C2" s="58"/>
      <c r="D2" s="58"/>
      <c r="E2" s="58"/>
      <c r="F2" s="58"/>
      <c r="G2" s="58"/>
      <c r="H2" s="58"/>
      <c r="I2" s="58"/>
      <c r="J2" s="59"/>
      <c r="K2" s="60"/>
      <c r="L2" s="58"/>
      <c r="M2" s="58"/>
      <c r="N2" s="61"/>
      <c r="V2" s="393"/>
      <c r="W2" s="393"/>
      <c r="X2" s="393"/>
      <c r="Y2" s="393"/>
      <c r="Z2" s="393"/>
      <c r="AA2" s="393"/>
      <c r="AB2" s="393"/>
      <c r="AC2" s="393"/>
      <c r="AD2" s="393"/>
      <c r="AE2" s="393"/>
      <c r="AF2" s="393"/>
      <c r="AG2" s="393"/>
      <c r="AH2" s="393"/>
      <c r="AI2" s="393"/>
      <c r="AJ2" s="393"/>
      <c r="AK2" s="393"/>
      <c r="AL2" s="393"/>
      <c r="AM2" s="393"/>
      <c r="AN2" s="393"/>
      <c r="AO2" s="393"/>
      <c r="AP2" s="393"/>
      <c r="AQ2" s="393"/>
      <c r="AR2" s="393"/>
      <c r="AS2" s="393"/>
      <c r="AT2" s="393"/>
      <c r="AU2" s="393"/>
      <c r="AV2" s="393"/>
      <c r="AW2" s="393"/>
      <c r="AX2" s="393"/>
      <c r="AY2" s="393"/>
      <c r="AZ2" s="393"/>
      <c r="BA2" s="393"/>
      <c r="BB2" s="393"/>
      <c r="BC2" s="393"/>
      <c r="BD2" s="393"/>
      <c r="BE2" s="393"/>
      <c r="BF2" s="393"/>
      <c r="BG2" s="393"/>
      <c r="BH2" s="393"/>
      <c r="BI2" s="393"/>
      <c r="BJ2" s="393"/>
      <c r="BK2" s="393"/>
      <c r="BL2" s="393"/>
      <c r="BM2" s="393"/>
      <c r="BN2" s="393"/>
      <c r="BO2" s="393"/>
      <c r="BP2" s="393"/>
      <c r="BQ2" s="393"/>
      <c r="BR2" s="393"/>
      <c r="BS2" s="393"/>
      <c r="BT2" s="393"/>
      <c r="BU2" s="393"/>
      <c r="BV2" s="393"/>
      <c r="BW2" s="393"/>
      <c r="BX2" s="393"/>
      <c r="BY2" s="393"/>
      <c r="BZ2" s="393"/>
      <c r="CA2" s="393"/>
      <c r="CB2" s="393"/>
      <c r="CC2" s="393"/>
      <c r="CD2" s="393"/>
      <c r="CE2" s="393"/>
      <c r="CF2" s="393"/>
      <c r="CG2" s="393"/>
      <c r="CH2" s="393"/>
      <c r="CI2" s="393"/>
      <c r="CJ2" s="393"/>
      <c r="CK2" s="393"/>
      <c r="CL2" s="393"/>
      <c r="CM2" s="393"/>
      <c r="CN2" s="393"/>
      <c r="CO2" s="393"/>
      <c r="CP2" s="393"/>
      <c r="CQ2" s="393"/>
      <c r="CR2" s="393"/>
      <c r="CS2" s="393"/>
      <c r="CT2" s="393"/>
      <c r="CU2" s="393"/>
      <c r="CV2" s="393"/>
      <c r="CW2" s="393"/>
      <c r="CX2" s="393"/>
      <c r="CY2" s="393"/>
      <c r="CZ2" s="393"/>
      <c r="DA2" s="393"/>
      <c r="DB2" s="393"/>
      <c r="DC2" s="393"/>
      <c r="DD2" s="393"/>
      <c r="DE2" s="393"/>
      <c r="DF2" s="393"/>
      <c r="DG2" s="393"/>
      <c r="DH2" s="393"/>
      <c r="DI2" s="393"/>
      <c r="DJ2" s="393"/>
      <c r="DK2" s="393"/>
      <c r="DL2" s="393"/>
      <c r="DM2" s="393"/>
      <c r="DN2" s="393"/>
      <c r="DO2" s="393"/>
      <c r="DP2" s="393"/>
      <c r="DQ2" s="393"/>
      <c r="DR2" s="393"/>
      <c r="DS2" s="393"/>
      <c r="DT2" s="393"/>
      <c r="DU2" s="393"/>
      <c r="DV2" s="393"/>
      <c r="DW2" s="393"/>
      <c r="DX2" s="393"/>
      <c r="DY2" s="393"/>
      <c r="DZ2" s="393"/>
      <c r="EA2" s="393"/>
      <c r="EB2" s="393"/>
      <c r="EC2" s="393"/>
      <c r="ED2" s="393"/>
      <c r="EE2" s="393"/>
      <c r="EF2" s="393"/>
      <c r="EG2" s="393"/>
      <c r="EH2" s="393"/>
      <c r="EI2" s="393"/>
      <c r="EJ2" s="393"/>
      <c r="EK2" s="393"/>
      <c r="EL2" s="393"/>
      <c r="EM2" s="393"/>
      <c r="EN2" s="393"/>
      <c r="EO2" s="393"/>
      <c r="EP2" s="393"/>
      <c r="EQ2" s="393"/>
      <c r="ER2" s="393"/>
      <c r="ES2" s="393"/>
      <c r="ET2" s="393"/>
      <c r="EU2" s="393"/>
      <c r="EV2" s="393"/>
      <c r="EW2" s="393"/>
      <c r="EX2" s="393"/>
      <c r="EY2" s="393"/>
      <c r="EZ2" s="393"/>
      <c r="FA2" s="393"/>
      <c r="FB2" s="393"/>
      <c r="FC2" s="393"/>
      <c r="FD2" s="393"/>
      <c r="FE2" s="393"/>
      <c r="FF2" s="393"/>
      <c r="FG2" s="393"/>
      <c r="FH2" s="393"/>
      <c r="FI2" s="393"/>
      <c r="FJ2" s="393"/>
      <c r="FK2" s="393"/>
      <c r="FL2" s="393"/>
      <c r="FM2" s="393"/>
      <c r="FN2" s="393"/>
      <c r="FO2" s="393"/>
      <c r="FP2" s="393"/>
      <c r="FQ2" s="393"/>
      <c r="FR2" s="393"/>
      <c r="FS2" s="393"/>
      <c r="FT2" s="393"/>
      <c r="FU2" s="393"/>
      <c r="FV2" s="393"/>
      <c r="FW2" s="393"/>
      <c r="FX2" s="393"/>
      <c r="FY2" s="393"/>
      <c r="FZ2" s="393"/>
      <c r="GA2" s="393"/>
      <c r="GB2" s="393"/>
      <c r="GC2" s="393"/>
      <c r="GD2" s="393"/>
      <c r="GE2" s="393"/>
      <c r="GF2" s="393"/>
      <c r="GG2" s="393"/>
      <c r="GH2" s="393"/>
      <c r="GI2" s="393"/>
      <c r="GJ2" s="393"/>
      <c r="GK2" s="393"/>
      <c r="GL2" s="393"/>
      <c r="GM2" s="393"/>
      <c r="GN2" s="393"/>
      <c r="GO2" s="393"/>
      <c r="GP2" s="393"/>
      <c r="GQ2" s="393"/>
      <c r="GR2" s="393"/>
      <c r="GS2" s="393"/>
      <c r="GT2" s="393"/>
      <c r="GU2" s="393"/>
      <c r="GV2" s="393"/>
      <c r="GW2" s="393"/>
      <c r="GX2" s="393"/>
      <c r="GY2" s="393"/>
      <c r="GZ2" s="393"/>
      <c r="HA2" s="393"/>
      <c r="HB2" s="393"/>
      <c r="HC2" s="393"/>
      <c r="HD2" s="393"/>
      <c r="HE2" s="393"/>
      <c r="HF2" s="393"/>
      <c r="HG2" s="393"/>
      <c r="HH2" s="393"/>
      <c r="HI2" s="393"/>
      <c r="HJ2" s="393"/>
      <c r="HK2" s="393"/>
      <c r="HL2" s="393"/>
      <c r="HM2" s="393"/>
      <c r="HN2" s="393"/>
      <c r="HO2" s="393"/>
      <c r="HP2" s="393"/>
      <c r="HQ2" s="393"/>
      <c r="HR2" s="393"/>
      <c r="HS2" s="393"/>
      <c r="HT2" s="393"/>
      <c r="HU2" s="393"/>
      <c r="HV2" s="393"/>
      <c r="HW2" s="393"/>
      <c r="HX2" s="393"/>
      <c r="HY2" s="393"/>
      <c r="HZ2" s="393"/>
      <c r="IA2" s="393"/>
      <c r="IB2" s="393"/>
      <c r="IC2" s="393"/>
      <c r="ID2" s="393"/>
      <c r="IE2" s="393"/>
      <c r="IF2" s="393"/>
      <c r="IG2" s="393"/>
      <c r="IH2" s="393"/>
      <c r="II2" s="393"/>
      <c r="IJ2" s="393"/>
      <c r="IK2" s="393"/>
      <c r="IL2" s="393"/>
      <c r="IM2" s="393"/>
      <c r="IN2" s="393"/>
      <c r="IO2" s="393"/>
      <c r="IP2" s="393"/>
      <c r="IQ2" s="393"/>
      <c r="IR2" s="393"/>
    </row>
    <row r="3" spans="2:252" s="66" customFormat="1" ht="4.5" customHeight="1" x14ac:dyDescent="0.25">
      <c r="B3" s="57"/>
      <c r="C3" s="58"/>
      <c r="D3" s="58"/>
      <c r="E3" s="58"/>
      <c r="F3" s="58"/>
      <c r="G3" s="58"/>
      <c r="H3" s="58"/>
      <c r="I3" s="58"/>
      <c r="J3" s="63"/>
      <c r="K3" s="60"/>
      <c r="L3" s="64"/>
      <c r="M3" s="272"/>
      <c r="N3" s="64"/>
      <c r="O3" s="65"/>
      <c r="V3" s="394"/>
      <c r="W3" s="394"/>
      <c r="X3" s="394"/>
      <c r="Y3" s="394"/>
      <c r="Z3" s="394"/>
      <c r="AA3" s="394"/>
      <c r="AB3" s="394"/>
      <c r="AC3" s="394"/>
      <c r="AD3" s="394"/>
      <c r="AE3" s="394"/>
      <c r="AF3" s="394"/>
      <c r="AG3" s="394"/>
      <c r="AH3" s="394"/>
      <c r="AI3" s="394"/>
      <c r="AJ3" s="394"/>
      <c r="AK3" s="394"/>
      <c r="AL3" s="394"/>
      <c r="AM3" s="394"/>
      <c r="AN3" s="394"/>
      <c r="AO3" s="394"/>
      <c r="AP3" s="394"/>
      <c r="AQ3" s="394"/>
      <c r="AR3" s="394"/>
      <c r="AS3" s="394"/>
      <c r="AT3" s="394"/>
      <c r="AU3" s="394"/>
      <c r="AV3" s="394"/>
      <c r="AW3" s="394"/>
      <c r="AX3" s="394"/>
      <c r="AY3" s="394"/>
      <c r="AZ3" s="394"/>
      <c r="BA3" s="394"/>
      <c r="BB3" s="394"/>
      <c r="BC3" s="394"/>
      <c r="BD3" s="394"/>
      <c r="BE3" s="394"/>
      <c r="BF3" s="394"/>
      <c r="BG3" s="394"/>
      <c r="BH3" s="394"/>
      <c r="BI3" s="394"/>
      <c r="BJ3" s="394"/>
      <c r="BK3" s="394"/>
      <c r="BL3" s="394"/>
      <c r="BM3" s="394"/>
      <c r="BN3" s="394"/>
      <c r="BO3" s="394"/>
      <c r="BP3" s="394"/>
      <c r="BQ3" s="394"/>
      <c r="BR3" s="394"/>
      <c r="BS3" s="394"/>
      <c r="BT3" s="394"/>
      <c r="BU3" s="394"/>
      <c r="BV3" s="394"/>
      <c r="BW3" s="394"/>
      <c r="BX3" s="394"/>
      <c r="BY3" s="394"/>
      <c r="BZ3" s="394"/>
      <c r="CA3" s="394"/>
      <c r="CB3" s="394"/>
      <c r="CC3" s="394"/>
      <c r="CD3" s="394"/>
      <c r="CE3" s="394"/>
      <c r="CF3" s="394"/>
      <c r="CG3" s="394"/>
      <c r="CH3" s="394"/>
      <c r="CI3" s="394"/>
      <c r="CJ3" s="394"/>
      <c r="CK3" s="394"/>
      <c r="CL3" s="394"/>
      <c r="CM3" s="394"/>
      <c r="CN3" s="394"/>
      <c r="CO3" s="394"/>
      <c r="CP3" s="394"/>
      <c r="CQ3" s="394"/>
      <c r="CR3" s="394"/>
      <c r="CS3" s="394"/>
      <c r="CT3" s="394"/>
      <c r="CU3" s="394"/>
      <c r="CV3" s="394"/>
      <c r="CW3" s="394"/>
      <c r="CX3" s="394"/>
      <c r="CY3" s="394"/>
      <c r="CZ3" s="394"/>
      <c r="DA3" s="394"/>
      <c r="DB3" s="394"/>
      <c r="DC3" s="394"/>
      <c r="DD3" s="394"/>
      <c r="DE3" s="394"/>
      <c r="DF3" s="394"/>
      <c r="DG3" s="394"/>
      <c r="DH3" s="394"/>
      <c r="DI3" s="394"/>
      <c r="DJ3" s="394"/>
      <c r="DK3" s="394"/>
      <c r="DL3" s="394"/>
      <c r="DM3" s="394"/>
      <c r="DN3" s="394"/>
      <c r="DO3" s="394"/>
      <c r="DP3" s="394"/>
      <c r="DQ3" s="394"/>
      <c r="DR3" s="394"/>
      <c r="DS3" s="394"/>
      <c r="DT3" s="394"/>
      <c r="DU3" s="394"/>
      <c r="DV3" s="394"/>
      <c r="DW3" s="394"/>
      <c r="DX3" s="394"/>
      <c r="DY3" s="394"/>
      <c r="DZ3" s="394"/>
      <c r="EA3" s="394"/>
      <c r="EB3" s="394"/>
      <c r="EC3" s="394"/>
      <c r="ED3" s="394"/>
      <c r="EE3" s="394"/>
      <c r="EF3" s="394"/>
      <c r="EG3" s="394"/>
      <c r="EH3" s="394"/>
      <c r="EI3" s="394"/>
      <c r="EJ3" s="394"/>
      <c r="EK3" s="394"/>
      <c r="EL3" s="394"/>
      <c r="EM3" s="394"/>
      <c r="EN3" s="394"/>
      <c r="EO3" s="394"/>
      <c r="EP3" s="394"/>
      <c r="EQ3" s="394"/>
      <c r="ER3" s="394"/>
      <c r="ES3" s="394"/>
      <c r="ET3" s="394"/>
      <c r="EU3" s="394"/>
      <c r="EV3" s="394"/>
      <c r="EW3" s="394"/>
      <c r="EX3" s="394"/>
      <c r="EY3" s="394"/>
      <c r="EZ3" s="394"/>
      <c r="FA3" s="394"/>
      <c r="FB3" s="394"/>
      <c r="FC3" s="394"/>
      <c r="FD3" s="394"/>
      <c r="FE3" s="394"/>
      <c r="FF3" s="394"/>
      <c r="FG3" s="394"/>
      <c r="FH3" s="394"/>
      <c r="FI3" s="394"/>
      <c r="FJ3" s="394"/>
      <c r="FK3" s="394"/>
      <c r="FL3" s="394"/>
      <c r="FM3" s="394"/>
      <c r="FN3" s="394"/>
      <c r="FO3" s="394"/>
      <c r="FP3" s="394"/>
      <c r="FQ3" s="394"/>
      <c r="FR3" s="394"/>
      <c r="FS3" s="394"/>
      <c r="FT3" s="394"/>
      <c r="FU3" s="394"/>
      <c r="FV3" s="394"/>
      <c r="FW3" s="394"/>
      <c r="FX3" s="394"/>
      <c r="FY3" s="394"/>
      <c r="FZ3" s="394"/>
      <c r="GA3" s="394"/>
      <c r="GB3" s="394"/>
      <c r="GC3" s="394"/>
      <c r="GD3" s="394"/>
      <c r="GE3" s="394"/>
      <c r="GF3" s="394"/>
      <c r="GG3" s="394"/>
      <c r="GH3" s="394"/>
      <c r="GI3" s="394"/>
      <c r="GJ3" s="394"/>
      <c r="GK3" s="394"/>
      <c r="GL3" s="394"/>
      <c r="GM3" s="394"/>
      <c r="GN3" s="394"/>
      <c r="GO3" s="394"/>
      <c r="GP3" s="394"/>
      <c r="GQ3" s="394"/>
      <c r="GR3" s="394"/>
      <c r="GS3" s="394"/>
      <c r="GT3" s="394"/>
      <c r="GU3" s="394"/>
      <c r="GV3" s="394"/>
      <c r="GW3" s="394"/>
      <c r="GX3" s="394"/>
      <c r="GY3" s="394"/>
      <c r="GZ3" s="394"/>
      <c r="HA3" s="394"/>
      <c r="HB3" s="394"/>
      <c r="HC3" s="394"/>
      <c r="HD3" s="394"/>
      <c r="HE3" s="394"/>
      <c r="HF3" s="394"/>
      <c r="HG3" s="394"/>
      <c r="HH3" s="394"/>
      <c r="HI3" s="394"/>
      <c r="HJ3" s="394"/>
      <c r="HK3" s="394"/>
      <c r="HL3" s="394"/>
      <c r="HM3" s="394"/>
      <c r="HN3" s="394"/>
      <c r="HO3" s="394"/>
      <c r="HP3" s="394"/>
      <c r="HQ3" s="394"/>
      <c r="HR3" s="394"/>
      <c r="HS3" s="394"/>
      <c r="HT3" s="394"/>
      <c r="HU3" s="394"/>
      <c r="HV3" s="394"/>
      <c r="HW3" s="394"/>
      <c r="HX3" s="394"/>
      <c r="HY3" s="394"/>
      <c r="HZ3" s="394"/>
      <c r="IA3" s="394"/>
      <c r="IB3" s="394"/>
      <c r="IC3" s="394"/>
      <c r="ID3" s="394"/>
      <c r="IE3" s="394"/>
      <c r="IF3" s="394"/>
      <c r="IG3" s="394"/>
      <c r="IH3" s="394"/>
      <c r="II3" s="394"/>
      <c r="IJ3" s="394"/>
      <c r="IK3" s="394"/>
      <c r="IL3" s="394"/>
      <c r="IM3" s="394"/>
      <c r="IN3" s="394"/>
      <c r="IO3" s="394"/>
      <c r="IP3" s="394"/>
      <c r="IQ3" s="394"/>
      <c r="IR3" s="394"/>
    </row>
    <row r="4" spans="2:252" s="62" customFormat="1" ht="25.15" customHeight="1" x14ac:dyDescent="0.25">
      <c r="B4" s="58" t="s">
        <v>3</v>
      </c>
      <c r="C4" s="58"/>
      <c r="D4" s="188">
        <v>290.98</v>
      </c>
      <c r="E4" s="59" t="s">
        <v>4</v>
      </c>
      <c r="H4" s="58"/>
      <c r="I4" s="58"/>
      <c r="J4" s="59"/>
      <c r="K4" s="58"/>
      <c r="L4" s="58"/>
      <c r="M4" s="58"/>
      <c r="N4" s="61"/>
      <c r="V4" s="393"/>
      <c r="W4" s="393"/>
      <c r="X4" s="393"/>
      <c r="Y4" s="393"/>
      <c r="Z4" s="393"/>
      <c r="AA4" s="393"/>
      <c r="AB4" s="393"/>
      <c r="AC4" s="393"/>
      <c r="AD4" s="393"/>
      <c r="AE4" s="393"/>
      <c r="AF4" s="393"/>
      <c r="AG4" s="393"/>
      <c r="AH4" s="393"/>
      <c r="AI4" s="393"/>
      <c r="AJ4" s="393"/>
      <c r="AK4" s="393"/>
      <c r="AL4" s="393"/>
      <c r="AM4" s="393"/>
      <c r="AN4" s="393"/>
      <c r="AO4" s="393"/>
      <c r="AP4" s="393"/>
      <c r="AQ4" s="393"/>
      <c r="AR4" s="393"/>
      <c r="AS4" s="393"/>
      <c r="AT4" s="393"/>
      <c r="AU4" s="393"/>
      <c r="AV4" s="393"/>
      <c r="AW4" s="393"/>
      <c r="AX4" s="393"/>
      <c r="AY4" s="393"/>
      <c r="AZ4" s="393"/>
      <c r="BA4" s="393"/>
      <c r="BB4" s="393"/>
      <c r="BC4" s="393"/>
      <c r="BD4" s="393"/>
      <c r="BE4" s="393"/>
      <c r="BF4" s="393"/>
      <c r="BG4" s="393"/>
      <c r="BH4" s="393"/>
      <c r="BI4" s="393"/>
      <c r="BJ4" s="393"/>
      <c r="BK4" s="393"/>
      <c r="BL4" s="393"/>
      <c r="BM4" s="393"/>
      <c r="BN4" s="393"/>
      <c r="BO4" s="393"/>
      <c r="BP4" s="393"/>
      <c r="BQ4" s="393"/>
      <c r="BR4" s="393"/>
      <c r="BS4" s="393"/>
      <c r="BT4" s="393"/>
      <c r="BU4" s="393"/>
      <c r="BV4" s="393"/>
      <c r="BW4" s="393"/>
      <c r="BX4" s="393"/>
      <c r="BY4" s="393"/>
      <c r="BZ4" s="393"/>
      <c r="CA4" s="393"/>
      <c r="CB4" s="393"/>
      <c r="CC4" s="393"/>
      <c r="CD4" s="393"/>
      <c r="CE4" s="393"/>
      <c r="CF4" s="393"/>
      <c r="CG4" s="393"/>
      <c r="CH4" s="393"/>
      <c r="CI4" s="393"/>
      <c r="CJ4" s="393"/>
      <c r="CK4" s="393"/>
      <c r="CL4" s="393"/>
      <c r="CM4" s="393"/>
      <c r="CN4" s="393"/>
      <c r="CO4" s="393"/>
      <c r="CP4" s="393"/>
      <c r="CQ4" s="393"/>
      <c r="CR4" s="393"/>
      <c r="CS4" s="393"/>
      <c r="CT4" s="393"/>
      <c r="CU4" s="393"/>
      <c r="CV4" s="393"/>
      <c r="CW4" s="393"/>
      <c r="CX4" s="393"/>
      <c r="CY4" s="393"/>
      <c r="CZ4" s="393"/>
      <c r="DA4" s="393"/>
      <c r="DB4" s="393"/>
      <c r="DC4" s="393"/>
      <c r="DD4" s="393"/>
      <c r="DE4" s="393"/>
      <c r="DF4" s="393"/>
      <c r="DG4" s="393"/>
      <c r="DH4" s="393"/>
      <c r="DI4" s="393"/>
      <c r="DJ4" s="393"/>
      <c r="DK4" s="393"/>
      <c r="DL4" s="393"/>
      <c r="DM4" s="393"/>
      <c r="DN4" s="393"/>
      <c r="DO4" s="393"/>
      <c r="DP4" s="393"/>
      <c r="DQ4" s="393"/>
      <c r="DR4" s="393"/>
      <c r="DS4" s="393"/>
      <c r="DT4" s="393"/>
      <c r="DU4" s="393"/>
      <c r="DV4" s="393"/>
      <c r="DW4" s="393"/>
      <c r="DX4" s="393"/>
      <c r="DY4" s="393"/>
      <c r="DZ4" s="393"/>
      <c r="EA4" s="393"/>
      <c r="EB4" s="393"/>
      <c r="EC4" s="393"/>
      <c r="ED4" s="393"/>
      <c r="EE4" s="393"/>
      <c r="EF4" s="393"/>
      <c r="EG4" s="393"/>
      <c r="EH4" s="393"/>
      <c r="EI4" s="393"/>
      <c r="EJ4" s="393"/>
      <c r="EK4" s="393"/>
      <c r="EL4" s="393"/>
      <c r="EM4" s="393"/>
      <c r="EN4" s="393"/>
      <c r="EO4" s="393"/>
      <c r="EP4" s="393"/>
      <c r="EQ4" s="393"/>
      <c r="ER4" s="393"/>
      <c r="ES4" s="393"/>
      <c r="ET4" s="393"/>
      <c r="EU4" s="393"/>
      <c r="EV4" s="393"/>
      <c r="EW4" s="393"/>
      <c r="EX4" s="393"/>
      <c r="EY4" s="393"/>
      <c r="EZ4" s="393"/>
      <c r="FA4" s="393"/>
      <c r="FB4" s="393"/>
      <c r="FC4" s="393"/>
      <c r="FD4" s="393"/>
      <c r="FE4" s="393"/>
      <c r="FF4" s="393"/>
      <c r="FG4" s="393"/>
      <c r="FH4" s="393"/>
      <c r="FI4" s="393"/>
      <c r="FJ4" s="393"/>
      <c r="FK4" s="393"/>
      <c r="FL4" s="393"/>
      <c r="FM4" s="393"/>
      <c r="FN4" s="393"/>
      <c r="FO4" s="393"/>
      <c r="FP4" s="393"/>
      <c r="FQ4" s="393"/>
      <c r="FR4" s="393"/>
      <c r="FS4" s="393"/>
      <c r="FT4" s="393"/>
      <c r="FU4" s="393"/>
      <c r="FV4" s="393"/>
      <c r="FW4" s="393"/>
      <c r="FX4" s="393"/>
      <c r="FY4" s="393"/>
      <c r="FZ4" s="393"/>
      <c r="GA4" s="393"/>
      <c r="GB4" s="393"/>
      <c r="GC4" s="393"/>
      <c r="GD4" s="393"/>
      <c r="GE4" s="393"/>
      <c r="GF4" s="393"/>
      <c r="GG4" s="393"/>
      <c r="GH4" s="393"/>
      <c r="GI4" s="393"/>
      <c r="GJ4" s="393"/>
      <c r="GK4" s="393"/>
      <c r="GL4" s="393"/>
      <c r="GM4" s="393"/>
      <c r="GN4" s="393"/>
      <c r="GO4" s="393"/>
      <c r="GP4" s="393"/>
      <c r="GQ4" s="393"/>
      <c r="GR4" s="393"/>
      <c r="GS4" s="393"/>
      <c r="GT4" s="393"/>
      <c r="GU4" s="393"/>
      <c r="GV4" s="393"/>
      <c r="GW4" s="393"/>
      <c r="GX4" s="393"/>
      <c r="GY4" s="393"/>
      <c r="GZ4" s="393"/>
      <c r="HA4" s="393"/>
      <c r="HB4" s="393"/>
      <c r="HC4" s="393"/>
      <c r="HD4" s="393"/>
      <c r="HE4" s="393"/>
      <c r="HF4" s="393"/>
      <c r="HG4" s="393"/>
      <c r="HH4" s="393"/>
      <c r="HI4" s="393"/>
      <c r="HJ4" s="393"/>
      <c r="HK4" s="393"/>
      <c r="HL4" s="393"/>
      <c r="HM4" s="393"/>
      <c r="HN4" s="393"/>
      <c r="HO4" s="393"/>
      <c r="HP4" s="393"/>
      <c r="HQ4" s="393"/>
      <c r="HR4" s="393"/>
      <c r="HS4" s="393"/>
      <c r="HT4" s="393"/>
      <c r="HU4" s="393"/>
      <c r="HV4" s="393"/>
      <c r="HW4" s="393"/>
      <c r="HX4" s="393"/>
      <c r="HY4" s="393"/>
      <c r="HZ4" s="393"/>
      <c r="IA4" s="393"/>
      <c r="IB4" s="393"/>
      <c r="IC4" s="393"/>
      <c r="ID4" s="393"/>
      <c r="IE4" s="393"/>
      <c r="IF4" s="393"/>
      <c r="IG4" s="393"/>
      <c r="IH4" s="393"/>
      <c r="II4" s="393"/>
      <c r="IJ4" s="393"/>
      <c r="IK4" s="393"/>
      <c r="IL4" s="393"/>
      <c r="IM4" s="393"/>
      <c r="IN4" s="393"/>
      <c r="IO4" s="393"/>
      <c r="IP4" s="393"/>
      <c r="IQ4" s="393"/>
      <c r="IR4" s="393"/>
    </row>
    <row r="5" spans="2:252" s="62" customFormat="1" ht="25.15" customHeight="1" x14ac:dyDescent="0.25">
      <c r="B5" s="58" t="s">
        <v>5</v>
      </c>
      <c r="C5" s="58"/>
      <c r="D5" s="188">
        <v>428</v>
      </c>
      <c r="E5" s="59" t="s">
        <v>6</v>
      </c>
      <c r="H5" s="58"/>
      <c r="I5" s="58"/>
      <c r="J5" s="59"/>
      <c r="K5" s="58"/>
      <c r="L5" s="58"/>
      <c r="M5" s="58"/>
      <c r="N5" s="61"/>
      <c r="V5" s="393"/>
      <c r="W5" s="393"/>
      <c r="X5" s="393"/>
      <c r="Y5" s="393"/>
      <c r="Z5" s="393"/>
      <c r="AA5" s="393"/>
      <c r="AB5" s="393"/>
      <c r="AC5" s="393"/>
      <c r="AD5" s="393"/>
      <c r="AE5" s="393"/>
      <c r="AF5" s="393"/>
      <c r="AG5" s="393"/>
      <c r="AH5" s="393"/>
      <c r="AI5" s="393"/>
      <c r="AJ5" s="393"/>
      <c r="AK5" s="393"/>
      <c r="AL5" s="393"/>
      <c r="AM5" s="393"/>
      <c r="AN5" s="393"/>
      <c r="AO5" s="393"/>
      <c r="AP5" s="393"/>
      <c r="AQ5" s="393"/>
      <c r="AR5" s="393"/>
      <c r="AS5" s="393"/>
      <c r="AT5" s="393"/>
      <c r="AU5" s="393"/>
      <c r="AV5" s="393"/>
      <c r="AW5" s="393"/>
      <c r="AX5" s="393"/>
      <c r="AY5" s="393"/>
      <c r="AZ5" s="393"/>
      <c r="BA5" s="393"/>
      <c r="BB5" s="393"/>
      <c r="BC5" s="393"/>
      <c r="BD5" s="393"/>
      <c r="BE5" s="393"/>
      <c r="BF5" s="393"/>
      <c r="BG5" s="393"/>
      <c r="BH5" s="393"/>
      <c r="BI5" s="393"/>
      <c r="BJ5" s="393"/>
      <c r="BK5" s="393"/>
      <c r="BL5" s="393"/>
      <c r="BM5" s="393"/>
      <c r="BN5" s="393"/>
      <c r="BO5" s="393"/>
      <c r="BP5" s="393"/>
      <c r="BQ5" s="393"/>
      <c r="BR5" s="393"/>
      <c r="BS5" s="393"/>
      <c r="BT5" s="393"/>
      <c r="BU5" s="393"/>
      <c r="BV5" s="393"/>
      <c r="BW5" s="393"/>
      <c r="BX5" s="393"/>
      <c r="BY5" s="393"/>
      <c r="BZ5" s="393"/>
      <c r="CA5" s="393"/>
      <c r="CB5" s="393"/>
      <c r="CC5" s="393"/>
      <c r="CD5" s="393"/>
      <c r="CE5" s="393"/>
      <c r="CF5" s="393"/>
      <c r="CG5" s="393"/>
      <c r="CH5" s="393"/>
      <c r="CI5" s="393"/>
      <c r="CJ5" s="393"/>
      <c r="CK5" s="393"/>
      <c r="CL5" s="393"/>
      <c r="CM5" s="393"/>
      <c r="CN5" s="393"/>
      <c r="CO5" s="393"/>
      <c r="CP5" s="393"/>
      <c r="CQ5" s="393"/>
      <c r="CR5" s="393"/>
      <c r="CS5" s="393"/>
      <c r="CT5" s="393"/>
      <c r="CU5" s="393"/>
      <c r="CV5" s="393"/>
      <c r="CW5" s="393"/>
      <c r="CX5" s="393"/>
      <c r="CY5" s="393"/>
      <c r="CZ5" s="393"/>
      <c r="DA5" s="393"/>
      <c r="DB5" s="393"/>
      <c r="DC5" s="393"/>
      <c r="DD5" s="393"/>
      <c r="DE5" s="393"/>
      <c r="DF5" s="393"/>
      <c r="DG5" s="393"/>
      <c r="DH5" s="393"/>
      <c r="DI5" s="393"/>
      <c r="DJ5" s="393"/>
      <c r="DK5" s="393"/>
      <c r="DL5" s="393"/>
      <c r="DM5" s="393"/>
      <c r="DN5" s="393"/>
      <c r="DO5" s="393"/>
      <c r="DP5" s="393"/>
      <c r="DQ5" s="393"/>
      <c r="DR5" s="393"/>
      <c r="DS5" s="393"/>
      <c r="DT5" s="393"/>
      <c r="DU5" s="393"/>
      <c r="DV5" s="393"/>
      <c r="DW5" s="393"/>
      <c r="DX5" s="393"/>
      <c r="DY5" s="393"/>
      <c r="DZ5" s="393"/>
      <c r="EA5" s="393"/>
      <c r="EB5" s="393"/>
      <c r="EC5" s="393"/>
      <c r="ED5" s="393"/>
      <c r="EE5" s="393"/>
      <c r="EF5" s="393"/>
      <c r="EG5" s="393"/>
      <c r="EH5" s="393"/>
      <c r="EI5" s="393"/>
      <c r="EJ5" s="393"/>
      <c r="EK5" s="393"/>
      <c r="EL5" s="393"/>
      <c r="EM5" s="393"/>
      <c r="EN5" s="393"/>
      <c r="EO5" s="393"/>
      <c r="EP5" s="393"/>
      <c r="EQ5" s="393"/>
      <c r="ER5" s="393"/>
      <c r="ES5" s="393"/>
      <c r="ET5" s="393"/>
      <c r="EU5" s="393"/>
      <c r="EV5" s="393"/>
      <c r="EW5" s="393"/>
      <c r="EX5" s="393"/>
      <c r="EY5" s="393"/>
      <c r="EZ5" s="393"/>
      <c r="FA5" s="393"/>
      <c r="FB5" s="393"/>
      <c r="FC5" s="393"/>
      <c r="FD5" s="393"/>
      <c r="FE5" s="393"/>
      <c r="FF5" s="393"/>
      <c r="FG5" s="393"/>
      <c r="FH5" s="393"/>
      <c r="FI5" s="393"/>
      <c r="FJ5" s="393"/>
      <c r="FK5" s="393"/>
      <c r="FL5" s="393"/>
      <c r="FM5" s="393"/>
      <c r="FN5" s="393"/>
      <c r="FO5" s="393"/>
      <c r="FP5" s="393"/>
      <c r="FQ5" s="393"/>
      <c r="FR5" s="393"/>
      <c r="FS5" s="393"/>
      <c r="FT5" s="393"/>
      <c r="FU5" s="393"/>
      <c r="FV5" s="393"/>
      <c r="FW5" s="393"/>
      <c r="FX5" s="393"/>
      <c r="FY5" s="393"/>
      <c r="FZ5" s="393"/>
      <c r="GA5" s="393"/>
      <c r="GB5" s="393"/>
      <c r="GC5" s="393"/>
      <c r="GD5" s="393"/>
      <c r="GE5" s="393"/>
      <c r="GF5" s="393"/>
      <c r="GG5" s="393"/>
      <c r="GH5" s="393"/>
      <c r="GI5" s="393"/>
      <c r="GJ5" s="393"/>
      <c r="GK5" s="393"/>
      <c r="GL5" s="393"/>
      <c r="GM5" s="393"/>
      <c r="GN5" s="393"/>
      <c r="GO5" s="393"/>
      <c r="GP5" s="393"/>
      <c r="GQ5" s="393"/>
      <c r="GR5" s="393"/>
      <c r="GS5" s="393"/>
      <c r="GT5" s="393"/>
      <c r="GU5" s="393"/>
      <c r="GV5" s="393"/>
      <c r="GW5" s="393"/>
      <c r="GX5" s="393"/>
      <c r="GY5" s="393"/>
      <c r="GZ5" s="393"/>
      <c r="HA5" s="393"/>
      <c r="HB5" s="393"/>
      <c r="HC5" s="393"/>
      <c r="HD5" s="393"/>
      <c r="HE5" s="393"/>
      <c r="HF5" s="393"/>
      <c r="HG5" s="393"/>
      <c r="HH5" s="393"/>
      <c r="HI5" s="393"/>
      <c r="HJ5" s="393"/>
      <c r="HK5" s="393"/>
      <c r="HL5" s="393"/>
      <c r="HM5" s="393"/>
      <c r="HN5" s="393"/>
      <c r="HO5" s="393"/>
      <c r="HP5" s="393"/>
      <c r="HQ5" s="393"/>
      <c r="HR5" s="393"/>
      <c r="HS5" s="393"/>
      <c r="HT5" s="393"/>
      <c r="HU5" s="393"/>
      <c r="HV5" s="393"/>
      <c r="HW5" s="393"/>
      <c r="HX5" s="393"/>
      <c r="HY5" s="393"/>
      <c r="HZ5" s="393"/>
      <c r="IA5" s="393"/>
      <c r="IB5" s="393"/>
      <c r="IC5" s="393"/>
      <c r="ID5" s="393"/>
      <c r="IE5" s="393"/>
      <c r="IF5" s="393"/>
      <c r="IG5" s="393"/>
      <c r="IH5" s="393"/>
      <c r="II5" s="393"/>
      <c r="IJ5" s="393"/>
      <c r="IK5" s="393"/>
      <c r="IL5" s="393"/>
      <c r="IM5" s="393"/>
      <c r="IN5" s="393"/>
      <c r="IO5" s="393"/>
      <c r="IP5" s="393"/>
      <c r="IQ5" s="393"/>
      <c r="IR5" s="393"/>
    </row>
    <row r="6" spans="2:252" s="62" customFormat="1" ht="25.15" customHeight="1" x14ac:dyDescent="0.25">
      <c r="B6" s="58" t="s">
        <v>7</v>
      </c>
      <c r="C6" s="58"/>
      <c r="D6" s="61">
        <v>0</v>
      </c>
      <c r="E6" s="59" t="s">
        <v>8</v>
      </c>
      <c r="H6" s="58"/>
      <c r="I6" s="58"/>
      <c r="J6" s="59"/>
      <c r="K6" s="58"/>
      <c r="L6" s="58"/>
      <c r="M6" s="58"/>
      <c r="N6" s="61"/>
      <c r="V6" s="393"/>
      <c r="W6" s="393"/>
      <c r="X6" s="393"/>
      <c r="Y6" s="393"/>
      <c r="Z6" s="393"/>
      <c r="AA6" s="393"/>
      <c r="AB6" s="393"/>
      <c r="AC6" s="393"/>
      <c r="AD6" s="393"/>
      <c r="AE6" s="393"/>
      <c r="AF6" s="393"/>
      <c r="AG6" s="393"/>
      <c r="AH6" s="393"/>
      <c r="AI6" s="393"/>
      <c r="AJ6" s="393"/>
      <c r="AK6" s="393"/>
      <c r="AL6" s="393"/>
      <c r="AM6" s="393"/>
      <c r="AN6" s="393"/>
      <c r="AO6" s="393"/>
      <c r="AP6" s="393"/>
      <c r="AQ6" s="393"/>
      <c r="AR6" s="393"/>
      <c r="AS6" s="393"/>
      <c r="AT6" s="393"/>
      <c r="AU6" s="393"/>
      <c r="AV6" s="393"/>
      <c r="AW6" s="393"/>
      <c r="AX6" s="393"/>
      <c r="AY6" s="393"/>
      <c r="AZ6" s="393"/>
      <c r="BA6" s="393"/>
      <c r="BB6" s="393"/>
      <c r="BC6" s="393"/>
      <c r="BD6" s="393"/>
      <c r="BE6" s="393"/>
      <c r="BF6" s="393"/>
      <c r="BG6" s="393"/>
      <c r="BH6" s="393"/>
      <c r="BI6" s="393"/>
      <c r="BJ6" s="393"/>
      <c r="BK6" s="393"/>
      <c r="BL6" s="393"/>
      <c r="BM6" s="393"/>
      <c r="BN6" s="393"/>
      <c r="BO6" s="393"/>
      <c r="BP6" s="393"/>
      <c r="BQ6" s="393"/>
      <c r="BR6" s="393"/>
      <c r="BS6" s="393"/>
      <c r="BT6" s="393"/>
      <c r="BU6" s="393"/>
      <c r="BV6" s="393"/>
      <c r="BW6" s="393"/>
      <c r="BX6" s="393"/>
      <c r="BY6" s="393"/>
      <c r="BZ6" s="393"/>
      <c r="CA6" s="393"/>
      <c r="CB6" s="393"/>
      <c r="CC6" s="393"/>
      <c r="CD6" s="393"/>
      <c r="CE6" s="393"/>
      <c r="CF6" s="393"/>
      <c r="CG6" s="393"/>
      <c r="CH6" s="393"/>
      <c r="CI6" s="393"/>
      <c r="CJ6" s="393"/>
      <c r="CK6" s="393"/>
      <c r="CL6" s="393"/>
      <c r="CM6" s="393"/>
      <c r="CN6" s="393"/>
      <c r="CO6" s="393"/>
      <c r="CP6" s="393"/>
      <c r="CQ6" s="393"/>
      <c r="CR6" s="393"/>
      <c r="CS6" s="393"/>
      <c r="CT6" s="393"/>
      <c r="CU6" s="393"/>
      <c r="CV6" s="393"/>
      <c r="CW6" s="393"/>
      <c r="CX6" s="393"/>
      <c r="CY6" s="393"/>
      <c r="CZ6" s="393"/>
      <c r="DA6" s="393"/>
      <c r="DB6" s="393"/>
      <c r="DC6" s="393"/>
      <c r="DD6" s="393"/>
      <c r="DE6" s="393"/>
      <c r="DF6" s="393"/>
      <c r="DG6" s="393"/>
      <c r="DH6" s="393"/>
      <c r="DI6" s="393"/>
      <c r="DJ6" s="393"/>
      <c r="DK6" s="393"/>
      <c r="DL6" s="393"/>
      <c r="DM6" s="393"/>
      <c r="DN6" s="393"/>
      <c r="DO6" s="393"/>
      <c r="DP6" s="393"/>
      <c r="DQ6" s="393"/>
      <c r="DR6" s="393"/>
      <c r="DS6" s="393"/>
      <c r="DT6" s="393"/>
      <c r="DU6" s="393"/>
      <c r="DV6" s="393"/>
      <c r="DW6" s="393"/>
      <c r="DX6" s="393"/>
      <c r="DY6" s="393"/>
      <c r="DZ6" s="393"/>
      <c r="EA6" s="393"/>
      <c r="EB6" s="393"/>
      <c r="EC6" s="393"/>
      <c r="ED6" s="393"/>
      <c r="EE6" s="393"/>
      <c r="EF6" s="393"/>
      <c r="EG6" s="393"/>
      <c r="EH6" s="393"/>
      <c r="EI6" s="393"/>
      <c r="EJ6" s="393"/>
      <c r="EK6" s="393"/>
      <c r="EL6" s="393"/>
      <c r="EM6" s="393"/>
      <c r="EN6" s="393"/>
      <c r="EO6" s="393"/>
      <c r="EP6" s="393"/>
      <c r="EQ6" s="393"/>
      <c r="ER6" s="393"/>
      <c r="ES6" s="393"/>
      <c r="ET6" s="393"/>
      <c r="EU6" s="393"/>
      <c r="EV6" s="393"/>
      <c r="EW6" s="393"/>
      <c r="EX6" s="393"/>
      <c r="EY6" s="393"/>
      <c r="EZ6" s="393"/>
      <c r="FA6" s="393"/>
      <c r="FB6" s="393"/>
      <c r="FC6" s="393"/>
      <c r="FD6" s="393"/>
      <c r="FE6" s="393"/>
      <c r="FF6" s="393"/>
      <c r="FG6" s="393"/>
      <c r="FH6" s="393"/>
      <c r="FI6" s="393"/>
      <c r="FJ6" s="393"/>
      <c r="FK6" s="393"/>
      <c r="FL6" s="393"/>
      <c r="FM6" s="393"/>
      <c r="FN6" s="393"/>
      <c r="FO6" s="393"/>
      <c r="FP6" s="393"/>
      <c r="FQ6" s="393"/>
      <c r="FR6" s="393"/>
      <c r="FS6" s="393"/>
      <c r="FT6" s="393"/>
      <c r="FU6" s="393"/>
      <c r="FV6" s="393"/>
      <c r="FW6" s="393"/>
      <c r="FX6" s="393"/>
      <c r="FY6" s="393"/>
      <c r="FZ6" s="393"/>
      <c r="GA6" s="393"/>
      <c r="GB6" s="393"/>
      <c r="GC6" s="393"/>
      <c r="GD6" s="393"/>
      <c r="GE6" s="393"/>
      <c r="GF6" s="393"/>
      <c r="GG6" s="393"/>
      <c r="GH6" s="393"/>
      <c r="GI6" s="393"/>
      <c r="GJ6" s="393"/>
      <c r="GK6" s="393"/>
      <c r="GL6" s="393"/>
      <c r="GM6" s="393"/>
      <c r="GN6" s="393"/>
      <c r="GO6" s="393"/>
      <c r="GP6" s="393"/>
      <c r="GQ6" s="393"/>
      <c r="GR6" s="393"/>
      <c r="GS6" s="393"/>
      <c r="GT6" s="393"/>
      <c r="GU6" s="393"/>
      <c r="GV6" s="393"/>
      <c r="GW6" s="393"/>
      <c r="GX6" s="393"/>
      <c r="GY6" s="393"/>
      <c r="GZ6" s="393"/>
      <c r="HA6" s="393"/>
      <c r="HB6" s="393"/>
      <c r="HC6" s="393"/>
      <c r="HD6" s="393"/>
      <c r="HE6" s="393"/>
      <c r="HF6" s="393"/>
      <c r="HG6" s="393"/>
      <c r="HH6" s="393"/>
      <c r="HI6" s="393"/>
      <c r="HJ6" s="393"/>
      <c r="HK6" s="393"/>
      <c r="HL6" s="393"/>
      <c r="HM6" s="393"/>
      <c r="HN6" s="393"/>
      <c r="HO6" s="393"/>
      <c r="HP6" s="393"/>
      <c r="HQ6" s="393"/>
      <c r="HR6" s="393"/>
      <c r="HS6" s="393"/>
      <c r="HT6" s="393"/>
      <c r="HU6" s="393"/>
      <c r="HV6" s="393"/>
      <c r="HW6" s="393"/>
      <c r="HX6" s="393"/>
      <c r="HY6" s="393"/>
      <c r="HZ6" s="393"/>
      <c r="IA6" s="393"/>
      <c r="IB6" s="393"/>
      <c r="IC6" s="393"/>
      <c r="ID6" s="393"/>
      <c r="IE6" s="393"/>
      <c r="IF6" s="393"/>
      <c r="IG6" s="393"/>
      <c r="IH6" s="393"/>
      <c r="II6" s="393"/>
      <c r="IJ6" s="393"/>
      <c r="IK6" s="393"/>
      <c r="IL6" s="393"/>
      <c r="IM6" s="393"/>
      <c r="IN6" s="393"/>
      <c r="IO6" s="393"/>
      <c r="IP6" s="393"/>
      <c r="IQ6" s="393"/>
      <c r="IR6" s="393"/>
    </row>
    <row r="7" spans="2:252" s="62" customFormat="1" ht="25.15" customHeight="1" x14ac:dyDescent="0.25">
      <c r="B7" s="86" t="s">
        <v>56</v>
      </c>
      <c r="C7" s="58"/>
      <c r="D7" s="61">
        <v>875</v>
      </c>
      <c r="E7" s="268" t="s">
        <v>169</v>
      </c>
      <c r="H7" s="58"/>
      <c r="I7" s="58"/>
      <c r="J7" s="59"/>
      <c r="K7" s="58"/>
      <c r="L7" s="58"/>
      <c r="M7" s="58"/>
      <c r="N7" s="61"/>
      <c r="V7" s="393"/>
      <c r="W7" s="393"/>
      <c r="X7" s="393"/>
      <c r="Y7" s="393"/>
      <c r="Z7" s="393"/>
      <c r="AA7" s="393"/>
      <c r="AB7" s="393"/>
      <c r="AC7" s="393"/>
      <c r="AD7" s="393"/>
      <c r="AE7" s="393"/>
      <c r="AF7" s="393"/>
      <c r="AG7" s="393"/>
      <c r="AH7" s="393"/>
      <c r="AI7" s="393"/>
      <c r="AJ7" s="393"/>
      <c r="AK7" s="393"/>
      <c r="AL7" s="393"/>
      <c r="AM7" s="393"/>
      <c r="AN7" s="393"/>
      <c r="AO7" s="393"/>
      <c r="AP7" s="393"/>
      <c r="AQ7" s="393"/>
      <c r="AR7" s="393"/>
      <c r="AS7" s="393"/>
      <c r="AT7" s="393"/>
      <c r="AU7" s="393"/>
      <c r="AV7" s="393"/>
      <c r="AW7" s="393"/>
      <c r="AX7" s="393"/>
      <c r="AY7" s="393"/>
      <c r="AZ7" s="393"/>
      <c r="BA7" s="393"/>
      <c r="BB7" s="393"/>
      <c r="BC7" s="393"/>
      <c r="BD7" s="393"/>
      <c r="BE7" s="393"/>
      <c r="BF7" s="393"/>
      <c r="BG7" s="393"/>
      <c r="BH7" s="393"/>
      <c r="BI7" s="393"/>
      <c r="BJ7" s="393"/>
      <c r="BK7" s="393"/>
      <c r="BL7" s="393"/>
      <c r="BM7" s="393"/>
      <c r="BN7" s="393"/>
      <c r="BO7" s="393"/>
      <c r="BP7" s="393"/>
      <c r="BQ7" s="393"/>
      <c r="BR7" s="393"/>
      <c r="BS7" s="393"/>
      <c r="BT7" s="393"/>
      <c r="BU7" s="393"/>
      <c r="BV7" s="393"/>
      <c r="BW7" s="393"/>
      <c r="BX7" s="393"/>
      <c r="BY7" s="393"/>
      <c r="BZ7" s="393"/>
      <c r="CA7" s="393"/>
      <c r="CB7" s="393"/>
      <c r="CC7" s="393"/>
      <c r="CD7" s="393"/>
      <c r="CE7" s="393"/>
      <c r="CF7" s="393"/>
      <c r="CG7" s="393"/>
      <c r="CH7" s="393"/>
      <c r="CI7" s="393"/>
      <c r="CJ7" s="393"/>
      <c r="CK7" s="393"/>
      <c r="CL7" s="393"/>
      <c r="CM7" s="393"/>
      <c r="CN7" s="393"/>
      <c r="CO7" s="393"/>
      <c r="CP7" s="393"/>
      <c r="CQ7" s="393"/>
      <c r="CR7" s="393"/>
      <c r="CS7" s="393"/>
      <c r="CT7" s="393"/>
      <c r="CU7" s="393"/>
      <c r="CV7" s="393"/>
      <c r="CW7" s="393"/>
      <c r="CX7" s="393"/>
      <c r="CY7" s="393"/>
      <c r="CZ7" s="393"/>
      <c r="DA7" s="393"/>
      <c r="DB7" s="393"/>
      <c r="DC7" s="393"/>
      <c r="DD7" s="393"/>
      <c r="DE7" s="393"/>
      <c r="DF7" s="393"/>
      <c r="DG7" s="393"/>
      <c r="DH7" s="393"/>
      <c r="DI7" s="393"/>
      <c r="DJ7" s="393"/>
      <c r="DK7" s="393"/>
      <c r="DL7" s="393"/>
      <c r="DM7" s="393"/>
      <c r="DN7" s="393"/>
      <c r="DO7" s="393"/>
      <c r="DP7" s="393"/>
      <c r="DQ7" s="393"/>
      <c r="DR7" s="393"/>
      <c r="DS7" s="393"/>
      <c r="DT7" s="393"/>
      <c r="DU7" s="393"/>
      <c r="DV7" s="393"/>
      <c r="DW7" s="393"/>
      <c r="DX7" s="393"/>
      <c r="DY7" s="393"/>
      <c r="DZ7" s="393"/>
      <c r="EA7" s="393"/>
      <c r="EB7" s="393"/>
      <c r="EC7" s="393"/>
      <c r="ED7" s="393"/>
      <c r="EE7" s="393"/>
      <c r="EF7" s="393"/>
      <c r="EG7" s="393"/>
      <c r="EH7" s="393"/>
      <c r="EI7" s="393"/>
      <c r="EJ7" s="393"/>
      <c r="EK7" s="393"/>
      <c r="EL7" s="393"/>
      <c r="EM7" s="393"/>
      <c r="EN7" s="393"/>
      <c r="EO7" s="393"/>
      <c r="EP7" s="393"/>
      <c r="EQ7" s="393"/>
      <c r="ER7" s="393"/>
      <c r="ES7" s="393"/>
      <c r="ET7" s="393"/>
      <c r="EU7" s="393"/>
      <c r="EV7" s="393"/>
      <c r="EW7" s="393"/>
      <c r="EX7" s="393"/>
      <c r="EY7" s="393"/>
      <c r="EZ7" s="393"/>
      <c r="FA7" s="393"/>
      <c r="FB7" s="393"/>
      <c r="FC7" s="393"/>
      <c r="FD7" s="393"/>
      <c r="FE7" s="393"/>
      <c r="FF7" s="393"/>
      <c r="FG7" s="393"/>
      <c r="FH7" s="393"/>
      <c r="FI7" s="393"/>
      <c r="FJ7" s="393"/>
      <c r="FK7" s="393"/>
      <c r="FL7" s="393"/>
      <c r="FM7" s="393"/>
      <c r="FN7" s="393"/>
      <c r="FO7" s="393"/>
      <c r="FP7" s="393"/>
      <c r="FQ7" s="393"/>
      <c r="FR7" s="393"/>
      <c r="FS7" s="393"/>
      <c r="FT7" s="393"/>
      <c r="FU7" s="393"/>
      <c r="FV7" s="393"/>
      <c r="FW7" s="393"/>
      <c r="FX7" s="393"/>
      <c r="FY7" s="393"/>
      <c r="FZ7" s="393"/>
      <c r="GA7" s="393"/>
      <c r="GB7" s="393"/>
      <c r="GC7" s="393"/>
      <c r="GD7" s="393"/>
      <c r="GE7" s="393"/>
      <c r="GF7" s="393"/>
      <c r="GG7" s="393"/>
      <c r="GH7" s="393"/>
      <c r="GI7" s="393"/>
      <c r="GJ7" s="393"/>
      <c r="GK7" s="393"/>
      <c r="GL7" s="393"/>
      <c r="GM7" s="393"/>
      <c r="GN7" s="393"/>
      <c r="GO7" s="393"/>
      <c r="GP7" s="393"/>
      <c r="GQ7" s="393"/>
      <c r="GR7" s="393"/>
      <c r="GS7" s="393"/>
      <c r="GT7" s="393"/>
      <c r="GU7" s="393"/>
      <c r="GV7" s="393"/>
      <c r="GW7" s="393"/>
      <c r="GX7" s="393"/>
      <c r="GY7" s="393"/>
      <c r="GZ7" s="393"/>
      <c r="HA7" s="393"/>
      <c r="HB7" s="393"/>
      <c r="HC7" s="393"/>
      <c r="HD7" s="393"/>
      <c r="HE7" s="393"/>
      <c r="HF7" s="393"/>
      <c r="HG7" s="393"/>
      <c r="HH7" s="393"/>
      <c r="HI7" s="393"/>
      <c r="HJ7" s="393"/>
      <c r="HK7" s="393"/>
      <c r="HL7" s="393"/>
      <c r="HM7" s="393"/>
      <c r="HN7" s="393"/>
      <c r="HO7" s="393"/>
      <c r="HP7" s="393"/>
      <c r="HQ7" s="393"/>
      <c r="HR7" s="393"/>
      <c r="HS7" s="393"/>
      <c r="HT7" s="393"/>
      <c r="HU7" s="393"/>
      <c r="HV7" s="393"/>
      <c r="HW7" s="393"/>
      <c r="HX7" s="393"/>
      <c r="HY7" s="393"/>
      <c r="HZ7" s="393"/>
      <c r="IA7" s="393"/>
      <c r="IB7" s="393"/>
      <c r="IC7" s="393"/>
      <c r="ID7" s="393"/>
      <c r="IE7" s="393"/>
      <c r="IF7" s="393"/>
      <c r="IG7" s="393"/>
      <c r="IH7" s="393"/>
      <c r="II7" s="393"/>
      <c r="IJ7" s="393"/>
      <c r="IK7" s="393"/>
      <c r="IL7" s="393"/>
      <c r="IM7" s="393"/>
      <c r="IN7" s="393"/>
      <c r="IO7" s="393"/>
      <c r="IP7" s="393"/>
      <c r="IQ7" s="393"/>
      <c r="IR7" s="393"/>
    </row>
    <row r="8" spans="2:252" s="62" customFormat="1" ht="18" customHeight="1" x14ac:dyDescent="0.25">
      <c r="B8" s="58"/>
      <c r="C8" s="58"/>
      <c r="D8" s="58"/>
      <c r="E8" s="58"/>
      <c r="F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V8" s="393"/>
      <c r="W8" s="393"/>
      <c r="X8" s="393"/>
      <c r="Y8" s="393"/>
      <c r="Z8" s="393"/>
      <c r="AA8" s="393"/>
      <c r="AB8" s="393"/>
      <c r="AC8" s="393"/>
      <c r="AD8" s="393"/>
      <c r="AE8" s="393"/>
      <c r="AF8" s="393"/>
      <c r="AG8" s="393"/>
      <c r="AH8" s="393"/>
      <c r="AI8" s="393"/>
      <c r="AJ8" s="393"/>
      <c r="AK8" s="393"/>
      <c r="AL8" s="393"/>
      <c r="AM8" s="393"/>
      <c r="AN8" s="393"/>
      <c r="AO8" s="393"/>
      <c r="AP8" s="393"/>
      <c r="AQ8" s="393"/>
      <c r="AR8" s="393"/>
      <c r="AS8" s="393"/>
      <c r="AT8" s="393"/>
      <c r="AU8" s="393"/>
      <c r="AV8" s="393"/>
      <c r="AW8" s="393"/>
      <c r="AX8" s="393"/>
      <c r="AY8" s="393"/>
      <c r="AZ8" s="393"/>
      <c r="BA8" s="393"/>
      <c r="BB8" s="393"/>
      <c r="BC8" s="393"/>
      <c r="BD8" s="393"/>
      <c r="BE8" s="393"/>
      <c r="BF8" s="393"/>
      <c r="BG8" s="393"/>
      <c r="BH8" s="393"/>
      <c r="BI8" s="393"/>
      <c r="BJ8" s="393"/>
      <c r="BK8" s="393"/>
      <c r="BL8" s="393"/>
      <c r="BM8" s="393"/>
      <c r="BN8" s="393"/>
      <c r="BO8" s="393"/>
      <c r="BP8" s="393"/>
      <c r="BQ8" s="393"/>
      <c r="BR8" s="393"/>
      <c r="BS8" s="393"/>
      <c r="BT8" s="393"/>
      <c r="BU8" s="393"/>
      <c r="BV8" s="393"/>
      <c r="BW8" s="393"/>
      <c r="BX8" s="393"/>
      <c r="BY8" s="393"/>
      <c r="BZ8" s="393"/>
      <c r="CA8" s="393"/>
      <c r="CB8" s="393"/>
      <c r="CC8" s="393"/>
      <c r="CD8" s="393"/>
      <c r="CE8" s="393"/>
      <c r="CF8" s="393"/>
      <c r="CG8" s="393"/>
      <c r="CH8" s="393"/>
      <c r="CI8" s="393"/>
      <c r="CJ8" s="393"/>
      <c r="CK8" s="393"/>
      <c r="CL8" s="393"/>
      <c r="CM8" s="393"/>
      <c r="CN8" s="393"/>
      <c r="CO8" s="393"/>
      <c r="CP8" s="393"/>
      <c r="CQ8" s="393"/>
      <c r="CR8" s="393"/>
      <c r="CS8" s="393"/>
      <c r="CT8" s="393"/>
      <c r="CU8" s="393"/>
      <c r="CV8" s="393"/>
      <c r="CW8" s="393"/>
      <c r="CX8" s="393"/>
      <c r="CY8" s="393"/>
      <c r="CZ8" s="393"/>
      <c r="DA8" s="393"/>
      <c r="DB8" s="393"/>
      <c r="DC8" s="393"/>
      <c r="DD8" s="393"/>
      <c r="DE8" s="393"/>
      <c r="DF8" s="393"/>
      <c r="DG8" s="393"/>
      <c r="DH8" s="393"/>
      <c r="DI8" s="393"/>
      <c r="DJ8" s="393"/>
      <c r="DK8" s="393"/>
      <c r="DL8" s="393"/>
      <c r="DM8" s="393"/>
      <c r="DN8" s="393"/>
      <c r="DO8" s="393"/>
      <c r="DP8" s="393"/>
      <c r="DQ8" s="393"/>
      <c r="DR8" s="393"/>
      <c r="DS8" s="393"/>
      <c r="DT8" s="393"/>
      <c r="DU8" s="393"/>
      <c r="DV8" s="393"/>
      <c r="DW8" s="393"/>
      <c r="DX8" s="393"/>
      <c r="DY8" s="393"/>
      <c r="DZ8" s="393"/>
      <c r="EA8" s="393"/>
      <c r="EB8" s="393"/>
      <c r="EC8" s="393"/>
      <c r="ED8" s="393"/>
      <c r="EE8" s="393"/>
      <c r="EF8" s="393"/>
      <c r="EG8" s="393"/>
      <c r="EH8" s="393"/>
      <c r="EI8" s="393"/>
      <c r="EJ8" s="393"/>
      <c r="EK8" s="393"/>
      <c r="EL8" s="393"/>
      <c r="EM8" s="393"/>
      <c r="EN8" s="393"/>
      <c r="EO8" s="393"/>
      <c r="EP8" s="393"/>
      <c r="EQ8" s="393"/>
      <c r="ER8" s="393"/>
      <c r="ES8" s="393"/>
      <c r="ET8" s="393"/>
      <c r="EU8" s="393"/>
      <c r="EV8" s="393"/>
      <c r="EW8" s="393"/>
      <c r="EX8" s="393"/>
      <c r="EY8" s="393"/>
      <c r="EZ8" s="393"/>
      <c r="FA8" s="393"/>
      <c r="FB8" s="393"/>
      <c r="FC8" s="393"/>
      <c r="FD8" s="393"/>
      <c r="FE8" s="393"/>
      <c r="FF8" s="393"/>
      <c r="FG8" s="393"/>
      <c r="FH8" s="393"/>
      <c r="FI8" s="393"/>
      <c r="FJ8" s="393"/>
      <c r="FK8" s="393"/>
      <c r="FL8" s="393"/>
      <c r="FM8" s="393"/>
      <c r="FN8" s="393"/>
      <c r="FO8" s="393"/>
      <c r="FP8" s="393"/>
      <c r="FQ8" s="393"/>
      <c r="FR8" s="393"/>
      <c r="FS8" s="393"/>
      <c r="FT8" s="393"/>
      <c r="FU8" s="393"/>
      <c r="FV8" s="393"/>
      <c r="FW8" s="393"/>
      <c r="FX8" s="393"/>
      <c r="FY8" s="393"/>
      <c r="FZ8" s="393"/>
      <c r="GA8" s="393"/>
      <c r="GB8" s="393"/>
      <c r="GC8" s="393"/>
      <c r="GD8" s="393"/>
      <c r="GE8" s="393"/>
      <c r="GF8" s="393"/>
      <c r="GG8" s="393"/>
      <c r="GH8" s="393"/>
      <c r="GI8" s="393"/>
      <c r="GJ8" s="393"/>
      <c r="GK8" s="393"/>
      <c r="GL8" s="393"/>
      <c r="GM8" s="393"/>
      <c r="GN8" s="393"/>
      <c r="GO8" s="393"/>
      <c r="GP8" s="393"/>
      <c r="GQ8" s="393"/>
      <c r="GR8" s="393"/>
      <c r="GS8" s="393"/>
      <c r="GT8" s="393"/>
      <c r="GU8" s="393"/>
      <c r="GV8" s="393"/>
      <c r="GW8" s="393"/>
      <c r="GX8" s="393"/>
      <c r="GY8" s="393"/>
      <c r="GZ8" s="393"/>
      <c r="HA8" s="393"/>
      <c r="HB8" s="393"/>
      <c r="HC8" s="393"/>
      <c r="HD8" s="393"/>
      <c r="HE8" s="393"/>
      <c r="HF8" s="393"/>
      <c r="HG8" s="393"/>
      <c r="HH8" s="393"/>
      <c r="HI8" s="393"/>
      <c r="HJ8" s="393"/>
      <c r="HK8" s="393"/>
      <c r="HL8" s="393"/>
      <c r="HM8" s="393"/>
      <c r="HN8" s="393"/>
      <c r="HO8" s="393"/>
      <c r="HP8" s="393"/>
      <c r="HQ8" s="393"/>
      <c r="HR8" s="393"/>
      <c r="HS8" s="393"/>
      <c r="HT8" s="393"/>
      <c r="HU8" s="393"/>
      <c r="HV8" s="393"/>
      <c r="HW8" s="393"/>
      <c r="HX8" s="393"/>
      <c r="HY8" s="393"/>
      <c r="HZ8" s="393"/>
      <c r="IA8" s="393"/>
      <c r="IB8" s="393"/>
      <c r="IC8" s="393"/>
      <c r="ID8" s="393"/>
      <c r="IE8" s="393"/>
      <c r="IF8" s="393"/>
      <c r="IG8" s="393"/>
      <c r="IH8" s="393"/>
      <c r="II8" s="393"/>
      <c r="IJ8" s="393"/>
      <c r="IK8" s="393"/>
      <c r="IL8" s="393"/>
      <c r="IM8" s="393"/>
      <c r="IN8" s="393"/>
      <c r="IO8" s="393"/>
      <c r="IP8" s="393"/>
      <c r="IQ8" s="393"/>
      <c r="IR8" s="393"/>
    </row>
    <row r="9" spans="2:252" s="66" customFormat="1" ht="28.5" customHeight="1" x14ac:dyDescent="0.25">
      <c r="B9" s="57" t="s">
        <v>10</v>
      </c>
      <c r="C9" s="58"/>
      <c r="D9" s="58"/>
      <c r="E9" s="58"/>
      <c r="F9" s="58"/>
      <c r="G9" s="58"/>
      <c r="H9" s="58"/>
      <c r="I9" s="58"/>
      <c r="J9" s="63"/>
      <c r="K9" s="60"/>
      <c r="L9" s="460"/>
      <c r="M9" s="460"/>
      <c r="N9" s="460"/>
      <c r="O9" s="65"/>
      <c r="V9" s="394"/>
      <c r="W9" s="394"/>
      <c r="X9" s="394"/>
      <c r="Y9" s="394"/>
      <c r="Z9" s="394"/>
      <c r="AA9" s="394"/>
      <c r="AB9" s="394"/>
      <c r="AC9" s="394"/>
      <c r="AD9" s="394"/>
      <c r="AE9" s="394"/>
      <c r="AF9" s="394"/>
      <c r="AG9" s="394"/>
      <c r="AH9" s="394"/>
      <c r="AI9" s="394"/>
      <c r="AJ9" s="394"/>
      <c r="AK9" s="394"/>
      <c r="AL9" s="394"/>
      <c r="AM9" s="394"/>
      <c r="AN9" s="394"/>
      <c r="AO9" s="394"/>
      <c r="AP9" s="394"/>
      <c r="AQ9" s="394"/>
      <c r="AR9" s="394"/>
      <c r="AS9" s="394"/>
      <c r="AT9" s="394"/>
      <c r="AU9" s="394"/>
      <c r="AV9" s="394"/>
      <c r="AW9" s="394"/>
      <c r="AX9" s="394"/>
      <c r="AY9" s="394"/>
      <c r="AZ9" s="394"/>
      <c r="BA9" s="394"/>
      <c r="BB9" s="394"/>
      <c r="BC9" s="394"/>
      <c r="BD9" s="394"/>
      <c r="BE9" s="394"/>
      <c r="BF9" s="394"/>
      <c r="BG9" s="394"/>
      <c r="BH9" s="394"/>
      <c r="BI9" s="394"/>
      <c r="BJ9" s="394"/>
      <c r="BK9" s="394"/>
      <c r="BL9" s="394"/>
      <c r="BM9" s="394"/>
      <c r="BN9" s="394"/>
      <c r="BO9" s="394"/>
      <c r="BP9" s="394"/>
      <c r="BQ9" s="394"/>
      <c r="BR9" s="394"/>
      <c r="BS9" s="394"/>
      <c r="BT9" s="394"/>
      <c r="BU9" s="394"/>
      <c r="BV9" s="394"/>
      <c r="BW9" s="394"/>
      <c r="BX9" s="394"/>
      <c r="BY9" s="394"/>
      <c r="BZ9" s="394"/>
      <c r="CA9" s="394"/>
      <c r="CB9" s="394"/>
      <c r="CC9" s="394"/>
      <c r="CD9" s="394"/>
      <c r="CE9" s="394"/>
      <c r="CF9" s="394"/>
      <c r="CG9" s="394"/>
      <c r="CH9" s="394"/>
      <c r="CI9" s="394"/>
      <c r="CJ9" s="394"/>
      <c r="CK9" s="394"/>
      <c r="CL9" s="394"/>
      <c r="CM9" s="394"/>
      <c r="CN9" s="394"/>
      <c r="CO9" s="394"/>
      <c r="CP9" s="394"/>
      <c r="CQ9" s="394"/>
      <c r="CR9" s="394"/>
      <c r="CS9" s="394"/>
      <c r="CT9" s="394"/>
      <c r="CU9" s="394"/>
      <c r="CV9" s="394"/>
      <c r="CW9" s="394"/>
      <c r="CX9" s="394"/>
      <c r="CY9" s="394"/>
      <c r="CZ9" s="394"/>
      <c r="DA9" s="394"/>
      <c r="DB9" s="394"/>
      <c r="DC9" s="394"/>
      <c r="DD9" s="394"/>
      <c r="DE9" s="394"/>
      <c r="DF9" s="394"/>
      <c r="DG9" s="394"/>
      <c r="DH9" s="394"/>
      <c r="DI9" s="394"/>
      <c r="DJ9" s="394"/>
      <c r="DK9" s="394"/>
      <c r="DL9" s="394"/>
      <c r="DM9" s="394"/>
      <c r="DN9" s="394"/>
      <c r="DO9" s="394"/>
      <c r="DP9" s="394"/>
      <c r="DQ9" s="394"/>
      <c r="DR9" s="394"/>
      <c r="DS9" s="394"/>
      <c r="DT9" s="394"/>
      <c r="DU9" s="394"/>
      <c r="DV9" s="394"/>
      <c r="DW9" s="394"/>
      <c r="DX9" s="394"/>
      <c r="DY9" s="394"/>
      <c r="DZ9" s="394"/>
      <c r="EA9" s="394"/>
      <c r="EB9" s="394"/>
      <c r="EC9" s="394"/>
      <c r="ED9" s="394"/>
      <c r="EE9" s="394"/>
      <c r="EF9" s="394"/>
      <c r="EG9" s="394"/>
      <c r="EH9" s="394"/>
      <c r="EI9" s="394"/>
      <c r="EJ9" s="394"/>
      <c r="EK9" s="394"/>
      <c r="EL9" s="394"/>
      <c r="EM9" s="394"/>
      <c r="EN9" s="394"/>
      <c r="EO9" s="394"/>
      <c r="EP9" s="394"/>
      <c r="EQ9" s="394"/>
      <c r="ER9" s="394"/>
      <c r="ES9" s="394"/>
      <c r="ET9" s="394"/>
      <c r="EU9" s="394"/>
      <c r="EV9" s="394"/>
      <c r="EW9" s="394"/>
      <c r="EX9" s="394"/>
      <c r="EY9" s="394"/>
      <c r="EZ9" s="394"/>
      <c r="FA9" s="394"/>
      <c r="FB9" s="394"/>
      <c r="FC9" s="394"/>
      <c r="FD9" s="394"/>
      <c r="FE9" s="394"/>
      <c r="FF9" s="394"/>
      <c r="FG9" s="394"/>
      <c r="FH9" s="394"/>
      <c r="FI9" s="394"/>
      <c r="FJ9" s="394"/>
      <c r="FK9" s="394"/>
      <c r="FL9" s="394"/>
      <c r="FM9" s="394"/>
      <c r="FN9" s="394"/>
      <c r="FO9" s="394"/>
      <c r="FP9" s="394"/>
      <c r="FQ9" s="394"/>
      <c r="FR9" s="394"/>
      <c r="FS9" s="394"/>
      <c r="FT9" s="394"/>
      <c r="FU9" s="394"/>
      <c r="FV9" s="394"/>
      <c r="FW9" s="394"/>
      <c r="FX9" s="394"/>
      <c r="FY9" s="394"/>
      <c r="FZ9" s="394"/>
      <c r="GA9" s="394"/>
      <c r="GB9" s="394"/>
      <c r="GC9" s="394"/>
      <c r="GD9" s="394"/>
      <c r="GE9" s="394"/>
      <c r="GF9" s="394"/>
      <c r="GG9" s="394"/>
      <c r="GH9" s="394"/>
      <c r="GI9" s="394"/>
      <c r="GJ9" s="394"/>
      <c r="GK9" s="394"/>
      <c r="GL9" s="394"/>
      <c r="GM9" s="394"/>
      <c r="GN9" s="394"/>
      <c r="GO9" s="394"/>
      <c r="GP9" s="394"/>
      <c r="GQ9" s="394"/>
      <c r="GR9" s="394"/>
      <c r="GS9" s="394"/>
      <c r="GT9" s="394"/>
      <c r="GU9" s="394"/>
      <c r="GV9" s="394"/>
      <c r="GW9" s="394"/>
      <c r="GX9" s="394"/>
      <c r="GY9" s="394"/>
      <c r="GZ9" s="394"/>
      <c r="HA9" s="394"/>
      <c r="HB9" s="394"/>
      <c r="HC9" s="394"/>
      <c r="HD9" s="394"/>
      <c r="HE9" s="394"/>
      <c r="HF9" s="394"/>
      <c r="HG9" s="394"/>
      <c r="HH9" s="394"/>
      <c r="HI9" s="394"/>
      <c r="HJ9" s="394"/>
      <c r="HK9" s="394"/>
      <c r="HL9" s="394"/>
      <c r="HM9" s="394"/>
      <c r="HN9" s="394"/>
      <c r="HO9" s="394"/>
      <c r="HP9" s="394"/>
      <c r="HQ9" s="394"/>
      <c r="HR9" s="394"/>
      <c r="HS9" s="394"/>
      <c r="HT9" s="394"/>
      <c r="HU9" s="394"/>
      <c r="HV9" s="394"/>
      <c r="HW9" s="394"/>
      <c r="HX9" s="394"/>
      <c r="HY9" s="394"/>
      <c r="HZ9" s="394"/>
      <c r="IA9" s="394"/>
      <c r="IB9" s="394"/>
      <c r="IC9" s="394"/>
      <c r="ID9" s="394"/>
      <c r="IE9" s="394"/>
      <c r="IF9" s="394"/>
      <c r="IG9" s="394"/>
      <c r="IH9" s="394"/>
      <c r="II9" s="394"/>
      <c r="IJ9" s="394"/>
      <c r="IK9" s="394"/>
      <c r="IL9" s="394"/>
      <c r="IM9" s="394"/>
      <c r="IN9" s="394"/>
      <c r="IO9" s="394"/>
      <c r="IP9" s="394"/>
      <c r="IQ9" s="394"/>
      <c r="IR9" s="394"/>
    </row>
    <row r="10" spans="2:252" s="66" customFormat="1" ht="4.5" customHeight="1" x14ac:dyDescent="0.25">
      <c r="B10" s="57"/>
      <c r="C10" s="58"/>
      <c r="D10" s="58"/>
      <c r="E10" s="58"/>
      <c r="F10" s="58"/>
      <c r="G10" s="58"/>
      <c r="H10" s="58"/>
      <c r="I10" s="58"/>
      <c r="J10" s="63"/>
      <c r="K10" s="60"/>
      <c r="L10" s="64"/>
      <c r="M10" s="272"/>
      <c r="N10" s="64"/>
      <c r="O10" s="65"/>
      <c r="V10" s="394"/>
      <c r="W10" s="394"/>
      <c r="X10" s="394"/>
      <c r="Y10" s="394"/>
      <c r="Z10" s="394"/>
      <c r="AA10" s="394"/>
      <c r="AB10" s="394"/>
      <c r="AC10" s="394"/>
      <c r="AD10" s="394"/>
      <c r="AE10" s="394"/>
      <c r="AF10" s="394"/>
      <c r="AG10" s="394"/>
      <c r="AH10" s="394"/>
      <c r="AI10" s="394"/>
      <c r="AJ10" s="394"/>
      <c r="AK10" s="394"/>
      <c r="AL10" s="394"/>
      <c r="AM10" s="394"/>
      <c r="AN10" s="394"/>
      <c r="AO10" s="394"/>
      <c r="AP10" s="394"/>
      <c r="AQ10" s="394"/>
      <c r="AR10" s="394"/>
      <c r="AS10" s="394"/>
      <c r="AT10" s="394"/>
      <c r="AU10" s="394"/>
      <c r="AV10" s="394"/>
      <c r="AW10" s="394"/>
      <c r="AX10" s="394"/>
      <c r="AY10" s="394"/>
      <c r="AZ10" s="394"/>
      <c r="BA10" s="394"/>
      <c r="BB10" s="394"/>
      <c r="BC10" s="394"/>
      <c r="BD10" s="394"/>
      <c r="BE10" s="394"/>
      <c r="BF10" s="394"/>
      <c r="BG10" s="394"/>
      <c r="BH10" s="394"/>
      <c r="BI10" s="394"/>
      <c r="BJ10" s="394"/>
      <c r="BK10" s="394"/>
      <c r="BL10" s="394"/>
      <c r="BM10" s="394"/>
      <c r="BN10" s="394"/>
      <c r="BO10" s="394"/>
      <c r="BP10" s="394"/>
      <c r="BQ10" s="394"/>
      <c r="BR10" s="394"/>
      <c r="BS10" s="394"/>
      <c r="BT10" s="394"/>
      <c r="BU10" s="394"/>
      <c r="BV10" s="394"/>
      <c r="BW10" s="394"/>
      <c r="BX10" s="394"/>
      <c r="BY10" s="394"/>
      <c r="BZ10" s="394"/>
      <c r="CA10" s="394"/>
      <c r="CB10" s="394"/>
      <c r="CC10" s="394"/>
      <c r="CD10" s="394"/>
      <c r="CE10" s="394"/>
      <c r="CF10" s="394"/>
      <c r="CG10" s="394"/>
      <c r="CH10" s="394"/>
      <c r="CI10" s="394"/>
      <c r="CJ10" s="394"/>
      <c r="CK10" s="394"/>
      <c r="CL10" s="394"/>
      <c r="CM10" s="394"/>
      <c r="CN10" s="394"/>
      <c r="CO10" s="394"/>
      <c r="CP10" s="394"/>
      <c r="CQ10" s="394"/>
      <c r="CR10" s="394"/>
      <c r="CS10" s="394"/>
      <c r="CT10" s="394"/>
      <c r="CU10" s="394"/>
      <c r="CV10" s="394"/>
      <c r="CW10" s="394"/>
      <c r="CX10" s="394"/>
      <c r="CY10" s="394"/>
      <c r="CZ10" s="394"/>
      <c r="DA10" s="394"/>
      <c r="DB10" s="394"/>
      <c r="DC10" s="394"/>
      <c r="DD10" s="394"/>
      <c r="DE10" s="394"/>
      <c r="DF10" s="394"/>
      <c r="DG10" s="394"/>
      <c r="DH10" s="394"/>
      <c r="DI10" s="394"/>
      <c r="DJ10" s="394"/>
      <c r="DK10" s="394"/>
      <c r="DL10" s="394"/>
      <c r="DM10" s="394"/>
      <c r="DN10" s="394"/>
      <c r="DO10" s="394"/>
      <c r="DP10" s="394"/>
      <c r="DQ10" s="394"/>
      <c r="DR10" s="394"/>
      <c r="DS10" s="394"/>
      <c r="DT10" s="394"/>
      <c r="DU10" s="394"/>
      <c r="DV10" s="394"/>
      <c r="DW10" s="394"/>
      <c r="DX10" s="394"/>
      <c r="DY10" s="394"/>
      <c r="DZ10" s="394"/>
      <c r="EA10" s="394"/>
      <c r="EB10" s="394"/>
      <c r="EC10" s="394"/>
      <c r="ED10" s="394"/>
      <c r="EE10" s="394"/>
      <c r="EF10" s="394"/>
      <c r="EG10" s="394"/>
      <c r="EH10" s="394"/>
      <c r="EI10" s="394"/>
      <c r="EJ10" s="394"/>
      <c r="EK10" s="394"/>
      <c r="EL10" s="394"/>
      <c r="EM10" s="394"/>
      <c r="EN10" s="394"/>
      <c r="EO10" s="394"/>
      <c r="EP10" s="394"/>
      <c r="EQ10" s="394"/>
      <c r="ER10" s="394"/>
      <c r="ES10" s="394"/>
      <c r="ET10" s="394"/>
      <c r="EU10" s="394"/>
      <c r="EV10" s="394"/>
      <c r="EW10" s="394"/>
      <c r="EX10" s="394"/>
      <c r="EY10" s="394"/>
      <c r="EZ10" s="394"/>
      <c r="FA10" s="394"/>
      <c r="FB10" s="394"/>
      <c r="FC10" s="394"/>
      <c r="FD10" s="394"/>
      <c r="FE10" s="394"/>
      <c r="FF10" s="394"/>
      <c r="FG10" s="394"/>
      <c r="FH10" s="394"/>
      <c r="FI10" s="394"/>
      <c r="FJ10" s="394"/>
      <c r="FK10" s="394"/>
      <c r="FL10" s="394"/>
      <c r="FM10" s="394"/>
      <c r="FN10" s="394"/>
      <c r="FO10" s="394"/>
      <c r="FP10" s="394"/>
      <c r="FQ10" s="394"/>
      <c r="FR10" s="394"/>
      <c r="FS10" s="394"/>
      <c r="FT10" s="394"/>
      <c r="FU10" s="394"/>
      <c r="FV10" s="394"/>
      <c r="FW10" s="394"/>
      <c r="FX10" s="394"/>
      <c r="FY10" s="394"/>
      <c r="FZ10" s="394"/>
      <c r="GA10" s="394"/>
      <c r="GB10" s="394"/>
      <c r="GC10" s="394"/>
      <c r="GD10" s="394"/>
      <c r="GE10" s="394"/>
      <c r="GF10" s="394"/>
      <c r="GG10" s="394"/>
      <c r="GH10" s="394"/>
      <c r="GI10" s="394"/>
      <c r="GJ10" s="394"/>
      <c r="GK10" s="394"/>
      <c r="GL10" s="394"/>
      <c r="GM10" s="394"/>
      <c r="GN10" s="394"/>
      <c r="GO10" s="394"/>
      <c r="GP10" s="394"/>
      <c r="GQ10" s="394"/>
      <c r="GR10" s="394"/>
      <c r="GS10" s="394"/>
      <c r="GT10" s="394"/>
      <c r="GU10" s="394"/>
      <c r="GV10" s="394"/>
      <c r="GW10" s="394"/>
      <c r="GX10" s="394"/>
      <c r="GY10" s="394"/>
      <c r="GZ10" s="394"/>
      <c r="HA10" s="394"/>
      <c r="HB10" s="394"/>
      <c r="HC10" s="394"/>
      <c r="HD10" s="394"/>
      <c r="HE10" s="394"/>
      <c r="HF10" s="394"/>
      <c r="HG10" s="394"/>
      <c r="HH10" s="394"/>
      <c r="HI10" s="394"/>
      <c r="HJ10" s="394"/>
      <c r="HK10" s="394"/>
      <c r="HL10" s="394"/>
      <c r="HM10" s="394"/>
      <c r="HN10" s="394"/>
      <c r="HO10" s="394"/>
      <c r="HP10" s="394"/>
      <c r="HQ10" s="394"/>
      <c r="HR10" s="394"/>
      <c r="HS10" s="394"/>
      <c r="HT10" s="394"/>
      <c r="HU10" s="394"/>
      <c r="HV10" s="394"/>
      <c r="HW10" s="394"/>
      <c r="HX10" s="394"/>
      <c r="HY10" s="394"/>
      <c r="HZ10" s="394"/>
      <c r="IA10" s="394"/>
      <c r="IB10" s="394"/>
      <c r="IC10" s="394"/>
      <c r="ID10" s="394"/>
      <c r="IE10" s="394"/>
      <c r="IF10" s="394"/>
      <c r="IG10" s="394"/>
      <c r="IH10" s="394"/>
      <c r="II10" s="394"/>
      <c r="IJ10" s="394"/>
      <c r="IK10" s="394"/>
      <c r="IL10" s="394"/>
      <c r="IM10" s="394"/>
      <c r="IN10" s="394"/>
      <c r="IO10" s="394"/>
      <c r="IP10" s="394"/>
      <c r="IQ10" s="394"/>
      <c r="IR10" s="394"/>
    </row>
    <row r="11" spans="2:252" s="62" customFormat="1" ht="25.15" customHeight="1" x14ac:dyDescent="0.25">
      <c r="B11" s="71" t="s">
        <v>11</v>
      </c>
      <c r="C11" s="58"/>
      <c r="D11" s="58"/>
      <c r="E11" s="58"/>
      <c r="F11" s="58"/>
      <c r="G11" s="58"/>
      <c r="H11" s="58"/>
      <c r="I11" s="58"/>
      <c r="J11" s="59"/>
      <c r="K11" s="60"/>
      <c r="L11" s="58"/>
      <c r="M11" s="58"/>
      <c r="N11" s="61"/>
      <c r="V11" s="393"/>
      <c r="W11" s="393"/>
      <c r="X11" s="393"/>
      <c r="Y11" s="393"/>
      <c r="Z11" s="393"/>
      <c r="AA11" s="393"/>
      <c r="AB11" s="393"/>
      <c r="AC11" s="393"/>
      <c r="AD11" s="393"/>
      <c r="AE11" s="393"/>
      <c r="AF11" s="393"/>
      <c r="AG11" s="393"/>
      <c r="AH11" s="393"/>
      <c r="AI11" s="393"/>
      <c r="AJ11" s="393"/>
      <c r="AK11" s="393"/>
      <c r="AL11" s="393"/>
      <c r="AM11" s="393"/>
      <c r="AN11" s="393"/>
      <c r="AO11" s="393"/>
      <c r="AP11" s="393"/>
      <c r="AQ11" s="393"/>
      <c r="AR11" s="393"/>
      <c r="AS11" s="393"/>
      <c r="AT11" s="393"/>
      <c r="AU11" s="393"/>
      <c r="AV11" s="393"/>
      <c r="AW11" s="393"/>
      <c r="AX11" s="393"/>
      <c r="AY11" s="393"/>
      <c r="AZ11" s="393"/>
      <c r="BA11" s="393"/>
      <c r="BB11" s="393"/>
      <c r="BC11" s="393"/>
      <c r="BD11" s="393"/>
      <c r="BE11" s="393"/>
      <c r="BF11" s="393"/>
      <c r="BG11" s="393"/>
      <c r="BH11" s="393"/>
      <c r="BI11" s="393"/>
      <c r="BJ11" s="393"/>
      <c r="BK11" s="393"/>
      <c r="BL11" s="393"/>
      <c r="BM11" s="393"/>
      <c r="BN11" s="393"/>
      <c r="BO11" s="393"/>
      <c r="BP11" s="393"/>
      <c r="BQ11" s="393"/>
      <c r="BR11" s="393"/>
      <c r="BS11" s="393"/>
      <c r="BT11" s="393"/>
      <c r="BU11" s="393"/>
      <c r="BV11" s="393"/>
      <c r="BW11" s="393"/>
      <c r="BX11" s="393"/>
      <c r="BY11" s="393"/>
      <c r="BZ11" s="393"/>
      <c r="CA11" s="393"/>
      <c r="CB11" s="393"/>
      <c r="CC11" s="393"/>
      <c r="CD11" s="393"/>
      <c r="CE11" s="393"/>
      <c r="CF11" s="393"/>
      <c r="CG11" s="393"/>
      <c r="CH11" s="393"/>
      <c r="CI11" s="393"/>
      <c r="CJ11" s="393"/>
      <c r="CK11" s="393"/>
      <c r="CL11" s="393"/>
      <c r="CM11" s="393"/>
      <c r="CN11" s="393"/>
      <c r="CO11" s="393"/>
      <c r="CP11" s="393"/>
      <c r="CQ11" s="393"/>
      <c r="CR11" s="393"/>
      <c r="CS11" s="393"/>
      <c r="CT11" s="393"/>
      <c r="CU11" s="393"/>
      <c r="CV11" s="393"/>
      <c r="CW11" s="393"/>
      <c r="CX11" s="393"/>
      <c r="CY11" s="393"/>
      <c r="CZ11" s="393"/>
      <c r="DA11" s="393"/>
      <c r="DB11" s="393"/>
      <c r="DC11" s="393"/>
      <c r="DD11" s="393"/>
      <c r="DE11" s="393"/>
      <c r="DF11" s="393"/>
      <c r="DG11" s="393"/>
      <c r="DH11" s="393"/>
      <c r="DI11" s="393"/>
      <c r="DJ11" s="393"/>
      <c r="DK11" s="393"/>
      <c r="DL11" s="393"/>
      <c r="DM11" s="393"/>
      <c r="DN11" s="393"/>
      <c r="DO11" s="393"/>
      <c r="DP11" s="393"/>
      <c r="DQ11" s="393"/>
      <c r="DR11" s="393"/>
      <c r="DS11" s="393"/>
      <c r="DT11" s="393"/>
      <c r="DU11" s="393"/>
      <c r="DV11" s="393"/>
      <c r="DW11" s="393"/>
      <c r="DX11" s="393"/>
      <c r="DY11" s="393"/>
      <c r="DZ11" s="393"/>
      <c r="EA11" s="393"/>
      <c r="EB11" s="393"/>
      <c r="EC11" s="393"/>
      <c r="ED11" s="393"/>
      <c r="EE11" s="393"/>
      <c r="EF11" s="393"/>
      <c r="EG11" s="393"/>
      <c r="EH11" s="393"/>
      <c r="EI11" s="393"/>
      <c r="EJ11" s="393"/>
      <c r="EK11" s="393"/>
      <c r="EL11" s="393"/>
      <c r="EM11" s="393"/>
      <c r="EN11" s="393"/>
      <c r="EO11" s="393"/>
      <c r="EP11" s="393"/>
      <c r="EQ11" s="393"/>
      <c r="ER11" s="393"/>
      <c r="ES11" s="393"/>
      <c r="ET11" s="393"/>
      <c r="EU11" s="393"/>
      <c r="EV11" s="393"/>
      <c r="EW11" s="393"/>
      <c r="EX11" s="393"/>
      <c r="EY11" s="393"/>
      <c r="EZ11" s="393"/>
      <c r="FA11" s="393"/>
      <c r="FB11" s="393"/>
      <c r="FC11" s="393"/>
      <c r="FD11" s="393"/>
      <c r="FE11" s="393"/>
      <c r="FF11" s="393"/>
      <c r="FG11" s="393"/>
      <c r="FH11" s="393"/>
      <c r="FI11" s="393"/>
      <c r="FJ11" s="393"/>
      <c r="FK11" s="393"/>
      <c r="FL11" s="393"/>
      <c r="FM11" s="393"/>
      <c r="FN11" s="393"/>
      <c r="FO11" s="393"/>
      <c r="FP11" s="393"/>
      <c r="FQ11" s="393"/>
      <c r="FR11" s="393"/>
      <c r="FS11" s="393"/>
      <c r="FT11" s="393"/>
      <c r="FU11" s="393"/>
      <c r="FV11" s="393"/>
      <c r="FW11" s="393"/>
      <c r="FX11" s="393"/>
      <c r="FY11" s="393"/>
      <c r="FZ11" s="393"/>
      <c r="GA11" s="393"/>
      <c r="GB11" s="393"/>
      <c r="GC11" s="393"/>
      <c r="GD11" s="393"/>
      <c r="GE11" s="393"/>
      <c r="GF11" s="393"/>
      <c r="GG11" s="393"/>
      <c r="GH11" s="393"/>
      <c r="GI11" s="393"/>
      <c r="GJ11" s="393"/>
      <c r="GK11" s="393"/>
      <c r="GL11" s="393"/>
      <c r="GM11" s="393"/>
      <c r="GN11" s="393"/>
      <c r="GO11" s="393"/>
      <c r="GP11" s="393"/>
      <c r="GQ11" s="393"/>
      <c r="GR11" s="393"/>
      <c r="GS11" s="393"/>
      <c r="GT11" s="393"/>
      <c r="GU11" s="393"/>
      <c r="GV11" s="393"/>
      <c r="GW11" s="393"/>
      <c r="GX11" s="393"/>
      <c r="GY11" s="393"/>
      <c r="GZ11" s="393"/>
      <c r="HA11" s="393"/>
      <c r="HB11" s="393"/>
      <c r="HC11" s="393"/>
      <c r="HD11" s="393"/>
      <c r="HE11" s="393"/>
      <c r="HF11" s="393"/>
      <c r="HG11" s="393"/>
      <c r="HH11" s="393"/>
      <c r="HI11" s="393"/>
      <c r="HJ11" s="393"/>
      <c r="HK11" s="393"/>
      <c r="HL11" s="393"/>
      <c r="HM11" s="393"/>
      <c r="HN11" s="393"/>
      <c r="HO11" s="393"/>
      <c r="HP11" s="393"/>
      <c r="HQ11" s="393"/>
      <c r="HR11" s="393"/>
      <c r="HS11" s="393"/>
      <c r="HT11" s="393"/>
      <c r="HU11" s="393"/>
      <c r="HV11" s="393"/>
      <c r="HW11" s="393"/>
      <c r="HX11" s="393"/>
      <c r="HY11" s="393"/>
      <c r="HZ11" s="393"/>
      <c r="IA11" s="393"/>
      <c r="IB11" s="393"/>
      <c r="IC11" s="393"/>
      <c r="ID11" s="393"/>
      <c r="IE11" s="393"/>
      <c r="IF11" s="393"/>
      <c r="IG11" s="393"/>
      <c r="IH11" s="393"/>
      <c r="II11" s="393"/>
      <c r="IJ11" s="393"/>
      <c r="IK11" s="393"/>
      <c r="IL11" s="393"/>
      <c r="IM11" s="393"/>
      <c r="IN11" s="393"/>
      <c r="IO11" s="393"/>
      <c r="IP11" s="393"/>
      <c r="IQ11" s="393"/>
      <c r="IR11" s="393"/>
    </row>
    <row r="12" spans="2:252" s="62" customFormat="1" ht="25.15" customHeight="1" x14ac:dyDescent="0.25">
      <c r="B12" s="1" t="s">
        <v>170</v>
      </c>
      <c r="C12" s="58"/>
      <c r="D12" s="270">
        <v>43797</v>
      </c>
      <c r="E12" s="58"/>
      <c r="F12" s="58"/>
      <c r="G12" s="58"/>
      <c r="H12" s="58"/>
      <c r="I12" s="58"/>
      <c r="J12" s="59"/>
      <c r="K12" s="60"/>
      <c r="L12" s="58"/>
      <c r="M12" s="58"/>
      <c r="N12" s="61"/>
      <c r="V12" s="393"/>
      <c r="W12" s="393"/>
      <c r="X12" s="393"/>
      <c r="Y12" s="393"/>
      <c r="Z12" s="393"/>
      <c r="AA12" s="393"/>
      <c r="AB12" s="393"/>
      <c r="AC12" s="393"/>
      <c r="AD12" s="393"/>
      <c r="AE12" s="393"/>
      <c r="AF12" s="393"/>
      <c r="AG12" s="393"/>
      <c r="AH12" s="393"/>
      <c r="AI12" s="393"/>
      <c r="AJ12" s="393"/>
      <c r="AK12" s="393"/>
      <c r="AL12" s="393"/>
      <c r="AM12" s="393"/>
      <c r="AN12" s="393"/>
      <c r="AO12" s="393"/>
      <c r="AP12" s="393"/>
      <c r="AQ12" s="393"/>
      <c r="AR12" s="393"/>
      <c r="AS12" s="393"/>
      <c r="AT12" s="393"/>
      <c r="AU12" s="393"/>
      <c r="AV12" s="393"/>
      <c r="AW12" s="393"/>
      <c r="AX12" s="393"/>
      <c r="AY12" s="393"/>
      <c r="AZ12" s="393"/>
      <c r="BA12" s="393"/>
      <c r="BB12" s="393"/>
      <c r="BC12" s="393"/>
      <c r="BD12" s="393"/>
      <c r="BE12" s="393"/>
      <c r="BF12" s="393"/>
      <c r="BG12" s="393"/>
      <c r="BH12" s="393"/>
      <c r="BI12" s="393"/>
      <c r="BJ12" s="393"/>
      <c r="BK12" s="393"/>
      <c r="BL12" s="393"/>
      <c r="BM12" s="393"/>
      <c r="BN12" s="393"/>
      <c r="BO12" s="393"/>
      <c r="BP12" s="393"/>
      <c r="BQ12" s="393"/>
      <c r="BR12" s="393"/>
      <c r="BS12" s="393"/>
      <c r="BT12" s="393"/>
      <c r="BU12" s="393"/>
      <c r="BV12" s="393"/>
      <c r="BW12" s="393"/>
      <c r="BX12" s="393"/>
      <c r="BY12" s="393"/>
      <c r="BZ12" s="393"/>
      <c r="CA12" s="393"/>
      <c r="CB12" s="393"/>
      <c r="CC12" s="393"/>
      <c r="CD12" s="393"/>
      <c r="CE12" s="393"/>
      <c r="CF12" s="393"/>
      <c r="CG12" s="393"/>
      <c r="CH12" s="393"/>
      <c r="CI12" s="393"/>
      <c r="CJ12" s="393"/>
      <c r="CK12" s="393"/>
      <c r="CL12" s="393"/>
      <c r="CM12" s="393"/>
      <c r="CN12" s="393"/>
      <c r="CO12" s="393"/>
      <c r="CP12" s="393"/>
      <c r="CQ12" s="393"/>
      <c r="CR12" s="393"/>
      <c r="CS12" s="393"/>
      <c r="CT12" s="393"/>
      <c r="CU12" s="393"/>
      <c r="CV12" s="393"/>
      <c r="CW12" s="393"/>
      <c r="CX12" s="393"/>
      <c r="CY12" s="393"/>
      <c r="CZ12" s="393"/>
      <c r="DA12" s="393"/>
      <c r="DB12" s="393"/>
      <c r="DC12" s="393"/>
      <c r="DD12" s="393"/>
      <c r="DE12" s="393"/>
      <c r="DF12" s="393"/>
      <c r="DG12" s="393"/>
      <c r="DH12" s="393"/>
      <c r="DI12" s="393"/>
      <c r="DJ12" s="393"/>
      <c r="DK12" s="393"/>
      <c r="DL12" s="393"/>
      <c r="DM12" s="393"/>
      <c r="DN12" s="393"/>
      <c r="DO12" s="393"/>
      <c r="DP12" s="393"/>
      <c r="DQ12" s="393"/>
      <c r="DR12" s="393"/>
      <c r="DS12" s="393"/>
      <c r="DT12" s="393"/>
      <c r="DU12" s="393"/>
      <c r="DV12" s="393"/>
      <c r="DW12" s="393"/>
      <c r="DX12" s="393"/>
      <c r="DY12" s="393"/>
      <c r="DZ12" s="393"/>
      <c r="EA12" s="393"/>
      <c r="EB12" s="393"/>
      <c r="EC12" s="393"/>
      <c r="ED12" s="393"/>
      <c r="EE12" s="393"/>
      <c r="EF12" s="393"/>
      <c r="EG12" s="393"/>
      <c r="EH12" s="393"/>
      <c r="EI12" s="393"/>
      <c r="EJ12" s="393"/>
      <c r="EK12" s="393"/>
      <c r="EL12" s="393"/>
      <c r="EM12" s="393"/>
      <c r="EN12" s="393"/>
      <c r="EO12" s="393"/>
      <c r="EP12" s="393"/>
      <c r="EQ12" s="393"/>
      <c r="ER12" s="393"/>
      <c r="ES12" s="393"/>
      <c r="ET12" s="393"/>
      <c r="EU12" s="393"/>
      <c r="EV12" s="393"/>
      <c r="EW12" s="393"/>
      <c r="EX12" s="393"/>
      <c r="EY12" s="393"/>
      <c r="EZ12" s="393"/>
      <c r="FA12" s="393"/>
      <c r="FB12" s="393"/>
      <c r="FC12" s="393"/>
      <c r="FD12" s="393"/>
      <c r="FE12" s="393"/>
      <c r="FF12" s="393"/>
      <c r="FG12" s="393"/>
      <c r="FH12" s="393"/>
      <c r="FI12" s="393"/>
      <c r="FJ12" s="393"/>
      <c r="FK12" s="393"/>
      <c r="FL12" s="393"/>
      <c r="FM12" s="393"/>
      <c r="FN12" s="393"/>
      <c r="FO12" s="393"/>
      <c r="FP12" s="393"/>
      <c r="FQ12" s="393"/>
      <c r="FR12" s="393"/>
      <c r="FS12" s="393"/>
      <c r="FT12" s="393"/>
      <c r="FU12" s="393"/>
      <c r="FV12" s="393"/>
      <c r="FW12" s="393"/>
      <c r="FX12" s="393"/>
      <c r="FY12" s="393"/>
      <c r="FZ12" s="393"/>
      <c r="GA12" s="393"/>
      <c r="GB12" s="393"/>
      <c r="GC12" s="393"/>
      <c r="GD12" s="393"/>
      <c r="GE12" s="393"/>
      <c r="GF12" s="393"/>
      <c r="GG12" s="393"/>
      <c r="GH12" s="393"/>
      <c r="GI12" s="393"/>
      <c r="GJ12" s="393"/>
      <c r="GK12" s="393"/>
      <c r="GL12" s="393"/>
      <c r="GM12" s="393"/>
      <c r="GN12" s="393"/>
      <c r="GO12" s="393"/>
      <c r="GP12" s="393"/>
      <c r="GQ12" s="393"/>
      <c r="GR12" s="393"/>
      <c r="GS12" s="393"/>
      <c r="GT12" s="393"/>
      <c r="GU12" s="393"/>
      <c r="GV12" s="393"/>
      <c r="GW12" s="393"/>
      <c r="GX12" s="393"/>
      <c r="GY12" s="393"/>
      <c r="GZ12" s="393"/>
      <c r="HA12" s="393"/>
      <c r="HB12" s="393"/>
      <c r="HC12" s="393"/>
      <c r="HD12" s="393"/>
      <c r="HE12" s="393"/>
      <c r="HF12" s="393"/>
      <c r="HG12" s="393"/>
      <c r="HH12" s="393"/>
      <c r="HI12" s="393"/>
      <c r="HJ12" s="393"/>
      <c r="HK12" s="393"/>
      <c r="HL12" s="393"/>
      <c r="HM12" s="393"/>
      <c r="HN12" s="393"/>
      <c r="HO12" s="393"/>
      <c r="HP12" s="393"/>
      <c r="HQ12" s="393"/>
      <c r="HR12" s="393"/>
      <c r="HS12" s="393"/>
      <c r="HT12" s="393"/>
      <c r="HU12" s="393"/>
      <c r="HV12" s="393"/>
      <c r="HW12" s="393"/>
      <c r="HX12" s="393"/>
      <c r="HY12" s="393"/>
      <c r="HZ12" s="393"/>
      <c r="IA12" s="393"/>
      <c r="IB12" s="393"/>
      <c r="IC12" s="393"/>
      <c r="ID12" s="393"/>
      <c r="IE12" s="393"/>
      <c r="IF12" s="393"/>
      <c r="IG12" s="393"/>
      <c r="IH12" s="393"/>
      <c r="II12" s="393"/>
      <c r="IJ12" s="393"/>
      <c r="IK12" s="393"/>
      <c r="IL12" s="393"/>
      <c r="IM12" s="393"/>
      <c r="IN12" s="393"/>
      <c r="IO12" s="393"/>
      <c r="IP12" s="393"/>
      <c r="IQ12" s="393"/>
      <c r="IR12" s="393"/>
    </row>
    <row r="13" spans="2:252" s="62" customFormat="1" ht="25.15" customHeight="1" x14ac:dyDescent="0.25">
      <c r="B13" s="58" t="s">
        <v>12</v>
      </c>
      <c r="C13" s="58"/>
      <c r="D13" s="58">
        <v>2019</v>
      </c>
      <c r="E13" s="61">
        <v>70494</v>
      </c>
      <c r="H13" s="61"/>
      <c r="I13" s="58"/>
      <c r="J13" s="59"/>
      <c r="K13" s="60"/>
      <c r="V13" s="393"/>
      <c r="W13" s="393"/>
      <c r="X13" s="393"/>
      <c r="Y13" s="393"/>
      <c r="Z13" s="393"/>
      <c r="AA13" s="393"/>
      <c r="AB13" s="393"/>
      <c r="AC13" s="393"/>
      <c r="AD13" s="393"/>
      <c r="AE13" s="393"/>
      <c r="AF13" s="393"/>
      <c r="AG13" s="393"/>
      <c r="AH13" s="393"/>
      <c r="AI13" s="393"/>
      <c r="AJ13" s="393"/>
      <c r="AK13" s="393"/>
      <c r="AL13" s="393"/>
      <c r="AM13" s="393"/>
      <c r="AN13" s="393"/>
      <c r="AO13" s="393"/>
      <c r="AP13" s="393"/>
      <c r="AQ13" s="393"/>
      <c r="AR13" s="393"/>
      <c r="AS13" s="393"/>
      <c r="AT13" s="393"/>
      <c r="AU13" s="393"/>
      <c r="AV13" s="393"/>
      <c r="AW13" s="393"/>
      <c r="AX13" s="393"/>
      <c r="AY13" s="393"/>
      <c r="AZ13" s="393"/>
      <c r="BA13" s="393"/>
      <c r="BB13" s="393"/>
      <c r="BC13" s="393"/>
      <c r="BD13" s="393"/>
      <c r="BE13" s="393"/>
      <c r="BF13" s="393"/>
      <c r="BG13" s="393"/>
      <c r="BH13" s="393"/>
      <c r="BI13" s="393"/>
      <c r="BJ13" s="393"/>
      <c r="BK13" s="393"/>
      <c r="BL13" s="393"/>
      <c r="BM13" s="393"/>
      <c r="BN13" s="393"/>
      <c r="BO13" s="393"/>
      <c r="BP13" s="393"/>
      <c r="BQ13" s="393"/>
      <c r="BR13" s="393"/>
      <c r="BS13" s="393"/>
      <c r="BT13" s="393"/>
      <c r="BU13" s="393"/>
      <c r="BV13" s="393"/>
      <c r="BW13" s="393"/>
      <c r="BX13" s="393"/>
      <c r="BY13" s="393"/>
      <c r="BZ13" s="393"/>
      <c r="CA13" s="393"/>
      <c r="CB13" s="393"/>
      <c r="CC13" s="393"/>
      <c r="CD13" s="393"/>
      <c r="CE13" s="393"/>
      <c r="CF13" s="393"/>
      <c r="CG13" s="393"/>
      <c r="CH13" s="393"/>
      <c r="CI13" s="393"/>
      <c r="CJ13" s="393"/>
      <c r="CK13" s="393"/>
      <c r="CL13" s="393"/>
      <c r="CM13" s="393"/>
      <c r="CN13" s="393"/>
      <c r="CO13" s="393"/>
      <c r="CP13" s="393"/>
      <c r="CQ13" s="393"/>
      <c r="CR13" s="393"/>
      <c r="CS13" s="393"/>
      <c r="CT13" s="393"/>
      <c r="CU13" s="393"/>
      <c r="CV13" s="393"/>
      <c r="CW13" s="393"/>
      <c r="CX13" s="393"/>
      <c r="CY13" s="393"/>
      <c r="CZ13" s="393"/>
      <c r="DA13" s="393"/>
      <c r="DB13" s="393"/>
      <c r="DC13" s="393"/>
      <c r="DD13" s="393"/>
      <c r="DE13" s="393"/>
      <c r="DF13" s="393"/>
      <c r="DG13" s="393"/>
      <c r="DH13" s="393"/>
      <c r="DI13" s="393"/>
      <c r="DJ13" s="393"/>
      <c r="DK13" s="393"/>
      <c r="DL13" s="393"/>
      <c r="DM13" s="393"/>
      <c r="DN13" s="393"/>
      <c r="DO13" s="393"/>
      <c r="DP13" s="393"/>
      <c r="DQ13" s="393"/>
      <c r="DR13" s="393"/>
      <c r="DS13" s="393"/>
      <c r="DT13" s="393"/>
      <c r="DU13" s="393"/>
      <c r="DV13" s="393"/>
      <c r="DW13" s="393"/>
      <c r="DX13" s="393"/>
      <c r="DY13" s="393"/>
      <c r="DZ13" s="393"/>
      <c r="EA13" s="393"/>
      <c r="EB13" s="393"/>
      <c r="EC13" s="393"/>
      <c r="ED13" s="393"/>
      <c r="EE13" s="393"/>
      <c r="EF13" s="393"/>
      <c r="EG13" s="393"/>
      <c r="EH13" s="393"/>
      <c r="EI13" s="393"/>
      <c r="EJ13" s="393"/>
      <c r="EK13" s="393"/>
      <c r="EL13" s="393"/>
      <c r="EM13" s="393"/>
      <c r="EN13" s="393"/>
      <c r="EO13" s="393"/>
      <c r="EP13" s="393"/>
      <c r="EQ13" s="393"/>
      <c r="ER13" s="393"/>
      <c r="ES13" s="393"/>
      <c r="ET13" s="393"/>
      <c r="EU13" s="393"/>
      <c r="EV13" s="393"/>
      <c r="EW13" s="393"/>
      <c r="EX13" s="393"/>
      <c r="EY13" s="393"/>
      <c r="EZ13" s="393"/>
      <c r="FA13" s="393"/>
      <c r="FB13" s="393"/>
      <c r="FC13" s="393"/>
      <c r="FD13" s="393"/>
      <c r="FE13" s="393"/>
      <c r="FF13" s="393"/>
      <c r="FG13" s="393"/>
      <c r="FH13" s="393"/>
      <c r="FI13" s="393"/>
      <c r="FJ13" s="393"/>
      <c r="FK13" s="393"/>
      <c r="FL13" s="393"/>
      <c r="FM13" s="393"/>
      <c r="FN13" s="393"/>
      <c r="FO13" s="393"/>
      <c r="FP13" s="393"/>
      <c r="FQ13" s="393"/>
      <c r="FR13" s="393"/>
      <c r="FS13" s="393"/>
      <c r="FT13" s="393"/>
      <c r="FU13" s="393"/>
      <c r="FV13" s="393"/>
      <c r="FW13" s="393"/>
      <c r="FX13" s="393"/>
      <c r="FY13" s="393"/>
      <c r="FZ13" s="393"/>
      <c r="GA13" s="393"/>
      <c r="GB13" s="393"/>
      <c r="GC13" s="393"/>
      <c r="GD13" s="393"/>
      <c r="GE13" s="393"/>
      <c r="GF13" s="393"/>
      <c r="GG13" s="393"/>
      <c r="GH13" s="393"/>
      <c r="GI13" s="393"/>
      <c r="GJ13" s="393"/>
      <c r="GK13" s="393"/>
      <c r="GL13" s="393"/>
      <c r="GM13" s="393"/>
      <c r="GN13" s="393"/>
      <c r="GO13" s="393"/>
      <c r="GP13" s="393"/>
      <c r="GQ13" s="393"/>
      <c r="GR13" s="393"/>
      <c r="GS13" s="393"/>
      <c r="GT13" s="393"/>
      <c r="GU13" s="393"/>
      <c r="GV13" s="393"/>
      <c r="GW13" s="393"/>
      <c r="GX13" s="393"/>
      <c r="GY13" s="393"/>
      <c r="GZ13" s="393"/>
      <c r="HA13" s="393"/>
      <c r="HB13" s="393"/>
      <c r="HC13" s="393"/>
      <c r="HD13" s="393"/>
      <c r="HE13" s="393"/>
      <c r="HF13" s="393"/>
      <c r="HG13" s="393"/>
      <c r="HH13" s="393"/>
      <c r="HI13" s="393"/>
      <c r="HJ13" s="393"/>
      <c r="HK13" s="393"/>
      <c r="HL13" s="393"/>
      <c r="HM13" s="393"/>
      <c r="HN13" s="393"/>
      <c r="HO13" s="393"/>
      <c r="HP13" s="393"/>
      <c r="HQ13" s="393"/>
      <c r="HR13" s="393"/>
      <c r="HS13" s="393"/>
      <c r="HT13" s="393"/>
      <c r="HU13" s="393"/>
      <c r="HV13" s="393"/>
      <c r="HW13" s="393"/>
      <c r="HX13" s="393"/>
      <c r="HY13" s="393"/>
      <c r="HZ13" s="393"/>
      <c r="IA13" s="393"/>
      <c r="IB13" s="393"/>
      <c r="IC13" s="393"/>
      <c r="ID13" s="393"/>
      <c r="IE13" s="393"/>
      <c r="IF13" s="393"/>
      <c r="IG13" s="393"/>
      <c r="IH13" s="393"/>
      <c r="II13" s="393"/>
      <c r="IJ13" s="393"/>
      <c r="IK13" s="393"/>
      <c r="IL13" s="393"/>
      <c r="IM13" s="393"/>
      <c r="IN13" s="393"/>
      <c r="IO13" s="393"/>
      <c r="IP13" s="393"/>
      <c r="IQ13" s="393"/>
      <c r="IR13" s="393"/>
    </row>
    <row r="14" spans="2:252" s="62" customFormat="1" ht="25.15" customHeight="1" x14ac:dyDescent="0.25">
      <c r="B14" s="86" t="s">
        <v>56</v>
      </c>
      <c r="C14" s="58"/>
      <c r="D14" s="58">
        <v>2019</v>
      </c>
      <c r="E14" s="61">
        <f>SUM(Dailies!H519:H1046)+SUM(Dailies!J519:J1046)</f>
        <v>98770.790000000008</v>
      </c>
      <c r="H14" s="61"/>
      <c r="I14" s="58"/>
      <c r="J14" s="59"/>
      <c r="K14" s="60"/>
      <c r="V14" s="393"/>
      <c r="W14" s="393"/>
      <c r="X14" s="393"/>
      <c r="Y14" s="393"/>
      <c r="Z14" s="393"/>
      <c r="AA14" s="393"/>
      <c r="AB14" s="393"/>
      <c r="AC14" s="393"/>
      <c r="AD14" s="393"/>
      <c r="AE14" s="393"/>
      <c r="AF14" s="393"/>
      <c r="AG14" s="393"/>
      <c r="AH14" s="393"/>
      <c r="AI14" s="393"/>
      <c r="AJ14" s="393"/>
      <c r="AK14" s="393"/>
      <c r="AL14" s="393"/>
      <c r="AM14" s="393"/>
      <c r="AN14" s="393"/>
      <c r="AO14" s="393"/>
      <c r="AP14" s="393"/>
      <c r="AQ14" s="393"/>
      <c r="AR14" s="393"/>
      <c r="AS14" s="393"/>
      <c r="AT14" s="393"/>
      <c r="AU14" s="393"/>
      <c r="AV14" s="393"/>
      <c r="AW14" s="393"/>
      <c r="AX14" s="393"/>
      <c r="AY14" s="393"/>
      <c r="AZ14" s="393"/>
      <c r="BA14" s="393"/>
      <c r="BB14" s="393"/>
      <c r="BC14" s="393"/>
      <c r="BD14" s="393"/>
      <c r="BE14" s="393"/>
      <c r="BF14" s="393"/>
      <c r="BG14" s="393"/>
      <c r="BH14" s="393"/>
      <c r="BI14" s="393"/>
      <c r="BJ14" s="393"/>
      <c r="BK14" s="393"/>
      <c r="BL14" s="393"/>
      <c r="BM14" s="393"/>
      <c r="BN14" s="393"/>
      <c r="BO14" s="393"/>
      <c r="BP14" s="393"/>
      <c r="BQ14" s="393"/>
      <c r="BR14" s="393"/>
      <c r="BS14" s="393"/>
      <c r="BT14" s="393"/>
      <c r="BU14" s="393"/>
      <c r="BV14" s="393"/>
      <c r="BW14" s="393"/>
      <c r="BX14" s="393"/>
      <c r="BY14" s="393"/>
      <c r="BZ14" s="393"/>
      <c r="CA14" s="393"/>
      <c r="CB14" s="393"/>
      <c r="CC14" s="393"/>
      <c r="CD14" s="393"/>
      <c r="CE14" s="393"/>
      <c r="CF14" s="393"/>
      <c r="CG14" s="393"/>
      <c r="CH14" s="393"/>
      <c r="CI14" s="393"/>
      <c r="CJ14" s="393"/>
      <c r="CK14" s="393"/>
      <c r="CL14" s="393"/>
      <c r="CM14" s="393"/>
      <c r="CN14" s="393"/>
      <c r="CO14" s="393"/>
      <c r="CP14" s="393"/>
      <c r="CQ14" s="393"/>
      <c r="CR14" s="393"/>
      <c r="CS14" s="393"/>
      <c r="CT14" s="393"/>
      <c r="CU14" s="393"/>
      <c r="CV14" s="393"/>
      <c r="CW14" s="393"/>
      <c r="CX14" s="393"/>
      <c r="CY14" s="393"/>
      <c r="CZ14" s="393"/>
      <c r="DA14" s="393"/>
      <c r="DB14" s="393"/>
      <c r="DC14" s="393"/>
      <c r="DD14" s="393"/>
      <c r="DE14" s="393"/>
      <c r="DF14" s="393"/>
      <c r="DG14" s="393"/>
      <c r="DH14" s="393"/>
      <c r="DI14" s="393"/>
      <c r="DJ14" s="393"/>
      <c r="DK14" s="393"/>
      <c r="DL14" s="393"/>
      <c r="DM14" s="393"/>
      <c r="DN14" s="393"/>
      <c r="DO14" s="393"/>
      <c r="DP14" s="393"/>
      <c r="DQ14" s="393"/>
      <c r="DR14" s="393"/>
      <c r="DS14" s="393"/>
      <c r="DT14" s="393"/>
      <c r="DU14" s="393"/>
      <c r="DV14" s="393"/>
      <c r="DW14" s="393"/>
      <c r="DX14" s="393"/>
      <c r="DY14" s="393"/>
      <c r="DZ14" s="393"/>
      <c r="EA14" s="393"/>
      <c r="EB14" s="393"/>
      <c r="EC14" s="393"/>
      <c r="ED14" s="393"/>
      <c r="EE14" s="393"/>
      <c r="EF14" s="393"/>
      <c r="EG14" s="393"/>
      <c r="EH14" s="393"/>
      <c r="EI14" s="393"/>
      <c r="EJ14" s="393"/>
      <c r="EK14" s="393"/>
      <c r="EL14" s="393"/>
      <c r="EM14" s="393"/>
      <c r="EN14" s="393"/>
      <c r="EO14" s="393"/>
      <c r="EP14" s="393"/>
      <c r="EQ14" s="393"/>
      <c r="ER14" s="393"/>
      <c r="ES14" s="393"/>
      <c r="ET14" s="393"/>
      <c r="EU14" s="393"/>
      <c r="EV14" s="393"/>
      <c r="EW14" s="393"/>
      <c r="EX14" s="393"/>
      <c r="EY14" s="393"/>
      <c r="EZ14" s="393"/>
      <c r="FA14" s="393"/>
      <c r="FB14" s="393"/>
      <c r="FC14" s="393"/>
      <c r="FD14" s="393"/>
      <c r="FE14" s="393"/>
      <c r="FF14" s="393"/>
      <c r="FG14" s="393"/>
      <c r="FH14" s="393"/>
      <c r="FI14" s="393"/>
      <c r="FJ14" s="393"/>
      <c r="FK14" s="393"/>
      <c r="FL14" s="393"/>
      <c r="FM14" s="393"/>
      <c r="FN14" s="393"/>
      <c r="FO14" s="393"/>
      <c r="FP14" s="393"/>
      <c r="FQ14" s="393"/>
      <c r="FR14" s="393"/>
      <c r="FS14" s="393"/>
      <c r="FT14" s="393"/>
      <c r="FU14" s="393"/>
      <c r="FV14" s="393"/>
      <c r="FW14" s="393"/>
      <c r="FX14" s="393"/>
      <c r="FY14" s="393"/>
      <c r="FZ14" s="393"/>
      <c r="GA14" s="393"/>
      <c r="GB14" s="393"/>
      <c r="GC14" s="393"/>
      <c r="GD14" s="393"/>
      <c r="GE14" s="393"/>
      <c r="GF14" s="393"/>
      <c r="GG14" s="393"/>
      <c r="GH14" s="393"/>
      <c r="GI14" s="393"/>
      <c r="GJ14" s="393"/>
      <c r="GK14" s="393"/>
      <c r="GL14" s="393"/>
      <c r="GM14" s="393"/>
      <c r="GN14" s="393"/>
      <c r="GO14" s="393"/>
      <c r="GP14" s="393"/>
      <c r="GQ14" s="393"/>
      <c r="GR14" s="393"/>
      <c r="GS14" s="393"/>
      <c r="GT14" s="393"/>
      <c r="GU14" s="393"/>
      <c r="GV14" s="393"/>
      <c r="GW14" s="393"/>
      <c r="GX14" s="393"/>
      <c r="GY14" s="393"/>
      <c r="GZ14" s="393"/>
      <c r="HA14" s="393"/>
      <c r="HB14" s="393"/>
      <c r="HC14" s="393"/>
      <c r="HD14" s="393"/>
      <c r="HE14" s="393"/>
      <c r="HF14" s="393"/>
      <c r="HG14" s="393"/>
      <c r="HH14" s="393"/>
      <c r="HI14" s="393"/>
      <c r="HJ14" s="393"/>
      <c r="HK14" s="393"/>
      <c r="HL14" s="393"/>
      <c r="HM14" s="393"/>
      <c r="HN14" s="393"/>
      <c r="HO14" s="393"/>
      <c r="HP14" s="393"/>
      <c r="HQ14" s="393"/>
      <c r="HR14" s="393"/>
      <c r="HS14" s="393"/>
      <c r="HT14" s="393"/>
      <c r="HU14" s="393"/>
      <c r="HV14" s="393"/>
      <c r="HW14" s="393"/>
      <c r="HX14" s="393"/>
      <c r="HY14" s="393"/>
      <c r="HZ14" s="393"/>
      <c r="IA14" s="393"/>
      <c r="IB14" s="393"/>
      <c r="IC14" s="393"/>
      <c r="ID14" s="393"/>
      <c r="IE14" s="393"/>
      <c r="IF14" s="393"/>
      <c r="IG14" s="393"/>
      <c r="IH14" s="393"/>
      <c r="II14" s="393"/>
      <c r="IJ14" s="393"/>
      <c r="IK14" s="393"/>
      <c r="IL14" s="393"/>
      <c r="IM14" s="393"/>
      <c r="IN14" s="393"/>
      <c r="IO14" s="393"/>
      <c r="IP14" s="393"/>
      <c r="IQ14" s="393"/>
      <c r="IR14" s="393"/>
    </row>
    <row r="15" spans="2:252" s="62" customFormat="1" ht="25.15" customHeight="1" x14ac:dyDescent="0.25">
      <c r="B15" s="58" t="s">
        <v>13</v>
      </c>
      <c r="C15" s="58"/>
      <c r="D15" s="58">
        <v>2019</v>
      </c>
      <c r="E15" s="61">
        <v>63618.91</v>
      </c>
      <c r="H15" s="61"/>
      <c r="I15" s="58"/>
      <c r="J15" s="59"/>
      <c r="K15" s="60"/>
      <c r="V15" s="393"/>
      <c r="W15" s="393"/>
      <c r="X15" s="393"/>
      <c r="Y15" s="393"/>
      <c r="Z15" s="393"/>
      <c r="AA15" s="393"/>
      <c r="AB15" s="393"/>
      <c r="AC15" s="393"/>
      <c r="AD15" s="393"/>
      <c r="AE15" s="393"/>
      <c r="AF15" s="393"/>
      <c r="AG15" s="393"/>
      <c r="AH15" s="393"/>
      <c r="AI15" s="393"/>
      <c r="AJ15" s="393"/>
      <c r="AK15" s="393"/>
      <c r="AL15" s="393"/>
      <c r="AM15" s="393"/>
      <c r="AN15" s="393"/>
      <c r="AO15" s="393"/>
      <c r="AP15" s="393"/>
      <c r="AQ15" s="393"/>
      <c r="AR15" s="393"/>
      <c r="AS15" s="393"/>
      <c r="AT15" s="393"/>
      <c r="AU15" s="393"/>
      <c r="AV15" s="393"/>
      <c r="AW15" s="393"/>
      <c r="AX15" s="393"/>
      <c r="AY15" s="393"/>
      <c r="AZ15" s="393"/>
      <c r="BA15" s="393"/>
      <c r="BB15" s="393"/>
      <c r="BC15" s="393"/>
      <c r="BD15" s="393"/>
      <c r="BE15" s="393"/>
      <c r="BF15" s="393"/>
      <c r="BG15" s="393"/>
      <c r="BH15" s="393"/>
      <c r="BI15" s="393"/>
      <c r="BJ15" s="393"/>
      <c r="BK15" s="393"/>
      <c r="BL15" s="393"/>
      <c r="BM15" s="393"/>
      <c r="BN15" s="393"/>
      <c r="BO15" s="393"/>
      <c r="BP15" s="393"/>
      <c r="BQ15" s="393"/>
      <c r="BR15" s="393"/>
      <c r="BS15" s="393"/>
      <c r="BT15" s="393"/>
      <c r="BU15" s="393"/>
      <c r="BV15" s="393"/>
      <c r="BW15" s="393"/>
      <c r="BX15" s="393"/>
      <c r="BY15" s="393"/>
      <c r="BZ15" s="393"/>
      <c r="CA15" s="393"/>
      <c r="CB15" s="393"/>
      <c r="CC15" s="393"/>
      <c r="CD15" s="393"/>
      <c r="CE15" s="393"/>
      <c r="CF15" s="393"/>
      <c r="CG15" s="393"/>
      <c r="CH15" s="393"/>
      <c r="CI15" s="393"/>
      <c r="CJ15" s="393"/>
      <c r="CK15" s="393"/>
      <c r="CL15" s="393"/>
      <c r="CM15" s="393"/>
      <c r="CN15" s="393"/>
      <c r="CO15" s="393"/>
      <c r="CP15" s="393"/>
      <c r="CQ15" s="393"/>
      <c r="CR15" s="393"/>
      <c r="CS15" s="393"/>
      <c r="CT15" s="393"/>
      <c r="CU15" s="393"/>
      <c r="CV15" s="393"/>
      <c r="CW15" s="393"/>
      <c r="CX15" s="393"/>
      <c r="CY15" s="393"/>
      <c r="CZ15" s="393"/>
      <c r="DA15" s="393"/>
      <c r="DB15" s="393"/>
      <c r="DC15" s="393"/>
      <c r="DD15" s="393"/>
      <c r="DE15" s="393"/>
      <c r="DF15" s="393"/>
      <c r="DG15" s="393"/>
      <c r="DH15" s="393"/>
      <c r="DI15" s="393"/>
      <c r="DJ15" s="393"/>
      <c r="DK15" s="393"/>
      <c r="DL15" s="393"/>
      <c r="DM15" s="393"/>
      <c r="DN15" s="393"/>
      <c r="DO15" s="393"/>
      <c r="DP15" s="393"/>
      <c r="DQ15" s="393"/>
      <c r="DR15" s="393"/>
      <c r="DS15" s="393"/>
      <c r="DT15" s="393"/>
      <c r="DU15" s="393"/>
      <c r="DV15" s="393"/>
      <c r="DW15" s="393"/>
      <c r="DX15" s="393"/>
      <c r="DY15" s="393"/>
      <c r="DZ15" s="393"/>
      <c r="EA15" s="393"/>
      <c r="EB15" s="393"/>
      <c r="EC15" s="393"/>
      <c r="ED15" s="393"/>
      <c r="EE15" s="393"/>
      <c r="EF15" s="393"/>
      <c r="EG15" s="393"/>
      <c r="EH15" s="393"/>
      <c r="EI15" s="393"/>
      <c r="EJ15" s="393"/>
      <c r="EK15" s="393"/>
      <c r="EL15" s="393"/>
      <c r="EM15" s="393"/>
      <c r="EN15" s="393"/>
      <c r="EO15" s="393"/>
      <c r="EP15" s="393"/>
      <c r="EQ15" s="393"/>
      <c r="ER15" s="393"/>
      <c r="ES15" s="393"/>
      <c r="ET15" s="393"/>
      <c r="EU15" s="393"/>
      <c r="EV15" s="393"/>
      <c r="EW15" s="393"/>
      <c r="EX15" s="393"/>
      <c r="EY15" s="393"/>
      <c r="EZ15" s="393"/>
      <c r="FA15" s="393"/>
      <c r="FB15" s="393"/>
      <c r="FC15" s="393"/>
      <c r="FD15" s="393"/>
      <c r="FE15" s="393"/>
      <c r="FF15" s="393"/>
      <c r="FG15" s="393"/>
      <c r="FH15" s="393"/>
      <c r="FI15" s="393"/>
      <c r="FJ15" s="393"/>
      <c r="FK15" s="393"/>
      <c r="FL15" s="393"/>
      <c r="FM15" s="393"/>
      <c r="FN15" s="393"/>
      <c r="FO15" s="393"/>
      <c r="FP15" s="393"/>
      <c r="FQ15" s="393"/>
      <c r="FR15" s="393"/>
      <c r="FS15" s="393"/>
      <c r="FT15" s="393"/>
      <c r="FU15" s="393"/>
      <c r="FV15" s="393"/>
      <c r="FW15" s="393"/>
      <c r="FX15" s="393"/>
      <c r="FY15" s="393"/>
      <c r="FZ15" s="393"/>
      <c r="GA15" s="393"/>
      <c r="GB15" s="393"/>
      <c r="GC15" s="393"/>
      <c r="GD15" s="393"/>
      <c r="GE15" s="393"/>
      <c r="GF15" s="393"/>
      <c r="GG15" s="393"/>
      <c r="GH15" s="393"/>
      <c r="GI15" s="393"/>
      <c r="GJ15" s="393"/>
      <c r="GK15" s="393"/>
      <c r="GL15" s="393"/>
      <c r="GM15" s="393"/>
      <c r="GN15" s="393"/>
      <c r="GO15" s="393"/>
      <c r="GP15" s="393"/>
      <c r="GQ15" s="393"/>
      <c r="GR15" s="393"/>
      <c r="GS15" s="393"/>
      <c r="GT15" s="393"/>
      <c r="GU15" s="393"/>
      <c r="GV15" s="393"/>
      <c r="GW15" s="393"/>
      <c r="GX15" s="393"/>
      <c r="GY15" s="393"/>
      <c r="GZ15" s="393"/>
      <c r="HA15" s="393"/>
      <c r="HB15" s="393"/>
      <c r="HC15" s="393"/>
      <c r="HD15" s="393"/>
      <c r="HE15" s="393"/>
      <c r="HF15" s="393"/>
      <c r="HG15" s="393"/>
      <c r="HH15" s="393"/>
      <c r="HI15" s="393"/>
      <c r="HJ15" s="393"/>
      <c r="HK15" s="393"/>
      <c r="HL15" s="393"/>
      <c r="HM15" s="393"/>
      <c r="HN15" s="393"/>
      <c r="HO15" s="393"/>
      <c r="HP15" s="393"/>
      <c r="HQ15" s="393"/>
      <c r="HR15" s="393"/>
      <c r="HS15" s="393"/>
      <c r="HT15" s="393"/>
      <c r="HU15" s="393"/>
      <c r="HV15" s="393"/>
      <c r="HW15" s="393"/>
      <c r="HX15" s="393"/>
      <c r="HY15" s="393"/>
      <c r="HZ15" s="393"/>
      <c r="IA15" s="393"/>
      <c r="IB15" s="393"/>
      <c r="IC15" s="393"/>
      <c r="ID15" s="393"/>
      <c r="IE15" s="393"/>
      <c r="IF15" s="393"/>
      <c r="IG15" s="393"/>
      <c r="IH15" s="393"/>
      <c r="II15" s="393"/>
      <c r="IJ15" s="393"/>
      <c r="IK15" s="393"/>
      <c r="IL15" s="393"/>
      <c r="IM15" s="393"/>
      <c r="IN15" s="393"/>
      <c r="IO15" s="393"/>
      <c r="IP15" s="393"/>
      <c r="IQ15" s="393"/>
      <c r="IR15" s="393"/>
    </row>
    <row r="16" spans="2:252" s="62" customFormat="1" ht="25.15" customHeight="1" x14ac:dyDescent="0.25">
      <c r="B16" s="58" t="s">
        <v>14</v>
      </c>
      <c r="C16" s="58"/>
      <c r="D16" s="58"/>
      <c r="E16" s="188">
        <v>400</v>
      </c>
      <c r="F16" s="188"/>
      <c r="G16" s="58"/>
      <c r="H16" s="58"/>
      <c r="I16" s="58"/>
      <c r="J16" s="59"/>
      <c r="K16" s="60"/>
      <c r="L16" s="58"/>
      <c r="M16" s="58"/>
      <c r="N16" s="61"/>
      <c r="V16" s="393"/>
      <c r="W16" s="393"/>
      <c r="X16" s="393"/>
      <c r="Y16" s="393"/>
      <c r="Z16" s="393"/>
      <c r="AA16" s="393"/>
      <c r="AB16" s="393"/>
      <c r="AC16" s="393"/>
      <c r="AD16" s="393"/>
      <c r="AE16" s="393"/>
      <c r="AF16" s="393"/>
      <c r="AG16" s="393"/>
      <c r="AH16" s="393"/>
      <c r="AI16" s="393"/>
      <c r="AJ16" s="393"/>
      <c r="AK16" s="393"/>
      <c r="AL16" s="393"/>
      <c r="AM16" s="393"/>
      <c r="AN16" s="393"/>
      <c r="AO16" s="393"/>
      <c r="AP16" s="393"/>
      <c r="AQ16" s="393"/>
      <c r="AR16" s="393"/>
      <c r="AS16" s="393"/>
      <c r="AT16" s="393"/>
      <c r="AU16" s="393"/>
      <c r="AV16" s="393"/>
      <c r="AW16" s="393"/>
      <c r="AX16" s="393"/>
      <c r="AY16" s="393"/>
      <c r="AZ16" s="393"/>
      <c r="BA16" s="393"/>
      <c r="BB16" s="393"/>
      <c r="BC16" s="393"/>
      <c r="BD16" s="393"/>
      <c r="BE16" s="393"/>
      <c r="BF16" s="393"/>
      <c r="BG16" s="393"/>
      <c r="BH16" s="393"/>
      <c r="BI16" s="393"/>
      <c r="BJ16" s="393"/>
      <c r="BK16" s="393"/>
      <c r="BL16" s="393"/>
      <c r="BM16" s="393"/>
      <c r="BN16" s="393"/>
      <c r="BO16" s="393"/>
      <c r="BP16" s="393"/>
      <c r="BQ16" s="393"/>
      <c r="BR16" s="393"/>
      <c r="BS16" s="393"/>
      <c r="BT16" s="393"/>
      <c r="BU16" s="393"/>
      <c r="BV16" s="393"/>
      <c r="BW16" s="393"/>
      <c r="BX16" s="393"/>
      <c r="BY16" s="393"/>
      <c r="BZ16" s="393"/>
      <c r="CA16" s="393"/>
      <c r="CB16" s="393"/>
      <c r="CC16" s="393"/>
      <c r="CD16" s="393"/>
      <c r="CE16" s="393"/>
      <c r="CF16" s="393"/>
      <c r="CG16" s="393"/>
      <c r="CH16" s="393"/>
      <c r="CI16" s="393"/>
      <c r="CJ16" s="393"/>
      <c r="CK16" s="393"/>
      <c r="CL16" s="393"/>
      <c r="CM16" s="393"/>
      <c r="CN16" s="393"/>
      <c r="CO16" s="393"/>
      <c r="CP16" s="393"/>
      <c r="CQ16" s="393"/>
      <c r="CR16" s="393"/>
      <c r="CS16" s="393"/>
      <c r="CT16" s="393"/>
      <c r="CU16" s="393"/>
      <c r="CV16" s="393"/>
      <c r="CW16" s="393"/>
      <c r="CX16" s="393"/>
      <c r="CY16" s="393"/>
      <c r="CZ16" s="393"/>
      <c r="DA16" s="393"/>
      <c r="DB16" s="393"/>
      <c r="DC16" s="393"/>
      <c r="DD16" s="393"/>
      <c r="DE16" s="393"/>
      <c r="DF16" s="393"/>
      <c r="DG16" s="393"/>
      <c r="DH16" s="393"/>
      <c r="DI16" s="393"/>
      <c r="DJ16" s="393"/>
      <c r="DK16" s="393"/>
      <c r="DL16" s="393"/>
      <c r="DM16" s="393"/>
      <c r="DN16" s="393"/>
      <c r="DO16" s="393"/>
      <c r="DP16" s="393"/>
      <c r="DQ16" s="393"/>
      <c r="DR16" s="393"/>
      <c r="DS16" s="393"/>
      <c r="DT16" s="393"/>
      <c r="DU16" s="393"/>
      <c r="DV16" s="393"/>
      <c r="DW16" s="393"/>
      <c r="DX16" s="393"/>
      <c r="DY16" s="393"/>
      <c r="DZ16" s="393"/>
      <c r="EA16" s="393"/>
      <c r="EB16" s="393"/>
      <c r="EC16" s="393"/>
      <c r="ED16" s="393"/>
      <c r="EE16" s="393"/>
      <c r="EF16" s="393"/>
      <c r="EG16" s="393"/>
      <c r="EH16" s="393"/>
      <c r="EI16" s="393"/>
      <c r="EJ16" s="393"/>
      <c r="EK16" s="393"/>
      <c r="EL16" s="393"/>
      <c r="EM16" s="393"/>
      <c r="EN16" s="393"/>
      <c r="EO16" s="393"/>
      <c r="EP16" s="393"/>
      <c r="EQ16" s="393"/>
      <c r="ER16" s="393"/>
      <c r="ES16" s="393"/>
      <c r="ET16" s="393"/>
      <c r="EU16" s="393"/>
      <c r="EV16" s="393"/>
      <c r="EW16" s="393"/>
      <c r="EX16" s="393"/>
      <c r="EY16" s="393"/>
      <c r="EZ16" s="393"/>
      <c r="FA16" s="393"/>
      <c r="FB16" s="393"/>
      <c r="FC16" s="393"/>
      <c r="FD16" s="393"/>
      <c r="FE16" s="393"/>
      <c r="FF16" s="393"/>
      <c r="FG16" s="393"/>
      <c r="FH16" s="393"/>
      <c r="FI16" s="393"/>
      <c r="FJ16" s="393"/>
      <c r="FK16" s="393"/>
      <c r="FL16" s="393"/>
      <c r="FM16" s="393"/>
      <c r="FN16" s="393"/>
      <c r="FO16" s="393"/>
      <c r="FP16" s="393"/>
      <c r="FQ16" s="393"/>
      <c r="FR16" s="393"/>
      <c r="FS16" s="393"/>
      <c r="FT16" s="393"/>
      <c r="FU16" s="393"/>
      <c r="FV16" s="393"/>
      <c r="FW16" s="393"/>
      <c r="FX16" s="393"/>
      <c r="FY16" s="393"/>
      <c r="FZ16" s="393"/>
      <c r="GA16" s="393"/>
      <c r="GB16" s="393"/>
      <c r="GC16" s="393"/>
      <c r="GD16" s="393"/>
      <c r="GE16" s="393"/>
      <c r="GF16" s="393"/>
      <c r="GG16" s="393"/>
      <c r="GH16" s="393"/>
      <c r="GI16" s="393"/>
      <c r="GJ16" s="393"/>
      <c r="GK16" s="393"/>
      <c r="GL16" s="393"/>
      <c r="GM16" s="393"/>
      <c r="GN16" s="393"/>
      <c r="GO16" s="393"/>
      <c r="GP16" s="393"/>
      <c r="GQ16" s="393"/>
      <c r="GR16" s="393"/>
      <c r="GS16" s="393"/>
      <c r="GT16" s="393"/>
      <c r="GU16" s="393"/>
      <c r="GV16" s="393"/>
      <c r="GW16" s="393"/>
      <c r="GX16" s="393"/>
      <c r="GY16" s="393"/>
      <c r="GZ16" s="393"/>
      <c r="HA16" s="393"/>
      <c r="HB16" s="393"/>
      <c r="HC16" s="393"/>
      <c r="HD16" s="393"/>
      <c r="HE16" s="393"/>
      <c r="HF16" s="393"/>
      <c r="HG16" s="393"/>
      <c r="HH16" s="393"/>
      <c r="HI16" s="393"/>
      <c r="HJ16" s="393"/>
      <c r="HK16" s="393"/>
      <c r="HL16" s="393"/>
      <c r="HM16" s="393"/>
      <c r="HN16" s="393"/>
      <c r="HO16" s="393"/>
      <c r="HP16" s="393"/>
      <c r="HQ16" s="393"/>
      <c r="HR16" s="393"/>
      <c r="HS16" s="393"/>
      <c r="HT16" s="393"/>
      <c r="HU16" s="393"/>
      <c r="HV16" s="393"/>
      <c r="HW16" s="393"/>
      <c r="HX16" s="393"/>
      <c r="HY16" s="393"/>
      <c r="HZ16" s="393"/>
      <c r="IA16" s="393"/>
      <c r="IB16" s="393"/>
      <c r="IC16" s="393"/>
      <c r="ID16" s="393"/>
      <c r="IE16" s="393"/>
      <c r="IF16" s="393"/>
      <c r="IG16" s="393"/>
      <c r="IH16" s="393"/>
      <c r="II16" s="393"/>
      <c r="IJ16" s="393"/>
      <c r="IK16" s="393"/>
      <c r="IL16" s="393"/>
      <c r="IM16" s="393"/>
      <c r="IN16" s="393"/>
      <c r="IO16" s="393"/>
      <c r="IP16" s="393"/>
      <c r="IQ16" s="393"/>
      <c r="IR16" s="393"/>
    </row>
    <row r="17" spans="2:252" s="62" customFormat="1" ht="25.15" customHeight="1" x14ac:dyDescent="0.25">
      <c r="B17" s="58" t="s">
        <v>15</v>
      </c>
      <c r="C17" s="58"/>
      <c r="D17" s="58"/>
      <c r="E17" s="188">
        <f>E16*12</f>
        <v>4800</v>
      </c>
      <c r="F17" s="188"/>
      <c r="G17" s="58"/>
      <c r="H17" s="58"/>
      <c r="I17" s="58"/>
      <c r="J17" s="59"/>
      <c r="K17" s="60"/>
      <c r="L17" s="58"/>
      <c r="M17" s="58"/>
      <c r="N17" s="61"/>
      <c r="V17" s="393"/>
      <c r="W17" s="393"/>
      <c r="X17" s="393"/>
      <c r="Y17" s="393"/>
      <c r="Z17" s="393"/>
      <c r="AA17" s="393"/>
      <c r="AB17" s="393"/>
      <c r="AC17" s="393"/>
      <c r="AD17" s="393"/>
      <c r="AE17" s="393"/>
      <c r="AF17" s="393"/>
      <c r="AG17" s="393"/>
      <c r="AH17" s="393"/>
      <c r="AI17" s="393"/>
      <c r="AJ17" s="393"/>
      <c r="AK17" s="393"/>
      <c r="AL17" s="393"/>
      <c r="AM17" s="393"/>
      <c r="AN17" s="393"/>
      <c r="AO17" s="393"/>
      <c r="AP17" s="393"/>
      <c r="AQ17" s="393"/>
      <c r="AR17" s="393"/>
      <c r="AS17" s="393"/>
      <c r="AT17" s="393"/>
      <c r="AU17" s="393"/>
      <c r="AV17" s="393"/>
      <c r="AW17" s="393"/>
      <c r="AX17" s="393"/>
      <c r="AY17" s="393"/>
      <c r="AZ17" s="393"/>
      <c r="BA17" s="393"/>
      <c r="BB17" s="393"/>
      <c r="BC17" s="393"/>
      <c r="BD17" s="393"/>
      <c r="BE17" s="393"/>
      <c r="BF17" s="393"/>
      <c r="BG17" s="393"/>
      <c r="BH17" s="393"/>
      <c r="BI17" s="393"/>
      <c r="BJ17" s="393"/>
      <c r="BK17" s="393"/>
      <c r="BL17" s="393"/>
      <c r="BM17" s="393"/>
      <c r="BN17" s="393"/>
      <c r="BO17" s="393"/>
      <c r="BP17" s="393"/>
      <c r="BQ17" s="393"/>
      <c r="BR17" s="393"/>
      <c r="BS17" s="393"/>
      <c r="BT17" s="393"/>
      <c r="BU17" s="393"/>
      <c r="BV17" s="393"/>
      <c r="BW17" s="393"/>
      <c r="BX17" s="393"/>
      <c r="BY17" s="393"/>
      <c r="BZ17" s="393"/>
      <c r="CA17" s="393"/>
      <c r="CB17" s="393"/>
      <c r="CC17" s="393"/>
      <c r="CD17" s="393"/>
      <c r="CE17" s="393"/>
      <c r="CF17" s="393"/>
      <c r="CG17" s="393"/>
      <c r="CH17" s="393"/>
      <c r="CI17" s="393"/>
      <c r="CJ17" s="393"/>
      <c r="CK17" s="393"/>
      <c r="CL17" s="393"/>
      <c r="CM17" s="393"/>
      <c r="CN17" s="393"/>
      <c r="CO17" s="393"/>
      <c r="CP17" s="393"/>
      <c r="CQ17" s="393"/>
      <c r="CR17" s="393"/>
      <c r="CS17" s="393"/>
      <c r="CT17" s="393"/>
      <c r="CU17" s="393"/>
      <c r="CV17" s="393"/>
      <c r="CW17" s="393"/>
      <c r="CX17" s="393"/>
      <c r="CY17" s="393"/>
      <c r="CZ17" s="393"/>
      <c r="DA17" s="393"/>
      <c r="DB17" s="393"/>
      <c r="DC17" s="393"/>
      <c r="DD17" s="393"/>
      <c r="DE17" s="393"/>
      <c r="DF17" s="393"/>
      <c r="DG17" s="393"/>
      <c r="DH17" s="393"/>
      <c r="DI17" s="393"/>
      <c r="DJ17" s="393"/>
      <c r="DK17" s="393"/>
      <c r="DL17" s="393"/>
      <c r="DM17" s="393"/>
      <c r="DN17" s="393"/>
      <c r="DO17" s="393"/>
      <c r="DP17" s="393"/>
      <c r="DQ17" s="393"/>
      <c r="DR17" s="393"/>
      <c r="DS17" s="393"/>
      <c r="DT17" s="393"/>
      <c r="DU17" s="393"/>
      <c r="DV17" s="393"/>
      <c r="DW17" s="393"/>
      <c r="DX17" s="393"/>
      <c r="DY17" s="393"/>
      <c r="DZ17" s="393"/>
      <c r="EA17" s="393"/>
      <c r="EB17" s="393"/>
      <c r="EC17" s="393"/>
      <c r="ED17" s="393"/>
      <c r="EE17" s="393"/>
      <c r="EF17" s="393"/>
      <c r="EG17" s="393"/>
      <c r="EH17" s="393"/>
      <c r="EI17" s="393"/>
      <c r="EJ17" s="393"/>
      <c r="EK17" s="393"/>
      <c r="EL17" s="393"/>
      <c r="EM17" s="393"/>
      <c r="EN17" s="393"/>
      <c r="EO17" s="393"/>
      <c r="EP17" s="393"/>
      <c r="EQ17" s="393"/>
      <c r="ER17" s="393"/>
      <c r="ES17" s="393"/>
      <c r="ET17" s="393"/>
      <c r="EU17" s="393"/>
      <c r="EV17" s="393"/>
      <c r="EW17" s="393"/>
      <c r="EX17" s="393"/>
      <c r="EY17" s="393"/>
      <c r="EZ17" s="393"/>
      <c r="FA17" s="393"/>
      <c r="FB17" s="393"/>
      <c r="FC17" s="393"/>
      <c r="FD17" s="393"/>
      <c r="FE17" s="393"/>
      <c r="FF17" s="393"/>
      <c r="FG17" s="393"/>
      <c r="FH17" s="393"/>
      <c r="FI17" s="393"/>
      <c r="FJ17" s="393"/>
      <c r="FK17" s="393"/>
      <c r="FL17" s="393"/>
      <c r="FM17" s="393"/>
      <c r="FN17" s="393"/>
      <c r="FO17" s="393"/>
      <c r="FP17" s="393"/>
      <c r="FQ17" s="393"/>
      <c r="FR17" s="393"/>
      <c r="FS17" s="393"/>
      <c r="FT17" s="393"/>
      <c r="FU17" s="393"/>
      <c r="FV17" s="393"/>
      <c r="FW17" s="393"/>
      <c r="FX17" s="393"/>
      <c r="FY17" s="393"/>
      <c r="FZ17" s="393"/>
      <c r="GA17" s="393"/>
      <c r="GB17" s="393"/>
      <c r="GC17" s="393"/>
      <c r="GD17" s="393"/>
      <c r="GE17" s="393"/>
      <c r="GF17" s="393"/>
      <c r="GG17" s="393"/>
      <c r="GH17" s="393"/>
      <c r="GI17" s="393"/>
      <c r="GJ17" s="393"/>
      <c r="GK17" s="393"/>
      <c r="GL17" s="393"/>
      <c r="GM17" s="393"/>
      <c r="GN17" s="393"/>
      <c r="GO17" s="393"/>
      <c r="GP17" s="393"/>
      <c r="GQ17" s="393"/>
      <c r="GR17" s="393"/>
      <c r="GS17" s="393"/>
      <c r="GT17" s="393"/>
      <c r="GU17" s="393"/>
      <c r="GV17" s="393"/>
      <c r="GW17" s="393"/>
      <c r="GX17" s="393"/>
      <c r="GY17" s="393"/>
      <c r="GZ17" s="393"/>
      <c r="HA17" s="393"/>
      <c r="HB17" s="393"/>
      <c r="HC17" s="393"/>
      <c r="HD17" s="393"/>
      <c r="HE17" s="393"/>
      <c r="HF17" s="393"/>
      <c r="HG17" s="393"/>
      <c r="HH17" s="393"/>
      <c r="HI17" s="393"/>
      <c r="HJ17" s="393"/>
      <c r="HK17" s="393"/>
      <c r="HL17" s="393"/>
      <c r="HM17" s="393"/>
      <c r="HN17" s="393"/>
      <c r="HO17" s="393"/>
      <c r="HP17" s="393"/>
      <c r="HQ17" s="393"/>
      <c r="HR17" s="393"/>
      <c r="HS17" s="393"/>
      <c r="HT17" s="393"/>
      <c r="HU17" s="393"/>
      <c r="HV17" s="393"/>
      <c r="HW17" s="393"/>
      <c r="HX17" s="393"/>
      <c r="HY17" s="393"/>
      <c r="HZ17" s="393"/>
      <c r="IA17" s="393"/>
      <c r="IB17" s="393"/>
      <c r="IC17" s="393"/>
      <c r="ID17" s="393"/>
      <c r="IE17" s="393"/>
      <c r="IF17" s="393"/>
      <c r="IG17" s="393"/>
      <c r="IH17" s="393"/>
      <c r="II17" s="393"/>
      <c r="IJ17" s="393"/>
      <c r="IK17" s="393"/>
      <c r="IL17" s="393"/>
      <c r="IM17" s="393"/>
      <c r="IN17" s="393"/>
      <c r="IO17" s="393"/>
      <c r="IP17" s="393"/>
      <c r="IQ17" s="393"/>
      <c r="IR17" s="393"/>
    </row>
    <row r="18" spans="2:252" s="62" customFormat="1" ht="25.15" customHeight="1" x14ac:dyDescent="0.25">
      <c r="B18" s="86" t="s">
        <v>284</v>
      </c>
      <c r="C18" s="58"/>
      <c r="D18" s="58"/>
      <c r="E18" s="188">
        <v>6250</v>
      </c>
      <c r="F18" s="188"/>
      <c r="G18" s="58"/>
      <c r="H18" s="58"/>
      <c r="I18" s="58"/>
      <c r="J18" s="59"/>
      <c r="K18" s="60"/>
      <c r="L18" s="58"/>
      <c r="M18" s="58"/>
      <c r="N18" s="61"/>
      <c r="V18" s="393"/>
      <c r="W18" s="393"/>
      <c r="X18" s="393"/>
      <c r="Y18" s="393"/>
      <c r="Z18" s="393"/>
      <c r="AA18" s="393"/>
      <c r="AB18" s="393"/>
      <c r="AC18" s="393"/>
      <c r="AD18" s="393"/>
      <c r="AE18" s="393"/>
      <c r="AF18" s="393"/>
      <c r="AG18" s="393"/>
      <c r="AH18" s="393"/>
      <c r="AI18" s="393"/>
      <c r="AJ18" s="393"/>
      <c r="AK18" s="393"/>
      <c r="AL18" s="393"/>
      <c r="AM18" s="393"/>
      <c r="AN18" s="393"/>
      <c r="AO18" s="393"/>
      <c r="AP18" s="393"/>
      <c r="AQ18" s="393"/>
      <c r="AR18" s="393"/>
      <c r="AS18" s="393"/>
      <c r="AT18" s="393"/>
      <c r="AU18" s="393"/>
      <c r="AV18" s="393"/>
      <c r="AW18" s="393"/>
      <c r="AX18" s="393"/>
      <c r="AY18" s="393"/>
      <c r="AZ18" s="393"/>
      <c r="BA18" s="393"/>
      <c r="BB18" s="393"/>
      <c r="BC18" s="393"/>
      <c r="BD18" s="393"/>
      <c r="BE18" s="393"/>
      <c r="BF18" s="393"/>
      <c r="BG18" s="393"/>
      <c r="BH18" s="393"/>
      <c r="BI18" s="393"/>
      <c r="BJ18" s="393"/>
      <c r="BK18" s="393"/>
      <c r="BL18" s="393"/>
      <c r="BM18" s="393"/>
      <c r="BN18" s="393"/>
      <c r="BO18" s="393"/>
      <c r="BP18" s="393"/>
      <c r="BQ18" s="393"/>
      <c r="BR18" s="393"/>
      <c r="BS18" s="393"/>
      <c r="BT18" s="393"/>
      <c r="BU18" s="393"/>
      <c r="BV18" s="393"/>
      <c r="BW18" s="393"/>
      <c r="BX18" s="393"/>
      <c r="BY18" s="393"/>
      <c r="BZ18" s="393"/>
      <c r="CA18" s="393"/>
      <c r="CB18" s="393"/>
      <c r="CC18" s="393"/>
      <c r="CD18" s="393"/>
      <c r="CE18" s="393"/>
      <c r="CF18" s="393"/>
      <c r="CG18" s="393"/>
      <c r="CH18" s="393"/>
      <c r="CI18" s="393"/>
      <c r="CJ18" s="393"/>
      <c r="CK18" s="393"/>
      <c r="CL18" s="393"/>
      <c r="CM18" s="393"/>
      <c r="CN18" s="393"/>
      <c r="CO18" s="393"/>
      <c r="CP18" s="393"/>
      <c r="CQ18" s="393"/>
      <c r="CR18" s="393"/>
      <c r="CS18" s="393"/>
      <c r="CT18" s="393"/>
      <c r="CU18" s="393"/>
      <c r="CV18" s="393"/>
      <c r="CW18" s="393"/>
      <c r="CX18" s="393"/>
      <c r="CY18" s="393"/>
      <c r="CZ18" s="393"/>
      <c r="DA18" s="393"/>
      <c r="DB18" s="393"/>
      <c r="DC18" s="393"/>
      <c r="DD18" s="393"/>
      <c r="DE18" s="393"/>
      <c r="DF18" s="393"/>
      <c r="DG18" s="393"/>
      <c r="DH18" s="393"/>
      <c r="DI18" s="393"/>
      <c r="DJ18" s="393"/>
      <c r="DK18" s="393"/>
      <c r="DL18" s="393"/>
      <c r="DM18" s="393"/>
      <c r="DN18" s="393"/>
      <c r="DO18" s="393"/>
      <c r="DP18" s="393"/>
      <c r="DQ18" s="393"/>
      <c r="DR18" s="393"/>
      <c r="DS18" s="393"/>
      <c r="DT18" s="393"/>
      <c r="DU18" s="393"/>
      <c r="DV18" s="393"/>
      <c r="DW18" s="393"/>
      <c r="DX18" s="393"/>
      <c r="DY18" s="393"/>
      <c r="DZ18" s="393"/>
      <c r="EA18" s="393"/>
      <c r="EB18" s="393"/>
      <c r="EC18" s="393"/>
      <c r="ED18" s="393"/>
      <c r="EE18" s="393"/>
      <c r="EF18" s="393"/>
      <c r="EG18" s="393"/>
      <c r="EH18" s="393"/>
      <c r="EI18" s="393"/>
      <c r="EJ18" s="393"/>
      <c r="EK18" s="393"/>
      <c r="EL18" s="393"/>
      <c r="EM18" s="393"/>
      <c r="EN18" s="393"/>
      <c r="EO18" s="393"/>
      <c r="EP18" s="393"/>
      <c r="EQ18" s="393"/>
      <c r="ER18" s="393"/>
      <c r="ES18" s="393"/>
      <c r="ET18" s="393"/>
      <c r="EU18" s="393"/>
      <c r="EV18" s="393"/>
      <c r="EW18" s="393"/>
      <c r="EX18" s="393"/>
      <c r="EY18" s="393"/>
      <c r="EZ18" s="393"/>
      <c r="FA18" s="393"/>
      <c r="FB18" s="393"/>
      <c r="FC18" s="393"/>
      <c r="FD18" s="393"/>
      <c r="FE18" s="393"/>
      <c r="FF18" s="393"/>
      <c r="FG18" s="393"/>
      <c r="FH18" s="393"/>
      <c r="FI18" s="393"/>
      <c r="FJ18" s="393"/>
      <c r="FK18" s="393"/>
      <c r="FL18" s="393"/>
      <c r="FM18" s="393"/>
      <c r="FN18" s="393"/>
      <c r="FO18" s="393"/>
      <c r="FP18" s="393"/>
      <c r="FQ18" s="393"/>
      <c r="FR18" s="393"/>
      <c r="FS18" s="393"/>
      <c r="FT18" s="393"/>
      <c r="FU18" s="393"/>
      <c r="FV18" s="393"/>
      <c r="FW18" s="393"/>
      <c r="FX18" s="393"/>
      <c r="FY18" s="393"/>
      <c r="FZ18" s="393"/>
      <c r="GA18" s="393"/>
      <c r="GB18" s="393"/>
      <c r="GC18" s="393"/>
      <c r="GD18" s="393"/>
      <c r="GE18" s="393"/>
      <c r="GF18" s="393"/>
      <c r="GG18" s="393"/>
      <c r="GH18" s="393"/>
      <c r="GI18" s="393"/>
      <c r="GJ18" s="393"/>
      <c r="GK18" s="393"/>
      <c r="GL18" s="393"/>
      <c r="GM18" s="393"/>
      <c r="GN18" s="393"/>
      <c r="GO18" s="393"/>
      <c r="GP18" s="393"/>
      <c r="GQ18" s="393"/>
      <c r="GR18" s="393"/>
      <c r="GS18" s="393"/>
      <c r="GT18" s="393"/>
      <c r="GU18" s="393"/>
      <c r="GV18" s="393"/>
      <c r="GW18" s="393"/>
      <c r="GX18" s="393"/>
      <c r="GY18" s="393"/>
      <c r="GZ18" s="393"/>
      <c r="HA18" s="393"/>
      <c r="HB18" s="393"/>
      <c r="HC18" s="393"/>
      <c r="HD18" s="393"/>
      <c r="HE18" s="393"/>
      <c r="HF18" s="393"/>
      <c r="HG18" s="393"/>
      <c r="HH18" s="393"/>
      <c r="HI18" s="393"/>
      <c r="HJ18" s="393"/>
      <c r="HK18" s="393"/>
      <c r="HL18" s="393"/>
      <c r="HM18" s="393"/>
      <c r="HN18" s="393"/>
      <c r="HO18" s="393"/>
      <c r="HP18" s="393"/>
      <c r="HQ18" s="393"/>
      <c r="HR18" s="393"/>
      <c r="HS18" s="393"/>
      <c r="HT18" s="393"/>
      <c r="HU18" s="393"/>
      <c r="HV18" s="393"/>
      <c r="HW18" s="393"/>
      <c r="HX18" s="393"/>
      <c r="HY18" s="393"/>
      <c r="HZ18" s="393"/>
      <c r="IA18" s="393"/>
      <c r="IB18" s="393"/>
      <c r="IC18" s="393"/>
      <c r="ID18" s="393"/>
      <c r="IE18" s="393"/>
      <c r="IF18" s="393"/>
      <c r="IG18" s="393"/>
      <c r="IH18" s="393"/>
      <c r="II18" s="393"/>
      <c r="IJ18" s="393"/>
      <c r="IK18" s="393"/>
      <c r="IL18" s="393"/>
      <c r="IM18" s="393"/>
      <c r="IN18" s="393"/>
      <c r="IO18" s="393"/>
      <c r="IP18" s="393"/>
      <c r="IQ18" s="393"/>
      <c r="IR18" s="393"/>
    </row>
    <row r="19" spans="2:252" ht="18" customHeight="1" x14ac:dyDescent="0.3">
      <c r="B19" s="55"/>
      <c r="C19" s="55"/>
      <c r="D19" s="55"/>
      <c r="E19" s="67"/>
      <c r="F19" s="67"/>
      <c r="G19" s="55"/>
      <c r="H19" s="55"/>
      <c r="I19" s="55"/>
      <c r="J19" s="68"/>
      <c r="K19" s="72"/>
      <c r="L19" s="55"/>
      <c r="M19" s="55"/>
      <c r="N19" s="69"/>
    </row>
    <row r="20" spans="2:252" s="66" customFormat="1" ht="28.5" customHeight="1" x14ac:dyDescent="0.25">
      <c r="B20" s="4" t="s">
        <v>108</v>
      </c>
      <c r="C20" s="58"/>
      <c r="D20" s="58"/>
      <c r="E20" s="58"/>
      <c r="F20" s="58"/>
      <c r="G20" s="58"/>
      <c r="H20" s="58"/>
      <c r="I20" s="58"/>
      <c r="J20" s="63"/>
      <c r="K20" s="60"/>
      <c r="L20" s="460"/>
      <c r="M20" s="460"/>
      <c r="N20" s="460"/>
      <c r="O20" s="65"/>
      <c r="V20" s="394"/>
      <c r="W20" s="394"/>
      <c r="X20" s="394"/>
      <c r="Y20" s="394"/>
      <c r="Z20" s="394"/>
      <c r="AA20" s="394"/>
      <c r="AB20" s="394"/>
      <c r="AC20" s="394"/>
      <c r="AD20" s="394"/>
      <c r="AE20" s="394"/>
      <c r="AF20" s="394"/>
      <c r="AG20" s="394"/>
      <c r="AH20" s="394"/>
      <c r="AI20" s="394"/>
      <c r="AJ20" s="394"/>
      <c r="AK20" s="394"/>
      <c r="AL20" s="394"/>
      <c r="AM20" s="394"/>
      <c r="AN20" s="394"/>
      <c r="AO20" s="394"/>
      <c r="AP20" s="394"/>
      <c r="AQ20" s="394"/>
      <c r="AR20" s="394"/>
      <c r="AS20" s="394"/>
      <c r="AT20" s="394"/>
      <c r="AU20" s="394"/>
      <c r="AV20" s="394"/>
      <c r="AW20" s="394"/>
      <c r="AX20" s="394"/>
      <c r="AY20" s="394"/>
      <c r="AZ20" s="394"/>
      <c r="BA20" s="394"/>
      <c r="BB20" s="394"/>
      <c r="BC20" s="394"/>
      <c r="BD20" s="394"/>
      <c r="BE20" s="394"/>
      <c r="BF20" s="394"/>
      <c r="BG20" s="394"/>
      <c r="BH20" s="394"/>
      <c r="BI20" s="394"/>
      <c r="BJ20" s="394"/>
      <c r="BK20" s="394"/>
      <c r="BL20" s="394"/>
      <c r="BM20" s="394"/>
      <c r="BN20" s="394"/>
      <c r="BO20" s="394"/>
      <c r="BP20" s="394"/>
      <c r="BQ20" s="394"/>
      <c r="BR20" s="394"/>
      <c r="BS20" s="394"/>
      <c r="BT20" s="394"/>
      <c r="BU20" s="394"/>
      <c r="BV20" s="394"/>
      <c r="BW20" s="394"/>
      <c r="BX20" s="394"/>
      <c r="BY20" s="394"/>
      <c r="BZ20" s="394"/>
      <c r="CA20" s="394"/>
      <c r="CB20" s="394"/>
      <c r="CC20" s="394"/>
      <c r="CD20" s="394"/>
      <c r="CE20" s="394"/>
      <c r="CF20" s="394"/>
      <c r="CG20" s="394"/>
      <c r="CH20" s="394"/>
      <c r="CI20" s="394"/>
      <c r="CJ20" s="394"/>
      <c r="CK20" s="394"/>
      <c r="CL20" s="394"/>
      <c r="CM20" s="394"/>
      <c r="CN20" s="394"/>
      <c r="CO20" s="394"/>
      <c r="CP20" s="394"/>
      <c r="CQ20" s="394"/>
      <c r="CR20" s="394"/>
      <c r="CS20" s="394"/>
      <c r="CT20" s="394"/>
      <c r="CU20" s="394"/>
      <c r="CV20" s="394"/>
      <c r="CW20" s="394"/>
      <c r="CX20" s="394"/>
      <c r="CY20" s="394"/>
      <c r="CZ20" s="394"/>
      <c r="DA20" s="394"/>
      <c r="DB20" s="394"/>
      <c r="DC20" s="394"/>
      <c r="DD20" s="394"/>
      <c r="DE20" s="394"/>
      <c r="DF20" s="394"/>
      <c r="DG20" s="394"/>
      <c r="DH20" s="394"/>
      <c r="DI20" s="394"/>
      <c r="DJ20" s="394"/>
      <c r="DK20" s="394"/>
      <c r="DL20" s="394"/>
      <c r="DM20" s="394"/>
      <c r="DN20" s="394"/>
      <c r="DO20" s="394"/>
      <c r="DP20" s="394"/>
      <c r="DQ20" s="394"/>
      <c r="DR20" s="394"/>
      <c r="DS20" s="394"/>
      <c r="DT20" s="394"/>
      <c r="DU20" s="394"/>
      <c r="DV20" s="394"/>
      <c r="DW20" s="394"/>
      <c r="DX20" s="394"/>
      <c r="DY20" s="394"/>
      <c r="DZ20" s="394"/>
      <c r="EA20" s="394"/>
      <c r="EB20" s="394"/>
      <c r="EC20" s="394"/>
      <c r="ED20" s="394"/>
      <c r="EE20" s="394"/>
      <c r="EF20" s="394"/>
      <c r="EG20" s="394"/>
      <c r="EH20" s="394"/>
      <c r="EI20" s="394"/>
      <c r="EJ20" s="394"/>
      <c r="EK20" s="394"/>
      <c r="EL20" s="394"/>
      <c r="EM20" s="394"/>
      <c r="EN20" s="394"/>
      <c r="EO20" s="394"/>
      <c r="EP20" s="394"/>
      <c r="EQ20" s="394"/>
      <c r="ER20" s="394"/>
      <c r="ES20" s="394"/>
      <c r="ET20" s="394"/>
      <c r="EU20" s="394"/>
      <c r="EV20" s="394"/>
      <c r="EW20" s="394"/>
      <c r="EX20" s="394"/>
      <c r="EY20" s="394"/>
      <c r="EZ20" s="394"/>
      <c r="FA20" s="394"/>
      <c r="FB20" s="394"/>
      <c r="FC20" s="394"/>
      <c r="FD20" s="394"/>
      <c r="FE20" s="394"/>
      <c r="FF20" s="394"/>
      <c r="FG20" s="394"/>
      <c r="FH20" s="394"/>
      <c r="FI20" s="394"/>
      <c r="FJ20" s="394"/>
      <c r="FK20" s="394"/>
      <c r="FL20" s="394"/>
      <c r="FM20" s="394"/>
      <c r="FN20" s="394"/>
      <c r="FO20" s="394"/>
      <c r="FP20" s="394"/>
      <c r="FQ20" s="394"/>
      <c r="FR20" s="394"/>
      <c r="FS20" s="394"/>
      <c r="FT20" s="394"/>
      <c r="FU20" s="394"/>
      <c r="FV20" s="394"/>
      <c r="FW20" s="394"/>
      <c r="FX20" s="394"/>
      <c r="FY20" s="394"/>
      <c r="FZ20" s="394"/>
      <c r="GA20" s="394"/>
      <c r="GB20" s="394"/>
      <c r="GC20" s="394"/>
      <c r="GD20" s="394"/>
      <c r="GE20" s="394"/>
      <c r="GF20" s="394"/>
      <c r="GG20" s="394"/>
      <c r="GH20" s="394"/>
      <c r="GI20" s="394"/>
      <c r="GJ20" s="394"/>
      <c r="GK20" s="394"/>
      <c r="GL20" s="394"/>
      <c r="GM20" s="394"/>
      <c r="GN20" s="394"/>
      <c r="GO20" s="394"/>
      <c r="GP20" s="394"/>
      <c r="GQ20" s="394"/>
      <c r="GR20" s="394"/>
      <c r="GS20" s="394"/>
      <c r="GT20" s="394"/>
      <c r="GU20" s="394"/>
      <c r="GV20" s="394"/>
      <c r="GW20" s="394"/>
      <c r="GX20" s="394"/>
      <c r="GY20" s="394"/>
      <c r="GZ20" s="394"/>
      <c r="HA20" s="394"/>
      <c r="HB20" s="394"/>
      <c r="HC20" s="394"/>
      <c r="HD20" s="394"/>
      <c r="HE20" s="394"/>
      <c r="HF20" s="394"/>
      <c r="HG20" s="394"/>
      <c r="HH20" s="394"/>
      <c r="HI20" s="394"/>
      <c r="HJ20" s="394"/>
      <c r="HK20" s="394"/>
      <c r="HL20" s="394"/>
      <c r="HM20" s="394"/>
      <c r="HN20" s="394"/>
      <c r="HO20" s="394"/>
      <c r="HP20" s="394"/>
      <c r="HQ20" s="394"/>
      <c r="HR20" s="394"/>
      <c r="HS20" s="394"/>
      <c r="HT20" s="394"/>
      <c r="HU20" s="394"/>
      <c r="HV20" s="394"/>
      <c r="HW20" s="394"/>
      <c r="HX20" s="394"/>
      <c r="HY20" s="394"/>
      <c r="HZ20" s="394"/>
      <c r="IA20" s="394"/>
      <c r="IB20" s="394"/>
      <c r="IC20" s="394"/>
      <c r="ID20" s="394"/>
      <c r="IE20" s="394"/>
      <c r="IF20" s="394"/>
      <c r="IG20" s="394"/>
      <c r="IH20" s="394"/>
      <c r="II20" s="394"/>
      <c r="IJ20" s="394"/>
      <c r="IK20" s="394"/>
      <c r="IL20" s="394"/>
      <c r="IM20" s="394"/>
      <c r="IN20" s="394"/>
      <c r="IO20" s="394"/>
      <c r="IP20" s="394"/>
      <c r="IQ20" s="394"/>
      <c r="IR20" s="394"/>
    </row>
    <row r="21" spans="2:252" s="66" customFormat="1" ht="4.5" customHeight="1" x14ac:dyDescent="0.25">
      <c r="B21" s="57"/>
      <c r="C21" s="58"/>
      <c r="D21" s="58"/>
      <c r="E21" s="58"/>
      <c r="F21" s="58"/>
      <c r="G21" s="58"/>
      <c r="H21" s="58"/>
      <c r="I21" s="58"/>
      <c r="J21" s="63"/>
      <c r="K21" s="60"/>
      <c r="L21" s="64"/>
      <c r="M21" s="272"/>
      <c r="N21" s="64"/>
      <c r="O21" s="65"/>
      <c r="V21" s="394"/>
      <c r="W21" s="394"/>
      <c r="X21" s="394"/>
      <c r="Y21" s="394"/>
      <c r="Z21" s="394"/>
      <c r="AA21" s="394"/>
      <c r="AB21" s="394"/>
      <c r="AC21" s="394"/>
      <c r="AD21" s="394"/>
      <c r="AE21" s="394"/>
      <c r="AF21" s="394"/>
      <c r="AG21" s="394"/>
      <c r="AH21" s="394"/>
      <c r="AI21" s="394"/>
      <c r="AJ21" s="394"/>
      <c r="AK21" s="394"/>
      <c r="AL21" s="394"/>
      <c r="AM21" s="394"/>
      <c r="AN21" s="394"/>
      <c r="AO21" s="394"/>
      <c r="AP21" s="394"/>
      <c r="AQ21" s="394"/>
      <c r="AR21" s="394"/>
      <c r="AS21" s="394"/>
      <c r="AT21" s="394"/>
      <c r="AU21" s="394"/>
      <c r="AV21" s="394"/>
      <c r="AW21" s="394"/>
      <c r="AX21" s="394"/>
      <c r="AY21" s="394"/>
      <c r="AZ21" s="394"/>
      <c r="BA21" s="394"/>
      <c r="BB21" s="394"/>
      <c r="BC21" s="394"/>
      <c r="BD21" s="394"/>
      <c r="BE21" s="394"/>
      <c r="BF21" s="394"/>
      <c r="BG21" s="394"/>
      <c r="BH21" s="394"/>
      <c r="BI21" s="394"/>
      <c r="BJ21" s="394"/>
      <c r="BK21" s="394"/>
      <c r="BL21" s="394"/>
      <c r="BM21" s="394"/>
      <c r="BN21" s="394"/>
      <c r="BO21" s="394"/>
      <c r="BP21" s="394"/>
      <c r="BQ21" s="394"/>
      <c r="BR21" s="394"/>
      <c r="BS21" s="394"/>
      <c r="BT21" s="394"/>
      <c r="BU21" s="394"/>
      <c r="BV21" s="394"/>
      <c r="BW21" s="394"/>
      <c r="BX21" s="394"/>
      <c r="BY21" s="394"/>
      <c r="BZ21" s="394"/>
      <c r="CA21" s="394"/>
      <c r="CB21" s="394"/>
      <c r="CC21" s="394"/>
      <c r="CD21" s="394"/>
      <c r="CE21" s="394"/>
      <c r="CF21" s="394"/>
      <c r="CG21" s="394"/>
      <c r="CH21" s="394"/>
      <c r="CI21" s="394"/>
      <c r="CJ21" s="394"/>
      <c r="CK21" s="394"/>
      <c r="CL21" s="394"/>
      <c r="CM21" s="394"/>
      <c r="CN21" s="394"/>
      <c r="CO21" s="394"/>
      <c r="CP21" s="394"/>
      <c r="CQ21" s="394"/>
      <c r="CR21" s="394"/>
      <c r="CS21" s="394"/>
      <c r="CT21" s="394"/>
      <c r="CU21" s="394"/>
      <c r="CV21" s="394"/>
      <c r="CW21" s="394"/>
      <c r="CX21" s="394"/>
      <c r="CY21" s="394"/>
      <c r="CZ21" s="394"/>
      <c r="DA21" s="394"/>
      <c r="DB21" s="394"/>
      <c r="DC21" s="394"/>
      <c r="DD21" s="394"/>
      <c r="DE21" s="394"/>
      <c r="DF21" s="394"/>
      <c r="DG21" s="394"/>
      <c r="DH21" s="394"/>
      <c r="DI21" s="394"/>
      <c r="DJ21" s="394"/>
      <c r="DK21" s="394"/>
      <c r="DL21" s="394"/>
      <c r="DM21" s="394"/>
      <c r="DN21" s="394"/>
      <c r="DO21" s="394"/>
      <c r="DP21" s="394"/>
      <c r="DQ21" s="394"/>
      <c r="DR21" s="394"/>
      <c r="DS21" s="394"/>
      <c r="DT21" s="394"/>
      <c r="DU21" s="394"/>
      <c r="DV21" s="394"/>
      <c r="DW21" s="394"/>
      <c r="DX21" s="394"/>
      <c r="DY21" s="394"/>
      <c r="DZ21" s="394"/>
      <c r="EA21" s="394"/>
      <c r="EB21" s="394"/>
      <c r="EC21" s="394"/>
      <c r="ED21" s="394"/>
      <c r="EE21" s="394"/>
      <c r="EF21" s="394"/>
      <c r="EG21" s="394"/>
      <c r="EH21" s="394"/>
      <c r="EI21" s="394"/>
      <c r="EJ21" s="394"/>
      <c r="EK21" s="394"/>
      <c r="EL21" s="394"/>
      <c r="EM21" s="394"/>
      <c r="EN21" s="394"/>
      <c r="EO21" s="394"/>
      <c r="EP21" s="394"/>
      <c r="EQ21" s="394"/>
      <c r="ER21" s="394"/>
      <c r="ES21" s="394"/>
      <c r="ET21" s="394"/>
      <c r="EU21" s="394"/>
      <c r="EV21" s="394"/>
      <c r="EW21" s="394"/>
      <c r="EX21" s="394"/>
      <c r="EY21" s="394"/>
      <c r="EZ21" s="394"/>
      <c r="FA21" s="394"/>
      <c r="FB21" s="394"/>
      <c r="FC21" s="394"/>
      <c r="FD21" s="394"/>
      <c r="FE21" s="394"/>
      <c r="FF21" s="394"/>
      <c r="FG21" s="394"/>
      <c r="FH21" s="394"/>
      <c r="FI21" s="394"/>
      <c r="FJ21" s="394"/>
      <c r="FK21" s="394"/>
      <c r="FL21" s="394"/>
      <c r="FM21" s="394"/>
      <c r="FN21" s="394"/>
      <c r="FO21" s="394"/>
      <c r="FP21" s="394"/>
      <c r="FQ21" s="394"/>
      <c r="FR21" s="394"/>
      <c r="FS21" s="394"/>
      <c r="FT21" s="394"/>
      <c r="FU21" s="394"/>
      <c r="FV21" s="394"/>
      <c r="FW21" s="394"/>
      <c r="FX21" s="394"/>
      <c r="FY21" s="394"/>
      <c r="FZ21" s="394"/>
      <c r="GA21" s="394"/>
      <c r="GB21" s="394"/>
      <c r="GC21" s="394"/>
      <c r="GD21" s="394"/>
      <c r="GE21" s="394"/>
      <c r="GF21" s="394"/>
      <c r="GG21" s="394"/>
      <c r="GH21" s="394"/>
      <c r="GI21" s="394"/>
      <c r="GJ21" s="394"/>
      <c r="GK21" s="394"/>
      <c r="GL21" s="394"/>
      <c r="GM21" s="394"/>
      <c r="GN21" s="394"/>
      <c r="GO21" s="394"/>
      <c r="GP21" s="394"/>
      <c r="GQ21" s="394"/>
      <c r="GR21" s="394"/>
      <c r="GS21" s="394"/>
      <c r="GT21" s="394"/>
      <c r="GU21" s="394"/>
      <c r="GV21" s="394"/>
      <c r="GW21" s="394"/>
      <c r="GX21" s="394"/>
      <c r="GY21" s="394"/>
      <c r="GZ21" s="394"/>
      <c r="HA21" s="394"/>
      <c r="HB21" s="394"/>
      <c r="HC21" s="394"/>
      <c r="HD21" s="394"/>
      <c r="HE21" s="394"/>
      <c r="HF21" s="394"/>
      <c r="HG21" s="394"/>
      <c r="HH21" s="394"/>
      <c r="HI21" s="394"/>
      <c r="HJ21" s="394"/>
      <c r="HK21" s="394"/>
      <c r="HL21" s="394"/>
      <c r="HM21" s="394"/>
      <c r="HN21" s="394"/>
      <c r="HO21" s="394"/>
      <c r="HP21" s="394"/>
      <c r="HQ21" s="394"/>
      <c r="HR21" s="394"/>
      <c r="HS21" s="394"/>
      <c r="HT21" s="394"/>
      <c r="HU21" s="394"/>
      <c r="HV21" s="394"/>
      <c r="HW21" s="394"/>
      <c r="HX21" s="394"/>
      <c r="HY21" s="394"/>
      <c r="HZ21" s="394"/>
      <c r="IA21" s="394"/>
      <c r="IB21" s="394"/>
      <c r="IC21" s="394"/>
      <c r="ID21" s="394"/>
      <c r="IE21" s="394"/>
      <c r="IF21" s="394"/>
      <c r="IG21" s="394"/>
      <c r="IH21" s="394"/>
      <c r="II21" s="394"/>
      <c r="IJ21" s="394"/>
      <c r="IK21" s="394"/>
      <c r="IL21" s="394"/>
      <c r="IM21" s="394"/>
      <c r="IN21" s="394"/>
      <c r="IO21" s="394"/>
      <c r="IP21" s="394"/>
      <c r="IQ21" s="394"/>
      <c r="IR21" s="394"/>
    </row>
    <row r="22" spans="2:252" s="62" customFormat="1" ht="25.15" customHeight="1" x14ac:dyDescent="0.25">
      <c r="B22" s="86" t="s">
        <v>110</v>
      </c>
      <c r="C22" s="58"/>
      <c r="D22" s="189">
        <v>0.1</v>
      </c>
      <c r="E22" s="188"/>
      <c r="F22" s="188"/>
      <c r="G22" s="58"/>
      <c r="H22" s="58"/>
      <c r="I22" s="58"/>
      <c r="J22" s="59"/>
      <c r="K22" s="60"/>
      <c r="L22" s="58"/>
      <c r="M22" s="58"/>
      <c r="N22" s="61"/>
      <c r="V22" s="393"/>
      <c r="W22" s="393"/>
      <c r="X22" s="393"/>
      <c r="Y22" s="393"/>
      <c r="Z22" s="393"/>
      <c r="AA22" s="393"/>
      <c r="AB22" s="393"/>
      <c r="AC22" s="393"/>
      <c r="AD22" s="393"/>
      <c r="AE22" s="393"/>
      <c r="AF22" s="393"/>
      <c r="AG22" s="393"/>
      <c r="AH22" s="393"/>
      <c r="AI22" s="393"/>
      <c r="AJ22" s="393"/>
      <c r="AK22" s="393"/>
      <c r="AL22" s="393"/>
      <c r="AM22" s="393"/>
      <c r="AN22" s="393"/>
      <c r="AO22" s="393"/>
      <c r="AP22" s="393"/>
      <c r="AQ22" s="393"/>
      <c r="AR22" s="393"/>
      <c r="AS22" s="393"/>
      <c r="AT22" s="393"/>
      <c r="AU22" s="393"/>
      <c r="AV22" s="393"/>
      <c r="AW22" s="393"/>
      <c r="AX22" s="393"/>
      <c r="AY22" s="393"/>
      <c r="AZ22" s="393"/>
      <c r="BA22" s="393"/>
      <c r="BB22" s="393"/>
      <c r="BC22" s="393"/>
      <c r="BD22" s="393"/>
      <c r="BE22" s="393"/>
      <c r="BF22" s="393"/>
      <c r="BG22" s="393"/>
      <c r="BH22" s="393"/>
      <c r="BI22" s="393"/>
      <c r="BJ22" s="393"/>
      <c r="BK22" s="393"/>
      <c r="BL22" s="393"/>
      <c r="BM22" s="393"/>
      <c r="BN22" s="393"/>
      <c r="BO22" s="393"/>
      <c r="BP22" s="393"/>
      <c r="BQ22" s="393"/>
      <c r="BR22" s="393"/>
      <c r="BS22" s="393"/>
      <c r="BT22" s="393"/>
      <c r="BU22" s="393"/>
      <c r="BV22" s="393"/>
      <c r="BW22" s="393"/>
      <c r="BX22" s="393"/>
      <c r="BY22" s="393"/>
      <c r="BZ22" s="393"/>
      <c r="CA22" s="393"/>
      <c r="CB22" s="393"/>
      <c r="CC22" s="393"/>
      <c r="CD22" s="393"/>
      <c r="CE22" s="393"/>
      <c r="CF22" s="393"/>
      <c r="CG22" s="393"/>
      <c r="CH22" s="393"/>
      <c r="CI22" s="393"/>
      <c r="CJ22" s="393"/>
      <c r="CK22" s="393"/>
      <c r="CL22" s="393"/>
      <c r="CM22" s="393"/>
      <c r="CN22" s="393"/>
      <c r="CO22" s="393"/>
      <c r="CP22" s="393"/>
      <c r="CQ22" s="393"/>
      <c r="CR22" s="393"/>
      <c r="CS22" s="393"/>
      <c r="CT22" s="393"/>
      <c r="CU22" s="393"/>
      <c r="CV22" s="393"/>
      <c r="CW22" s="393"/>
      <c r="CX22" s="393"/>
      <c r="CY22" s="393"/>
      <c r="CZ22" s="393"/>
      <c r="DA22" s="393"/>
      <c r="DB22" s="393"/>
      <c r="DC22" s="393"/>
      <c r="DD22" s="393"/>
      <c r="DE22" s="393"/>
      <c r="DF22" s="393"/>
      <c r="DG22" s="393"/>
      <c r="DH22" s="393"/>
      <c r="DI22" s="393"/>
      <c r="DJ22" s="393"/>
      <c r="DK22" s="393"/>
      <c r="DL22" s="393"/>
      <c r="DM22" s="393"/>
      <c r="DN22" s="393"/>
      <c r="DO22" s="393"/>
      <c r="DP22" s="393"/>
      <c r="DQ22" s="393"/>
      <c r="DR22" s="393"/>
      <c r="DS22" s="393"/>
      <c r="DT22" s="393"/>
      <c r="DU22" s="393"/>
      <c r="DV22" s="393"/>
      <c r="DW22" s="393"/>
      <c r="DX22" s="393"/>
      <c r="DY22" s="393"/>
      <c r="DZ22" s="393"/>
      <c r="EA22" s="393"/>
      <c r="EB22" s="393"/>
      <c r="EC22" s="393"/>
      <c r="ED22" s="393"/>
      <c r="EE22" s="393"/>
      <c r="EF22" s="393"/>
      <c r="EG22" s="393"/>
      <c r="EH22" s="393"/>
      <c r="EI22" s="393"/>
      <c r="EJ22" s="393"/>
      <c r="EK22" s="393"/>
      <c r="EL22" s="393"/>
      <c r="EM22" s="393"/>
      <c r="EN22" s="393"/>
      <c r="EO22" s="393"/>
      <c r="EP22" s="393"/>
      <c r="EQ22" s="393"/>
      <c r="ER22" s="393"/>
      <c r="ES22" s="393"/>
      <c r="ET22" s="393"/>
      <c r="EU22" s="393"/>
      <c r="EV22" s="393"/>
      <c r="EW22" s="393"/>
      <c r="EX22" s="393"/>
      <c r="EY22" s="393"/>
      <c r="EZ22" s="393"/>
      <c r="FA22" s="393"/>
      <c r="FB22" s="393"/>
      <c r="FC22" s="393"/>
      <c r="FD22" s="393"/>
      <c r="FE22" s="393"/>
      <c r="FF22" s="393"/>
      <c r="FG22" s="393"/>
      <c r="FH22" s="393"/>
      <c r="FI22" s="393"/>
      <c r="FJ22" s="393"/>
      <c r="FK22" s="393"/>
      <c r="FL22" s="393"/>
      <c r="FM22" s="393"/>
      <c r="FN22" s="393"/>
      <c r="FO22" s="393"/>
      <c r="FP22" s="393"/>
      <c r="FQ22" s="393"/>
      <c r="FR22" s="393"/>
      <c r="FS22" s="393"/>
      <c r="FT22" s="393"/>
      <c r="FU22" s="393"/>
      <c r="FV22" s="393"/>
      <c r="FW22" s="393"/>
      <c r="FX22" s="393"/>
      <c r="FY22" s="393"/>
      <c r="FZ22" s="393"/>
      <c r="GA22" s="393"/>
      <c r="GB22" s="393"/>
      <c r="GC22" s="393"/>
      <c r="GD22" s="393"/>
      <c r="GE22" s="393"/>
      <c r="GF22" s="393"/>
      <c r="GG22" s="393"/>
      <c r="GH22" s="393"/>
      <c r="GI22" s="393"/>
      <c r="GJ22" s="393"/>
      <c r="GK22" s="393"/>
      <c r="GL22" s="393"/>
      <c r="GM22" s="393"/>
      <c r="GN22" s="393"/>
      <c r="GO22" s="393"/>
      <c r="GP22" s="393"/>
      <c r="GQ22" s="393"/>
      <c r="GR22" s="393"/>
      <c r="GS22" s="393"/>
      <c r="GT22" s="393"/>
      <c r="GU22" s="393"/>
      <c r="GV22" s="393"/>
      <c r="GW22" s="393"/>
      <c r="GX22" s="393"/>
      <c r="GY22" s="393"/>
      <c r="GZ22" s="393"/>
      <c r="HA22" s="393"/>
      <c r="HB22" s="393"/>
      <c r="HC22" s="393"/>
      <c r="HD22" s="393"/>
      <c r="HE22" s="393"/>
      <c r="HF22" s="393"/>
      <c r="HG22" s="393"/>
      <c r="HH22" s="393"/>
      <c r="HI22" s="393"/>
      <c r="HJ22" s="393"/>
      <c r="HK22" s="393"/>
      <c r="HL22" s="393"/>
      <c r="HM22" s="393"/>
      <c r="HN22" s="393"/>
      <c r="HO22" s="393"/>
      <c r="HP22" s="393"/>
      <c r="HQ22" s="393"/>
      <c r="HR22" s="393"/>
      <c r="HS22" s="393"/>
      <c r="HT22" s="393"/>
      <c r="HU22" s="393"/>
      <c r="HV22" s="393"/>
      <c r="HW22" s="393"/>
      <c r="HX22" s="393"/>
      <c r="HY22" s="393"/>
      <c r="HZ22" s="393"/>
      <c r="IA22" s="393"/>
      <c r="IB22" s="393"/>
      <c r="IC22" s="393"/>
      <c r="ID22" s="393"/>
      <c r="IE22" s="393"/>
      <c r="IF22" s="393"/>
      <c r="IG22" s="393"/>
      <c r="IH22" s="393"/>
      <c r="II22" s="393"/>
      <c r="IJ22" s="393"/>
      <c r="IK22" s="393"/>
      <c r="IL22" s="393"/>
      <c r="IM22" s="393"/>
      <c r="IN22" s="393"/>
      <c r="IO22" s="393"/>
      <c r="IP22" s="393"/>
      <c r="IQ22" s="393"/>
      <c r="IR22" s="393"/>
    </row>
    <row r="23" spans="2:252" s="62" customFormat="1" ht="25.15" customHeight="1" x14ac:dyDescent="0.25">
      <c r="B23" s="86" t="s">
        <v>111</v>
      </c>
      <c r="C23" s="58"/>
      <c r="D23" s="189">
        <v>0.3</v>
      </c>
      <c r="E23" s="188"/>
      <c r="F23" s="188"/>
      <c r="G23" s="58"/>
      <c r="H23" s="58"/>
      <c r="I23" s="58"/>
      <c r="J23" s="59"/>
      <c r="K23" s="60"/>
      <c r="L23" s="58"/>
      <c r="M23" s="58"/>
      <c r="N23" s="61"/>
      <c r="V23" s="393"/>
      <c r="W23" s="393"/>
      <c r="X23" s="393"/>
      <c r="Y23" s="393"/>
      <c r="Z23" s="393"/>
      <c r="AA23" s="393"/>
      <c r="AB23" s="393"/>
      <c r="AC23" s="393"/>
      <c r="AD23" s="393"/>
      <c r="AE23" s="393"/>
      <c r="AF23" s="393"/>
      <c r="AG23" s="393"/>
      <c r="AH23" s="393"/>
      <c r="AI23" s="393"/>
      <c r="AJ23" s="393"/>
      <c r="AK23" s="393"/>
      <c r="AL23" s="393"/>
      <c r="AM23" s="393"/>
      <c r="AN23" s="393"/>
      <c r="AO23" s="393"/>
      <c r="AP23" s="393"/>
      <c r="AQ23" s="393"/>
      <c r="AR23" s="393"/>
      <c r="AS23" s="393"/>
      <c r="AT23" s="393"/>
      <c r="AU23" s="393"/>
      <c r="AV23" s="393"/>
      <c r="AW23" s="393"/>
      <c r="AX23" s="393"/>
      <c r="AY23" s="393"/>
      <c r="AZ23" s="393"/>
      <c r="BA23" s="393"/>
      <c r="BB23" s="393"/>
      <c r="BC23" s="393"/>
      <c r="BD23" s="393"/>
      <c r="BE23" s="393"/>
      <c r="BF23" s="393"/>
      <c r="BG23" s="393"/>
      <c r="BH23" s="393"/>
      <c r="BI23" s="393"/>
      <c r="BJ23" s="393"/>
      <c r="BK23" s="393"/>
      <c r="BL23" s="393"/>
      <c r="BM23" s="393"/>
      <c r="BN23" s="393"/>
      <c r="BO23" s="393"/>
      <c r="BP23" s="393"/>
      <c r="BQ23" s="393"/>
      <c r="BR23" s="393"/>
      <c r="BS23" s="393"/>
      <c r="BT23" s="393"/>
      <c r="BU23" s="393"/>
      <c r="BV23" s="393"/>
      <c r="BW23" s="393"/>
      <c r="BX23" s="393"/>
      <c r="BY23" s="393"/>
      <c r="BZ23" s="393"/>
      <c r="CA23" s="393"/>
      <c r="CB23" s="393"/>
      <c r="CC23" s="393"/>
      <c r="CD23" s="393"/>
      <c r="CE23" s="393"/>
      <c r="CF23" s="393"/>
      <c r="CG23" s="393"/>
      <c r="CH23" s="393"/>
      <c r="CI23" s="393"/>
      <c r="CJ23" s="393"/>
      <c r="CK23" s="393"/>
      <c r="CL23" s="393"/>
      <c r="CM23" s="393"/>
      <c r="CN23" s="393"/>
      <c r="CO23" s="393"/>
      <c r="CP23" s="393"/>
      <c r="CQ23" s="393"/>
      <c r="CR23" s="393"/>
      <c r="CS23" s="393"/>
      <c r="CT23" s="393"/>
      <c r="CU23" s="393"/>
      <c r="CV23" s="393"/>
      <c r="CW23" s="393"/>
      <c r="CX23" s="393"/>
      <c r="CY23" s="393"/>
      <c r="CZ23" s="393"/>
      <c r="DA23" s="393"/>
      <c r="DB23" s="393"/>
      <c r="DC23" s="393"/>
      <c r="DD23" s="393"/>
      <c r="DE23" s="393"/>
      <c r="DF23" s="393"/>
      <c r="DG23" s="393"/>
      <c r="DH23" s="393"/>
      <c r="DI23" s="393"/>
      <c r="DJ23" s="393"/>
      <c r="DK23" s="393"/>
      <c r="DL23" s="393"/>
      <c r="DM23" s="393"/>
      <c r="DN23" s="393"/>
      <c r="DO23" s="393"/>
      <c r="DP23" s="393"/>
      <c r="DQ23" s="393"/>
      <c r="DR23" s="393"/>
      <c r="DS23" s="393"/>
      <c r="DT23" s="393"/>
      <c r="DU23" s="393"/>
      <c r="DV23" s="393"/>
      <c r="DW23" s="393"/>
      <c r="DX23" s="393"/>
      <c r="DY23" s="393"/>
      <c r="DZ23" s="393"/>
      <c r="EA23" s="393"/>
      <c r="EB23" s="393"/>
      <c r="EC23" s="393"/>
      <c r="ED23" s="393"/>
      <c r="EE23" s="393"/>
      <c r="EF23" s="393"/>
      <c r="EG23" s="393"/>
      <c r="EH23" s="393"/>
      <c r="EI23" s="393"/>
      <c r="EJ23" s="393"/>
      <c r="EK23" s="393"/>
      <c r="EL23" s="393"/>
      <c r="EM23" s="393"/>
      <c r="EN23" s="393"/>
      <c r="EO23" s="393"/>
      <c r="EP23" s="393"/>
      <c r="EQ23" s="393"/>
      <c r="ER23" s="393"/>
      <c r="ES23" s="393"/>
      <c r="ET23" s="393"/>
      <c r="EU23" s="393"/>
      <c r="EV23" s="393"/>
      <c r="EW23" s="393"/>
      <c r="EX23" s="393"/>
      <c r="EY23" s="393"/>
      <c r="EZ23" s="393"/>
      <c r="FA23" s="393"/>
      <c r="FB23" s="393"/>
      <c r="FC23" s="393"/>
      <c r="FD23" s="393"/>
      <c r="FE23" s="393"/>
      <c r="FF23" s="393"/>
      <c r="FG23" s="393"/>
      <c r="FH23" s="393"/>
      <c r="FI23" s="393"/>
      <c r="FJ23" s="393"/>
      <c r="FK23" s="393"/>
      <c r="FL23" s="393"/>
      <c r="FM23" s="393"/>
      <c r="FN23" s="393"/>
      <c r="FO23" s="393"/>
      <c r="FP23" s="393"/>
      <c r="FQ23" s="393"/>
      <c r="FR23" s="393"/>
      <c r="FS23" s="393"/>
      <c r="FT23" s="393"/>
      <c r="FU23" s="393"/>
      <c r="FV23" s="393"/>
      <c r="FW23" s="393"/>
      <c r="FX23" s="393"/>
      <c r="FY23" s="393"/>
      <c r="FZ23" s="393"/>
      <c r="GA23" s="393"/>
      <c r="GB23" s="393"/>
      <c r="GC23" s="393"/>
      <c r="GD23" s="393"/>
      <c r="GE23" s="393"/>
      <c r="GF23" s="393"/>
      <c r="GG23" s="393"/>
      <c r="GH23" s="393"/>
      <c r="GI23" s="393"/>
      <c r="GJ23" s="393"/>
      <c r="GK23" s="393"/>
      <c r="GL23" s="393"/>
      <c r="GM23" s="393"/>
      <c r="GN23" s="393"/>
      <c r="GO23" s="393"/>
      <c r="GP23" s="393"/>
      <c r="GQ23" s="393"/>
      <c r="GR23" s="393"/>
      <c r="GS23" s="393"/>
      <c r="GT23" s="393"/>
      <c r="GU23" s="393"/>
      <c r="GV23" s="393"/>
      <c r="GW23" s="393"/>
      <c r="GX23" s="393"/>
      <c r="GY23" s="393"/>
      <c r="GZ23" s="393"/>
      <c r="HA23" s="393"/>
      <c r="HB23" s="393"/>
      <c r="HC23" s="393"/>
      <c r="HD23" s="393"/>
      <c r="HE23" s="393"/>
      <c r="HF23" s="393"/>
      <c r="HG23" s="393"/>
      <c r="HH23" s="393"/>
      <c r="HI23" s="393"/>
      <c r="HJ23" s="393"/>
      <c r="HK23" s="393"/>
      <c r="HL23" s="393"/>
      <c r="HM23" s="393"/>
      <c r="HN23" s="393"/>
      <c r="HO23" s="393"/>
      <c r="HP23" s="393"/>
      <c r="HQ23" s="393"/>
      <c r="HR23" s="393"/>
      <c r="HS23" s="393"/>
      <c r="HT23" s="393"/>
      <c r="HU23" s="393"/>
      <c r="HV23" s="393"/>
      <c r="HW23" s="393"/>
      <c r="HX23" s="393"/>
      <c r="HY23" s="393"/>
      <c r="HZ23" s="393"/>
      <c r="IA23" s="393"/>
      <c r="IB23" s="393"/>
      <c r="IC23" s="393"/>
      <c r="ID23" s="393"/>
      <c r="IE23" s="393"/>
      <c r="IF23" s="393"/>
      <c r="IG23" s="393"/>
      <c r="IH23" s="393"/>
      <c r="II23" s="393"/>
      <c r="IJ23" s="393"/>
      <c r="IK23" s="393"/>
      <c r="IL23" s="393"/>
      <c r="IM23" s="393"/>
      <c r="IN23" s="393"/>
      <c r="IO23" s="393"/>
      <c r="IP23" s="393"/>
      <c r="IQ23" s="393"/>
      <c r="IR23" s="393"/>
    </row>
    <row r="24" spans="2:252" s="62" customFormat="1" ht="25.15" customHeight="1" x14ac:dyDescent="0.25">
      <c r="B24" s="86" t="s">
        <v>109</v>
      </c>
      <c r="C24" s="58"/>
      <c r="D24" s="189">
        <v>0.5</v>
      </c>
      <c r="E24" s="188"/>
      <c r="F24" s="188"/>
      <c r="G24" s="58"/>
      <c r="H24" s="58"/>
      <c r="I24" s="58"/>
      <c r="J24" s="59"/>
      <c r="K24" s="60"/>
      <c r="L24" s="58"/>
      <c r="M24" s="58"/>
      <c r="N24" s="61"/>
      <c r="V24" s="393"/>
      <c r="W24" s="393"/>
      <c r="X24" s="393"/>
      <c r="Y24" s="393"/>
      <c r="Z24" s="393"/>
      <c r="AA24" s="393"/>
      <c r="AB24" s="393"/>
      <c r="AC24" s="393"/>
      <c r="AD24" s="393"/>
      <c r="AE24" s="393"/>
      <c r="AF24" s="393"/>
      <c r="AG24" s="393"/>
      <c r="AH24" s="393"/>
      <c r="AI24" s="393"/>
      <c r="AJ24" s="393"/>
      <c r="AK24" s="393"/>
      <c r="AL24" s="393"/>
      <c r="AM24" s="393"/>
      <c r="AN24" s="393"/>
      <c r="AO24" s="393"/>
      <c r="AP24" s="393"/>
      <c r="AQ24" s="393"/>
      <c r="AR24" s="393"/>
      <c r="AS24" s="393"/>
      <c r="AT24" s="393"/>
      <c r="AU24" s="393"/>
      <c r="AV24" s="393"/>
      <c r="AW24" s="393"/>
      <c r="AX24" s="393"/>
      <c r="AY24" s="393"/>
      <c r="AZ24" s="393"/>
      <c r="BA24" s="393"/>
      <c r="BB24" s="393"/>
      <c r="BC24" s="393"/>
      <c r="BD24" s="393"/>
      <c r="BE24" s="393"/>
      <c r="BF24" s="393"/>
      <c r="BG24" s="393"/>
      <c r="BH24" s="393"/>
      <c r="BI24" s="393"/>
      <c r="BJ24" s="393"/>
      <c r="BK24" s="393"/>
      <c r="BL24" s="393"/>
      <c r="BM24" s="393"/>
      <c r="BN24" s="393"/>
      <c r="BO24" s="393"/>
      <c r="BP24" s="393"/>
      <c r="BQ24" s="393"/>
      <c r="BR24" s="393"/>
      <c r="BS24" s="393"/>
      <c r="BT24" s="393"/>
      <c r="BU24" s="393"/>
      <c r="BV24" s="393"/>
      <c r="BW24" s="393"/>
      <c r="BX24" s="393"/>
      <c r="BY24" s="393"/>
      <c r="BZ24" s="393"/>
      <c r="CA24" s="393"/>
      <c r="CB24" s="393"/>
      <c r="CC24" s="393"/>
      <c r="CD24" s="393"/>
      <c r="CE24" s="393"/>
      <c r="CF24" s="393"/>
      <c r="CG24" s="393"/>
      <c r="CH24" s="393"/>
      <c r="CI24" s="393"/>
      <c r="CJ24" s="393"/>
      <c r="CK24" s="393"/>
      <c r="CL24" s="393"/>
      <c r="CM24" s="393"/>
      <c r="CN24" s="393"/>
      <c r="CO24" s="393"/>
      <c r="CP24" s="393"/>
      <c r="CQ24" s="393"/>
      <c r="CR24" s="393"/>
      <c r="CS24" s="393"/>
      <c r="CT24" s="393"/>
      <c r="CU24" s="393"/>
      <c r="CV24" s="393"/>
      <c r="CW24" s="393"/>
      <c r="CX24" s="393"/>
      <c r="CY24" s="393"/>
      <c r="CZ24" s="393"/>
      <c r="DA24" s="393"/>
      <c r="DB24" s="393"/>
      <c r="DC24" s="393"/>
      <c r="DD24" s="393"/>
      <c r="DE24" s="393"/>
      <c r="DF24" s="393"/>
      <c r="DG24" s="393"/>
      <c r="DH24" s="393"/>
      <c r="DI24" s="393"/>
      <c r="DJ24" s="393"/>
      <c r="DK24" s="393"/>
      <c r="DL24" s="393"/>
      <c r="DM24" s="393"/>
      <c r="DN24" s="393"/>
      <c r="DO24" s="393"/>
      <c r="DP24" s="393"/>
      <c r="DQ24" s="393"/>
      <c r="DR24" s="393"/>
      <c r="DS24" s="393"/>
      <c r="DT24" s="393"/>
      <c r="DU24" s="393"/>
      <c r="DV24" s="393"/>
      <c r="DW24" s="393"/>
      <c r="DX24" s="393"/>
      <c r="DY24" s="393"/>
      <c r="DZ24" s="393"/>
      <c r="EA24" s="393"/>
      <c r="EB24" s="393"/>
      <c r="EC24" s="393"/>
      <c r="ED24" s="393"/>
      <c r="EE24" s="393"/>
      <c r="EF24" s="393"/>
      <c r="EG24" s="393"/>
      <c r="EH24" s="393"/>
      <c r="EI24" s="393"/>
      <c r="EJ24" s="393"/>
      <c r="EK24" s="393"/>
      <c r="EL24" s="393"/>
      <c r="EM24" s="393"/>
      <c r="EN24" s="393"/>
      <c r="EO24" s="393"/>
      <c r="EP24" s="393"/>
      <c r="EQ24" s="393"/>
      <c r="ER24" s="393"/>
      <c r="ES24" s="393"/>
      <c r="ET24" s="393"/>
      <c r="EU24" s="393"/>
      <c r="EV24" s="393"/>
      <c r="EW24" s="393"/>
      <c r="EX24" s="393"/>
      <c r="EY24" s="393"/>
      <c r="EZ24" s="393"/>
      <c r="FA24" s="393"/>
      <c r="FB24" s="393"/>
      <c r="FC24" s="393"/>
      <c r="FD24" s="393"/>
      <c r="FE24" s="393"/>
      <c r="FF24" s="393"/>
      <c r="FG24" s="393"/>
      <c r="FH24" s="393"/>
      <c r="FI24" s="393"/>
      <c r="FJ24" s="393"/>
      <c r="FK24" s="393"/>
      <c r="FL24" s="393"/>
      <c r="FM24" s="393"/>
      <c r="FN24" s="393"/>
      <c r="FO24" s="393"/>
      <c r="FP24" s="393"/>
      <c r="FQ24" s="393"/>
      <c r="FR24" s="393"/>
      <c r="FS24" s="393"/>
      <c r="FT24" s="393"/>
      <c r="FU24" s="393"/>
      <c r="FV24" s="393"/>
      <c r="FW24" s="393"/>
      <c r="FX24" s="393"/>
      <c r="FY24" s="393"/>
      <c r="FZ24" s="393"/>
      <c r="GA24" s="393"/>
      <c r="GB24" s="393"/>
      <c r="GC24" s="393"/>
      <c r="GD24" s="393"/>
      <c r="GE24" s="393"/>
      <c r="GF24" s="393"/>
      <c r="GG24" s="393"/>
      <c r="GH24" s="393"/>
      <c r="GI24" s="393"/>
      <c r="GJ24" s="393"/>
      <c r="GK24" s="393"/>
      <c r="GL24" s="393"/>
      <c r="GM24" s="393"/>
      <c r="GN24" s="393"/>
      <c r="GO24" s="393"/>
      <c r="GP24" s="393"/>
      <c r="GQ24" s="393"/>
      <c r="GR24" s="393"/>
      <c r="GS24" s="393"/>
      <c r="GT24" s="393"/>
      <c r="GU24" s="393"/>
      <c r="GV24" s="393"/>
      <c r="GW24" s="393"/>
      <c r="GX24" s="393"/>
      <c r="GY24" s="393"/>
      <c r="GZ24" s="393"/>
      <c r="HA24" s="393"/>
      <c r="HB24" s="393"/>
      <c r="HC24" s="393"/>
      <c r="HD24" s="393"/>
      <c r="HE24" s="393"/>
      <c r="HF24" s="393"/>
      <c r="HG24" s="393"/>
      <c r="HH24" s="393"/>
      <c r="HI24" s="393"/>
      <c r="HJ24" s="393"/>
      <c r="HK24" s="393"/>
      <c r="HL24" s="393"/>
      <c r="HM24" s="393"/>
      <c r="HN24" s="393"/>
      <c r="HO24" s="393"/>
      <c r="HP24" s="393"/>
      <c r="HQ24" s="393"/>
      <c r="HR24" s="393"/>
      <c r="HS24" s="393"/>
      <c r="HT24" s="393"/>
      <c r="HU24" s="393"/>
      <c r="HV24" s="393"/>
      <c r="HW24" s="393"/>
      <c r="HX24" s="393"/>
      <c r="HY24" s="393"/>
      <c r="HZ24" s="393"/>
      <c r="IA24" s="393"/>
      <c r="IB24" s="393"/>
      <c r="IC24" s="393"/>
      <c r="ID24" s="393"/>
      <c r="IE24" s="393"/>
      <c r="IF24" s="393"/>
      <c r="IG24" s="393"/>
      <c r="IH24" s="393"/>
      <c r="II24" s="393"/>
      <c r="IJ24" s="393"/>
      <c r="IK24" s="393"/>
      <c r="IL24" s="393"/>
      <c r="IM24" s="393"/>
      <c r="IN24" s="393"/>
      <c r="IO24" s="393"/>
      <c r="IP24" s="393"/>
      <c r="IQ24" s="393"/>
      <c r="IR24" s="393"/>
    </row>
    <row r="25" spans="2:252" s="62" customFormat="1" ht="25.15" customHeight="1" x14ac:dyDescent="0.25">
      <c r="B25" s="86" t="s">
        <v>112</v>
      </c>
      <c r="C25" s="58"/>
      <c r="D25" s="189">
        <v>0.8</v>
      </c>
      <c r="E25" s="188"/>
      <c r="F25" s="188"/>
      <c r="G25" s="58"/>
      <c r="H25" s="58"/>
      <c r="I25" s="58"/>
      <c r="J25" s="59"/>
      <c r="K25" s="60"/>
      <c r="L25" s="58"/>
      <c r="M25" s="58"/>
      <c r="N25" s="61"/>
      <c r="V25" s="393"/>
      <c r="W25" s="393"/>
      <c r="X25" s="393"/>
      <c r="Y25" s="393"/>
      <c r="Z25" s="393"/>
      <c r="AA25" s="393"/>
      <c r="AB25" s="393"/>
      <c r="AC25" s="393"/>
      <c r="AD25" s="393"/>
      <c r="AE25" s="393"/>
      <c r="AF25" s="393"/>
      <c r="AG25" s="393"/>
      <c r="AH25" s="393"/>
      <c r="AI25" s="393"/>
      <c r="AJ25" s="393"/>
      <c r="AK25" s="393"/>
      <c r="AL25" s="393"/>
      <c r="AM25" s="393"/>
      <c r="AN25" s="393"/>
      <c r="AO25" s="393"/>
      <c r="AP25" s="393"/>
      <c r="AQ25" s="393"/>
      <c r="AR25" s="393"/>
      <c r="AS25" s="393"/>
      <c r="AT25" s="393"/>
      <c r="AU25" s="393"/>
      <c r="AV25" s="393"/>
      <c r="AW25" s="393"/>
      <c r="AX25" s="393"/>
      <c r="AY25" s="393"/>
      <c r="AZ25" s="393"/>
      <c r="BA25" s="393"/>
      <c r="BB25" s="393"/>
      <c r="BC25" s="393"/>
      <c r="BD25" s="393"/>
      <c r="BE25" s="393"/>
      <c r="BF25" s="393"/>
      <c r="BG25" s="393"/>
      <c r="BH25" s="393"/>
      <c r="BI25" s="393"/>
      <c r="BJ25" s="393"/>
      <c r="BK25" s="393"/>
      <c r="BL25" s="393"/>
      <c r="BM25" s="393"/>
      <c r="BN25" s="393"/>
      <c r="BO25" s="393"/>
      <c r="BP25" s="393"/>
      <c r="BQ25" s="393"/>
      <c r="BR25" s="393"/>
      <c r="BS25" s="393"/>
      <c r="BT25" s="393"/>
      <c r="BU25" s="393"/>
      <c r="BV25" s="393"/>
      <c r="BW25" s="393"/>
      <c r="BX25" s="393"/>
      <c r="BY25" s="393"/>
      <c r="BZ25" s="393"/>
      <c r="CA25" s="393"/>
      <c r="CB25" s="393"/>
      <c r="CC25" s="393"/>
      <c r="CD25" s="393"/>
      <c r="CE25" s="393"/>
      <c r="CF25" s="393"/>
      <c r="CG25" s="393"/>
      <c r="CH25" s="393"/>
      <c r="CI25" s="393"/>
      <c r="CJ25" s="393"/>
      <c r="CK25" s="393"/>
      <c r="CL25" s="393"/>
      <c r="CM25" s="393"/>
      <c r="CN25" s="393"/>
      <c r="CO25" s="393"/>
      <c r="CP25" s="393"/>
      <c r="CQ25" s="393"/>
      <c r="CR25" s="393"/>
      <c r="CS25" s="393"/>
      <c r="CT25" s="393"/>
      <c r="CU25" s="393"/>
      <c r="CV25" s="393"/>
      <c r="CW25" s="393"/>
      <c r="CX25" s="393"/>
      <c r="CY25" s="393"/>
      <c r="CZ25" s="393"/>
      <c r="DA25" s="393"/>
      <c r="DB25" s="393"/>
      <c r="DC25" s="393"/>
      <c r="DD25" s="393"/>
      <c r="DE25" s="393"/>
      <c r="DF25" s="393"/>
      <c r="DG25" s="393"/>
      <c r="DH25" s="393"/>
      <c r="DI25" s="393"/>
      <c r="DJ25" s="393"/>
      <c r="DK25" s="393"/>
      <c r="DL25" s="393"/>
      <c r="DM25" s="393"/>
      <c r="DN25" s="393"/>
      <c r="DO25" s="393"/>
      <c r="DP25" s="393"/>
      <c r="DQ25" s="393"/>
      <c r="DR25" s="393"/>
      <c r="DS25" s="393"/>
      <c r="DT25" s="393"/>
      <c r="DU25" s="393"/>
      <c r="DV25" s="393"/>
      <c r="DW25" s="393"/>
      <c r="DX25" s="393"/>
      <c r="DY25" s="393"/>
      <c r="DZ25" s="393"/>
      <c r="EA25" s="393"/>
      <c r="EB25" s="393"/>
      <c r="EC25" s="393"/>
      <c r="ED25" s="393"/>
      <c r="EE25" s="393"/>
      <c r="EF25" s="393"/>
      <c r="EG25" s="393"/>
      <c r="EH25" s="393"/>
      <c r="EI25" s="393"/>
      <c r="EJ25" s="393"/>
      <c r="EK25" s="393"/>
      <c r="EL25" s="393"/>
      <c r="EM25" s="393"/>
      <c r="EN25" s="393"/>
      <c r="EO25" s="393"/>
      <c r="EP25" s="393"/>
      <c r="EQ25" s="393"/>
      <c r="ER25" s="393"/>
      <c r="ES25" s="393"/>
      <c r="ET25" s="393"/>
      <c r="EU25" s="393"/>
      <c r="EV25" s="393"/>
      <c r="EW25" s="393"/>
      <c r="EX25" s="393"/>
      <c r="EY25" s="393"/>
      <c r="EZ25" s="393"/>
      <c r="FA25" s="393"/>
      <c r="FB25" s="393"/>
      <c r="FC25" s="393"/>
      <c r="FD25" s="393"/>
      <c r="FE25" s="393"/>
      <c r="FF25" s="393"/>
      <c r="FG25" s="393"/>
      <c r="FH25" s="393"/>
      <c r="FI25" s="393"/>
      <c r="FJ25" s="393"/>
      <c r="FK25" s="393"/>
      <c r="FL25" s="393"/>
      <c r="FM25" s="393"/>
      <c r="FN25" s="393"/>
      <c r="FO25" s="393"/>
      <c r="FP25" s="393"/>
      <c r="FQ25" s="393"/>
      <c r="FR25" s="393"/>
      <c r="FS25" s="393"/>
      <c r="FT25" s="393"/>
      <c r="FU25" s="393"/>
      <c r="FV25" s="393"/>
      <c r="FW25" s="393"/>
      <c r="FX25" s="393"/>
      <c r="FY25" s="393"/>
      <c r="FZ25" s="393"/>
      <c r="GA25" s="393"/>
      <c r="GB25" s="393"/>
      <c r="GC25" s="393"/>
      <c r="GD25" s="393"/>
      <c r="GE25" s="393"/>
      <c r="GF25" s="393"/>
      <c r="GG25" s="393"/>
      <c r="GH25" s="393"/>
      <c r="GI25" s="393"/>
      <c r="GJ25" s="393"/>
      <c r="GK25" s="393"/>
      <c r="GL25" s="393"/>
      <c r="GM25" s="393"/>
      <c r="GN25" s="393"/>
      <c r="GO25" s="393"/>
      <c r="GP25" s="393"/>
      <c r="GQ25" s="393"/>
      <c r="GR25" s="393"/>
      <c r="GS25" s="393"/>
      <c r="GT25" s="393"/>
      <c r="GU25" s="393"/>
      <c r="GV25" s="393"/>
      <c r="GW25" s="393"/>
      <c r="GX25" s="393"/>
      <c r="GY25" s="393"/>
      <c r="GZ25" s="393"/>
      <c r="HA25" s="393"/>
      <c r="HB25" s="393"/>
      <c r="HC25" s="393"/>
      <c r="HD25" s="393"/>
      <c r="HE25" s="393"/>
      <c r="HF25" s="393"/>
      <c r="HG25" s="393"/>
      <c r="HH25" s="393"/>
      <c r="HI25" s="393"/>
      <c r="HJ25" s="393"/>
      <c r="HK25" s="393"/>
      <c r="HL25" s="393"/>
      <c r="HM25" s="393"/>
      <c r="HN25" s="393"/>
      <c r="HO25" s="393"/>
      <c r="HP25" s="393"/>
      <c r="HQ25" s="393"/>
      <c r="HR25" s="393"/>
      <c r="HS25" s="393"/>
      <c r="HT25" s="393"/>
      <c r="HU25" s="393"/>
      <c r="HV25" s="393"/>
      <c r="HW25" s="393"/>
      <c r="HX25" s="393"/>
      <c r="HY25" s="393"/>
      <c r="HZ25" s="393"/>
      <c r="IA25" s="393"/>
      <c r="IB25" s="393"/>
      <c r="IC25" s="393"/>
      <c r="ID25" s="393"/>
      <c r="IE25" s="393"/>
      <c r="IF25" s="393"/>
      <c r="IG25" s="393"/>
      <c r="IH25" s="393"/>
      <c r="II25" s="393"/>
      <c r="IJ25" s="393"/>
      <c r="IK25" s="393"/>
      <c r="IL25" s="393"/>
      <c r="IM25" s="393"/>
      <c r="IN25" s="393"/>
      <c r="IO25" s="393"/>
      <c r="IP25" s="393"/>
      <c r="IQ25" s="393"/>
      <c r="IR25" s="393"/>
    </row>
    <row r="26" spans="2:252" s="62" customFormat="1" ht="25.15" customHeight="1" x14ac:dyDescent="0.25">
      <c r="B26" s="86" t="s">
        <v>134</v>
      </c>
      <c r="C26" s="58"/>
      <c r="D26" s="199">
        <v>1.33</v>
      </c>
      <c r="E26" s="188"/>
      <c r="F26" s="188"/>
      <c r="G26" s="58"/>
      <c r="H26" s="58"/>
      <c r="I26" s="58"/>
      <c r="J26" s="59"/>
      <c r="K26" s="60"/>
      <c r="L26" s="58"/>
      <c r="M26" s="58"/>
      <c r="N26" s="61"/>
      <c r="V26" s="393"/>
      <c r="W26" s="393"/>
      <c r="X26" s="393"/>
      <c r="Y26" s="393"/>
      <c r="Z26" s="393"/>
      <c r="AA26" s="393"/>
      <c r="AB26" s="393"/>
      <c r="AC26" s="393"/>
      <c r="AD26" s="393"/>
      <c r="AE26" s="393"/>
      <c r="AF26" s="393"/>
      <c r="AG26" s="393"/>
      <c r="AH26" s="393"/>
      <c r="AI26" s="393"/>
      <c r="AJ26" s="393"/>
      <c r="AK26" s="393"/>
      <c r="AL26" s="393"/>
      <c r="AM26" s="393"/>
      <c r="AN26" s="393"/>
      <c r="AO26" s="393"/>
      <c r="AP26" s="393"/>
      <c r="AQ26" s="393"/>
      <c r="AR26" s="393"/>
      <c r="AS26" s="393"/>
      <c r="AT26" s="393"/>
      <c r="AU26" s="393"/>
      <c r="AV26" s="393"/>
      <c r="AW26" s="393"/>
      <c r="AX26" s="393"/>
      <c r="AY26" s="393"/>
      <c r="AZ26" s="393"/>
      <c r="BA26" s="393"/>
      <c r="BB26" s="393"/>
      <c r="BC26" s="393"/>
      <c r="BD26" s="393"/>
      <c r="BE26" s="393"/>
      <c r="BF26" s="393"/>
      <c r="BG26" s="393"/>
      <c r="BH26" s="393"/>
      <c r="BI26" s="393"/>
      <c r="BJ26" s="393"/>
      <c r="BK26" s="393"/>
      <c r="BL26" s="393"/>
      <c r="BM26" s="393"/>
      <c r="BN26" s="393"/>
      <c r="BO26" s="393"/>
      <c r="BP26" s="393"/>
      <c r="BQ26" s="393"/>
      <c r="BR26" s="393"/>
      <c r="BS26" s="393"/>
      <c r="BT26" s="393"/>
      <c r="BU26" s="393"/>
      <c r="BV26" s="393"/>
      <c r="BW26" s="393"/>
      <c r="BX26" s="393"/>
      <c r="BY26" s="393"/>
      <c r="BZ26" s="393"/>
      <c r="CA26" s="393"/>
      <c r="CB26" s="393"/>
      <c r="CC26" s="393"/>
      <c r="CD26" s="393"/>
      <c r="CE26" s="393"/>
      <c r="CF26" s="393"/>
      <c r="CG26" s="393"/>
      <c r="CH26" s="393"/>
      <c r="CI26" s="393"/>
      <c r="CJ26" s="393"/>
      <c r="CK26" s="393"/>
      <c r="CL26" s="393"/>
      <c r="CM26" s="393"/>
      <c r="CN26" s="393"/>
      <c r="CO26" s="393"/>
      <c r="CP26" s="393"/>
      <c r="CQ26" s="393"/>
      <c r="CR26" s="393"/>
      <c r="CS26" s="393"/>
      <c r="CT26" s="393"/>
      <c r="CU26" s="393"/>
      <c r="CV26" s="393"/>
      <c r="CW26" s="393"/>
      <c r="CX26" s="393"/>
      <c r="CY26" s="393"/>
      <c r="CZ26" s="393"/>
      <c r="DA26" s="393"/>
      <c r="DB26" s="393"/>
      <c r="DC26" s="393"/>
      <c r="DD26" s="393"/>
      <c r="DE26" s="393"/>
      <c r="DF26" s="393"/>
      <c r="DG26" s="393"/>
      <c r="DH26" s="393"/>
      <c r="DI26" s="393"/>
      <c r="DJ26" s="393"/>
      <c r="DK26" s="393"/>
      <c r="DL26" s="393"/>
      <c r="DM26" s="393"/>
      <c r="DN26" s="393"/>
      <c r="DO26" s="393"/>
      <c r="DP26" s="393"/>
      <c r="DQ26" s="393"/>
      <c r="DR26" s="393"/>
      <c r="DS26" s="393"/>
      <c r="DT26" s="393"/>
      <c r="DU26" s="393"/>
      <c r="DV26" s="393"/>
      <c r="DW26" s="393"/>
      <c r="DX26" s="393"/>
      <c r="DY26" s="393"/>
      <c r="DZ26" s="393"/>
      <c r="EA26" s="393"/>
      <c r="EB26" s="393"/>
      <c r="EC26" s="393"/>
      <c r="ED26" s="393"/>
      <c r="EE26" s="393"/>
      <c r="EF26" s="393"/>
      <c r="EG26" s="393"/>
      <c r="EH26" s="393"/>
      <c r="EI26" s="393"/>
      <c r="EJ26" s="393"/>
      <c r="EK26" s="393"/>
      <c r="EL26" s="393"/>
      <c r="EM26" s="393"/>
      <c r="EN26" s="393"/>
      <c r="EO26" s="393"/>
      <c r="EP26" s="393"/>
      <c r="EQ26" s="393"/>
      <c r="ER26" s="393"/>
      <c r="ES26" s="393"/>
      <c r="ET26" s="393"/>
      <c r="EU26" s="393"/>
      <c r="EV26" s="393"/>
      <c r="EW26" s="393"/>
      <c r="EX26" s="393"/>
      <c r="EY26" s="393"/>
      <c r="EZ26" s="393"/>
      <c r="FA26" s="393"/>
      <c r="FB26" s="393"/>
      <c r="FC26" s="393"/>
      <c r="FD26" s="393"/>
      <c r="FE26" s="393"/>
      <c r="FF26" s="393"/>
      <c r="FG26" s="393"/>
      <c r="FH26" s="393"/>
      <c r="FI26" s="393"/>
      <c r="FJ26" s="393"/>
      <c r="FK26" s="393"/>
      <c r="FL26" s="393"/>
      <c r="FM26" s="393"/>
      <c r="FN26" s="393"/>
      <c r="FO26" s="393"/>
      <c r="FP26" s="393"/>
      <c r="FQ26" s="393"/>
      <c r="FR26" s="393"/>
      <c r="FS26" s="393"/>
      <c r="FT26" s="393"/>
      <c r="FU26" s="393"/>
      <c r="FV26" s="393"/>
      <c r="FW26" s="393"/>
      <c r="FX26" s="393"/>
      <c r="FY26" s="393"/>
      <c r="FZ26" s="393"/>
      <c r="GA26" s="393"/>
      <c r="GB26" s="393"/>
      <c r="GC26" s="393"/>
      <c r="GD26" s="393"/>
      <c r="GE26" s="393"/>
      <c r="GF26" s="393"/>
      <c r="GG26" s="393"/>
      <c r="GH26" s="393"/>
      <c r="GI26" s="393"/>
      <c r="GJ26" s="393"/>
      <c r="GK26" s="393"/>
      <c r="GL26" s="393"/>
      <c r="GM26" s="393"/>
      <c r="GN26" s="393"/>
      <c r="GO26" s="393"/>
      <c r="GP26" s="393"/>
      <c r="GQ26" s="393"/>
      <c r="GR26" s="393"/>
      <c r="GS26" s="393"/>
      <c r="GT26" s="393"/>
      <c r="GU26" s="393"/>
      <c r="GV26" s="393"/>
      <c r="GW26" s="393"/>
      <c r="GX26" s="393"/>
      <c r="GY26" s="393"/>
      <c r="GZ26" s="393"/>
      <c r="HA26" s="393"/>
      <c r="HB26" s="393"/>
      <c r="HC26" s="393"/>
      <c r="HD26" s="393"/>
      <c r="HE26" s="393"/>
      <c r="HF26" s="393"/>
      <c r="HG26" s="393"/>
      <c r="HH26" s="393"/>
      <c r="HI26" s="393"/>
      <c r="HJ26" s="393"/>
      <c r="HK26" s="393"/>
      <c r="HL26" s="393"/>
      <c r="HM26" s="393"/>
      <c r="HN26" s="393"/>
      <c r="HO26" s="393"/>
      <c r="HP26" s="393"/>
      <c r="HQ26" s="393"/>
      <c r="HR26" s="393"/>
      <c r="HS26" s="393"/>
      <c r="HT26" s="393"/>
      <c r="HU26" s="393"/>
      <c r="HV26" s="393"/>
      <c r="HW26" s="393"/>
      <c r="HX26" s="393"/>
      <c r="HY26" s="393"/>
      <c r="HZ26" s="393"/>
      <c r="IA26" s="393"/>
      <c r="IB26" s="393"/>
      <c r="IC26" s="393"/>
      <c r="ID26" s="393"/>
      <c r="IE26" s="393"/>
      <c r="IF26" s="393"/>
      <c r="IG26" s="393"/>
      <c r="IH26" s="393"/>
      <c r="II26" s="393"/>
      <c r="IJ26" s="393"/>
      <c r="IK26" s="393"/>
      <c r="IL26" s="393"/>
      <c r="IM26" s="393"/>
      <c r="IN26" s="393"/>
      <c r="IO26" s="393"/>
      <c r="IP26" s="393"/>
      <c r="IQ26" s="393"/>
      <c r="IR26" s="393"/>
    </row>
    <row r="27" spans="2:252" s="62" customFormat="1" ht="25.15" customHeight="1" x14ac:dyDescent="0.25">
      <c r="B27" s="86" t="s">
        <v>135</v>
      </c>
      <c r="C27" s="58"/>
      <c r="D27" s="199">
        <v>1</v>
      </c>
      <c r="E27" s="188"/>
      <c r="F27" s="188"/>
      <c r="G27" s="58"/>
      <c r="H27" s="58"/>
      <c r="I27" s="58"/>
      <c r="J27" s="59"/>
      <c r="K27" s="60"/>
      <c r="L27" s="58"/>
      <c r="M27" s="58"/>
      <c r="N27" s="61"/>
      <c r="P27" s="200"/>
      <c r="V27" s="393"/>
      <c r="W27" s="393"/>
      <c r="X27" s="393"/>
      <c r="Y27" s="393"/>
      <c r="Z27" s="393"/>
      <c r="AA27" s="393"/>
      <c r="AB27" s="393"/>
      <c r="AC27" s="393"/>
      <c r="AD27" s="393"/>
      <c r="AE27" s="393"/>
      <c r="AF27" s="393"/>
      <c r="AG27" s="393"/>
      <c r="AH27" s="393"/>
      <c r="AI27" s="393"/>
      <c r="AJ27" s="393"/>
      <c r="AK27" s="393"/>
      <c r="AL27" s="393"/>
      <c r="AM27" s="393"/>
      <c r="AN27" s="393"/>
      <c r="AO27" s="393"/>
      <c r="AP27" s="393"/>
      <c r="AQ27" s="393"/>
      <c r="AR27" s="393"/>
      <c r="AS27" s="393"/>
      <c r="AT27" s="393"/>
      <c r="AU27" s="393"/>
      <c r="AV27" s="393"/>
      <c r="AW27" s="393"/>
      <c r="AX27" s="393"/>
      <c r="AY27" s="393"/>
      <c r="AZ27" s="393"/>
      <c r="BA27" s="393"/>
      <c r="BB27" s="393"/>
      <c r="BC27" s="393"/>
      <c r="BD27" s="393"/>
      <c r="BE27" s="393"/>
      <c r="BF27" s="393"/>
      <c r="BG27" s="393"/>
      <c r="BH27" s="393"/>
      <c r="BI27" s="393"/>
      <c r="BJ27" s="393"/>
      <c r="BK27" s="393"/>
      <c r="BL27" s="393"/>
      <c r="BM27" s="393"/>
      <c r="BN27" s="393"/>
      <c r="BO27" s="393"/>
      <c r="BP27" s="393"/>
      <c r="BQ27" s="393"/>
      <c r="BR27" s="393"/>
      <c r="BS27" s="393"/>
      <c r="BT27" s="393"/>
      <c r="BU27" s="393"/>
      <c r="BV27" s="393"/>
      <c r="BW27" s="393"/>
      <c r="BX27" s="393"/>
      <c r="BY27" s="393"/>
      <c r="BZ27" s="393"/>
      <c r="CA27" s="393"/>
      <c r="CB27" s="393"/>
      <c r="CC27" s="393"/>
      <c r="CD27" s="393"/>
      <c r="CE27" s="393"/>
      <c r="CF27" s="393"/>
      <c r="CG27" s="393"/>
      <c r="CH27" s="393"/>
      <c r="CI27" s="393"/>
      <c r="CJ27" s="393"/>
      <c r="CK27" s="393"/>
      <c r="CL27" s="393"/>
      <c r="CM27" s="393"/>
      <c r="CN27" s="393"/>
      <c r="CO27" s="393"/>
      <c r="CP27" s="393"/>
      <c r="CQ27" s="393"/>
      <c r="CR27" s="393"/>
      <c r="CS27" s="393"/>
      <c r="CT27" s="393"/>
      <c r="CU27" s="393"/>
      <c r="CV27" s="393"/>
      <c r="CW27" s="393"/>
      <c r="CX27" s="393"/>
      <c r="CY27" s="393"/>
      <c r="CZ27" s="393"/>
      <c r="DA27" s="393"/>
      <c r="DB27" s="393"/>
      <c r="DC27" s="393"/>
      <c r="DD27" s="393"/>
      <c r="DE27" s="393"/>
      <c r="DF27" s="393"/>
      <c r="DG27" s="393"/>
      <c r="DH27" s="393"/>
      <c r="DI27" s="393"/>
      <c r="DJ27" s="393"/>
      <c r="DK27" s="393"/>
      <c r="DL27" s="393"/>
      <c r="DM27" s="393"/>
      <c r="DN27" s="393"/>
      <c r="DO27" s="393"/>
      <c r="DP27" s="393"/>
      <c r="DQ27" s="393"/>
      <c r="DR27" s="393"/>
      <c r="DS27" s="393"/>
      <c r="DT27" s="393"/>
      <c r="DU27" s="393"/>
      <c r="DV27" s="393"/>
      <c r="DW27" s="393"/>
      <c r="DX27" s="393"/>
      <c r="DY27" s="393"/>
      <c r="DZ27" s="393"/>
      <c r="EA27" s="393"/>
      <c r="EB27" s="393"/>
      <c r="EC27" s="393"/>
      <c r="ED27" s="393"/>
      <c r="EE27" s="393"/>
      <c r="EF27" s="393"/>
      <c r="EG27" s="393"/>
      <c r="EH27" s="393"/>
      <c r="EI27" s="393"/>
      <c r="EJ27" s="393"/>
      <c r="EK27" s="393"/>
      <c r="EL27" s="393"/>
      <c r="EM27" s="393"/>
      <c r="EN27" s="393"/>
      <c r="EO27" s="393"/>
      <c r="EP27" s="393"/>
      <c r="EQ27" s="393"/>
      <c r="ER27" s="393"/>
      <c r="ES27" s="393"/>
      <c r="ET27" s="393"/>
      <c r="EU27" s="393"/>
      <c r="EV27" s="393"/>
      <c r="EW27" s="393"/>
      <c r="EX27" s="393"/>
      <c r="EY27" s="393"/>
      <c r="EZ27" s="393"/>
      <c r="FA27" s="393"/>
      <c r="FB27" s="393"/>
      <c r="FC27" s="393"/>
      <c r="FD27" s="393"/>
      <c r="FE27" s="393"/>
      <c r="FF27" s="393"/>
      <c r="FG27" s="393"/>
      <c r="FH27" s="393"/>
      <c r="FI27" s="393"/>
      <c r="FJ27" s="393"/>
      <c r="FK27" s="393"/>
      <c r="FL27" s="393"/>
      <c r="FM27" s="393"/>
      <c r="FN27" s="393"/>
      <c r="FO27" s="393"/>
      <c r="FP27" s="393"/>
      <c r="FQ27" s="393"/>
      <c r="FR27" s="393"/>
      <c r="FS27" s="393"/>
      <c r="FT27" s="393"/>
      <c r="FU27" s="393"/>
      <c r="FV27" s="393"/>
      <c r="FW27" s="393"/>
      <c r="FX27" s="393"/>
      <c r="FY27" s="393"/>
      <c r="FZ27" s="393"/>
      <c r="GA27" s="393"/>
      <c r="GB27" s="393"/>
      <c r="GC27" s="393"/>
      <c r="GD27" s="393"/>
      <c r="GE27" s="393"/>
      <c r="GF27" s="393"/>
      <c r="GG27" s="393"/>
      <c r="GH27" s="393"/>
      <c r="GI27" s="393"/>
      <c r="GJ27" s="393"/>
      <c r="GK27" s="393"/>
      <c r="GL27" s="393"/>
      <c r="GM27" s="393"/>
      <c r="GN27" s="393"/>
      <c r="GO27" s="393"/>
      <c r="GP27" s="393"/>
      <c r="GQ27" s="393"/>
      <c r="GR27" s="393"/>
      <c r="GS27" s="393"/>
      <c r="GT27" s="393"/>
      <c r="GU27" s="393"/>
      <c r="GV27" s="393"/>
      <c r="GW27" s="393"/>
      <c r="GX27" s="393"/>
      <c r="GY27" s="393"/>
      <c r="GZ27" s="393"/>
      <c r="HA27" s="393"/>
      <c r="HB27" s="393"/>
      <c r="HC27" s="393"/>
      <c r="HD27" s="393"/>
      <c r="HE27" s="393"/>
      <c r="HF27" s="393"/>
      <c r="HG27" s="393"/>
      <c r="HH27" s="393"/>
      <c r="HI27" s="393"/>
      <c r="HJ27" s="393"/>
      <c r="HK27" s="393"/>
      <c r="HL27" s="393"/>
      <c r="HM27" s="393"/>
      <c r="HN27" s="393"/>
      <c r="HO27" s="393"/>
      <c r="HP27" s="393"/>
      <c r="HQ27" s="393"/>
      <c r="HR27" s="393"/>
      <c r="HS27" s="393"/>
      <c r="HT27" s="393"/>
      <c r="HU27" s="393"/>
      <c r="HV27" s="393"/>
      <c r="HW27" s="393"/>
      <c r="HX27" s="393"/>
      <c r="HY27" s="393"/>
      <c r="HZ27" s="393"/>
      <c r="IA27" s="393"/>
      <c r="IB27" s="393"/>
      <c r="IC27" s="393"/>
      <c r="ID27" s="393"/>
      <c r="IE27" s="393"/>
      <c r="IF27" s="393"/>
      <c r="IG27" s="393"/>
      <c r="IH27" s="393"/>
      <c r="II27" s="393"/>
      <c r="IJ27" s="393"/>
      <c r="IK27" s="393"/>
      <c r="IL27" s="393"/>
      <c r="IM27" s="393"/>
      <c r="IN27" s="393"/>
      <c r="IO27" s="393"/>
      <c r="IP27" s="393"/>
      <c r="IQ27" s="393"/>
      <c r="IR27" s="393"/>
    </row>
    <row r="28" spans="2:252" s="62" customFormat="1" ht="25.15" customHeight="1" x14ac:dyDescent="0.25">
      <c r="B28" s="86" t="s">
        <v>136</v>
      </c>
      <c r="C28" s="58"/>
      <c r="D28" s="199">
        <v>2</v>
      </c>
      <c r="E28" s="188"/>
      <c r="F28" s="188"/>
      <c r="G28" s="58"/>
      <c r="H28" s="58"/>
      <c r="I28" s="58"/>
      <c r="J28" s="59"/>
      <c r="K28" s="60"/>
      <c r="L28" s="58"/>
      <c r="M28" s="58"/>
      <c r="N28" s="61"/>
      <c r="V28" s="393"/>
      <c r="W28" s="393"/>
      <c r="X28" s="393"/>
      <c r="Y28" s="393"/>
      <c r="Z28" s="393"/>
      <c r="AA28" s="393"/>
      <c r="AB28" s="393"/>
      <c r="AC28" s="393"/>
      <c r="AD28" s="393"/>
      <c r="AE28" s="393"/>
      <c r="AF28" s="393"/>
      <c r="AG28" s="393"/>
      <c r="AH28" s="393"/>
      <c r="AI28" s="393"/>
      <c r="AJ28" s="393"/>
      <c r="AK28" s="393"/>
      <c r="AL28" s="393"/>
      <c r="AM28" s="393"/>
      <c r="AN28" s="393"/>
      <c r="AO28" s="393"/>
      <c r="AP28" s="393"/>
      <c r="AQ28" s="393"/>
      <c r="AR28" s="393"/>
      <c r="AS28" s="393"/>
      <c r="AT28" s="393"/>
      <c r="AU28" s="393"/>
      <c r="AV28" s="393"/>
      <c r="AW28" s="393"/>
      <c r="AX28" s="393"/>
      <c r="AY28" s="393"/>
      <c r="AZ28" s="393"/>
      <c r="BA28" s="393"/>
      <c r="BB28" s="393"/>
      <c r="BC28" s="393"/>
      <c r="BD28" s="393"/>
      <c r="BE28" s="393"/>
      <c r="BF28" s="393"/>
      <c r="BG28" s="393"/>
      <c r="BH28" s="393"/>
      <c r="BI28" s="393"/>
      <c r="BJ28" s="393"/>
      <c r="BK28" s="393"/>
      <c r="BL28" s="393"/>
      <c r="BM28" s="393"/>
      <c r="BN28" s="393"/>
      <c r="BO28" s="393"/>
      <c r="BP28" s="393"/>
      <c r="BQ28" s="393"/>
      <c r="BR28" s="393"/>
      <c r="BS28" s="393"/>
      <c r="BT28" s="393"/>
      <c r="BU28" s="393"/>
      <c r="BV28" s="393"/>
      <c r="BW28" s="393"/>
      <c r="BX28" s="393"/>
      <c r="BY28" s="393"/>
      <c r="BZ28" s="393"/>
      <c r="CA28" s="393"/>
      <c r="CB28" s="393"/>
      <c r="CC28" s="393"/>
      <c r="CD28" s="393"/>
      <c r="CE28" s="393"/>
      <c r="CF28" s="393"/>
      <c r="CG28" s="393"/>
      <c r="CH28" s="393"/>
      <c r="CI28" s="393"/>
      <c r="CJ28" s="393"/>
      <c r="CK28" s="393"/>
      <c r="CL28" s="393"/>
      <c r="CM28" s="393"/>
      <c r="CN28" s="393"/>
      <c r="CO28" s="393"/>
      <c r="CP28" s="393"/>
      <c r="CQ28" s="393"/>
      <c r="CR28" s="393"/>
      <c r="CS28" s="393"/>
      <c r="CT28" s="393"/>
      <c r="CU28" s="393"/>
      <c r="CV28" s="393"/>
      <c r="CW28" s="393"/>
      <c r="CX28" s="393"/>
      <c r="CY28" s="393"/>
      <c r="CZ28" s="393"/>
      <c r="DA28" s="393"/>
      <c r="DB28" s="393"/>
      <c r="DC28" s="393"/>
      <c r="DD28" s="393"/>
      <c r="DE28" s="393"/>
      <c r="DF28" s="393"/>
      <c r="DG28" s="393"/>
      <c r="DH28" s="393"/>
      <c r="DI28" s="393"/>
      <c r="DJ28" s="393"/>
      <c r="DK28" s="393"/>
      <c r="DL28" s="393"/>
      <c r="DM28" s="393"/>
      <c r="DN28" s="393"/>
      <c r="DO28" s="393"/>
      <c r="DP28" s="393"/>
      <c r="DQ28" s="393"/>
      <c r="DR28" s="393"/>
      <c r="DS28" s="393"/>
      <c r="DT28" s="393"/>
      <c r="DU28" s="393"/>
      <c r="DV28" s="393"/>
      <c r="DW28" s="393"/>
      <c r="DX28" s="393"/>
      <c r="DY28" s="393"/>
      <c r="DZ28" s="393"/>
      <c r="EA28" s="393"/>
      <c r="EB28" s="393"/>
      <c r="EC28" s="393"/>
      <c r="ED28" s="393"/>
      <c r="EE28" s="393"/>
      <c r="EF28" s="393"/>
      <c r="EG28" s="393"/>
      <c r="EH28" s="393"/>
      <c r="EI28" s="393"/>
      <c r="EJ28" s="393"/>
      <c r="EK28" s="393"/>
      <c r="EL28" s="393"/>
      <c r="EM28" s="393"/>
      <c r="EN28" s="393"/>
      <c r="EO28" s="393"/>
      <c r="EP28" s="393"/>
      <c r="EQ28" s="393"/>
      <c r="ER28" s="393"/>
      <c r="ES28" s="393"/>
      <c r="ET28" s="393"/>
      <c r="EU28" s="393"/>
      <c r="EV28" s="393"/>
      <c r="EW28" s="393"/>
      <c r="EX28" s="393"/>
      <c r="EY28" s="393"/>
      <c r="EZ28" s="393"/>
      <c r="FA28" s="393"/>
      <c r="FB28" s="393"/>
      <c r="FC28" s="393"/>
      <c r="FD28" s="393"/>
      <c r="FE28" s="393"/>
      <c r="FF28" s="393"/>
      <c r="FG28" s="393"/>
      <c r="FH28" s="393"/>
      <c r="FI28" s="393"/>
      <c r="FJ28" s="393"/>
      <c r="FK28" s="393"/>
      <c r="FL28" s="393"/>
      <c r="FM28" s="393"/>
      <c r="FN28" s="393"/>
      <c r="FO28" s="393"/>
      <c r="FP28" s="393"/>
      <c r="FQ28" s="393"/>
      <c r="FR28" s="393"/>
      <c r="FS28" s="393"/>
      <c r="FT28" s="393"/>
      <c r="FU28" s="393"/>
      <c r="FV28" s="393"/>
      <c r="FW28" s="393"/>
      <c r="FX28" s="393"/>
      <c r="FY28" s="393"/>
      <c r="FZ28" s="393"/>
      <c r="GA28" s="393"/>
      <c r="GB28" s="393"/>
      <c r="GC28" s="393"/>
      <c r="GD28" s="393"/>
      <c r="GE28" s="393"/>
      <c r="GF28" s="393"/>
      <c r="GG28" s="393"/>
      <c r="GH28" s="393"/>
      <c r="GI28" s="393"/>
      <c r="GJ28" s="393"/>
      <c r="GK28" s="393"/>
      <c r="GL28" s="393"/>
      <c r="GM28" s="393"/>
      <c r="GN28" s="393"/>
      <c r="GO28" s="393"/>
      <c r="GP28" s="393"/>
      <c r="GQ28" s="393"/>
      <c r="GR28" s="393"/>
      <c r="GS28" s="393"/>
      <c r="GT28" s="393"/>
      <c r="GU28" s="393"/>
      <c r="GV28" s="393"/>
      <c r="GW28" s="393"/>
      <c r="GX28" s="393"/>
      <c r="GY28" s="393"/>
      <c r="GZ28" s="393"/>
      <c r="HA28" s="393"/>
      <c r="HB28" s="393"/>
      <c r="HC28" s="393"/>
      <c r="HD28" s="393"/>
      <c r="HE28" s="393"/>
      <c r="HF28" s="393"/>
      <c r="HG28" s="393"/>
      <c r="HH28" s="393"/>
      <c r="HI28" s="393"/>
      <c r="HJ28" s="393"/>
      <c r="HK28" s="393"/>
      <c r="HL28" s="393"/>
      <c r="HM28" s="393"/>
      <c r="HN28" s="393"/>
      <c r="HO28" s="393"/>
      <c r="HP28" s="393"/>
      <c r="HQ28" s="393"/>
      <c r="HR28" s="393"/>
      <c r="HS28" s="393"/>
      <c r="HT28" s="393"/>
      <c r="HU28" s="393"/>
      <c r="HV28" s="393"/>
      <c r="HW28" s="393"/>
      <c r="HX28" s="393"/>
      <c r="HY28" s="393"/>
      <c r="HZ28" s="393"/>
      <c r="IA28" s="393"/>
      <c r="IB28" s="393"/>
      <c r="IC28" s="393"/>
      <c r="ID28" s="393"/>
      <c r="IE28" s="393"/>
      <c r="IF28" s="393"/>
      <c r="IG28" s="393"/>
      <c r="IH28" s="393"/>
      <c r="II28" s="393"/>
      <c r="IJ28" s="393"/>
      <c r="IK28" s="393"/>
      <c r="IL28" s="393"/>
      <c r="IM28" s="393"/>
      <c r="IN28" s="393"/>
      <c r="IO28" s="393"/>
      <c r="IP28" s="393"/>
      <c r="IQ28" s="393"/>
      <c r="IR28" s="393"/>
    </row>
    <row r="29" spans="2:252" s="62" customFormat="1" ht="25.15" customHeight="1" x14ac:dyDescent="0.25">
      <c r="B29" s="86" t="s">
        <v>137</v>
      </c>
      <c r="C29" s="58"/>
      <c r="D29" s="199">
        <v>1</v>
      </c>
      <c r="E29" s="188"/>
      <c r="F29" s="188"/>
      <c r="G29" s="58"/>
      <c r="H29" s="58"/>
      <c r="I29" s="58"/>
      <c r="J29" s="59"/>
      <c r="K29" s="60"/>
      <c r="L29" s="58"/>
      <c r="M29" s="58"/>
      <c r="N29" s="61"/>
      <c r="V29" s="393"/>
      <c r="W29" s="393"/>
      <c r="X29" s="393"/>
      <c r="Y29" s="393"/>
      <c r="Z29" s="393"/>
      <c r="AA29" s="393"/>
      <c r="AB29" s="393"/>
      <c r="AC29" s="393"/>
      <c r="AD29" s="393"/>
      <c r="AE29" s="393"/>
      <c r="AF29" s="393"/>
      <c r="AG29" s="393"/>
      <c r="AH29" s="393"/>
      <c r="AI29" s="393"/>
      <c r="AJ29" s="393"/>
      <c r="AK29" s="393"/>
      <c r="AL29" s="393"/>
      <c r="AM29" s="393"/>
      <c r="AN29" s="393"/>
      <c r="AO29" s="393"/>
      <c r="AP29" s="393"/>
      <c r="AQ29" s="393"/>
      <c r="AR29" s="393"/>
      <c r="AS29" s="393"/>
      <c r="AT29" s="393"/>
      <c r="AU29" s="393"/>
      <c r="AV29" s="393"/>
      <c r="AW29" s="393"/>
      <c r="AX29" s="393"/>
      <c r="AY29" s="393"/>
      <c r="AZ29" s="393"/>
      <c r="BA29" s="393"/>
      <c r="BB29" s="393"/>
      <c r="BC29" s="393"/>
      <c r="BD29" s="393"/>
      <c r="BE29" s="393"/>
      <c r="BF29" s="393"/>
      <c r="BG29" s="393"/>
      <c r="BH29" s="393"/>
      <c r="BI29" s="393"/>
      <c r="BJ29" s="393"/>
      <c r="BK29" s="393"/>
      <c r="BL29" s="393"/>
      <c r="BM29" s="393"/>
      <c r="BN29" s="393"/>
      <c r="BO29" s="393"/>
      <c r="BP29" s="393"/>
      <c r="BQ29" s="393"/>
      <c r="BR29" s="393"/>
      <c r="BS29" s="393"/>
      <c r="BT29" s="393"/>
      <c r="BU29" s="393"/>
      <c r="BV29" s="393"/>
      <c r="BW29" s="393"/>
      <c r="BX29" s="393"/>
      <c r="BY29" s="393"/>
      <c r="BZ29" s="393"/>
      <c r="CA29" s="393"/>
      <c r="CB29" s="393"/>
      <c r="CC29" s="393"/>
      <c r="CD29" s="393"/>
      <c r="CE29" s="393"/>
      <c r="CF29" s="393"/>
      <c r="CG29" s="393"/>
      <c r="CH29" s="393"/>
      <c r="CI29" s="393"/>
      <c r="CJ29" s="393"/>
      <c r="CK29" s="393"/>
      <c r="CL29" s="393"/>
      <c r="CM29" s="393"/>
      <c r="CN29" s="393"/>
      <c r="CO29" s="393"/>
      <c r="CP29" s="393"/>
      <c r="CQ29" s="393"/>
      <c r="CR29" s="393"/>
      <c r="CS29" s="393"/>
      <c r="CT29" s="393"/>
      <c r="CU29" s="393"/>
      <c r="CV29" s="393"/>
      <c r="CW29" s="393"/>
      <c r="CX29" s="393"/>
      <c r="CY29" s="393"/>
      <c r="CZ29" s="393"/>
      <c r="DA29" s="393"/>
      <c r="DB29" s="393"/>
      <c r="DC29" s="393"/>
      <c r="DD29" s="393"/>
      <c r="DE29" s="393"/>
      <c r="DF29" s="393"/>
      <c r="DG29" s="393"/>
      <c r="DH29" s="393"/>
      <c r="DI29" s="393"/>
      <c r="DJ29" s="393"/>
      <c r="DK29" s="393"/>
      <c r="DL29" s="393"/>
      <c r="DM29" s="393"/>
      <c r="DN29" s="393"/>
      <c r="DO29" s="393"/>
      <c r="DP29" s="393"/>
      <c r="DQ29" s="393"/>
      <c r="DR29" s="393"/>
      <c r="DS29" s="393"/>
      <c r="DT29" s="393"/>
      <c r="DU29" s="393"/>
      <c r="DV29" s="393"/>
      <c r="DW29" s="393"/>
      <c r="DX29" s="393"/>
      <c r="DY29" s="393"/>
      <c r="DZ29" s="393"/>
      <c r="EA29" s="393"/>
      <c r="EB29" s="393"/>
      <c r="EC29" s="393"/>
      <c r="ED29" s="393"/>
      <c r="EE29" s="393"/>
      <c r="EF29" s="393"/>
      <c r="EG29" s="393"/>
      <c r="EH29" s="393"/>
      <c r="EI29" s="393"/>
      <c r="EJ29" s="393"/>
      <c r="EK29" s="393"/>
      <c r="EL29" s="393"/>
      <c r="EM29" s="393"/>
      <c r="EN29" s="393"/>
      <c r="EO29" s="393"/>
      <c r="EP29" s="393"/>
      <c r="EQ29" s="393"/>
      <c r="ER29" s="393"/>
      <c r="ES29" s="393"/>
      <c r="ET29" s="393"/>
      <c r="EU29" s="393"/>
      <c r="EV29" s="393"/>
      <c r="EW29" s="393"/>
      <c r="EX29" s="393"/>
      <c r="EY29" s="393"/>
      <c r="EZ29" s="393"/>
      <c r="FA29" s="393"/>
      <c r="FB29" s="393"/>
      <c r="FC29" s="393"/>
      <c r="FD29" s="393"/>
      <c r="FE29" s="393"/>
      <c r="FF29" s="393"/>
      <c r="FG29" s="393"/>
      <c r="FH29" s="393"/>
      <c r="FI29" s="393"/>
      <c r="FJ29" s="393"/>
      <c r="FK29" s="393"/>
      <c r="FL29" s="393"/>
      <c r="FM29" s="393"/>
      <c r="FN29" s="393"/>
      <c r="FO29" s="393"/>
      <c r="FP29" s="393"/>
      <c r="FQ29" s="393"/>
      <c r="FR29" s="393"/>
      <c r="FS29" s="393"/>
      <c r="FT29" s="393"/>
      <c r="FU29" s="393"/>
      <c r="FV29" s="393"/>
      <c r="FW29" s="393"/>
      <c r="FX29" s="393"/>
      <c r="FY29" s="393"/>
      <c r="FZ29" s="393"/>
      <c r="GA29" s="393"/>
      <c r="GB29" s="393"/>
      <c r="GC29" s="393"/>
      <c r="GD29" s="393"/>
      <c r="GE29" s="393"/>
      <c r="GF29" s="393"/>
      <c r="GG29" s="393"/>
      <c r="GH29" s="393"/>
      <c r="GI29" s="393"/>
      <c r="GJ29" s="393"/>
      <c r="GK29" s="393"/>
      <c r="GL29" s="393"/>
      <c r="GM29" s="393"/>
      <c r="GN29" s="393"/>
      <c r="GO29" s="393"/>
      <c r="GP29" s="393"/>
      <c r="GQ29" s="393"/>
      <c r="GR29" s="393"/>
      <c r="GS29" s="393"/>
      <c r="GT29" s="393"/>
      <c r="GU29" s="393"/>
      <c r="GV29" s="393"/>
      <c r="GW29" s="393"/>
      <c r="GX29" s="393"/>
      <c r="GY29" s="393"/>
      <c r="GZ29" s="393"/>
      <c r="HA29" s="393"/>
      <c r="HB29" s="393"/>
      <c r="HC29" s="393"/>
      <c r="HD29" s="393"/>
      <c r="HE29" s="393"/>
      <c r="HF29" s="393"/>
      <c r="HG29" s="393"/>
      <c r="HH29" s="393"/>
      <c r="HI29" s="393"/>
      <c r="HJ29" s="393"/>
      <c r="HK29" s="393"/>
      <c r="HL29" s="393"/>
      <c r="HM29" s="393"/>
      <c r="HN29" s="393"/>
      <c r="HO29" s="393"/>
      <c r="HP29" s="393"/>
      <c r="HQ29" s="393"/>
      <c r="HR29" s="393"/>
      <c r="HS29" s="393"/>
      <c r="HT29" s="393"/>
      <c r="HU29" s="393"/>
      <c r="HV29" s="393"/>
      <c r="HW29" s="393"/>
      <c r="HX29" s="393"/>
      <c r="HY29" s="393"/>
      <c r="HZ29" s="393"/>
      <c r="IA29" s="393"/>
      <c r="IB29" s="393"/>
      <c r="IC29" s="393"/>
      <c r="ID29" s="393"/>
      <c r="IE29" s="393"/>
      <c r="IF29" s="393"/>
      <c r="IG29" s="393"/>
      <c r="IH29" s="393"/>
      <c r="II29" s="393"/>
      <c r="IJ29" s="393"/>
      <c r="IK29" s="393"/>
      <c r="IL29" s="393"/>
      <c r="IM29" s="393"/>
      <c r="IN29" s="393"/>
      <c r="IO29" s="393"/>
      <c r="IP29" s="393"/>
      <c r="IQ29" s="393"/>
      <c r="IR29" s="393"/>
    </row>
    <row r="30" spans="2:252" s="62" customFormat="1" ht="25.15" customHeight="1" x14ac:dyDescent="0.25">
      <c r="B30" s="86" t="s">
        <v>113</v>
      </c>
      <c r="C30" s="58"/>
      <c r="D30" s="58">
        <v>3</v>
      </c>
      <c r="E30" s="188"/>
      <c r="F30" s="188"/>
      <c r="G30" s="58"/>
      <c r="H30" s="58"/>
      <c r="I30" s="58"/>
      <c r="J30" s="59"/>
      <c r="K30" s="60"/>
      <c r="L30" s="58"/>
      <c r="M30" s="58"/>
      <c r="N30" s="61"/>
      <c r="V30" s="393"/>
      <c r="W30" s="393"/>
      <c r="X30" s="393"/>
      <c r="Y30" s="393"/>
      <c r="Z30" s="393"/>
      <c r="AA30" s="393"/>
      <c r="AB30" s="393"/>
      <c r="AC30" s="393"/>
      <c r="AD30" s="393"/>
      <c r="AE30" s="393"/>
      <c r="AF30" s="393"/>
      <c r="AG30" s="393"/>
      <c r="AH30" s="393"/>
      <c r="AI30" s="393"/>
      <c r="AJ30" s="393"/>
      <c r="AK30" s="393"/>
      <c r="AL30" s="393"/>
      <c r="AM30" s="393"/>
      <c r="AN30" s="393"/>
      <c r="AO30" s="393"/>
      <c r="AP30" s="393"/>
      <c r="AQ30" s="393"/>
      <c r="AR30" s="393"/>
      <c r="AS30" s="393"/>
      <c r="AT30" s="393"/>
      <c r="AU30" s="393"/>
      <c r="AV30" s="393"/>
      <c r="AW30" s="393"/>
      <c r="AX30" s="393"/>
      <c r="AY30" s="393"/>
      <c r="AZ30" s="393"/>
      <c r="BA30" s="393"/>
      <c r="BB30" s="393"/>
      <c r="BC30" s="393"/>
      <c r="BD30" s="393"/>
      <c r="BE30" s="393"/>
      <c r="BF30" s="393"/>
      <c r="BG30" s="393"/>
      <c r="BH30" s="393"/>
      <c r="BI30" s="393"/>
      <c r="BJ30" s="393"/>
      <c r="BK30" s="393"/>
      <c r="BL30" s="393"/>
      <c r="BM30" s="393"/>
      <c r="BN30" s="393"/>
      <c r="BO30" s="393"/>
      <c r="BP30" s="393"/>
      <c r="BQ30" s="393"/>
      <c r="BR30" s="393"/>
      <c r="BS30" s="393"/>
      <c r="BT30" s="393"/>
      <c r="BU30" s="393"/>
      <c r="BV30" s="393"/>
      <c r="BW30" s="393"/>
      <c r="BX30" s="393"/>
      <c r="BY30" s="393"/>
      <c r="BZ30" s="393"/>
      <c r="CA30" s="393"/>
      <c r="CB30" s="393"/>
      <c r="CC30" s="393"/>
      <c r="CD30" s="393"/>
      <c r="CE30" s="393"/>
      <c r="CF30" s="393"/>
      <c r="CG30" s="393"/>
      <c r="CH30" s="393"/>
      <c r="CI30" s="393"/>
      <c r="CJ30" s="393"/>
      <c r="CK30" s="393"/>
      <c r="CL30" s="393"/>
      <c r="CM30" s="393"/>
      <c r="CN30" s="393"/>
      <c r="CO30" s="393"/>
      <c r="CP30" s="393"/>
      <c r="CQ30" s="393"/>
      <c r="CR30" s="393"/>
      <c r="CS30" s="393"/>
      <c r="CT30" s="393"/>
      <c r="CU30" s="393"/>
      <c r="CV30" s="393"/>
      <c r="CW30" s="393"/>
      <c r="CX30" s="393"/>
      <c r="CY30" s="393"/>
      <c r="CZ30" s="393"/>
      <c r="DA30" s="393"/>
      <c r="DB30" s="393"/>
      <c r="DC30" s="393"/>
      <c r="DD30" s="393"/>
      <c r="DE30" s="393"/>
      <c r="DF30" s="393"/>
      <c r="DG30" s="393"/>
      <c r="DH30" s="393"/>
      <c r="DI30" s="393"/>
      <c r="DJ30" s="393"/>
      <c r="DK30" s="393"/>
      <c r="DL30" s="393"/>
      <c r="DM30" s="393"/>
      <c r="DN30" s="393"/>
      <c r="DO30" s="393"/>
      <c r="DP30" s="393"/>
      <c r="DQ30" s="393"/>
      <c r="DR30" s="393"/>
      <c r="DS30" s="393"/>
      <c r="DT30" s="393"/>
      <c r="DU30" s="393"/>
      <c r="DV30" s="393"/>
      <c r="DW30" s="393"/>
      <c r="DX30" s="393"/>
      <c r="DY30" s="393"/>
      <c r="DZ30" s="393"/>
      <c r="EA30" s="393"/>
      <c r="EB30" s="393"/>
      <c r="EC30" s="393"/>
      <c r="ED30" s="393"/>
      <c r="EE30" s="393"/>
      <c r="EF30" s="393"/>
      <c r="EG30" s="393"/>
      <c r="EH30" s="393"/>
      <c r="EI30" s="393"/>
      <c r="EJ30" s="393"/>
      <c r="EK30" s="393"/>
      <c r="EL30" s="393"/>
      <c r="EM30" s="393"/>
      <c r="EN30" s="393"/>
      <c r="EO30" s="393"/>
      <c r="EP30" s="393"/>
      <c r="EQ30" s="393"/>
      <c r="ER30" s="393"/>
      <c r="ES30" s="393"/>
      <c r="ET30" s="393"/>
      <c r="EU30" s="393"/>
      <c r="EV30" s="393"/>
      <c r="EW30" s="393"/>
      <c r="EX30" s="393"/>
      <c r="EY30" s="393"/>
      <c r="EZ30" s="393"/>
      <c r="FA30" s="393"/>
      <c r="FB30" s="393"/>
      <c r="FC30" s="393"/>
      <c r="FD30" s="393"/>
      <c r="FE30" s="393"/>
      <c r="FF30" s="393"/>
      <c r="FG30" s="393"/>
      <c r="FH30" s="393"/>
      <c r="FI30" s="393"/>
      <c r="FJ30" s="393"/>
      <c r="FK30" s="393"/>
      <c r="FL30" s="393"/>
      <c r="FM30" s="393"/>
      <c r="FN30" s="393"/>
      <c r="FO30" s="393"/>
      <c r="FP30" s="393"/>
      <c r="FQ30" s="393"/>
      <c r="FR30" s="393"/>
      <c r="FS30" s="393"/>
      <c r="FT30" s="393"/>
      <c r="FU30" s="393"/>
      <c r="FV30" s="393"/>
      <c r="FW30" s="393"/>
      <c r="FX30" s="393"/>
      <c r="FY30" s="393"/>
      <c r="FZ30" s="393"/>
      <c r="GA30" s="393"/>
      <c r="GB30" s="393"/>
      <c r="GC30" s="393"/>
      <c r="GD30" s="393"/>
      <c r="GE30" s="393"/>
      <c r="GF30" s="393"/>
      <c r="GG30" s="393"/>
      <c r="GH30" s="393"/>
      <c r="GI30" s="393"/>
      <c r="GJ30" s="393"/>
      <c r="GK30" s="393"/>
      <c r="GL30" s="393"/>
      <c r="GM30" s="393"/>
      <c r="GN30" s="393"/>
      <c r="GO30" s="393"/>
      <c r="GP30" s="393"/>
      <c r="GQ30" s="393"/>
      <c r="GR30" s="393"/>
      <c r="GS30" s="393"/>
      <c r="GT30" s="393"/>
      <c r="GU30" s="393"/>
      <c r="GV30" s="393"/>
      <c r="GW30" s="393"/>
      <c r="GX30" s="393"/>
      <c r="GY30" s="393"/>
      <c r="GZ30" s="393"/>
      <c r="HA30" s="393"/>
      <c r="HB30" s="393"/>
      <c r="HC30" s="393"/>
      <c r="HD30" s="393"/>
      <c r="HE30" s="393"/>
      <c r="HF30" s="393"/>
      <c r="HG30" s="393"/>
      <c r="HH30" s="393"/>
      <c r="HI30" s="393"/>
      <c r="HJ30" s="393"/>
      <c r="HK30" s="393"/>
      <c r="HL30" s="393"/>
      <c r="HM30" s="393"/>
      <c r="HN30" s="393"/>
      <c r="HO30" s="393"/>
      <c r="HP30" s="393"/>
      <c r="HQ30" s="393"/>
      <c r="HR30" s="393"/>
      <c r="HS30" s="393"/>
      <c r="HT30" s="393"/>
      <c r="HU30" s="393"/>
      <c r="HV30" s="393"/>
      <c r="HW30" s="393"/>
      <c r="HX30" s="393"/>
      <c r="HY30" s="393"/>
      <c r="HZ30" s="393"/>
      <c r="IA30" s="393"/>
      <c r="IB30" s="393"/>
      <c r="IC30" s="393"/>
      <c r="ID30" s="393"/>
      <c r="IE30" s="393"/>
      <c r="IF30" s="393"/>
      <c r="IG30" s="393"/>
      <c r="IH30" s="393"/>
      <c r="II30" s="393"/>
      <c r="IJ30" s="393"/>
      <c r="IK30" s="393"/>
      <c r="IL30" s="393"/>
      <c r="IM30" s="393"/>
      <c r="IN30" s="393"/>
      <c r="IO30" s="393"/>
      <c r="IP30" s="393"/>
      <c r="IQ30" s="393"/>
      <c r="IR30" s="393"/>
    </row>
    <row r="31" spans="2:252" s="62" customFormat="1" ht="25.15" customHeight="1" x14ac:dyDescent="0.25">
      <c r="B31" s="86" t="s">
        <v>138</v>
      </c>
      <c r="C31" s="58"/>
      <c r="D31" s="58">
        <v>0</v>
      </c>
      <c r="E31" s="188"/>
      <c r="F31" s="188"/>
      <c r="G31" s="58"/>
      <c r="H31" s="58"/>
      <c r="I31" s="58"/>
      <c r="J31" s="59"/>
      <c r="K31" s="60"/>
      <c r="L31" s="58"/>
      <c r="M31" s="58"/>
      <c r="N31" s="61"/>
      <c r="V31" s="393"/>
      <c r="W31" s="393"/>
      <c r="X31" s="393"/>
      <c r="Y31" s="393"/>
      <c r="Z31" s="393"/>
      <c r="AA31" s="393"/>
      <c r="AB31" s="393"/>
      <c r="AC31" s="393"/>
      <c r="AD31" s="393"/>
      <c r="AE31" s="393"/>
      <c r="AF31" s="393"/>
      <c r="AG31" s="393"/>
      <c r="AH31" s="393"/>
      <c r="AI31" s="393"/>
      <c r="AJ31" s="393"/>
      <c r="AK31" s="393"/>
      <c r="AL31" s="393"/>
      <c r="AM31" s="393"/>
      <c r="AN31" s="393"/>
      <c r="AO31" s="393"/>
      <c r="AP31" s="393"/>
      <c r="AQ31" s="393"/>
      <c r="AR31" s="393"/>
      <c r="AS31" s="393"/>
      <c r="AT31" s="393"/>
      <c r="AU31" s="393"/>
      <c r="AV31" s="393"/>
      <c r="AW31" s="393"/>
      <c r="AX31" s="393"/>
      <c r="AY31" s="393"/>
      <c r="AZ31" s="393"/>
      <c r="BA31" s="393"/>
      <c r="BB31" s="393"/>
      <c r="BC31" s="393"/>
      <c r="BD31" s="393"/>
      <c r="BE31" s="393"/>
      <c r="BF31" s="393"/>
      <c r="BG31" s="393"/>
      <c r="BH31" s="393"/>
      <c r="BI31" s="393"/>
      <c r="BJ31" s="393"/>
      <c r="BK31" s="393"/>
      <c r="BL31" s="393"/>
      <c r="BM31" s="393"/>
      <c r="BN31" s="393"/>
      <c r="BO31" s="393"/>
      <c r="BP31" s="393"/>
      <c r="BQ31" s="393"/>
      <c r="BR31" s="393"/>
      <c r="BS31" s="393"/>
      <c r="BT31" s="393"/>
      <c r="BU31" s="393"/>
      <c r="BV31" s="393"/>
      <c r="BW31" s="393"/>
      <c r="BX31" s="393"/>
      <c r="BY31" s="393"/>
      <c r="BZ31" s="393"/>
      <c r="CA31" s="393"/>
      <c r="CB31" s="393"/>
      <c r="CC31" s="393"/>
      <c r="CD31" s="393"/>
      <c r="CE31" s="393"/>
      <c r="CF31" s="393"/>
      <c r="CG31" s="393"/>
      <c r="CH31" s="393"/>
      <c r="CI31" s="393"/>
      <c r="CJ31" s="393"/>
      <c r="CK31" s="393"/>
      <c r="CL31" s="393"/>
      <c r="CM31" s="393"/>
      <c r="CN31" s="393"/>
      <c r="CO31" s="393"/>
      <c r="CP31" s="393"/>
      <c r="CQ31" s="393"/>
      <c r="CR31" s="393"/>
      <c r="CS31" s="393"/>
      <c r="CT31" s="393"/>
      <c r="CU31" s="393"/>
      <c r="CV31" s="393"/>
      <c r="CW31" s="393"/>
      <c r="CX31" s="393"/>
      <c r="CY31" s="393"/>
      <c r="CZ31" s="393"/>
      <c r="DA31" s="393"/>
      <c r="DB31" s="393"/>
      <c r="DC31" s="393"/>
      <c r="DD31" s="393"/>
      <c r="DE31" s="393"/>
      <c r="DF31" s="393"/>
      <c r="DG31" s="393"/>
      <c r="DH31" s="393"/>
      <c r="DI31" s="393"/>
      <c r="DJ31" s="393"/>
      <c r="DK31" s="393"/>
      <c r="DL31" s="393"/>
      <c r="DM31" s="393"/>
      <c r="DN31" s="393"/>
      <c r="DO31" s="393"/>
      <c r="DP31" s="393"/>
      <c r="DQ31" s="393"/>
      <c r="DR31" s="393"/>
      <c r="DS31" s="393"/>
      <c r="DT31" s="393"/>
      <c r="DU31" s="393"/>
      <c r="DV31" s="393"/>
      <c r="DW31" s="393"/>
      <c r="DX31" s="393"/>
      <c r="DY31" s="393"/>
      <c r="DZ31" s="393"/>
      <c r="EA31" s="393"/>
      <c r="EB31" s="393"/>
      <c r="EC31" s="393"/>
      <c r="ED31" s="393"/>
      <c r="EE31" s="393"/>
      <c r="EF31" s="393"/>
      <c r="EG31" s="393"/>
      <c r="EH31" s="393"/>
      <c r="EI31" s="393"/>
      <c r="EJ31" s="393"/>
      <c r="EK31" s="393"/>
      <c r="EL31" s="393"/>
      <c r="EM31" s="393"/>
      <c r="EN31" s="393"/>
      <c r="EO31" s="393"/>
      <c r="EP31" s="393"/>
      <c r="EQ31" s="393"/>
      <c r="ER31" s="393"/>
      <c r="ES31" s="393"/>
      <c r="ET31" s="393"/>
      <c r="EU31" s="393"/>
      <c r="EV31" s="393"/>
      <c r="EW31" s="393"/>
      <c r="EX31" s="393"/>
      <c r="EY31" s="393"/>
      <c r="EZ31" s="393"/>
      <c r="FA31" s="393"/>
      <c r="FB31" s="393"/>
      <c r="FC31" s="393"/>
      <c r="FD31" s="393"/>
      <c r="FE31" s="393"/>
      <c r="FF31" s="393"/>
      <c r="FG31" s="393"/>
      <c r="FH31" s="393"/>
      <c r="FI31" s="393"/>
      <c r="FJ31" s="393"/>
      <c r="FK31" s="393"/>
      <c r="FL31" s="393"/>
      <c r="FM31" s="393"/>
      <c r="FN31" s="393"/>
      <c r="FO31" s="393"/>
      <c r="FP31" s="393"/>
      <c r="FQ31" s="393"/>
      <c r="FR31" s="393"/>
      <c r="FS31" s="393"/>
      <c r="FT31" s="393"/>
      <c r="FU31" s="393"/>
      <c r="FV31" s="393"/>
      <c r="FW31" s="393"/>
      <c r="FX31" s="393"/>
      <c r="FY31" s="393"/>
      <c r="FZ31" s="393"/>
      <c r="GA31" s="393"/>
      <c r="GB31" s="393"/>
      <c r="GC31" s="393"/>
      <c r="GD31" s="393"/>
      <c r="GE31" s="393"/>
      <c r="GF31" s="393"/>
      <c r="GG31" s="393"/>
      <c r="GH31" s="393"/>
      <c r="GI31" s="393"/>
      <c r="GJ31" s="393"/>
      <c r="GK31" s="393"/>
      <c r="GL31" s="393"/>
      <c r="GM31" s="393"/>
      <c r="GN31" s="393"/>
      <c r="GO31" s="393"/>
      <c r="GP31" s="393"/>
      <c r="GQ31" s="393"/>
      <c r="GR31" s="393"/>
      <c r="GS31" s="393"/>
      <c r="GT31" s="393"/>
      <c r="GU31" s="393"/>
      <c r="GV31" s="393"/>
      <c r="GW31" s="393"/>
      <c r="GX31" s="393"/>
      <c r="GY31" s="393"/>
      <c r="GZ31" s="393"/>
      <c r="HA31" s="393"/>
      <c r="HB31" s="393"/>
      <c r="HC31" s="393"/>
      <c r="HD31" s="393"/>
      <c r="HE31" s="393"/>
      <c r="HF31" s="393"/>
      <c r="HG31" s="393"/>
      <c r="HH31" s="393"/>
      <c r="HI31" s="393"/>
      <c r="HJ31" s="393"/>
      <c r="HK31" s="393"/>
      <c r="HL31" s="393"/>
      <c r="HM31" s="393"/>
      <c r="HN31" s="393"/>
      <c r="HO31" s="393"/>
      <c r="HP31" s="393"/>
      <c r="HQ31" s="393"/>
      <c r="HR31" s="393"/>
      <c r="HS31" s="393"/>
      <c r="HT31" s="393"/>
      <c r="HU31" s="393"/>
      <c r="HV31" s="393"/>
      <c r="HW31" s="393"/>
      <c r="HX31" s="393"/>
      <c r="HY31" s="393"/>
      <c r="HZ31" s="393"/>
      <c r="IA31" s="393"/>
      <c r="IB31" s="393"/>
      <c r="IC31" s="393"/>
      <c r="ID31" s="393"/>
      <c r="IE31" s="393"/>
      <c r="IF31" s="393"/>
      <c r="IG31" s="393"/>
      <c r="IH31" s="393"/>
      <c r="II31" s="393"/>
      <c r="IJ31" s="393"/>
      <c r="IK31" s="393"/>
      <c r="IL31" s="393"/>
      <c r="IM31" s="393"/>
      <c r="IN31" s="393"/>
      <c r="IO31" s="393"/>
      <c r="IP31" s="393"/>
      <c r="IQ31" s="393"/>
      <c r="IR31" s="393"/>
    </row>
    <row r="32" spans="2:252" s="62" customFormat="1" ht="25.15" customHeight="1" x14ac:dyDescent="0.25">
      <c r="B32" s="86"/>
      <c r="C32" s="58"/>
      <c r="D32" s="58"/>
      <c r="E32" s="188"/>
      <c r="F32" s="188"/>
      <c r="G32" s="58"/>
      <c r="H32" s="58"/>
      <c r="I32" s="58"/>
      <c r="J32" s="59"/>
      <c r="K32" s="60"/>
      <c r="L32" s="58"/>
      <c r="M32" s="58"/>
      <c r="N32" s="61"/>
      <c r="V32" s="393"/>
      <c r="W32" s="393"/>
      <c r="X32" s="393"/>
      <c r="Y32" s="393"/>
      <c r="Z32" s="393"/>
      <c r="AA32" s="393"/>
      <c r="AB32" s="393"/>
      <c r="AC32" s="393"/>
      <c r="AD32" s="393"/>
      <c r="AE32" s="393"/>
      <c r="AF32" s="393"/>
      <c r="AG32" s="393"/>
      <c r="AH32" s="393"/>
      <c r="AI32" s="393"/>
      <c r="AJ32" s="393"/>
      <c r="AK32" s="393"/>
      <c r="AL32" s="393"/>
      <c r="AM32" s="393"/>
      <c r="AN32" s="393"/>
      <c r="AO32" s="393"/>
      <c r="AP32" s="393"/>
      <c r="AQ32" s="393"/>
      <c r="AR32" s="393"/>
      <c r="AS32" s="393"/>
      <c r="AT32" s="393"/>
      <c r="AU32" s="393"/>
      <c r="AV32" s="393"/>
      <c r="AW32" s="393"/>
      <c r="AX32" s="393"/>
      <c r="AY32" s="393"/>
      <c r="AZ32" s="393"/>
      <c r="BA32" s="393"/>
      <c r="BB32" s="393"/>
      <c r="BC32" s="393"/>
      <c r="BD32" s="393"/>
      <c r="BE32" s="393"/>
      <c r="BF32" s="393"/>
      <c r="BG32" s="393"/>
      <c r="BH32" s="393"/>
      <c r="BI32" s="393"/>
      <c r="BJ32" s="393"/>
      <c r="BK32" s="393"/>
      <c r="BL32" s="393"/>
      <c r="BM32" s="393"/>
      <c r="BN32" s="393"/>
      <c r="BO32" s="393"/>
      <c r="BP32" s="393"/>
      <c r="BQ32" s="393"/>
      <c r="BR32" s="393"/>
      <c r="BS32" s="393"/>
      <c r="BT32" s="393"/>
      <c r="BU32" s="393"/>
      <c r="BV32" s="393"/>
      <c r="BW32" s="393"/>
      <c r="BX32" s="393"/>
      <c r="BY32" s="393"/>
      <c r="BZ32" s="393"/>
      <c r="CA32" s="393"/>
      <c r="CB32" s="393"/>
      <c r="CC32" s="393"/>
      <c r="CD32" s="393"/>
      <c r="CE32" s="393"/>
      <c r="CF32" s="393"/>
      <c r="CG32" s="393"/>
      <c r="CH32" s="393"/>
      <c r="CI32" s="393"/>
      <c r="CJ32" s="393"/>
      <c r="CK32" s="393"/>
      <c r="CL32" s="393"/>
      <c r="CM32" s="393"/>
      <c r="CN32" s="393"/>
      <c r="CO32" s="393"/>
      <c r="CP32" s="393"/>
      <c r="CQ32" s="393"/>
      <c r="CR32" s="393"/>
      <c r="CS32" s="393"/>
      <c r="CT32" s="393"/>
      <c r="CU32" s="393"/>
      <c r="CV32" s="393"/>
      <c r="CW32" s="393"/>
      <c r="CX32" s="393"/>
      <c r="CY32" s="393"/>
      <c r="CZ32" s="393"/>
      <c r="DA32" s="393"/>
      <c r="DB32" s="393"/>
      <c r="DC32" s="393"/>
      <c r="DD32" s="393"/>
      <c r="DE32" s="393"/>
      <c r="DF32" s="393"/>
      <c r="DG32" s="393"/>
      <c r="DH32" s="393"/>
      <c r="DI32" s="393"/>
      <c r="DJ32" s="393"/>
      <c r="DK32" s="393"/>
      <c r="DL32" s="393"/>
      <c r="DM32" s="393"/>
      <c r="DN32" s="393"/>
      <c r="DO32" s="393"/>
      <c r="DP32" s="393"/>
      <c r="DQ32" s="393"/>
      <c r="DR32" s="393"/>
      <c r="DS32" s="393"/>
      <c r="DT32" s="393"/>
      <c r="DU32" s="393"/>
      <c r="DV32" s="393"/>
      <c r="DW32" s="393"/>
      <c r="DX32" s="393"/>
      <c r="DY32" s="393"/>
      <c r="DZ32" s="393"/>
      <c r="EA32" s="393"/>
      <c r="EB32" s="393"/>
      <c r="EC32" s="393"/>
      <c r="ED32" s="393"/>
      <c r="EE32" s="393"/>
      <c r="EF32" s="393"/>
      <c r="EG32" s="393"/>
      <c r="EH32" s="393"/>
      <c r="EI32" s="393"/>
      <c r="EJ32" s="393"/>
      <c r="EK32" s="393"/>
      <c r="EL32" s="393"/>
      <c r="EM32" s="393"/>
      <c r="EN32" s="393"/>
      <c r="EO32" s="393"/>
      <c r="EP32" s="393"/>
      <c r="EQ32" s="393"/>
      <c r="ER32" s="393"/>
      <c r="ES32" s="393"/>
      <c r="ET32" s="393"/>
      <c r="EU32" s="393"/>
      <c r="EV32" s="393"/>
      <c r="EW32" s="393"/>
      <c r="EX32" s="393"/>
      <c r="EY32" s="393"/>
      <c r="EZ32" s="393"/>
      <c r="FA32" s="393"/>
      <c r="FB32" s="393"/>
      <c r="FC32" s="393"/>
      <c r="FD32" s="393"/>
      <c r="FE32" s="393"/>
      <c r="FF32" s="393"/>
      <c r="FG32" s="393"/>
      <c r="FH32" s="393"/>
      <c r="FI32" s="393"/>
      <c r="FJ32" s="393"/>
      <c r="FK32" s="393"/>
      <c r="FL32" s="393"/>
      <c r="FM32" s="393"/>
      <c r="FN32" s="393"/>
      <c r="FO32" s="393"/>
      <c r="FP32" s="393"/>
      <c r="FQ32" s="393"/>
      <c r="FR32" s="393"/>
      <c r="FS32" s="393"/>
      <c r="FT32" s="393"/>
      <c r="FU32" s="393"/>
      <c r="FV32" s="393"/>
      <c r="FW32" s="393"/>
      <c r="FX32" s="393"/>
      <c r="FY32" s="393"/>
      <c r="FZ32" s="393"/>
      <c r="GA32" s="393"/>
      <c r="GB32" s="393"/>
      <c r="GC32" s="393"/>
      <c r="GD32" s="393"/>
      <c r="GE32" s="393"/>
      <c r="GF32" s="393"/>
      <c r="GG32" s="393"/>
      <c r="GH32" s="393"/>
      <c r="GI32" s="393"/>
      <c r="GJ32" s="393"/>
      <c r="GK32" s="393"/>
      <c r="GL32" s="393"/>
      <c r="GM32" s="393"/>
      <c r="GN32" s="393"/>
      <c r="GO32" s="393"/>
      <c r="GP32" s="393"/>
      <c r="GQ32" s="393"/>
      <c r="GR32" s="393"/>
      <c r="GS32" s="393"/>
      <c r="GT32" s="393"/>
      <c r="GU32" s="393"/>
      <c r="GV32" s="393"/>
      <c r="GW32" s="393"/>
      <c r="GX32" s="393"/>
      <c r="GY32" s="393"/>
      <c r="GZ32" s="393"/>
      <c r="HA32" s="393"/>
      <c r="HB32" s="393"/>
      <c r="HC32" s="393"/>
      <c r="HD32" s="393"/>
      <c r="HE32" s="393"/>
      <c r="HF32" s="393"/>
      <c r="HG32" s="393"/>
      <c r="HH32" s="393"/>
      <c r="HI32" s="393"/>
      <c r="HJ32" s="393"/>
      <c r="HK32" s="393"/>
      <c r="HL32" s="393"/>
      <c r="HM32" s="393"/>
      <c r="HN32" s="393"/>
      <c r="HO32" s="393"/>
      <c r="HP32" s="393"/>
      <c r="HQ32" s="393"/>
      <c r="HR32" s="393"/>
      <c r="HS32" s="393"/>
      <c r="HT32" s="393"/>
      <c r="HU32" s="393"/>
      <c r="HV32" s="393"/>
      <c r="HW32" s="393"/>
      <c r="HX32" s="393"/>
      <c r="HY32" s="393"/>
      <c r="HZ32" s="393"/>
      <c r="IA32" s="393"/>
      <c r="IB32" s="393"/>
      <c r="IC32" s="393"/>
      <c r="ID32" s="393"/>
      <c r="IE32" s="393"/>
      <c r="IF32" s="393"/>
      <c r="IG32" s="393"/>
      <c r="IH32" s="393"/>
      <c r="II32" s="393"/>
      <c r="IJ32" s="393"/>
      <c r="IK32" s="393"/>
      <c r="IL32" s="393"/>
      <c r="IM32" s="393"/>
      <c r="IN32" s="393"/>
      <c r="IO32" s="393"/>
      <c r="IP32" s="393"/>
      <c r="IQ32" s="393"/>
      <c r="IR32" s="393"/>
    </row>
    <row r="33" spans="2:252" s="62" customFormat="1" ht="25.15" customHeight="1" x14ac:dyDescent="0.5">
      <c r="B33" s="242" t="s">
        <v>12</v>
      </c>
      <c r="C33" s="58"/>
      <c r="D33" s="58"/>
      <c r="E33" s="188"/>
      <c r="F33" s="188"/>
      <c r="G33" s="58"/>
      <c r="H33" s="58"/>
      <c r="I33" s="58"/>
      <c r="J33" s="59"/>
      <c r="K33" s="60"/>
      <c r="L33" s="58"/>
      <c r="M33" s="58"/>
      <c r="N33" s="61"/>
      <c r="V33" s="393"/>
      <c r="W33" s="393"/>
      <c r="X33" s="393"/>
      <c r="Y33" s="393"/>
      <c r="Z33" s="393"/>
      <c r="AA33" s="393"/>
      <c r="AB33" s="393"/>
      <c r="AC33" s="393"/>
      <c r="AD33" s="393"/>
      <c r="AE33" s="393"/>
      <c r="AF33" s="393"/>
      <c r="AG33" s="393"/>
      <c r="AH33" s="393"/>
      <c r="AI33" s="393"/>
      <c r="AJ33" s="393"/>
      <c r="AK33" s="393"/>
      <c r="AL33" s="393"/>
      <c r="AM33" s="393"/>
      <c r="AN33" s="393"/>
      <c r="AO33" s="393"/>
      <c r="AP33" s="393"/>
      <c r="AQ33" s="393"/>
      <c r="AR33" s="393"/>
      <c r="AS33" s="393"/>
      <c r="AT33" s="393"/>
      <c r="AU33" s="393"/>
      <c r="AV33" s="393"/>
      <c r="AW33" s="393"/>
      <c r="AX33" s="393"/>
      <c r="AY33" s="393"/>
      <c r="AZ33" s="393"/>
      <c r="BA33" s="393"/>
      <c r="BB33" s="393"/>
      <c r="BC33" s="393"/>
      <c r="BD33" s="393"/>
      <c r="BE33" s="393"/>
      <c r="BF33" s="393"/>
      <c r="BG33" s="393"/>
      <c r="BH33" s="393"/>
      <c r="BI33" s="393"/>
      <c r="BJ33" s="393"/>
      <c r="BK33" s="393"/>
      <c r="BL33" s="393"/>
      <c r="BM33" s="393"/>
      <c r="BN33" s="393"/>
      <c r="BO33" s="393"/>
      <c r="BP33" s="393"/>
      <c r="BQ33" s="393"/>
      <c r="BR33" s="393"/>
      <c r="BS33" s="393"/>
      <c r="BT33" s="393"/>
      <c r="BU33" s="393"/>
      <c r="BV33" s="393"/>
      <c r="BW33" s="393"/>
      <c r="BX33" s="393"/>
      <c r="BY33" s="393"/>
      <c r="BZ33" s="393"/>
      <c r="CA33" s="393"/>
      <c r="CB33" s="393"/>
      <c r="CC33" s="393"/>
      <c r="CD33" s="393"/>
      <c r="CE33" s="393"/>
      <c r="CF33" s="393"/>
      <c r="CG33" s="393"/>
      <c r="CH33" s="393"/>
      <c r="CI33" s="393"/>
      <c r="CJ33" s="393"/>
      <c r="CK33" s="393"/>
      <c r="CL33" s="393"/>
      <c r="CM33" s="393"/>
      <c r="CN33" s="393"/>
      <c r="CO33" s="393"/>
      <c r="CP33" s="393"/>
      <c r="CQ33" s="393"/>
      <c r="CR33" s="393"/>
      <c r="CS33" s="393"/>
      <c r="CT33" s="393"/>
      <c r="CU33" s="393"/>
      <c r="CV33" s="393"/>
      <c r="CW33" s="393"/>
      <c r="CX33" s="393"/>
      <c r="CY33" s="393"/>
      <c r="CZ33" s="393"/>
      <c r="DA33" s="393"/>
      <c r="DB33" s="393"/>
      <c r="DC33" s="393"/>
      <c r="DD33" s="393"/>
      <c r="DE33" s="393"/>
      <c r="DF33" s="393"/>
      <c r="DG33" s="393"/>
      <c r="DH33" s="393"/>
      <c r="DI33" s="393"/>
      <c r="DJ33" s="393"/>
      <c r="DK33" s="393"/>
      <c r="DL33" s="393"/>
      <c r="DM33" s="393"/>
      <c r="DN33" s="393"/>
      <c r="DO33" s="393"/>
      <c r="DP33" s="393"/>
      <c r="DQ33" s="393"/>
      <c r="DR33" s="393"/>
      <c r="DS33" s="393"/>
      <c r="DT33" s="393"/>
      <c r="DU33" s="393"/>
      <c r="DV33" s="393"/>
      <c r="DW33" s="393"/>
      <c r="DX33" s="393"/>
      <c r="DY33" s="393"/>
      <c r="DZ33" s="393"/>
      <c r="EA33" s="393"/>
      <c r="EB33" s="393"/>
      <c r="EC33" s="393"/>
      <c r="ED33" s="393"/>
      <c r="EE33" s="393"/>
      <c r="EF33" s="393"/>
      <c r="EG33" s="393"/>
      <c r="EH33" s="393"/>
      <c r="EI33" s="393"/>
      <c r="EJ33" s="393"/>
      <c r="EK33" s="393"/>
      <c r="EL33" s="393"/>
      <c r="EM33" s="393"/>
      <c r="EN33" s="393"/>
      <c r="EO33" s="393"/>
      <c r="EP33" s="393"/>
      <c r="EQ33" s="393"/>
      <c r="ER33" s="393"/>
      <c r="ES33" s="393"/>
      <c r="ET33" s="393"/>
      <c r="EU33" s="393"/>
      <c r="EV33" s="393"/>
      <c r="EW33" s="393"/>
      <c r="EX33" s="393"/>
      <c r="EY33" s="393"/>
      <c r="EZ33" s="393"/>
      <c r="FA33" s="393"/>
      <c r="FB33" s="393"/>
      <c r="FC33" s="393"/>
      <c r="FD33" s="393"/>
      <c r="FE33" s="393"/>
      <c r="FF33" s="393"/>
      <c r="FG33" s="393"/>
      <c r="FH33" s="393"/>
      <c r="FI33" s="393"/>
      <c r="FJ33" s="393"/>
      <c r="FK33" s="393"/>
      <c r="FL33" s="393"/>
      <c r="FM33" s="393"/>
      <c r="FN33" s="393"/>
      <c r="FO33" s="393"/>
      <c r="FP33" s="393"/>
      <c r="FQ33" s="393"/>
      <c r="FR33" s="393"/>
      <c r="FS33" s="393"/>
      <c r="FT33" s="393"/>
      <c r="FU33" s="393"/>
      <c r="FV33" s="393"/>
      <c r="FW33" s="393"/>
      <c r="FX33" s="393"/>
      <c r="FY33" s="393"/>
      <c r="FZ33" s="393"/>
      <c r="GA33" s="393"/>
      <c r="GB33" s="393"/>
      <c r="GC33" s="393"/>
      <c r="GD33" s="393"/>
      <c r="GE33" s="393"/>
      <c r="GF33" s="393"/>
      <c r="GG33" s="393"/>
      <c r="GH33" s="393"/>
      <c r="GI33" s="393"/>
      <c r="GJ33" s="393"/>
      <c r="GK33" s="393"/>
      <c r="GL33" s="393"/>
      <c r="GM33" s="393"/>
      <c r="GN33" s="393"/>
      <c r="GO33" s="393"/>
      <c r="GP33" s="393"/>
      <c r="GQ33" s="393"/>
      <c r="GR33" s="393"/>
      <c r="GS33" s="393"/>
      <c r="GT33" s="393"/>
      <c r="GU33" s="393"/>
      <c r="GV33" s="393"/>
      <c r="GW33" s="393"/>
      <c r="GX33" s="393"/>
      <c r="GY33" s="393"/>
      <c r="GZ33" s="393"/>
      <c r="HA33" s="393"/>
      <c r="HB33" s="393"/>
      <c r="HC33" s="393"/>
      <c r="HD33" s="393"/>
      <c r="HE33" s="393"/>
      <c r="HF33" s="393"/>
      <c r="HG33" s="393"/>
      <c r="HH33" s="393"/>
      <c r="HI33" s="393"/>
      <c r="HJ33" s="393"/>
      <c r="HK33" s="393"/>
      <c r="HL33" s="393"/>
      <c r="HM33" s="393"/>
      <c r="HN33" s="393"/>
      <c r="HO33" s="393"/>
      <c r="HP33" s="393"/>
      <c r="HQ33" s="393"/>
      <c r="HR33" s="393"/>
      <c r="HS33" s="393"/>
      <c r="HT33" s="393"/>
      <c r="HU33" s="393"/>
      <c r="HV33" s="393"/>
      <c r="HW33" s="393"/>
      <c r="HX33" s="393"/>
      <c r="HY33" s="393"/>
      <c r="HZ33" s="393"/>
      <c r="IA33" s="393"/>
      <c r="IB33" s="393"/>
      <c r="IC33" s="393"/>
      <c r="ID33" s="393"/>
      <c r="IE33" s="393"/>
      <c r="IF33" s="393"/>
      <c r="IG33" s="393"/>
      <c r="IH33" s="393"/>
      <c r="II33" s="393"/>
      <c r="IJ33" s="393"/>
      <c r="IK33" s="393"/>
      <c r="IL33" s="393"/>
      <c r="IM33" s="393"/>
      <c r="IN33" s="393"/>
      <c r="IO33" s="393"/>
      <c r="IP33" s="393"/>
      <c r="IQ33" s="393"/>
      <c r="IR33" s="393"/>
    </row>
    <row r="34" spans="2:252" s="62" customFormat="1" ht="25.15" customHeight="1" x14ac:dyDescent="0.25">
      <c r="B34" s="250" t="s">
        <v>59</v>
      </c>
      <c r="C34" s="250"/>
      <c r="D34" s="251">
        <v>2018</v>
      </c>
      <c r="E34" s="251">
        <v>2019</v>
      </c>
      <c r="F34" s="251">
        <v>2020</v>
      </c>
      <c r="G34" s="58"/>
      <c r="H34" s="58"/>
      <c r="I34" s="58"/>
      <c r="J34" s="59"/>
      <c r="K34" s="60"/>
      <c r="L34" s="58"/>
      <c r="M34" s="58"/>
      <c r="N34" s="61"/>
      <c r="V34" s="393"/>
      <c r="W34" s="393"/>
      <c r="X34" s="393"/>
      <c r="Y34" s="393"/>
      <c r="Z34" s="393"/>
      <c r="AA34" s="393"/>
      <c r="AB34" s="393"/>
      <c r="AC34" s="393"/>
      <c r="AD34" s="393"/>
      <c r="AE34" s="393"/>
      <c r="AF34" s="393"/>
      <c r="AG34" s="393"/>
      <c r="AH34" s="393"/>
      <c r="AI34" s="393"/>
      <c r="AJ34" s="393"/>
      <c r="AK34" s="393"/>
      <c r="AL34" s="393"/>
      <c r="AM34" s="393"/>
      <c r="AN34" s="393"/>
      <c r="AO34" s="393"/>
      <c r="AP34" s="393"/>
      <c r="AQ34" s="393"/>
      <c r="AR34" s="393"/>
      <c r="AS34" s="393"/>
      <c r="AT34" s="393"/>
      <c r="AU34" s="393"/>
      <c r="AV34" s="393"/>
      <c r="AW34" s="393"/>
      <c r="AX34" s="393"/>
      <c r="AY34" s="393"/>
      <c r="AZ34" s="393"/>
      <c r="BA34" s="393"/>
      <c r="BB34" s="393"/>
      <c r="BC34" s="393"/>
      <c r="BD34" s="393"/>
      <c r="BE34" s="393"/>
      <c r="BF34" s="393"/>
      <c r="BG34" s="393"/>
      <c r="BH34" s="393"/>
      <c r="BI34" s="393"/>
      <c r="BJ34" s="393"/>
      <c r="BK34" s="393"/>
      <c r="BL34" s="393"/>
      <c r="BM34" s="393"/>
      <c r="BN34" s="393"/>
      <c r="BO34" s="393"/>
      <c r="BP34" s="393"/>
      <c r="BQ34" s="393"/>
      <c r="BR34" s="393"/>
      <c r="BS34" s="393"/>
      <c r="BT34" s="393"/>
      <c r="BU34" s="393"/>
      <c r="BV34" s="393"/>
      <c r="BW34" s="393"/>
      <c r="BX34" s="393"/>
      <c r="BY34" s="393"/>
      <c r="BZ34" s="393"/>
      <c r="CA34" s="393"/>
      <c r="CB34" s="393"/>
      <c r="CC34" s="393"/>
      <c r="CD34" s="393"/>
      <c r="CE34" s="393"/>
      <c r="CF34" s="393"/>
      <c r="CG34" s="393"/>
      <c r="CH34" s="393"/>
      <c r="CI34" s="393"/>
      <c r="CJ34" s="393"/>
      <c r="CK34" s="393"/>
      <c r="CL34" s="393"/>
      <c r="CM34" s="393"/>
      <c r="CN34" s="393"/>
      <c r="CO34" s="393"/>
      <c r="CP34" s="393"/>
      <c r="CQ34" s="393"/>
      <c r="CR34" s="393"/>
      <c r="CS34" s="393"/>
      <c r="CT34" s="393"/>
      <c r="CU34" s="393"/>
      <c r="CV34" s="393"/>
      <c r="CW34" s="393"/>
      <c r="CX34" s="393"/>
      <c r="CY34" s="393"/>
      <c r="CZ34" s="393"/>
      <c r="DA34" s="393"/>
      <c r="DB34" s="393"/>
      <c r="DC34" s="393"/>
      <c r="DD34" s="393"/>
      <c r="DE34" s="393"/>
      <c r="DF34" s="393"/>
      <c r="DG34" s="393"/>
      <c r="DH34" s="393"/>
      <c r="DI34" s="393"/>
      <c r="DJ34" s="393"/>
      <c r="DK34" s="393"/>
      <c r="DL34" s="393"/>
      <c r="DM34" s="393"/>
      <c r="DN34" s="393"/>
      <c r="DO34" s="393"/>
      <c r="DP34" s="393"/>
      <c r="DQ34" s="393"/>
      <c r="DR34" s="393"/>
      <c r="DS34" s="393"/>
      <c r="DT34" s="393"/>
      <c r="DU34" s="393"/>
      <c r="DV34" s="393"/>
      <c r="DW34" s="393"/>
      <c r="DX34" s="393"/>
      <c r="DY34" s="393"/>
      <c r="DZ34" s="393"/>
      <c r="EA34" s="393"/>
      <c r="EB34" s="393"/>
      <c r="EC34" s="393"/>
      <c r="ED34" s="393"/>
      <c r="EE34" s="393"/>
      <c r="EF34" s="393"/>
      <c r="EG34" s="393"/>
      <c r="EH34" s="393"/>
      <c r="EI34" s="393"/>
      <c r="EJ34" s="393"/>
      <c r="EK34" s="393"/>
      <c r="EL34" s="393"/>
      <c r="EM34" s="393"/>
      <c r="EN34" s="393"/>
      <c r="EO34" s="393"/>
      <c r="EP34" s="393"/>
      <c r="EQ34" s="393"/>
      <c r="ER34" s="393"/>
      <c r="ES34" s="393"/>
      <c r="ET34" s="393"/>
      <c r="EU34" s="393"/>
      <c r="EV34" s="393"/>
      <c r="EW34" s="393"/>
      <c r="EX34" s="393"/>
      <c r="EY34" s="393"/>
      <c r="EZ34" s="393"/>
      <c r="FA34" s="393"/>
      <c r="FB34" s="393"/>
      <c r="FC34" s="393"/>
      <c r="FD34" s="393"/>
      <c r="FE34" s="393"/>
      <c r="FF34" s="393"/>
      <c r="FG34" s="393"/>
      <c r="FH34" s="393"/>
      <c r="FI34" s="393"/>
      <c r="FJ34" s="393"/>
      <c r="FK34" s="393"/>
      <c r="FL34" s="393"/>
      <c r="FM34" s="393"/>
      <c r="FN34" s="393"/>
      <c r="FO34" s="393"/>
      <c r="FP34" s="393"/>
      <c r="FQ34" s="393"/>
      <c r="FR34" s="393"/>
      <c r="FS34" s="393"/>
      <c r="FT34" s="393"/>
      <c r="FU34" s="393"/>
      <c r="FV34" s="393"/>
      <c r="FW34" s="393"/>
      <c r="FX34" s="393"/>
      <c r="FY34" s="393"/>
      <c r="FZ34" s="393"/>
      <c r="GA34" s="393"/>
      <c r="GB34" s="393"/>
      <c r="GC34" s="393"/>
      <c r="GD34" s="393"/>
      <c r="GE34" s="393"/>
      <c r="GF34" s="393"/>
      <c r="GG34" s="393"/>
      <c r="GH34" s="393"/>
      <c r="GI34" s="393"/>
      <c r="GJ34" s="393"/>
      <c r="GK34" s="393"/>
      <c r="GL34" s="393"/>
      <c r="GM34" s="393"/>
      <c r="GN34" s="393"/>
      <c r="GO34" s="393"/>
      <c r="GP34" s="393"/>
      <c r="GQ34" s="393"/>
      <c r="GR34" s="393"/>
      <c r="GS34" s="393"/>
      <c r="GT34" s="393"/>
      <c r="GU34" s="393"/>
      <c r="GV34" s="393"/>
      <c r="GW34" s="393"/>
      <c r="GX34" s="393"/>
      <c r="GY34" s="393"/>
      <c r="GZ34" s="393"/>
      <c r="HA34" s="393"/>
      <c r="HB34" s="393"/>
      <c r="HC34" s="393"/>
      <c r="HD34" s="393"/>
      <c r="HE34" s="393"/>
      <c r="HF34" s="393"/>
      <c r="HG34" s="393"/>
      <c r="HH34" s="393"/>
      <c r="HI34" s="393"/>
      <c r="HJ34" s="393"/>
      <c r="HK34" s="393"/>
      <c r="HL34" s="393"/>
      <c r="HM34" s="393"/>
      <c r="HN34" s="393"/>
      <c r="HO34" s="393"/>
      <c r="HP34" s="393"/>
      <c r="HQ34" s="393"/>
      <c r="HR34" s="393"/>
      <c r="HS34" s="393"/>
      <c r="HT34" s="393"/>
      <c r="HU34" s="393"/>
      <c r="HV34" s="393"/>
      <c r="HW34" s="393"/>
      <c r="HX34" s="393"/>
      <c r="HY34" s="393"/>
      <c r="HZ34" s="393"/>
      <c r="IA34" s="393"/>
      <c r="IB34" s="393"/>
      <c r="IC34" s="393"/>
      <c r="ID34" s="393"/>
      <c r="IE34" s="393"/>
      <c r="IF34" s="393"/>
      <c r="IG34" s="393"/>
      <c r="IH34" s="393"/>
      <c r="II34" s="393"/>
      <c r="IJ34" s="393"/>
      <c r="IK34" s="393"/>
      <c r="IL34" s="393"/>
      <c r="IM34" s="393"/>
      <c r="IN34" s="393"/>
      <c r="IO34" s="393"/>
      <c r="IP34" s="393"/>
      <c r="IQ34" s="393"/>
      <c r="IR34" s="393"/>
    </row>
    <row r="35" spans="2:252" s="62" customFormat="1" ht="25.15" customHeight="1" x14ac:dyDescent="0.25">
      <c r="B35" s="246" t="s">
        <v>147</v>
      </c>
      <c r="C35" s="246"/>
      <c r="D35" s="247">
        <v>82073</v>
      </c>
      <c r="E35" s="389">
        <v>70494</v>
      </c>
      <c r="F35" s="389">
        <v>61064</v>
      </c>
      <c r="G35" s="58"/>
      <c r="H35" s="58"/>
      <c r="I35" s="58"/>
      <c r="J35" s="59"/>
      <c r="K35" s="60"/>
      <c r="L35" s="58"/>
      <c r="M35" s="58"/>
      <c r="N35" s="61"/>
      <c r="V35" s="393"/>
      <c r="W35" s="393"/>
      <c r="X35" s="393"/>
      <c r="Y35" s="393"/>
      <c r="Z35" s="393"/>
      <c r="AA35" s="393"/>
      <c r="AB35" s="393"/>
      <c r="AC35" s="393"/>
      <c r="AD35" s="393"/>
      <c r="AE35" s="393"/>
      <c r="AF35" s="393"/>
      <c r="AG35" s="393"/>
      <c r="AH35" s="393"/>
      <c r="AI35" s="393"/>
      <c r="AJ35" s="393"/>
      <c r="AK35" s="393"/>
      <c r="AL35" s="393"/>
      <c r="AM35" s="393"/>
      <c r="AN35" s="393"/>
      <c r="AO35" s="393"/>
      <c r="AP35" s="393"/>
      <c r="AQ35" s="393"/>
      <c r="AR35" s="393"/>
      <c r="AS35" s="393"/>
      <c r="AT35" s="393"/>
      <c r="AU35" s="393"/>
      <c r="AV35" s="393"/>
      <c r="AW35" s="393"/>
      <c r="AX35" s="393"/>
      <c r="AY35" s="393"/>
      <c r="AZ35" s="393"/>
      <c r="BA35" s="393"/>
      <c r="BB35" s="393"/>
      <c r="BC35" s="393"/>
      <c r="BD35" s="393"/>
      <c r="BE35" s="393"/>
      <c r="BF35" s="393"/>
      <c r="BG35" s="393"/>
      <c r="BH35" s="393"/>
      <c r="BI35" s="393"/>
      <c r="BJ35" s="393"/>
      <c r="BK35" s="393"/>
      <c r="BL35" s="393"/>
      <c r="BM35" s="393"/>
      <c r="BN35" s="393"/>
      <c r="BO35" s="393"/>
      <c r="BP35" s="393"/>
      <c r="BQ35" s="393"/>
      <c r="BR35" s="393"/>
      <c r="BS35" s="393"/>
      <c r="BT35" s="393"/>
      <c r="BU35" s="393"/>
      <c r="BV35" s="393"/>
      <c r="BW35" s="393"/>
      <c r="BX35" s="393"/>
      <c r="BY35" s="393"/>
      <c r="BZ35" s="393"/>
      <c r="CA35" s="393"/>
      <c r="CB35" s="393"/>
      <c r="CC35" s="393"/>
      <c r="CD35" s="393"/>
      <c r="CE35" s="393"/>
      <c r="CF35" s="393"/>
      <c r="CG35" s="393"/>
      <c r="CH35" s="393"/>
      <c r="CI35" s="393"/>
      <c r="CJ35" s="393"/>
      <c r="CK35" s="393"/>
      <c r="CL35" s="393"/>
      <c r="CM35" s="393"/>
      <c r="CN35" s="393"/>
      <c r="CO35" s="393"/>
      <c r="CP35" s="393"/>
      <c r="CQ35" s="393"/>
      <c r="CR35" s="393"/>
      <c r="CS35" s="393"/>
      <c r="CT35" s="393"/>
      <c r="CU35" s="393"/>
      <c r="CV35" s="393"/>
      <c r="CW35" s="393"/>
      <c r="CX35" s="393"/>
      <c r="CY35" s="393"/>
      <c r="CZ35" s="393"/>
      <c r="DA35" s="393"/>
      <c r="DB35" s="393"/>
      <c r="DC35" s="393"/>
      <c r="DD35" s="393"/>
      <c r="DE35" s="393"/>
      <c r="DF35" s="393"/>
      <c r="DG35" s="393"/>
      <c r="DH35" s="393"/>
      <c r="DI35" s="393"/>
      <c r="DJ35" s="393"/>
      <c r="DK35" s="393"/>
      <c r="DL35" s="393"/>
      <c r="DM35" s="393"/>
      <c r="DN35" s="393"/>
      <c r="DO35" s="393"/>
      <c r="DP35" s="393"/>
      <c r="DQ35" s="393"/>
      <c r="DR35" s="393"/>
      <c r="DS35" s="393"/>
      <c r="DT35" s="393"/>
      <c r="DU35" s="393"/>
      <c r="DV35" s="393"/>
      <c r="DW35" s="393"/>
      <c r="DX35" s="393"/>
      <c r="DY35" s="393"/>
      <c r="DZ35" s="393"/>
      <c r="EA35" s="393"/>
      <c r="EB35" s="393"/>
      <c r="EC35" s="393"/>
      <c r="ED35" s="393"/>
      <c r="EE35" s="393"/>
      <c r="EF35" s="393"/>
      <c r="EG35" s="393"/>
      <c r="EH35" s="393"/>
      <c r="EI35" s="393"/>
      <c r="EJ35" s="393"/>
      <c r="EK35" s="393"/>
      <c r="EL35" s="393"/>
      <c r="EM35" s="393"/>
      <c r="EN35" s="393"/>
      <c r="EO35" s="393"/>
      <c r="EP35" s="393"/>
      <c r="EQ35" s="393"/>
      <c r="ER35" s="393"/>
      <c r="ES35" s="393"/>
      <c r="ET35" s="393"/>
      <c r="EU35" s="393"/>
      <c r="EV35" s="393"/>
      <c r="EW35" s="393"/>
      <c r="EX35" s="393"/>
      <c r="EY35" s="393"/>
      <c r="EZ35" s="393"/>
      <c r="FA35" s="393"/>
      <c r="FB35" s="393"/>
      <c r="FC35" s="393"/>
      <c r="FD35" s="393"/>
      <c r="FE35" s="393"/>
      <c r="FF35" s="393"/>
      <c r="FG35" s="393"/>
      <c r="FH35" s="393"/>
      <c r="FI35" s="393"/>
      <c r="FJ35" s="393"/>
      <c r="FK35" s="393"/>
      <c r="FL35" s="393"/>
      <c r="FM35" s="393"/>
      <c r="FN35" s="393"/>
      <c r="FO35" s="393"/>
      <c r="FP35" s="393"/>
      <c r="FQ35" s="393"/>
      <c r="FR35" s="393"/>
      <c r="FS35" s="393"/>
      <c r="FT35" s="393"/>
      <c r="FU35" s="393"/>
      <c r="FV35" s="393"/>
      <c r="FW35" s="393"/>
      <c r="FX35" s="393"/>
      <c r="FY35" s="393"/>
      <c r="FZ35" s="393"/>
      <c r="GA35" s="393"/>
      <c r="GB35" s="393"/>
      <c r="GC35" s="393"/>
      <c r="GD35" s="393"/>
      <c r="GE35" s="393"/>
      <c r="GF35" s="393"/>
      <c r="GG35" s="393"/>
      <c r="GH35" s="393"/>
      <c r="GI35" s="393"/>
      <c r="GJ35" s="393"/>
      <c r="GK35" s="393"/>
      <c r="GL35" s="393"/>
      <c r="GM35" s="393"/>
      <c r="GN35" s="393"/>
      <c r="GO35" s="393"/>
      <c r="GP35" s="393"/>
      <c r="GQ35" s="393"/>
      <c r="GR35" s="393"/>
      <c r="GS35" s="393"/>
      <c r="GT35" s="393"/>
      <c r="GU35" s="393"/>
      <c r="GV35" s="393"/>
      <c r="GW35" s="393"/>
      <c r="GX35" s="393"/>
      <c r="GY35" s="393"/>
      <c r="GZ35" s="393"/>
      <c r="HA35" s="393"/>
      <c r="HB35" s="393"/>
      <c r="HC35" s="393"/>
      <c r="HD35" s="393"/>
      <c r="HE35" s="393"/>
      <c r="HF35" s="393"/>
      <c r="HG35" s="393"/>
      <c r="HH35" s="393"/>
      <c r="HI35" s="393"/>
      <c r="HJ35" s="393"/>
      <c r="HK35" s="393"/>
      <c r="HL35" s="393"/>
      <c r="HM35" s="393"/>
      <c r="HN35" s="393"/>
      <c r="HO35" s="393"/>
      <c r="HP35" s="393"/>
      <c r="HQ35" s="393"/>
      <c r="HR35" s="393"/>
      <c r="HS35" s="393"/>
      <c r="HT35" s="393"/>
      <c r="HU35" s="393"/>
      <c r="HV35" s="393"/>
      <c r="HW35" s="393"/>
      <c r="HX35" s="393"/>
      <c r="HY35" s="393"/>
      <c r="HZ35" s="393"/>
      <c r="IA35" s="393"/>
      <c r="IB35" s="393"/>
      <c r="IC35" s="393"/>
      <c r="ID35" s="393"/>
      <c r="IE35" s="393"/>
      <c r="IF35" s="393"/>
      <c r="IG35" s="393"/>
      <c r="IH35" s="393"/>
      <c r="II35" s="393"/>
      <c r="IJ35" s="393"/>
      <c r="IK35" s="393"/>
      <c r="IL35" s="393"/>
      <c r="IM35" s="393"/>
      <c r="IN35" s="393"/>
      <c r="IO35" s="393"/>
      <c r="IP35" s="393"/>
      <c r="IQ35" s="393"/>
      <c r="IR35" s="393"/>
    </row>
    <row r="36" spans="2:252" s="62" customFormat="1" ht="25.15" customHeight="1" x14ac:dyDescent="0.25">
      <c r="B36" s="388" t="s">
        <v>285</v>
      </c>
      <c r="C36" s="388"/>
      <c r="D36" s="249">
        <f>(14039.66+20550+3190+300)*-1</f>
        <v>-38079.660000000003</v>
      </c>
      <c r="E36" s="390">
        <f>(13408+15596+3355.84+4300)*-1</f>
        <v>-36659.839999999997</v>
      </c>
      <c r="F36" s="390">
        <f>1075*2*3*-1</f>
        <v>-6450</v>
      </c>
      <c r="G36" s="58"/>
      <c r="H36" s="58"/>
      <c r="I36" s="58"/>
      <c r="J36" s="59"/>
      <c r="K36" s="60"/>
      <c r="L36" s="58"/>
      <c r="M36" s="58"/>
      <c r="N36" s="61"/>
      <c r="V36" s="393"/>
      <c r="W36" s="393"/>
      <c r="X36" s="393"/>
      <c r="Y36" s="393"/>
      <c r="Z36" s="393"/>
      <c r="AA36" s="393"/>
      <c r="AB36" s="393"/>
      <c r="AC36" s="393"/>
      <c r="AD36" s="393"/>
      <c r="AE36" s="393"/>
      <c r="AF36" s="393"/>
      <c r="AG36" s="393"/>
      <c r="AH36" s="393"/>
      <c r="AI36" s="393"/>
      <c r="AJ36" s="393"/>
      <c r="AK36" s="393"/>
      <c r="AL36" s="393"/>
      <c r="AM36" s="393"/>
      <c r="AN36" s="393"/>
      <c r="AO36" s="393"/>
      <c r="AP36" s="393"/>
      <c r="AQ36" s="393"/>
      <c r="AR36" s="393"/>
      <c r="AS36" s="393"/>
      <c r="AT36" s="393"/>
      <c r="AU36" s="393"/>
      <c r="AV36" s="393"/>
      <c r="AW36" s="393"/>
      <c r="AX36" s="393"/>
      <c r="AY36" s="393"/>
      <c r="AZ36" s="393"/>
      <c r="BA36" s="393"/>
      <c r="BB36" s="393"/>
      <c r="BC36" s="393"/>
      <c r="BD36" s="393"/>
      <c r="BE36" s="393"/>
      <c r="BF36" s="393"/>
      <c r="BG36" s="393"/>
      <c r="BH36" s="393"/>
      <c r="BI36" s="393"/>
      <c r="BJ36" s="393"/>
      <c r="BK36" s="393"/>
      <c r="BL36" s="393"/>
      <c r="BM36" s="393"/>
      <c r="BN36" s="393"/>
      <c r="BO36" s="393"/>
      <c r="BP36" s="393"/>
      <c r="BQ36" s="393"/>
      <c r="BR36" s="393"/>
      <c r="BS36" s="393"/>
      <c r="BT36" s="393"/>
      <c r="BU36" s="393"/>
      <c r="BV36" s="393"/>
      <c r="BW36" s="393"/>
      <c r="BX36" s="393"/>
      <c r="BY36" s="393"/>
      <c r="BZ36" s="393"/>
      <c r="CA36" s="393"/>
      <c r="CB36" s="393"/>
      <c r="CC36" s="393"/>
      <c r="CD36" s="393"/>
      <c r="CE36" s="393"/>
      <c r="CF36" s="393"/>
      <c r="CG36" s="393"/>
      <c r="CH36" s="393"/>
      <c r="CI36" s="393"/>
      <c r="CJ36" s="393"/>
      <c r="CK36" s="393"/>
      <c r="CL36" s="393"/>
      <c r="CM36" s="393"/>
      <c r="CN36" s="393"/>
      <c r="CO36" s="393"/>
      <c r="CP36" s="393"/>
      <c r="CQ36" s="393"/>
      <c r="CR36" s="393"/>
      <c r="CS36" s="393"/>
      <c r="CT36" s="393"/>
      <c r="CU36" s="393"/>
      <c r="CV36" s="393"/>
      <c r="CW36" s="393"/>
      <c r="CX36" s="393"/>
      <c r="CY36" s="393"/>
      <c r="CZ36" s="393"/>
      <c r="DA36" s="393"/>
      <c r="DB36" s="393"/>
      <c r="DC36" s="393"/>
      <c r="DD36" s="393"/>
      <c r="DE36" s="393"/>
      <c r="DF36" s="393"/>
      <c r="DG36" s="393"/>
      <c r="DH36" s="393"/>
      <c r="DI36" s="393"/>
      <c r="DJ36" s="393"/>
      <c r="DK36" s="393"/>
      <c r="DL36" s="393"/>
      <c r="DM36" s="393"/>
      <c r="DN36" s="393"/>
      <c r="DO36" s="393"/>
      <c r="DP36" s="393"/>
      <c r="DQ36" s="393"/>
      <c r="DR36" s="393"/>
      <c r="DS36" s="393"/>
      <c r="DT36" s="393"/>
      <c r="DU36" s="393"/>
      <c r="DV36" s="393"/>
      <c r="DW36" s="393"/>
      <c r="DX36" s="393"/>
      <c r="DY36" s="393"/>
      <c r="DZ36" s="393"/>
      <c r="EA36" s="393"/>
      <c r="EB36" s="393"/>
      <c r="EC36" s="393"/>
      <c r="ED36" s="393"/>
      <c r="EE36" s="393"/>
      <c r="EF36" s="393"/>
      <c r="EG36" s="393"/>
      <c r="EH36" s="393"/>
      <c r="EI36" s="393"/>
      <c r="EJ36" s="393"/>
      <c r="EK36" s="393"/>
      <c r="EL36" s="393"/>
      <c r="EM36" s="393"/>
      <c r="EN36" s="393"/>
      <c r="EO36" s="393"/>
      <c r="EP36" s="393"/>
      <c r="EQ36" s="393"/>
      <c r="ER36" s="393"/>
      <c r="ES36" s="393"/>
      <c r="ET36" s="393"/>
      <c r="EU36" s="393"/>
      <c r="EV36" s="393"/>
      <c r="EW36" s="393"/>
      <c r="EX36" s="393"/>
      <c r="EY36" s="393"/>
      <c r="EZ36" s="393"/>
      <c r="FA36" s="393"/>
      <c r="FB36" s="393"/>
      <c r="FC36" s="393"/>
      <c r="FD36" s="393"/>
      <c r="FE36" s="393"/>
      <c r="FF36" s="393"/>
      <c r="FG36" s="393"/>
      <c r="FH36" s="393"/>
      <c r="FI36" s="393"/>
      <c r="FJ36" s="393"/>
      <c r="FK36" s="393"/>
      <c r="FL36" s="393"/>
      <c r="FM36" s="393"/>
      <c r="FN36" s="393"/>
      <c r="FO36" s="393"/>
      <c r="FP36" s="393"/>
      <c r="FQ36" s="393"/>
      <c r="FR36" s="393"/>
      <c r="FS36" s="393"/>
      <c r="FT36" s="393"/>
      <c r="FU36" s="393"/>
      <c r="FV36" s="393"/>
      <c r="FW36" s="393"/>
      <c r="FX36" s="393"/>
      <c r="FY36" s="393"/>
      <c r="FZ36" s="393"/>
      <c r="GA36" s="393"/>
      <c r="GB36" s="393"/>
      <c r="GC36" s="393"/>
      <c r="GD36" s="393"/>
      <c r="GE36" s="393"/>
      <c r="GF36" s="393"/>
      <c r="GG36" s="393"/>
      <c r="GH36" s="393"/>
      <c r="GI36" s="393"/>
      <c r="GJ36" s="393"/>
      <c r="GK36" s="393"/>
      <c r="GL36" s="393"/>
      <c r="GM36" s="393"/>
      <c r="GN36" s="393"/>
      <c r="GO36" s="393"/>
      <c r="GP36" s="393"/>
      <c r="GQ36" s="393"/>
      <c r="GR36" s="393"/>
      <c r="GS36" s="393"/>
      <c r="GT36" s="393"/>
      <c r="GU36" s="393"/>
      <c r="GV36" s="393"/>
      <c r="GW36" s="393"/>
      <c r="GX36" s="393"/>
      <c r="GY36" s="393"/>
      <c r="GZ36" s="393"/>
      <c r="HA36" s="393"/>
      <c r="HB36" s="393"/>
      <c r="HC36" s="393"/>
      <c r="HD36" s="393"/>
      <c r="HE36" s="393"/>
      <c r="HF36" s="393"/>
      <c r="HG36" s="393"/>
      <c r="HH36" s="393"/>
      <c r="HI36" s="393"/>
      <c r="HJ36" s="393"/>
      <c r="HK36" s="393"/>
      <c r="HL36" s="393"/>
      <c r="HM36" s="393"/>
      <c r="HN36" s="393"/>
      <c r="HO36" s="393"/>
      <c r="HP36" s="393"/>
      <c r="HQ36" s="393"/>
      <c r="HR36" s="393"/>
      <c r="HS36" s="393"/>
      <c r="HT36" s="393"/>
      <c r="HU36" s="393"/>
      <c r="HV36" s="393"/>
      <c r="HW36" s="393"/>
      <c r="HX36" s="393"/>
      <c r="HY36" s="393"/>
      <c r="HZ36" s="393"/>
      <c r="IA36" s="393"/>
      <c r="IB36" s="393"/>
      <c r="IC36" s="393"/>
      <c r="ID36" s="393"/>
      <c r="IE36" s="393"/>
      <c r="IF36" s="393"/>
      <c r="IG36" s="393"/>
      <c r="IH36" s="393"/>
      <c r="II36" s="393"/>
      <c r="IJ36" s="393"/>
      <c r="IK36" s="393"/>
      <c r="IL36" s="393"/>
      <c r="IM36" s="393"/>
      <c r="IN36" s="393"/>
      <c r="IO36" s="393"/>
      <c r="IP36" s="393"/>
      <c r="IQ36" s="393"/>
      <c r="IR36" s="393"/>
    </row>
    <row r="37" spans="2:252" s="62" customFormat="1" ht="25.15" customHeight="1" x14ac:dyDescent="0.25">
      <c r="B37" s="248" t="s">
        <v>148</v>
      </c>
      <c r="C37" s="248"/>
      <c r="D37" s="249"/>
      <c r="E37" s="249"/>
      <c r="F37" s="249">
        <v>-19000</v>
      </c>
      <c r="G37" s="58"/>
      <c r="H37" s="58"/>
      <c r="I37" s="58"/>
      <c r="J37" s="59"/>
      <c r="K37" s="60"/>
      <c r="L37" s="58"/>
      <c r="M37" s="58"/>
      <c r="N37" s="61"/>
      <c r="V37" s="393"/>
      <c r="W37" s="393"/>
      <c r="X37" s="393"/>
      <c r="Y37" s="393"/>
      <c r="Z37" s="393"/>
      <c r="AA37" s="393"/>
      <c r="AB37" s="393"/>
      <c r="AC37" s="393"/>
      <c r="AD37" s="393"/>
      <c r="AE37" s="393"/>
      <c r="AF37" s="393"/>
      <c r="AG37" s="393"/>
      <c r="AH37" s="393"/>
      <c r="AI37" s="393"/>
      <c r="AJ37" s="393"/>
      <c r="AK37" s="393"/>
      <c r="AL37" s="393"/>
      <c r="AM37" s="393"/>
      <c r="AN37" s="393"/>
      <c r="AO37" s="393"/>
      <c r="AP37" s="393"/>
      <c r="AQ37" s="393"/>
      <c r="AR37" s="393"/>
      <c r="AS37" s="393"/>
      <c r="AT37" s="393"/>
      <c r="AU37" s="393"/>
      <c r="AV37" s="393"/>
      <c r="AW37" s="393"/>
      <c r="AX37" s="393"/>
      <c r="AY37" s="393"/>
      <c r="AZ37" s="393"/>
      <c r="BA37" s="393"/>
      <c r="BB37" s="393"/>
      <c r="BC37" s="393"/>
      <c r="BD37" s="393"/>
      <c r="BE37" s="393"/>
      <c r="BF37" s="393"/>
      <c r="BG37" s="393"/>
      <c r="BH37" s="393"/>
      <c r="BI37" s="393"/>
      <c r="BJ37" s="393"/>
      <c r="BK37" s="393"/>
      <c r="BL37" s="393"/>
      <c r="BM37" s="393"/>
      <c r="BN37" s="393"/>
      <c r="BO37" s="393"/>
      <c r="BP37" s="393"/>
      <c r="BQ37" s="393"/>
      <c r="BR37" s="393"/>
      <c r="BS37" s="393"/>
      <c r="BT37" s="393"/>
      <c r="BU37" s="393"/>
      <c r="BV37" s="393"/>
      <c r="BW37" s="393"/>
      <c r="BX37" s="393"/>
      <c r="BY37" s="393"/>
      <c r="BZ37" s="393"/>
      <c r="CA37" s="393"/>
      <c r="CB37" s="393"/>
      <c r="CC37" s="393"/>
      <c r="CD37" s="393"/>
      <c r="CE37" s="393"/>
      <c r="CF37" s="393"/>
      <c r="CG37" s="393"/>
      <c r="CH37" s="393"/>
      <c r="CI37" s="393"/>
      <c r="CJ37" s="393"/>
      <c r="CK37" s="393"/>
      <c r="CL37" s="393"/>
      <c r="CM37" s="393"/>
      <c r="CN37" s="393"/>
      <c r="CO37" s="393"/>
      <c r="CP37" s="393"/>
      <c r="CQ37" s="393"/>
      <c r="CR37" s="393"/>
      <c r="CS37" s="393"/>
      <c r="CT37" s="393"/>
      <c r="CU37" s="393"/>
      <c r="CV37" s="393"/>
      <c r="CW37" s="393"/>
      <c r="CX37" s="393"/>
      <c r="CY37" s="393"/>
      <c r="CZ37" s="393"/>
      <c r="DA37" s="393"/>
      <c r="DB37" s="393"/>
      <c r="DC37" s="393"/>
      <c r="DD37" s="393"/>
      <c r="DE37" s="393"/>
      <c r="DF37" s="393"/>
      <c r="DG37" s="393"/>
      <c r="DH37" s="393"/>
      <c r="DI37" s="393"/>
      <c r="DJ37" s="393"/>
      <c r="DK37" s="393"/>
      <c r="DL37" s="393"/>
      <c r="DM37" s="393"/>
      <c r="DN37" s="393"/>
      <c r="DO37" s="393"/>
      <c r="DP37" s="393"/>
      <c r="DQ37" s="393"/>
      <c r="DR37" s="393"/>
      <c r="DS37" s="393"/>
      <c r="DT37" s="393"/>
      <c r="DU37" s="393"/>
      <c r="DV37" s="393"/>
      <c r="DW37" s="393"/>
      <c r="DX37" s="393"/>
      <c r="DY37" s="393"/>
      <c r="DZ37" s="393"/>
      <c r="EA37" s="393"/>
      <c r="EB37" s="393"/>
      <c r="EC37" s="393"/>
      <c r="ED37" s="393"/>
      <c r="EE37" s="393"/>
      <c r="EF37" s="393"/>
      <c r="EG37" s="393"/>
      <c r="EH37" s="393"/>
      <c r="EI37" s="393"/>
      <c r="EJ37" s="393"/>
      <c r="EK37" s="393"/>
      <c r="EL37" s="393"/>
      <c r="EM37" s="393"/>
      <c r="EN37" s="393"/>
      <c r="EO37" s="393"/>
      <c r="EP37" s="393"/>
      <c r="EQ37" s="393"/>
      <c r="ER37" s="393"/>
      <c r="ES37" s="393"/>
      <c r="ET37" s="393"/>
      <c r="EU37" s="393"/>
      <c r="EV37" s="393"/>
      <c r="EW37" s="393"/>
      <c r="EX37" s="393"/>
      <c r="EY37" s="393"/>
      <c r="EZ37" s="393"/>
      <c r="FA37" s="393"/>
      <c r="FB37" s="393"/>
      <c r="FC37" s="393"/>
      <c r="FD37" s="393"/>
      <c r="FE37" s="393"/>
      <c r="FF37" s="393"/>
      <c r="FG37" s="393"/>
      <c r="FH37" s="393"/>
      <c r="FI37" s="393"/>
      <c r="FJ37" s="393"/>
      <c r="FK37" s="393"/>
      <c r="FL37" s="393"/>
      <c r="FM37" s="393"/>
      <c r="FN37" s="393"/>
      <c r="FO37" s="393"/>
      <c r="FP37" s="393"/>
      <c r="FQ37" s="393"/>
      <c r="FR37" s="393"/>
      <c r="FS37" s="393"/>
      <c r="FT37" s="393"/>
      <c r="FU37" s="393"/>
      <c r="FV37" s="393"/>
      <c r="FW37" s="393"/>
      <c r="FX37" s="393"/>
      <c r="FY37" s="393"/>
      <c r="FZ37" s="393"/>
      <c r="GA37" s="393"/>
      <c r="GB37" s="393"/>
      <c r="GC37" s="393"/>
      <c r="GD37" s="393"/>
      <c r="GE37" s="393"/>
      <c r="GF37" s="393"/>
      <c r="GG37" s="393"/>
      <c r="GH37" s="393"/>
      <c r="GI37" s="393"/>
      <c r="GJ37" s="393"/>
      <c r="GK37" s="393"/>
      <c r="GL37" s="393"/>
      <c r="GM37" s="393"/>
      <c r="GN37" s="393"/>
      <c r="GO37" s="393"/>
      <c r="GP37" s="393"/>
      <c r="GQ37" s="393"/>
      <c r="GR37" s="393"/>
      <c r="GS37" s="393"/>
      <c r="GT37" s="393"/>
      <c r="GU37" s="393"/>
      <c r="GV37" s="393"/>
      <c r="GW37" s="393"/>
      <c r="GX37" s="393"/>
      <c r="GY37" s="393"/>
      <c r="GZ37" s="393"/>
      <c r="HA37" s="393"/>
      <c r="HB37" s="393"/>
      <c r="HC37" s="393"/>
      <c r="HD37" s="393"/>
      <c r="HE37" s="393"/>
      <c r="HF37" s="393"/>
      <c r="HG37" s="393"/>
      <c r="HH37" s="393"/>
      <c r="HI37" s="393"/>
      <c r="HJ37" s="393"/>
      <c r="HK37" s="393"/>
      <c r="HL37" s="393"/>
      <c r="HM37" s="393"/>
      <c r="HN37" s="393"/>
      <c r="HO37" s="393"/>
      <c r="HP37" s="393"/>
      <c r="HQ37" s="393"/>
      <c r="HR37" s="393"/>
      <c r="HS37" s="393"/>
      <c r="HT37" s="393"/>
      <c r="HU37" s="393"/>
      <c r="HV37" s="393"/>
      <c r="HW37" s="393"/>
      <c r="HX37" s="393"/>
      <c r="HY37" s="393"/>
      <c r="HZ37" s="393"/>
      <c r="IA37" s="393"/>
      <c r="IB37" s="393"/>
      <c r="IC37" s="393"/>
      <c r="ID37" s="393"/>
      <c r="IE37" s="393"/>
      <c r="IF37" s="393"/>
      <c r="IG37" s="393"/>
      <c r="IH37" s="393"/>
      <c r="II37" s="393"/>
      <c r="IJ37" s="393"/>
      <c r="IK37" s="393"/>
      <c r="IL37" s="393"/>
      <c r="IM37" s="393"/>
      <c r="IN37" s="393"/>
      <c r="IO37" s="393"/>
      <c r="IP37" s="393"/>
      <c r="IQ37" s="393"/>
      <c r="IR37" s="393"/>
    </row>
    <row r="38" spans="2:252" s="62" customFormat="1" ht="25.15" customHeight="1" x14ac:dyDescent="0.25">
      <c r="B38" s="248" t="s">
        <v>286</v>
      </c>
      <c r="C38" s="248"/>
      <c r="D38" s="249"/>
      <c r="E38" s="249"/>
      <c r="F38" s="249">
        <f>1075*3*-1</f>
        <v>-3225</v>
      </c>
      <c r="G38" s="58"/>
      <c r="H38" s="58"/>
      <c r="I38" s="58"/>
      <c r="J38" s="59"/>
      <c r="K38" s="60"/>
      <c r="L38" s="58"/>
      <c r="M38" s="58"/>
      <c r="N38" s="61"/>
      <c r="V38" s="393"/>
      <c r="W38" s="393"/>
      <c r="X38" s="393"/>
      <c r="Y38" s="393"/>
      <c r="Z38" s="393"/>
      <c r="AA38" s="393"/>
      <c r="AB38" s="393"/>
      <c r="AC38" s="393"/>
      <c r="AD38" s="393"/>
      <c r="AE38" s="393"/>
      <c r="AF38" s="393"/>
      <c r="AG38" s="393"/>
      <c r="AH38" s="393"/>
      <c r="AI38" s="393"/>
      <c r="AJ38" s="393"/>
      <c r="AK38" s="393"/>
      <c r="AL38" s="393"/>
      <c r="AM38" s="393"/>
      <c r="AN38" s="393"/>
      <c r="AO38" s="393"/>
      <c r="AP38" s="393"/>
      <c r="AQ38" s="393"/>
      <c r="AR38" s="393"/>
      <c r="AS38" s="393"/>
      <c r="AT38" s="393"/>
      <c r="AU38" s="393"/>
      <c r="AV38" s="393"/>
      <c r="AW38" s="393"/>
      <c r="AX38" s="393"/>
      <c r="AY38" s="393"/>
      <c r="AZ38" s="393"/>
      <c r="BA38" s="393"/>
      <c r="BB38" s="393"/>
      <c r="BC38" s="393"/>
      <c r="BD38" s="393"/>
      <c r="BE38" s="393"/>
      <c r="BF38" s="393"/>
      <c r="BG38" s="393"/>
      <c r="BH38" s="393"/>
      <c r="BI38" s="393"/>
      <c r="BJ38" s="393"/>
      <c r="BK38" s="393"/>
      <c r="BL38" s="393"/>
      <c r="BM38" s="393"/>
      <c r="BN38" s="393"/>
      <c r="BO38" s="393"/>
      <c r="BP38" s="393"/>
      <c r="BQ38" s="393"/>
      <c r="BR38" s="393"/>
      <c r="BS38" s="393"/>
      <c r="BT38" s="393"/>
      <c r="BU38" s="393"/>
      <c r="BV38" s="393"/>
      <c r="BW38" s="393"/>
      <c r="BX38" s="393"/>
      <c r="BY38" s="393"/>
      <c r="BZ38" s="393"/>
      <c r="CA38" s="393"/>
      <c r="CB38" s="393"/>
      <c r="CC38" s="393"/>
      <c r="CD38" s="393"/>
      <c r="CE38" s="393"/>
      <c r="CF38" s="393"/>
      <c r="CG38" s="393"/>
      <c r="CH38" s="393"/>
      <c r="CI38" s="393"/>
      <c r="CJ38" s="393"/>
      <c r="CK38" s="393"/>
      <c r="CL38" s="393"/>
      <c r="CM38" s="393"/>
      <c r="CN38" s="393"/>
      <c r="CO38" s="393"/>
      <c r="CP38" s="393"/>
      <c r="CQ38" s="393"/>
      <c r="CR38" s="393"/>
      <c r="CS38" s="393"/>
      <c r="CT38" s="393"/>
      <c r="CU38" s="393"/>
      <c r="CV38" s="393"/>
      <c r="CW38" s="393"/>
      <c r="CX38" s="393"/>
      <c r="CY38" s="393"/>
      <c r="CZ38" s="393"/>
      <c r="DA38" s="393"/>
      <c r="DB38" s="393"/>
      <c r="DC38" s="393"/>
      <c r="DD38" s="393"/>
      <c r="DE38" s="393"/>
      <c r="DF38" s="393"/>
      <c r="DG38" s="393"/>
      <c r="DH38" s="393"/>
      <c r="DI38" s="393"/>
      <c r="DJ38" s="393"/>
      <c r="DK38" s="393"/>
      <c r="DL38" s="393"/>
      <c r="DM38" s="393"/>
      <c r="DN38" s="393"/>
      <c r="DO38" s="393"/>
      <c r="DP38" s="393"/>
      <c r="DQ38" s="393"/>
      <c r="DR38" s="393"/>
      <c r="DS38" s="393"/>
      <c r="DT38" s="393"/>
      <c r="DU38" s="393"/>
      <c r="DV38" s="393"/>
      <c r="DW38" s="393"/>
      <c r="DX38" s="393"/>
      <c r="DY38" s="393"/>
      <c r="DZ38" s="393"/>
      <c r="EA38" s="393"/>
      <c r="EB38" s="393"/>
      <c r="EC38" s="393"/>
      <c r="ED38" s="393"/>
      <c r="EE38" s="393"/>
      <c r="EF38" s="393"/>
      <c r="EG38" s="393"/>
      <c r="EH38" s="393"/>
      <c r="EI38" s="393"/>
      <c r="EJ38" s="393"/>
      <c r="EK38" s="393"/>
      <c r="EL38" s="393"/>
      <c r="EM38" s="393"/>
      <c r="EN38" s="393"/>
      <c r="EO38" s="393"/>
      <c r="EP38" s="393"/>
      <c r="EQ38" s="393"/>
      <c r="ER38" s="393"/>
      <c r="ES38" s="393"/>
      <c r="ET38" s="393"/>
      <c r="EU38" s="393"/>
      <c r="EV38" s="393"/>
      <c r="EW38" s="393"/>
      <c r="EX38" s="393"/>
      <c r="EY38" s="393"/>
      <c r="EZ38" s="393"/>
      <c r="FA38" s="393"/>
      <c r="FB38" s="393"/>
      <c r="FC38" s="393"/>
      <c r="FD38" s="393"/>
      <c r="FE38" s="393"/>
      <c r="FF38" s="393"/>
      <c r="FG38" s="393"/>
      <c r="FH38" s="393"/>
      <c r="FI38" s="393"/>
      <c r="FJ38" s="393"/>
      <c r="FK38" s="393"/>
      <c r="FL38" s="393"/>
      <c r="FM38" s="393"/>
      <c r="FN38" s="393"/>
      <c r="FO38" s="393"/>
      <c r="FP38" s="393"/>
      <c r="FQ38" s="393"/>
      <c r="FR38" s="393"/>
      <c r="FS38" s="393"/>
      <c r="FT38" s="393"/>
      <c r="FU38" s="393"/>
      <c r="FV38" s="393"/>
      <c r="FW38" s="393"/>
      <c r="FX38" s="393"/>
      <c r="FY38" s="393"/>
      <c r="FZ38" s="393"/>
      <c r="GA38" s="393"/>
      <c r="GB38" s="393"/>
      <c r="GC38" s="393"/>
      <c r="GD38" s="393"/>
      <c r="GE38" s="393"/>
      <c r="GF38" s="393"/>
      <c r="GG38" s="393"/>
      <c r="GH38" s="393"/>
      <c r="GI38" s="393"/>
      <c r="GJ38" s="393"/>
      <c r="GK38" s="393"/>
      <c r="GL38" s="393"/>
      <c r="GM38" s="393"/>
      <c r="GN38" s="393"/>
      <c r="GO38" s="393"/>
      <c r="GP38" s="393"/>
      <c r="GQ38" s="393"/>
      <c r="GR38" s="393"/>
      <c r="GS38" s="393"/>
      <c r="GT38" s="393"/>
      <c r="GU38" s="393"/>
      <c r="GV38" s="393"/>
      <c r="GW38" s="393"/>
      <c r="GX38" s="393"/>
      <c r="GY38" s="393"/>
      <c r="GZ38" s="393"/>
      <c r="HA38" s="393"/>
      <c r="HB38" s="393"/>
      <c r="HC38" s="393"/>
      <c r="HD38" s="393"/>
      <c r="HE38" s="393"/>
      <c r="HF38" s="393"/>
      <c r="HG38" s="393"/>
      <c r="HH38" s="393"/>
      <c r="HI38" s="393"/>
      <c r="HJ38" s="393"/>
      <c r="HK38" s="393"/>
      <c r="HL38" s="393"/>
      <c r="HM38" s="393"/>
      <c r="HN38" s="393"/>
      <c r="HO38" s="393"/>
      <c r="HP38" s="393"/>
      <c r="HQ38" s="393"/>
      <c r="HR38" s="393"/>
      <c r="HS38" s="393"/>
      <c r="HT38" s="393"/>
      <c r="HU38" s="393"/>
      <c r="HV38" s="393"/>
      <c r="HW38" s="393"/>
      <c r="HX38" s="393"/>
      <c r="HY38" s="393"/>
      <c r="HZ38" s="393"/>
      <c r="IA38" s="393"/>
      <c r="IB38" s="393"/>
      <c r="IC38" s="393"/>
      <c r="ID38" s="393"/>
      <c r="IE38" s="393"/>
      <c r="IF38" s="393"/>
      <c r="IG38" s="393"/>
      <c r="IH38" s="393"/>
      <c r="II38" s="393"/>
      <c r="IJ38" s="393"/>
      <c r="IK38" s="393"/>
      <c r="IL38" s="393"/>
      <c r="IM38" s="393"/>
      <c r="IN38" s="393"/>
      <c r="IO38" s="393"/>
      <c r="IP38" s="393"/>
      <c r="IQ38" s="393"/>
      <c r="IR38" s="393"/>
    </row>
    <row r="39" spans="2:252" s="62" customFormat="1" ht="25.15" customHeight="1" x14ac:dyDescent="0.25">
      <c r="B39" s="421" t="s">
        <v>289</v>
      </c>
      <c r="C39" s="421"/>
      <c r="D39" s="422"/>
      <c r="E39" s="422"/>
      <c r="F39" s="422">
        <f>-8000-24000</f>
        <v>-32000</v>
      </c>
      <c r="G39" s="58"/>
      <c r="H39" s="58"/>
      <c r="I39" s="58"/>
      <c r="J39" s="59"/>
      <c r="K39" s="60"/>
      <c r="L39" s="58"/>
      <c r="M39" s="58"/>
      <c r="N39" s="61"/>
      <c r="V39" s="393"/>
      <c r="W39" s="393"/>
      <c r="X39" s="393"/>
      <c r="Y39" s="393"/>
      <c r="Z39" s="393"/>
      <c r="AA39" s="393"/>
      <c r="AB39" s="393"/>
      <c r="AC39" s="393"/>
      <c r="AD39" s="393"/>
      <c r="AE39" s="393"/>
      <c r="AF39" s="393"/>
      <c r="AG39" s="393"/>
      <c r="AH39" s="393"/>
      <c r="AI39" s="393"/>
      <c r="AJ39" s="393"/>
      <c r="AK39" s="393"/>
      <c r="AL39" s="393"/>
      <c r="AM39" s="393"/>
      <c r="AN39" s="393"/>
      <c r="AO39" s="393"/>
      <c r="AP39" s="393"/>
      <c r="AQ39" s="393"/>
      <c r="AR39" s="393"/>
      <c r="AS39" s="393"/>
      <c r="AT39" s="393"/>
      <c r="AU39" s="393"/>
      <c r="AV39" s="393"/>
      <c r="AW39" s="393"/>
      <c r="AX39" s="393"/>
      <c r="AY39" s="393"/>
      <c r="AZ39" s="393"/>
      <c r="BA39" s="393"/>
      <c r="BB39" s="393"/>
      <c r="BC39" s="393"/>
      <c r="BD39" s="393"/>
      <c r="BE39" s="393"/>
      <c r="BF39" s="393"/>
      <c r="BG39" s="393"/>
      <c r="BH39" s="393"/>
      <c r="BI39" s="393"/>
      <c r="BJ39" s="393"/>
      <c r="BK39" s="393"/>
      <c r="BL39" s="393"/>
      <c r="BM39" s="393"/>
      <c r="BN39" s="393"/>
      <c r="BO39" s="393"/>
      <c r="BP39" s="393"/>
      <c r="BQ39" s="393"/>
      <c r="BR39" s="393"/>
      <c r="BS39" s="393"/>
      <c r="BT39" s="393"/>
      <c r="BU39" s="393"/>
      <c r="BV39" s="393"/>
      <c r="BW39" s="393"/>
      <c r="BX39" s="393"/>
      <c r="BY39" s="393"/>
      <c r="BZ39" s="393"/>
      <c r="CA39" s="393"/>
      <c r="CB39" s="393"/>
      <c r="CC39" s="393"/>
      <c r="CD39" s="393"/>
      <c r="CE39" s="393"/>
      <c r="CF39" s="393"/>
      <c r="CG39" s="393"/>
      <c r="CH39" s="393"/>
      <c r="CI39" s="393"/>
      <c r="CJ39" s="393"/>
      <c r="CK39" s="393"/>
      <c r="CL39" s="393"/>
      <c r="CM39" s="393"/>
      <c r="CN39" s="393"/>
      <c r="CO39" s="393"/>
      <c r="CP39" s="393"/>
      <c r="CQ39" s="393"/>
      <c r="CR39" s="393"/>
      <c r="CS39" s="393"/>
      <c r="CT39" s="393"/>
      <c r="CU39" s="393"/>
      <c r="CV39" s="393"/>
      <c r="CW39" s="393"/>
      <c r="CX39" s="393"/>
      <c r="CY39" s="393"/>
      <c r="CZ39" s="393"/>
      <c r="DA39" s="393"/>
      <c r="DB39" s="393"/>
      <c r="DC39" s="393"/>
      <c r="DD39" s="393"/>
      <c r="DE39" s="393"/>
      <c r="DF39" s="393"/>
      <c r="DG39" s="393"/>
      <c r="DH39" s="393"/>
      <c r="DI39" s="393"/>
      <c r="DJ39" s="393"/>
      <c r="DK39" s="393"/>
      <c r="DL39" s="393"/>
      <c r="DM39" s="393"/>
      <c r="DN39" s="393"/>
      <c r="DO39" s="393"/>
      <c r="DP39" s="393"/>
      <c r="DQ39" s="393"/>
      <c r="DR39" s="393"/>
      <c r="DS39" s="393"/>
      <c r="DT39" s="393"/>
      <c r="DU39" s="393"/>
      <c r="DV39" s="393"/>
      <c r="DW39" s="393"/>
      <c r="DX39" s="393"/>
      <c r="DY39" s="393"/>
      <c r="DZ39" s="393"/>
      <c r="EA39" s="393"/>
      <c r="EB39" s="393"/>
      <c r="EC39" s="393"/>
      <c r="ED39" s="393"/>
      <c r="EE39" s="393"/>
      <c r="EF39" s="393"/>
      <c r="EG39" s="393"/>
      <c r="EH39" s="393"/>
      <c r="EI39" s="393"/>
      <c r="EJ39" s="393"/>
      <c r="EK39" s="393"/>
      <c r="EL39" s="393"/>
      <c r="EM39" s="393"/>
      <c r="EN39" s="393"/>
      <c r="EO39" s="393"/>
      <c r="EP39" s="393"/>
      <c r="EQ39" s="393"/>
      <c r="ER39" s="393"/>
      <c r="ES39" s="393"/>
      <c r="ET39" s="393"/>
      <c r="EU39" s="393"/>
      <c r="EV39" s="393"/>
      <c r="EW39" s="393"/>
      <c r="EX39" s="393"/>
      <c r="EY39" s="393"/>
      <c r="EZ39" s="393"/>
      <c r="FA39" s="393"/>
      <c r="FB39" s="393"/>
      <c r="FC39" s="393"/>
      <c r="FD39" s="393"/>
      <c r="FE39" s="393"/>
      <c r="FF39" s="393"/>
      <c r="FG39" s="393"/>
      <c r="FH39" s="393"/>
      <c r="FI39" s="393"/>
      <c r="FJ39" s="393"/>
      <c r="FK39" s="393"/>
      <c r="FL39" s="393"/>
      <c r="FM39" s="393"/>
      <c r="FN39" s="393"/>
      <c r="FO39" s="393"/>
      <c r="FP39" s="393"/>
      <c r="FQ39" s="393"/>
      <c r="FR39" s="393"/>
      <c r="FS39" s="393"/>
      <c r="FT39" s="393"/>
      <c r="FU39" s="393"/>
      <c r="FV39" s="393"/>
      <c r="FW39" s="393"/>
      <c r="FX39" s="393"/>
      <c r="FY39" s="393"/>
      <c r="FZ39" s="393"/>
      <c r="GA39" s="393"/>
      <c r="GB39" s="393"/>
      <c r="GC39" s="393"/>
      <c r="GD39" s="393"/>
      <c r="GE39" s="393"/>
      <c r="GF39" s="393"/>
      <c r="GG39" s="393"/>
      <c r="GH39" s="393"/>
      <c r="GI39" s="393"/>
      <c r="GJ39" s="393"/>
      <c r="GK39" s="393"/>
      <c r="GL39" s="393"/>
      <c r="GM39" s="393"/>
      <c r="GN39" s="393"/>
      <c r="GO39" s="393"/>
      <c r="GP39" s="393"/>
      <c r="GQ39" s="393"/>
      <c r="GR39" s="393"/>
      <c r="GS39" s="393"/>
      <c r="GT39" s="393"/>
      <c r="GU39" s="393"/>
      <c r="GV39" s="393"/>
      <c r="GW39" s="393"/>
      <c r="GX39" s="393"/>
      <c r="GY39" s="393"/>
      <c r="GZ39" s="393"/>
      <c r="HA39" s="393"/>
      <c r="HB39" s="393"/>
      <c r="HC39" s="393"/>
      <c r="HD39" s="393"/>
      <c r="HE39" s="393"/>
      <c r="HF39" s="393"/>
      <c r="HG39" s="393"/>
      <c r="HH39" s="393"/>
      <c r="HI39" s="393"/>
      <c r="HJ39" s="393"/>
      <c r="HK39" s="393"/>
      <c r="HL39" s="393"/>
      <c r="HM39" s="393"/>
      <c r="HN39" s="393"/>
      <c r="HO39" s="393"/>
      <c r="HP39" s="393"/>
      <c r="HQ39" s="393"/>
      <c r="HR39" s="393"/>
      <c r="HS39" s="393"/>
      <c r="HT39" s="393"/>
      <c r="HU39" s="393"/>
      <c r="HV39" s="393"/>
      <c r="HW39" s="393"/>
      <c r="HX39" s="393"/>
      <c r="HY39" s="393"/>
      <c r="HZ39" s="393"/>
      <c r="IA39" s="393"/>
      <c r="IB39" s="393"/>
      <c r="IC39" s="393"/>
      <c r="ID39" s="393"/>
      <c r="IE39" s="393"/>
      <c r="IF39" s="393"/>
      <c r="IG39" s="393"/>
      <c r="IH39" s="393"/>
      <c r="II39" s="393"/>
      <c r="IJ39" s="393"/>
      <c r="IK39" s="393"/>
      <c r="IL39" s="393"/>
      <c r="IM39" s="393"/>
      <c r="IN39" s="393"/>
      <c r="IO39" s="393"/>
      <c r="IP39" s="393"/>
      <c r="IQ39" s="393"/>
      <c r="IR39" s="393"/>
    </row>
    <row r="40" spans="2:252" s="62" customFormat="1" ht="25.15" customHeight="1" x14ac:dyDescent="0.25">
      <c r="B40" s="243" t="s">
        <v>58</v>
      </c>
      <c r="C40" s="244"/>
      <c r="D40" s="245">
        <f>SUM(D35:D38)</f>
        <v>43993.34</v>
      </c>
      <c r="E40" s="245">
        <f>SUM(E35:E38)</f>
        <v>33834.160000000003</v>
      </c>
      <c r="F40" s="423">
        <f>SUM(F35:F39)</f>
        <v>389</v>
      </c>
      <c r="G40" s="58"/>
      <c r="H40" s="58"/>
      <c r="I40" s="58"/>
      <c r="J40" s="424"/>
      <c r="K40" s="60"/>
      <c r="L40" s="58"/>
      <c r="M40" s="58"/>
      <c r="N40" s="61"/>
      <c r="V40" s="393"/>
      <c r="W40" s="393"/>
      <c r="X40" s="393"/>
      <c r="Y40" s="393"/>
      <c r="Z40" s="393"/>
      <c r="AA40" s="393"/>
      <c r="AB40" s="393"/>
      <c r="AC40" s="393"/>
      <c r="AD40" s="393"/>
      <c r="AE40" s="393"/>
      <c r="AF40" s="393"/>
      <c r="AG40" s="393"/>
      <c r="AH40" s="393"/>
      <c r="AI40" s="393"/>
      <c r="AJ40" s="393"/>
      <c r="AK40" s="393"/>
      <c r="AL40" s="393"/>
      <c r="AM40" s="393"/>
      <c r="AN40" s="393"/>
      <c r="AO40" s="393"/>
      <c r="AP40" s="393"/>
      <c r="AQ40" s="393"/>
      <c r="AR40" s="393"/>
      <c r="AS40" s="393"/>
      <c r="AT40" s="393"/>
      <c r="AU40" s="393"/>
      <c r="AV40" s="393"/>
      <c r="AW40" s="393"/>
      <c r="AX40" s="393"/>
      <c r="AY40" s="393"/>
      <c r="AZ40" s="393"/>
      <c r="BA40" s="393"/>
      <c r="BB40" s="393"/>
      <c r="BC40" s="393"/>
      <c r="BD40" s="393"/>
      <c r="BE40" s="393"/>
      <c r="BF40" s="393"/>
      <c r="BG40" s="393"/>
      <c r="BH40" s="393"/>
      <c r="BI40" s="393"/>
      <c r="BJ40" s="393"/>
      <c r="BK40" s="393"/>
      <c r="BL40" s="393"/>
      <c r="BM40" s="393"/>
      <c r="BN40" s="393"/>
      <c r="BO40" s="393"/>
      <c r="BP40" s="393"/>
      <c r="BQ40" s="393"/>
      <c r="BR40" s="393"/>
      <c r="BS40" s="393"/>
      <c r="BT40" s="393"/>
      <c r="BU40" s="393"/>
      <c r="BV40" s="393"/>
      <c r="BW40" s="393"/>
      <c r="BX40" s="393"/>
      <c r="BY40" s="393"/>
      <c r="BZ40" s="393"/>
      <c r="CA40" s="393"/>
      <c r="CB40" s="393"/>
      <c r="CC40" s="393"/>
      <c r="CD40" s="393"/>
      <c r="CE40" s="393"/>
      <c r="CF40" s="393"/>
      <c r="CG40" s="393"/>
      <c r="CH40" s="393"/>
      <c r="CI40" s="393"/>
      <c r="CJ40" s="393"/>
      <c r="CK40" s="393"/>
      <c r="CL40" s="393"/>
      <c r="CM40" s="393"/>
      <c r="CN40" s="393"/>
      <c r="CO40" s="393"/>
      <c r="CP40" s="393"/>
      <c r="CQ40" s="393"/>
      <c r="CR40" s="393"/>
      <c r="CS40" s="393"/>
      <c r="CT40" s="393"/>
      <c r="CU40" s="393"/>
      <c r="CV40" s="393"/>
      <c r="CW40" s="393"/>
      <c r="CX40" s="393"/>
      <c r="CY40" s="393"/>
      <c r="CZ40" s="393"/>
      <c r="DA40" s="393"/>
      <c r="DB40" s="393"/>
      <c r="DC40" s="393"/>
      <c r="DD40" s="393"/>
      <c r="DE40" s="393"/>
      <c r="DF40" s="393"/>
      <c r="DG40" s="393"/>
      <c r="DH40" s="393"/>
      <c r="DI40" s="393"/>
      <c r="DJ40" s="393"/>
      <c r="DK40" s="393"/>
      <c r="DL40" s="393"/>
      <c r="DM40" s="393"/>
      <c r="DN40" s="393"/>
      <c r="DO40" s="393"/>
      <c r="DP40" s="393"/>
      <c r="DQ40" s="393"/>
      <c r="DR40" s="393"/>
      <c r="DS40" s="393"/>
      <c r="DT40" s="393"/>
      <c r="DU40" s="393"/>
      <c r="DV40" s="393"/>
      <c r="DW40" s="393"/>
      <c r="DX40" s="393"/>
      <c r="DY40" s="393"/>
      <c r="DZ40" s="393"/>
      <c r="EA40" s="393"/>
      <c r="EB40" s="393"/>
      <c r="EC40" s="393"/>
      <c r="ED40" s="393"/>
      <c r="EE40" s="393"/>
      <c r="EF40" s="393"/>
      <c r="EG40" s="393"/>
      <c r="EH40" s="393"/>
      <c r="EI40" s="393"/>
      <c r="EJ40" s="393"/>
      <c r="EK40" s="393"/>
      <c r="EL40" s="393"/>
      <c r="EM40" s="393"/>
      <c r="EN40" s="393"/>
      <c r="EO40" s="393"/>
      <c r="EP40" s="393"/>
      <c r="EQ40" s="393"/>
      <c r="ER40" s="393"/>
      <c r="ES40" s="393"/>
      <c r="ET40" s="393"/>
      <c r="EU40" s="393"/>
      <c r="EV40" s="393"/>
      <c r="EW40" s="393"/>
      <c r="EX40" s="393"/>
      <c r="EY40" s="393"/>
      <c r="EZ40" s="393"/>
      <c r="FA40" s="393"/>
      <c r="FB40" s="393"/>
      <c r="FC40" s="393"/>
      <c r="FD40" s="393"/>
      <c r="FE40" s="393"/>
      <c r="FF40" s="393"/>
      <c r="FG40" s="393"/>
      <c r="FH40" s="393"/>
      <c r="FI40" s="393"/>
      <c r="FJ40" s="393"/>
      <c r="FK40" s="393"/>
      <c r="FL40" s="393"/>
      <c r="FM40" s="393"/>
      <c r="FN40" s="393"/>
      <c r="FO40" s="393"/>
      <c r="FP40" s="393"/>
      <c r="FQ40" s="393"/>
      <c r="FR40" s="393"/>
      <c r="FS40" s="393"/>
      <c r="FT40" s="393"/>
      <c r="FU40" s="393"/>
      <c r="FV40" s="393"/>
      <c r="FW40" s="393"/>
      <c r="FX40" s="393"/>
      <c r="FY40" s="393"/>
      <c r="FZ40" s="393"/>
      <c r="GA40" s="393"/>
      <c r="GB40" s="393"/>
      <c r="GC40" s="393"/>
      <c r="GD40" s="393"/>
      <c r="GE40" s="393"/>
      <c r="GF40" s="393"/>
      <c r="GG40" s="393"/>
      <c r="GH40" s="393"/>
      <c r="GI40" s="393"/>
      <c r="GJ40" s="393"/>
      <c r="GK40" s="393"/>
      <c r="GL40" s="393"/>
      <c r="GM40" s="393"/>
      <c r="GN40" s="393"/>
      <c r="GO40" s="393"/>
      <c r="GP40" s="393"/>
      <c r="GQ40" s="393"/>
      <c r="GR40" s="393"/>
      <c r="GS40" s="393"/>
      <c r="GT40" s="393"/>
      <c r="GU40" s="393"/>
      <c r="GV40" s="393"/>
      <c r="GW40" s="393"/>
      <c r="GX40" s="393"/>
      <c r="GY40" s="393"/>
      <c r="GZ40" s="393"/>
      <c r="HA40" s="393"/>
      <c r="HB40" s="393"/>
      <c r="HC40" s="393"/>
      <c r="HD40" s="393"/>
      <c r="HE40" s="393"/>
      <c r="HF40" s="393"/>
      <c r="HG40" s="393"/>
      <c r="HH40" s="393"/>
      <c r="HI40" s="393"/>
      <c r="HJ40" s="393"/>
      <c r="HK40" s="393"/>
      <c r="HL40" s="393"/>
      <c r="HM40" s="393"/>
      <c r="HN40" s="393"/>
      <c r="HO40" s="393"/>
      <c r="HP40" s="393"/>
      <c r="HQ40" s="393"/>
      <c r="HR40" s="393"/>
      <c r="HS40" s="393"/>
      <c r="HT40" s="393"/>
      <c r="HU40" s="393"/>
      <c r="HV40" s="393"/>
      <c r="HW40" s="393"/>
      <c r="HX40" s="393"/>
      <c r="HY40" s="393"/>
      <c r="HZ40" s="393"/>
      <c r="IA40" s="393"/>
      <c r="IB40" s="393"/>
      <c r="IC40" s="393"/>
      <c r="ID40" s="393"/>
      <c r="IE40" s="393"/>
      <c r="IF40" s="393"/>
      <c r="IG40" s="393"/>
      <c r="IH40" s="393"/>
      <c r="II40" s="393"/>
      <c r="IJ40" s="393"/>
      <c r="IK40" s="393"/>
      <c r="IL40" s="393"/>
      <c r="IM40" s="393"/>
      <c r="IN40" s="393"/>
      <c r="IO40" s="393"/>
      <c r="IP40" s="393"/>
      <c r="IQ40" s="393"/>
      <c r="IR40" s="393"/>
    </row>
    <row r="41" spans="2:252" s="62" customFormat="1" ht="25.15" customHeight="1" x14ac:dyDescent="0.25">
      <c r="B41" s="58"/>
      <c r="C41" s="58"/>
      <c r="D41" s="58"/>
      <c r="E41" s="188"/>
      <c r="F41" s="188"/>
      <c r="G41" s="58"/>
      <c r="H41" s="58"/>
      <c r="I41" s="58"/>
      <c r="J41" s="59"/>
      <c r="K41" s="60"/>
      <c r="L41" s="58"/>
      <c r="M41" s="58"/>
      <c r="N41" s="61"/>
      <c r="V41" s="393"/>
      <c r="W41" s="393"/>
      <c r="X41" s="393"/>
      <c r="Y41" s="393"/>
      <c r="Z41" s="393"/>
      <c r="AA41" s="393"/>
      <c r="AB41" s="393"/>
      <c r="AC41" s="393"/>
      <c r="AD41" s="393"/>
      <c r="AE41" s="393"/>
      <c r="AF41" s="393"/>
      <c r="AG41" s="393"/>
      <c r="AH41" s="393"/>
      <c r="AI41" s="393"/>
      <c r="AJ41" s="393"/>
      <c r="AK41" s="393"/>
      <c r="AL41" s="393"/>
      <c r="AM41" s="393"/>
      <c r="AN41" s="393"/>
      <c r="AO41" s="393"/>
      <c r="AP41" s="393"/>
      <c r="AQ41" s="393"/>
      <c r="AR41" s="393"/>
      <c r="AS41" s="393"/>
      <c r="AT41" s="393"/>
      <c r="AU41" s="393"/>
      <c r="AV41" s="393"/>
      <c r="AW41" s="393"/>
      <c r="AX41" s="393"/>
      <c r="AY41" s="393"/>
      <c r="AZ41" s="393"/>
      <c r="BA41" s="393"/>
      <c r="BB41" s="393"/>
      <c r="BC41" s="393"/>
      <c r="BD41" s="393"/>
      <c r="BE41" s="393"/>
      <c r="BF41" s="393"/>
      <c r="BG41" s="393"/>
      <c r="BH41" s="393"/>
      <c r="BI41" s="393"/>
      <c r="BJ41" s="393"/>
      <c r="BK41" s="393"/>
      <c r="BL41" s="393"/>
      <c r="BM41" s="393"/>
      <c r="BN41" s="393"/>
      <c r="BO41" s="393"/>
      <c r="BP41" s="393"/>
      <c r="BQ41" s="393"/>
      <c r="BR41" s="393"/>
      <c r="BS41" s="393"/>
      <c r="BT41" s="393"/>
      <c r="BU41" s="393"/>
      <c r="BV41" s="393"/>
      <c r="BW41" s="393"/>
      <c r="BX41" s="393"/>
      <c r="BY41" s="393"/>
      <c r="BZ41" s="393"/>
      <c r="CA41" s="393"/>
      <c r="CB41" s="393"/>
      <c r="CC41" s="393"/>
      <c r="CD41" s="393"/>
      <c r="CE41" s="393"/>
      <c r="CF41" s="393"/>
      <c r="CG41" s="393"/>
      <c r="CH41" s="393"/>
      <c r="CI41" s="393"/>
      <c r="CJ41" s="393"/>
      <c r="CK41" s="393"/>
      <c r="CL41" s="393"/>
      <c r="CM41" s="393"/>
      <c r="CN41" s="393"/>
      <c r="CO41" s="393"/>
      <c r="CP41" s="393"/>
      <c r="CQ41" s="393"/>
      <c r="CR41" s="393"/>
      <c r="CS41" s="393"/>
      <c r="CT41" s="393"/>
      <c r="CU41" s="393"/>
      <c r="CV41" s="393"/>
      <c r="CW41" s="393"/>
      <c r="CX41" s="393"/>
      <c r="CY41" s="393"/>
      <c r="CZ41" s="393"/>
      <c r="DA41" s="393"/>
      <c r="DB41" s="393"/>
      <c r="DC41" s="393"/>
      <c r="DD41" s="393"/>
      <c r="DE41" s="393"/>
      <c r="DF41" s="393"/>
      <c r="DG41" s="393"/>
      <c r="DH41" s="393"/>
      <c r="DI41" s="393"/>
      <c r="DJ41" s="393"/>
      <c r="DK41" s="393"/>
      <c r="DL41" s="393"/>
      <c r="DM41" s="393"/>
      <c r="DN41" s="393"/>
      <c r="DO41" s="393"/>
      <c r="DP41" s="393"/>
      <c r="DQ41" s="393"/>
      <c r="DR41" s="393"/>
      <c r="DS41" s="393"/>
      <c r="DT41" s="393"/>
      <c r="DU41" s="393"/>
      <c r="DV41" s="393"/>
      <c r="DW41" s="393"/>
      <c r="DX41" s="393"/>
      <c r="DY41" s="393"/>
      <c r="DZ41" s="393"/>
      <c r="EA41" s="393"/>
      <c r="EB41" s="393"/>
      <c r="EC41" s="393"/>
      <c r="ED41" s="393"/>
      <c r="EE41" s="393"/>
      <c r="EF41" s="393"/>
      <c r="EG41" s="393"/>
      <c r="EH41" s="393"/>
      <c r="EI41" s="393"/>
      <c r="EJ41" s="393"/>
      <c r="EK41" s="393"/>
      <c r="EL41" s="393"/>
      <c r="EM41" s="393"/>
      <c r="EN41" s="393"/>
      <c r="EO41" s="393"/>
      <c r="EP41" s="393"/>
      <c r="EQ41" s="393"/>
      <c r="ER41" s="393"/>
      <c r="ES41" s="393"/>
      <c r="ET41" s="393"/>
      <c r="EU41" s="393"/>
      <c r="EV41" s="393"/>
      <c r="EW41" s="393"/>
      <c r="EX41" s="393"/>
      <c r="EY41" s="393"/>
      <c r="EZ41" s="393"/>
      <c r="FA41" s="393"/>
      <c r="FB41" s="393"/>
      <c r="FC41" s="393"/>
      <c r="FD41" s="393"/>
      <c r="FE41" s="393"/>
      <c r="FF41" s="393"/>
      <c r="FG41" s="393"/>
      <c r="FH41" s="393"/>
      <c r="FI41" s="393"/>
      <c r="FJ41" s="393"/>
      <c r="FK41" s="393"/>
      <c r="FL41" s="393"/>
      <c r="FM41" s="393"/>
      <c r="FN41" s="393"/>
      <c r="FO41" s="393"/>
      <c r="FP41" s="393"/>
      <c r="FQ41" s="393"/>
      <c r="FR41" s="393"/>
      <c r="FS41" s="393"/>
      <c r="FT41" s="393"/>
      <c r="FU41" s="393"/>
      <c r="FV41" s="393"/>
      <c r="FW41" s="393"/>
      <c r="FX41" s="393"/>
      <c r="FY41" s="393"/>
      <c r="FZ41" s="393"/>
      <c r="GA41" s="393"/>
      <c r="GB41" s="393"/>
      <c r="GC41" s="393"/>
      <c r="GD41" s="393"/>
      <c r="GE41" s="393"/>
      <c r="GF41" s="393"/>
      <c r="GG41" s="393"/>
      <c r="GH41" s="393"/>
      <c r="GI41" s="393"/>
      <c r="GJ41" s="393"/>
      <c r="GK41" s="393"/>
      <c r="GL41" s="393"/>
      <c r="GM41" s="393"/>
      <c r="GN41" s="393"/>
      <c r="GO41" s="393"/>
      <c r="GP41" s="393"/>
      <c r="GQ41" s="393"/>
      <c r="GR41" s="393"/>
      <c r="GS41" s="393"/>
      <c r="GT41" s="393"/>
      <c r="GU41" s="393"/>
      <c r="GV41" s="393"/>
      <c r="GW41" s="393"/>
      <c r="GX41" s="393"/>
      <c r="GY41" s="393"/>
      <c r="GZ41" s="393"/>
      <c r="HA41" s="393"/>
      <c r="HB41" s="393"/>
      <c r="HC41" s="393"/>
      <c r="HD41" s="393"/>
      <c r="HE41" s="393"/>
      <c r="HF41" s="393"/>
      <c r="HG41" s="393"/>
      <c r="HH41" s="393"/>
      <c r="HI41" s="393"/>
      <c r="HJ41" s="393"/>
      <c r="HK41" s="393"/>
      <c r="HL41" s="393"/>
      <c r="HM41" s="393"/>
      <c r="HN41" s="393"/>
      <c r="HO41" s="393"/>
      <c r="HP41" s="393"/>
      <c r="HQ41" s="393"/>
      <c r="HR41" s="393"/>
      <c r="HS41" s="393"/>
      <c r="HT41" s="393"/>
      <c r="HU41" s="393"/>
      <c r="HV41" s="393"/>
      <c r="HW41" s="393"/>
      <c r="HX41" s="393"/>
      <c r="HY41" s="393"/>
      <c r="HZ41" s="393"/>
      <c r="IA41" s="393"/>
      <c r="IB41" s="393"/>
      <c r="IC41" s="393"/>
      <c r="ID41" s="393"/>
      <c r="IE41" s="393"/>
      <c r="IF41" s="393"/>
      <c r="IG41" s="393"/>
      <c r="IH41" s="393"/>
      <c r="II41" s="393"/>
      <c r="IJ41" s="393"/>
      <c r="IK41" s="393"/>
      <c r="IL41" s="393"/>
      <c r="IM41" s="393"/>
      <c r="IN41" s="393"/>
      <c r="IO41" s="393"/>
      <c r="IP41" s="393"/>
      <c r="IQ41" s="393"/>
      <c r="IR41" s="393"/>
    </row>
    <row r="42" spans="2:252" ht="25.5" x14ac:dyDescent="0.5">
      <c r="B42" s="70" t="s">
        <v>16</v>
      </c>
      <c r="C42" s="55"/>
      <c r="D42" s="55"/>
      <c r="E42" s="55"/>
      <c r="F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</row>
    <row r="43" spans="2:252" ht="4.5" customHeight="1" x14ac:dyDescent="0.3">
      <c r="B43" s="55"/>
      <c r="C43" s="55"/>
      <c r="D43" s="55"/>
      <c r="E43" s="55"/>
      <c r="F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</row>
    <row r="44" spans="2:252" s="62" customFormat="1" ht="25.15" customHeight="1" x14ac:dyDescent="0.25">
      <c r="B44" s="71" t="s">
        <v>17</v>
      </c>
      <c r="C44" s="71" t="s">
        <v>18</v>
      </c>
      <c r="D44" s="2" t="s">
        <v>131</v>
      </c>
      <c r="E44" s="58"/>
      <c r="F44" s="58"/>
      <c r="G44" s="58"/>
      <c r="H44" s="58"/>
      <c r="I44" s="58"/>
      <c r="J44" s="59"/>
      <c r="K44" s="60"/>
      <c r="L44" s="58"/>
      <c r="M44" s="58"/>
      <c r="N44" s="61"/>
      <c r="V44" s="393"/>
      <c r="W44" s="393"/>
      <c r="X44" s="393"/>
      <c r="Y44" s="393"/>
      <c r="Z44" s="393"/>
      <c r="AA44" s="393"/>
      <c r="AB44" s="393"/>
      <c r="AC44" s="393"/>
      <c r="AD44" s="393"/>
      <c r="AE44" s="393"/>
      <c r="AF44" s="393"/>
      <c r="AG44" s="393"/>
      <c r="AH44" s="393"/>
      <c r="AI44" s="393"/>
      <c r="AJ44" s="393"/>
      <c r="AK44" s="393"/>
      <c r="AL44" s="393"/>
      <c r="AM44" s="393"/>
      <c r="AN44" s="393"/>
      <c r="AO44" s="393"/>
      <c r="AP44" s="393"/>
      <c r="AQ44" s="393"/>
      <c r="AR44" s="393"/>
      <c r="AS44" s="393"/>
      <c r="AT44" s="393"/>
      <c r="AU44" s="393"/>
      <c r="AV44" s="393"/>
      <c r="AW44" s="393"/>
      <c r="AX44" s="393"/>
      <c r="AY44" s="393"/>
      <c r="AZ44" s="393"/>
      <c r="BA44" s="393"/>
      <c r="BB44" s="393"/>
      <c r="BC44" s="393"/>
      <c r="BD44" s="393"/>
      <c r="BE44" s="393"/>
      <c r="BF44" s="393"/>
      <c r="BG44" s="393"/>
      <c r="BH44" s="393"/>
      <c r="BI44" s="393"/>
      <c r="BJ44" s="393"/>
      <c r="BK44" s="393"/>
      <c r="BL44" s="393"/>
      <c r="BM44" s="393"/>
      <c r="BN44" s="393"/>
      <c r="BO44" s="393"/>
      <c r="BP44" s="393"/>
      <c r="BQ44" s="393"/>
      <c r="BR44" s="393"/>
      <c r="BS44" s="393"/>
      <c r="BT44" s="393"/>
      <c r="BU44" s="393"/>
      <c r="BV44" s="393"/>
      <c r="BW44" s="393"/>
      <c r="BX44" s="393"/>
      <c r="BY44" s="393"/>
      <c r="BZ44" s="393"/>
      <c r="CA44" s="393"/>
      <c r="CB44" s="393"/>
      <c r="CC44" s="393"/>
      <c r="CD44" s="393"/>
      <c r="CE44" s="393"/>
      <c r="CF44" s="393"/>
      <c r="CG44" s="393"/>
      <c r="CH44" s="393"/>
      <c r="CI44" s="393"/>
      <c r="CJ44" s="393"/>
      <c r="CK44" s="393"/>
      <c r="CL44" s="393"/>
      <c r="CM44" s="393"/>
      <c r="CN44" s="393"/>
      <c r="CO44" s="393"/>
      <c r="CP44" s="393"/>
      <c r="CQ44" s="393"/>
      <c r="CR44" s="393"/>
      <c r="CS44" s="393"/>
      <c r="CT44" s="393"/>
      <c r="CU44" s="393"/>
      <c r="CV44" s="393"/>
      <c r="CW44" s="393"/>
      <c r="CX44" s="393"/>
      <c r="CY44" s="393"/>
      <c r="CZ44" s="393"/>
      <c r="DA44" s="393"/>
      <c r="DB44" s="393"/>
      <c r="DC44" s="393"/>
      <c r="DD44" s="393"/>
      <c r="DE44" s="393"/>
      <c r="DF44" s="393"/>
      <c r="DG44" s="393"/>
      <c r="DH44" s="393"/>
      <c r="DI44" s="393"/>
      <c r="DJ44" s="393"/>
      <c r="DK44" s="393"/>
      <c r="DL44" s="393"/>
      <c r="DM44" s="393"/>
      <c r="DN44" s="393"/>
      <c r="DO44" s="393"/>
      <c r="DP44" s="393"/>
      <c r="DQ44" s="393"/>
      <c r="DR44" s="393"/>
      <c r="DS44" s="393"/>
      <c r="DT44" s="393"/>
      <c r="DU44" s="393"/>
      <c r="DV44" s="393"/>
      <c r="DW44" s="393"/>
      <c r="DX44" s="393"/>
      <c r="DY44" s="393"/>
      <c r="DZ44" s="393"/>
      <c r="EA44" s="393"/>
      <c r="EB44" s="393"/>
      <c r="EC44" s="393"/>
      <c r="ED44" s="393"/>
      <c r="EE44" s="393"/>
      <c r="EF44" s="393"/>
      <c r="EG44" s="393"/>
      <c r="EH44" s="393"/>
      <c r="EI44" s="393"/>
      <c r="EJ44" s="393"/>
      <c r="EK44" s="393"/>
      <c r="EL44" s="393"/>
      <c r="EM44" s="393"/>
      <c r="EN44" s="393"/>
      <c r="EO44" s="393"/>
      <c r="EP44" s="393"/>
      <c r="EQ44" s="393"/>
      <c r="ER44" s="393"/>
      <c r="ES44" s="393"/>
      <c r="ET44" s="393"/>
      <c r="EU44" s="393"/>
      <c r="EV44" s="393"/>
      <c r="EW44" s="393"/>
      <c r="EX44" s="393"/>
      <c r="EY44" s="393"/>
      <c r="EZ44" s="393"/>
      <c r="FA44" s="393"/>
      <c r="FB44" s="393"/>
      <c r="FC44" s="393"/>
      <c r="FD44" s="393"/>
      <c r="FE44" s="393"/>
      <c r="FF44" s="393"/>
      <c r="FG44" s="393"/>
      <c r="FH44" s="393"/>
      <c r="FI44" s="393"/>
      <c r="FJ44" s="393"/>
      <c r="FK44" s="393"/>
      <c r="FL44" s="393"/>
      <c r="FM44" s="393"/>
      <c r="FN44" s="393"/>
      <c r="FO44" s="393"/>
      <c r="FP44" s="393"/>
      <c r="FQ44" s="393"/>
      <c r="FR44" s="393"/>
      <c r="FS44" s="393"/>
      <c r="FT44" s="393"/>
      <c r="FU44" s="393"/>
      <c r="FV44" s="393"/>
      <c r="FW44" s="393"/>
      <c r="FX44" s="393"/>
      <c r="FY44" s="393"/>
      <c r="FZ44" s="393"/>
      <c r="GA44" s="393"/>
      <c r="GB44" s="393"/>
      <c r="GC44" s="393"/>
      <c r="GD44" s="393"/>
      <c r="GE44" s="393"/>
      <c r="GF44" s="393"/>
      <c r="GG44" s="393"/>
      <c r="GH44" s="393"/>
      <c r="GI44" s="393"/>
      <c r="GJ44" s="393"/>
      <c r="GK44" s="393"/>
      <c r="GL44" s="393"/>
      <c r="GM44" s="393"/>
      <c r="GN44" s="393"/>
      <c r="GO44" s="393"/>
      <c r="GP44" s="393"/>
      <c r="GQ44" s="393"/>
      <c r="GR44" s="393"/>
      <c r="GS44" s="393"/>
      <c r="GT44" s="393"/>
      <c r="GU44" s="393"/>
      <c r="GV44" s="393"/>
      <c r="GW44" s="393"/>
      <c r="GX44" s="393"/>
      <c r="GY44" s="393"/>
      <c r="GZ44" s="393"/>
      <c r="HA44" s="393"/>
      <c r="HB44" s="393"/>
      <c r="HC44" s="393"/>
      <c r="HD44" s="393"/>
      <c r="HE44" s="393"/>
      <c r="HF44" s="393"/>
      <c r="HG44" s="393"/>
      <c r="HH44" s="393"/>
      <c r="HI44" s="393"/>
      <c r="HJ44" s="393"/>
      <c r="HK44" s="393"/>
      <c r="HL44" s="393"/>
      <c r="HM44" s="393"/>
      <c r="HN44" s="393"/>
      <c r="HO44" s="393"/>
      <c r="HP44" s="393"/>
      <c r="HQ44" s="393"/>
      <c r="HR44" s="393"/>
      <c r="HS44" s="393"/>
      <c r="HT44" s="393"/>
      <c r="HU44" s="393"/>
      <c r="HV44" s="393"/>
      <c r="HW44" s="393"/>
      <c r="HX44" s="393"/>
      <c r="HY44" s="393"/>
      <c r="HZ44" s="393"/>
      <c r="IA44" s="393"/>
      <c r="IB44" s="393"/>
      <c r="IC44" s="393"/>
      <c r="ID44" s="393"/>
      <c r="IE44" s="393"/>
      <c r="IF44" s="393"/>
      <c r="IG44" s="393"/>
      <c r="IH44" s="393"/>
      <c r="II44" s="393"/>
      <c r="IJ44" s="393"/>
      <c r="IK44" s="393"/>
      <c r="IL44" s="393"/>
      <c r="IM44" s="393"/>
      <c r="IN44" s="393"/>
      <c r="IO44" s="393"/>
      <c r="IP44" s="393"/>
      <c r="IQ44" s="393"/>
      <c r="IR44" s="393"/>
    </row>
    <row r="45" spans="2:252" s="62" customFormat="1" ht="25.15" customHeight="1" x14ac:dyDescent="0.25">
      <c r="B45" s="179" t="s">
        <v>19</v>
      </c>
      <c r="C45" s="58" t="s">
        <v>20</v>
      </c>
      <c r="D45" s="197">
        <v>40179</v>
      </c>
      <c r="E45" s="58"/>
      <c r="F45" s="58"/>
      <c r="V45" s="393"/>
      <c r="W45" s="393"/>
      <c r="X45" s="393"/>
      <c r="Y45" s="393"/>
      <c r="Z45" s="393"/>
      <c r="AA45" s="393"/>
      <c r="AB45" s="393"/>
      <c r="AC45" s="393"/>
      <c r="AD45" s="393"/>
      <c r="AE45" s="393"/>
      <c r="AF45" s="393"/>
      <c r="AG45" s="393"/>
      <c r="AH45" s="393"/>
      <c r="AI45" s="393"/>
      <c r="AJ45" s="393"/>
      <c r="AK45" s="393"/>
      <c r="AL45" s="393"/>
      <c r="AM45" s="393"/>
      <c r="AN45" s="393"/>
      <c r="AO45" s="393"/>
      <c r="AP45" s="393"/>
      <c r="AQ45" s="393"/>
      <c r="AR45" s="393"/>
      <c r="AS45" s="393"/>
      <c r="AT45" s="393"/>
      <c r="AU45" s="393"/>
      <c r="AV45" s="393"/>
      <c r="AW45" s="393"/>
      <c r="AX45" s="393"/>
      <c r="AY45" s="393"/>
      <c r="AZ45" s="393"/>
      <c r="BA45" s="393"/>
      <c r="BB45" s="393"/>
      <c r="BC45" s="393"/>
      <c r="BD45" s="393"/>
      <c r="BE45" s="393"/>
      <c r="BF45" s="393"/>
      <c r="BG45" s="393"/>
      <c r="BH45" s="393"/>
      <c r="BI45" s="393"/>
      <c r="BJ45" s="393"/>
      <c r="BK45" s="393"/>
      <c r="BL45" s="393"/>
      <c r="BM45" s="393"/>
      <c r="BN45" s="393"/>
      <c r="BO45" s="393"/>
      <c r="BP45" s="393"/>
      <c r="BQ45" s="393"/>
      <c r="BR45" s="393"/>
      <c r="BS45" s="393"/>
      <c r="BT45" s="393"/>
      <c r="BU45" s="393"/>
      <c r="BV45" s="393"/>
      <c r="BW45" s="393"/>
      <c r="BX45" s="393"/>
      <c r="BY45" s="393"/>
      <c r="BZ45" s="393"/>
      <c r="CA45" s="393"/>
      <c r="CB45" s="393"/>
      <c r="CC45" s="393"/>
      <c r="CD45" s="393"/>
      <c r="CE45" s="393"/>
      <c r="CF45" s="393"/>
      <c r="CG45" s="393"/>
      <c r="CH45" s="393"/>
      <c r="CI45" s="393"/>
      <c r="CJ45" s="393"/>
      <c r="CK45" s="393"/>
      <c r="CL45" s="393"/>
      <c r="CM45" s="393"/>
      <c r="CN45" s="393"/>
      <c r="CO45" s="393"/>
      <c r="CP45" s="393"/>
      <c r="CQ45" s="393"/>
      <c r="CR45" s="393"/>
      <c r="CS45" s="393"/>
      <c r="CT45" s="393"/>
      <c r="CU45" s="393"/>
      <c r="CV45" s="393"/>
      <c r="CW45" s="393"/>
      <c r="CX45" s="393"/>
      <c r="CY45" s="393"/>
      <c r="CZ45" s="393"/>
      <c r="DA45" s="393"/>
      <c r="DB45" s="393"/>
      <c r="DC45" s="393"/>
      <c r="DD45" s="393"/>
      <c r="DE45" s="393"/>
      <c r="DF45" s="393"/>
      <c r="DG45" s="393"/>
      <c r="DH45" s="393"/>
      <c r="DI45" s="393"/>
      <c r="DJ45" s="393"/>
      <c r="DK45" s="393"/>
      <c r="DL45" s="393"/>
      <c r="DM45" s="393"/>
      <c r="DN45" s="393"/>
      <c r="DO45" s="393"/>
      <c r="DP45" s="393"/>
      <c r="DQ45" s="393"/>
      <c r="DR45" s="393"/>
      <c r="DS45" s="393"/>
      <c r="DT45" s="393"/>
      <c r="DU45" s="393"/>
      <c r="DV45" s="393"/>
      <c r="DW45" s="393"/>
      <c r="DX45" s="393"/>
      <c r="DY45" s="393"/>
      <c r="DZ45" s="393"/>
      <c r="EA45" s="393"/>
      <c r="EB45" s="393"/>
      <c r="EC45" s="393"/>
      <c r="ED45" s="393"/>
      <c r="EE45" s="393"/>
      <c r="EF45" s="393"/>
      <c r="EG45" s="393"/>
      <c r="EH45" s="393"/>
      <c r="EI45" s="393"/>
      <c r="EJ45" s="393"/>
      <c r="EK45" s="393"/>
      <c r="EL45" s="393"/>
      <c r="EM45" s="393"/>
      <c r="EN45" s="393"/>
      <c r="EO45" s="393"/>
      <c r="EP45" s="393"/>
      <c r="EQ45" s="393"/>
      <c r="ER45" s="393"/>
      <c r="ES45" s="393"/>
      <c r="ET45" s="393"/>
      <c r="EU45" s="393"/>
      <c r="EV45" s="393"/>
      <c r="EW45" s="393"/>
      <c r="EX45" s="393"/>
      <c r="EY45" s="393"/>
      <c r="EZ45" s="393"/>
      <c r="FA45" s="393"/>
      <c r="FB45" s="393"/>
      <c r="FC45" s="393"/>
      <c r="FD45" s="393"/>
      <c r="FE45" s="393"/>
      <c r="FF45" s="393"/>
      <c r="FG45" s="393"/>
      <c r="FH45" s="393"/>
      <c r="FI45" s="393"/>
      <c r="FJ45" s="393"/>
      <c r="FK45" s="393"/>
      <c r="FL45" s="393"/>
      <c r="FM45" s="393"/>
      <c r="FN45" s="393"/>
      <c r="FO45" s="393"/>
      <c r="FP45" s="393"/>
      <c r="FQ45" s="393"/>
      <c r="FR45" s="393"/>
      <c r="FS45" s="393"/>
      <c r="FT45" s="393"/>
      <c r="FU45" s="393"/>
      <c r="FV45" s="393"/>
      <c r="FW45" s="393"/>
      <c r="FX45" s="393"/>
      <c r="FY45" s="393"/>
      <c r="FZ45" s="393"/>
      <c r="GA45" s="393"/>
      <c r="GB45" s="393"/>
      <c r="GC45" s="393"/>
      <c r="GD45" s="393"/>
      <c r="GE45" s="393"/>
      <c r="GF45" s="393"/>
      <c r="GG45" s="393"/>
      <c r="GH45" s="393"/>
      <c r="GI45" s="393"/>
      <c r="GJ45" s="393"/>
      <c r="GK45" s="393"/>
      <c r="GL45" s="393"/>
      <c r="GM45" s="393"/>
      <c r="GN45" s="393"/>
      <c r="GO45" s="393"/>
      <c r="GP45" s="393"/>
      <c r="GQ45" s="393"/>
      <c r="GR45" s="393"/>
      <c r="GS45" s="393"/>
      <c r="GT45" s="393"/>
      <c r="GU45" s="393"/>
      <c r="GV45" s="393"/>
      <c r="GW45" s="393"/>
      <c r="GX45" s="393"/>
      <c r="GY45" s="393"/>
      <c r="GZ45" s="393"/>
      <c r="HA45" s="393"/>
      <c r="HB45" s="393"/>
      <c r="HC45" s="393"/>
      <c r="HD45" s="393"/>
      <c r="HE45" s="393"/>
      <c r="HF45" s="393"/>
      <c r="HG45" s="393"/>
      <c r="HH45" s="393"/>
      <c r="HI45" s="393"/>
      <c r="HJ45" s="393"/>
      <c r="HK45" s="393"/>
      <c r="HL45" s="393"/>
      <c r="HM45" s="393"/>
      <c r="HN45" s="393"/>
      <c r="HO45" s="393"/>
      <c r="HP45" s="393"/>
      <c r="HQ45" s="393"/>
      <c r="HR45" s="393"/>
      <c r="HS45" s="393"/>
      <c r="HT45" s="393"/>
      <c r="HU45" s="393"/>
      <c r="HV45" s="393"/>
      <c r="HW45" s="393"/>
      <c r="HX45" s="393"/>
      <c r="HY45" s="393"/>
      <c r="HZ45" s="393"/>
      <c r="IA45" s="393"/>
      <c r="IB45" s="393"/>
      <c r="IC45" s="393"/>
      <c r="ID45" s="393"/>
      <c r="IE45" s="393"/>
      <c r="IF45" s="393"/>
      <c r="IG45" s="393"/>
      <c r="IH45" s="393"/>
      <c r="II45" s="393"/>
      <c r="IJ45" s="393"/>
      <c r="IK45" s="393"/>
      <c r="IL45" s="393"/>
      <c r="IM45" s="393"/>
      <c r="IN45" s="393"/>
      <c r="IO45" s="393"/>
      <c r="IP45" s="393"/>
      <c r="IQ45" s="393"/>
      <c r="IR45" s="393"/>
    </row>
    <row r="46" spans="2:252" s="62" customFormat="1" ht="25.15" customHeight="1" x14ac:dyDescent="0.25">
      <c r="B46" s="179" t="s">
        <v>21</v>
      </c>
      <c r="C46" s="58" t="s">
        <v>22</v>
      </c>
      <c r="D46" s="197">
        <v>40179</v>
      </c>
      <c r="E46" s="58"/>
      <c r="F46" s="58"/>
      <c r="V46" s="393"/>
      <c r="W46" s="393"/>
      <c r="X46" s="393"/>
      <c r="Y46" s="393"/>
      <c r="Z46" s="393"/>
      <c r="AA46" s="393"/>
      <c r="AB46" s="393"/>
      <c r="AC46" s="393"/>
      <c r="AD46" s="393"/>
      <c r="AE46" s="393"/>
      <c r="AF46" s="393"/>
      <c r="AG46" s="393"/>
      <c r="AH46" s="393"/>
      <c r="AI46" s="393"/>
      <c r="AJ46" s="393"/>
      <c r="AK46" s="393"/>
      <c r="AL46" s="393"/>
      <c r="AM46" s="393"/>
      <c r="AN46" s="393"/>
      <c r="AO46" s="393"/>
      <c r="AP46" s="393"/>
      <c r="AQ46" s="393"/>
      <c r="AR46" s="393"/>
      <c r="AS46" s="393"/>
      <c r="AT46" s="393"/>
      <c r="AU46" s="393"/>
      <c r="AV46" s="393"/>
      <c r="AW46" s="393"/>
      <c r="AX46" s="393"/>
      <c r="AY46" s="393"/>
      <c r="AZ46" s="393"/>
      <c r="BA46" s="393"/>
      <c r="BB46" s="393"/>
      <c r="BC46" s="393"/>
      <c r="BD46" s="393"/>
      <c r="BE46" s="393"/>
      <c r="BF46" s="393"/>
      <c r="BG46" s="393"/>
      <c r="BH46" s="393"/>
      <c r="BI46" s="393"/>
      <c r="BJ46" s="393"/>
      <c r="BK46" s="393"/>
      <c r="BL46" s="393"/>
      <c r="BM46" s="393"/>
      <c r="BN46" s="393"/>
      <c r="BO46" s="393"/>
      <c r="BP46" s="393"/>
      <c r="BQ46" s="393"/>
      <c r="BR46" s="393"/>
      <c r="BS46" s="393"/>
      <c r="BT46" s="393"/>
      <c r="BU46" s="393"/>
      <c r="BV46" s="393"/>
      <c r="BW46" s="393"/>
      <c r="BX46" s="393"/>
      <c r="BY46" s="393"/>
      <c r="BZ46" s="393"/>
      <c r="CA46" s="393"/>
      <c r="CB46" s="393"/>
      <c r="CC46" s="393"/>
      <c r="CD46" s="393"/>
      <c r="CE46" s="393"/>
      <c r="CF46" s="393"/>
      <c r="CG46" s="393"/>
      <c r="CH46" s="393"/>
      <c r="CI46" s="393"/>
      <c r="CJ46" s="393"/>
      <c r="CK46" s="393"/>
      <c r="CL46" s="393"/>
      <c r="CM46" s="393"/>
      <c r="CN46" s="393"/>
      <c r="CO46" s="393"/>
      <c r="CP46" s="393"/>
      <c r="CQ46" s="393"/>
      <c r="CR46" s="393"/>
      <c r="CS46" s="393"/>
      <c r="CT46" s="393"/>
      <c r="CU46" s="393"/>
      <c r="CV46" s="393"/>
      <c r="CW46" s="393"/>
      <c r="CX46" s="393"/>
      <c r="CY46" s="393"/>
      <c r="CZ46" s="393"/>
      <c r="DA46" s="393"/>
      <c r="DB46" s="393"/>
      <c r="DC46" s="393"/>
      <c r="DD46" s="393"/>
      <c r="DE46" s="393"/>
      <c r="DF46" s="393"/>
      <c r="DG46" s="393"/>
      <c r="DH46" s="393"/>
      <c r="DI46" s="393"/>
      <c r="DJ46" s="393"/>
      <c r="DK46" s="393"/>
      <c r="DL46" s="393"/>
      <c r="DM46" s="393"/>
      <c r="DN46" s="393"/>
      <c r="DO46" s="393"/>
      <c r="DP46" s="393"/>
      <c r="DQ46" s="393"/>
      <c r="DR46" s="393"/>
      <c r="DS46" s="393"/>
      <c r="DT46" s="393"/>
      <c r="DU46" s="393"/>
      <c r="DV46" s="393"/>
      <c r="DW46" s="393"/>
      <c r="DX46" s="393"/>
      <c r="DY46" s="393"/>
      <c r="DZ46" s="393"/>
      <c r="EA46" s="393"/>
      <c r="EB46" s="393"/>
      <c r="EC46" s="393"/>
      <c r="ED46" s="393"/>
      <c r="EE46" s="393"/>
      <c r="EF46" s="393"/>
      <c r="EG46" s="393"/>
      <c r="EH46" s="393"/>
      <c r="EI46" s="393"/>
      <c r="EJ46" s="393"/>
      <c r="EK46" s="393"/>
      <c r="EL46" s="393"/>
      <c r="EM46" s="393"/>
      <c r="EN46" s="393"/>
      <c r="EO46" s="393"/>
      <c r="EP46" s="393"/>
      <c r="EQ46" s="393"/>
      <c r="ER46" s="393"/>
      <c r="ES46" s="393"/>
      <c r="ET46" s="393"/>
      <c r="EU46" s="393"/>
      <c r="EV46" s="393"/>
      <c r="EW46" s="393"/>
      <c r="EX46" s="393"/>
      <c r="EY46" s="393"/>
      <c r="EZ46" s="393"/>
      <c r="FA46" s="393"/>
      <c r="FB46" s="393"/>
      <c r="FC46" s="393"/>
      <c r="FD46" s="393"/>
      <c r="FE46" s="393"/>
      <c r="FF46" s="393"/>
      <c r="FG46" s="393"/>
      <c r="FH46" s="393"/>
      <c r="FI46" s="393"/>
      <c r="FJ46" s="393"/>
      <c r="FK46" s="393"/>
      <c r="FL46" s="393"/>
      <c r="FM46" s="393"/>
      <c r="FN46" s="393"/>
      <c r="FO46" s="393"/>
      <c r="FP46" s="393"/>
      <c r="FQ46" s="393"/>
      <c r="FR46" s="393"/>
      <c r="FS46" s="393"/>
      <c r="FT46" s="393"/>
      <c r="FU46" s="393"/>
      <c r="FV46" s="393"/>
      <c r="FW46" s="393"/>
      <c r="FX46" s="393"/>
      <c r="FY46" s="393"/>
      <c r="FZ46" s="393"/>
      <c r="GA46" s="393"/>
      <c r="GB46" s="393"/>
      <c r="GC46" s="393"/>
      <c r="GD46" s="393"/>
      <c r="GE46" s="393"/>
      <c r="GF46" s="393"/>
      <c r="GG46" s="393"/>
      <c r="GH46" s="393"/>
      <c r="GI46" s="393"/>
      <c r="GJ46" s="393"/>
      <c r="GK46" s="393"/>
      <c r="GL46" s="393"/>
      <c r="GM46" s="393"/>
      <c r="GN46" s="393"/>
      <c r="GO46" s="393"/>
      <c r="GP46" s="393"/>
      <c r="GQ46" s="393"/>
      <c r="GR46" s="393"/>
      <c r="GS46" s="393"/>
      <c r="GT46" s="393"/>
      <c r="GU46" s="393"/>
      <c r="GV46" s="393"/>
      <c r="GW46" s="393"/>
      <c r="GX46" s="393"/>
      <c r="GY46" s="393"/>
      <c r="GZ46" s="393"/>
      <c r="HA46" s="393"/>
      <c r="HB46" s="393"/>
      <c r="HC46" s="393"/>
      <c r="HD46" s="393"/>
      <c r="HE46" s="393"/>
      <c r="HF46" s="393"/>
      <c r="HG46" s="393"/>
      <c r="HH46" s="393"/>
      <c r="HI46" s="393"/>
      <c r="HJ46" s="393"/>
      <c r="HK46" s="393"/>
      <c r="HL46" s="393"/>
      <c r="HM46" s="393"/>
      <c r="HN46" s="393"/>
      <c r="HO46" s="393"/>
      <c r="HP46" s="393"/>
      <c r="HQ46" s="393"/>
      <c r="HR46" s="393"/>
      <c r="HS46" s="393"/>
      <c r="HT46" s="393"/>
      <c r="HU46" s="393"/>
      <c r="HV46" s="393"/>
      <c r="HW46" s="393"/>
      <c r="HX46" s="393"/>
      <c r="HY46" s="393"/>
      <c r="HZ46" s="393"/>
      <c r="IA46" s="393"/>
      <c r="IB46" s="393"/>
      <c r="IC46" s="393"/>
      <c r="ID46" s="393"/>
      <c r="IE46" s="393"/>
      <c r="IF46" s="393"/>
      <c r="IG46" s="393"/>
      <c r="IH46" s="393"/>
      <c r="II46" s="393"/>
      <c r="IJ46" s="393"/>
      <c r="IK46" s="393"/>
      <c r="IL46" s="393"/>
      <c r="IM46" s="393"/>
      <c r="IN46" s="393"/>
      <c r="IO46" s="393"/>
      <c r="IP46" s="393"/>
      <c r="IQ46" s="393"/>
      <c r="IR46" s="393"/>
    </row>
    <row r="47" spans="2:252" s="62" customFormat="1" ht="25.15" customHeight="1" x14ac:dyDescent="0.25">
      <c r="B47" s="179" t="s">
        <v>23</v>
      </c>
      <c r="C47" s="58" t="s">
        <v>24</v>
      </c>
      <c r="D47" s="197">
        <v>40179</v>
      </c>
      <c r="E47" s="58"/>
      <c r="F47" s="58"/>
      <c r="V47" s="393"/>
      <c r="W47" s="393"/>
      <c r="X47" s="393"/>
      <c r="Y47" s="393"/>
      <c r="Z47" s="393"/>
      <c r="AA47" s="393"/>
      <c r="AB47" s="393"/>
      <c r="AC47" s="393"/>
      <c r="AD47" s="393"/>
      <c r="AE47" s="393"/>
      <c r="AF47" s="393"/>
      <c r="AG47" s="393"/>
      <c r="AH47" s="393"/>
      <c r="AI47" s="393"/>
      <c r="AJ47" s="393"/>
      <c r="AK47" s="393"/>
      <c r="AL47" s="393"/>
      <c r="AM47" s="393"/>
      <c r="AN47" s="393"/>
      <c r="AO47" s="393"/>
      <c r="AP47" s="393"/>
      <c r="AQ47" s="393"/>
      <c r="AR47" s="393"/>
      <c r="AS47" s="393"/>
      <c r="AT47" s="393"/>
      <c r="AU47" s="393"/>
      <c r="AV47" s="393"/>
      <c r="AW47" s="393"/>
      <c r="AX47" s="393"/>
      <c r="AY47" s="393"/>
      <c r="AZ47" s="393"/>
      <c r="BA47" s="393"/>
      <c r="BB47" s="393"/>
      <c r="BC47" s="393"/>
      <c r="BD47" s="393"/>
      <c r="BE47" s="393"/>
      <c r="BF47" s="393"/>
      <c r="BG47" s="393"/>
      <c r="BH47" s="393"/>
      <c r="BI47" s="393"/>
      <c r="BJ47" s="393"/>
      <c r="BK47" s="393"/>
      <c r="BL47" s="393"/>
      <c r="BM47" s="393"/>
      <c r="BN47" s="393"/>
      <c r="BO47" s="393"/>
      <c r="BP47" s="393"/>
      <c r="BQ47" s="393"/>
      <c r="BR47" s="393"/>
      <c r="BS47" s="393"/>
      <c r="BT47" s="393"/>
      <c r="BU47" s="393"/>
      <c r="BV47" s="393"/>
      <c r="BW47" s="393"/>
      <c r="BX47" s="393"/>
      <c r="BY47" s="393"/>
      <c r="BZ47" s="393"/>
      <c r="CA47" s="393"/>
      <c r="CB47" s="393"/>
      <c r="CC47" s="393"/>
      <c r="CD47" s="393"/>
      <c r="CE47" s="393"/>
      <c r="CF47" s="393"/>
      <c r="CG47" s="393"/>
      <c r="CH47" s="393"/>
      <c r="CI47" s="393"/>
      <c r="CJ47" s="393"/>
      <c r="CK47" s="393"/>
      <c r="CL47" s="393"/>
      <c r="CM47" s="393"/>
      <c r="CN47" s="393"/>
      <c r="CO47" s="393"/>
      <c r="CP47" s="393"/>
      <c r="CQ47" s="393"/>
      <c r="CR47" s="393"/>
      <c r="CS47" s="393"/>
      <c r="CT47" s="393"/>
      <c r="CU47" s="393"/>
      <c r="CV47" s="393"/>
      <c r="CW47" s="393"/>
      <c r="CX47" s="393"/>
      <c r="CY47" s="393"/>
      <c r="CZ47" s="393"/>
      <c r="DA47" s="393"/>
      <c r="DB47" s="393"/>
      <c r="DC47" s="393"/>
      <c r="DD47" s="393"/>
      <c r="DE47" s="393"/>
      <c r="DF47" s="393"/>
      <c r="DG47" s="393"/>
      <c r="DH47" s="393"/>
      <c r="DI47" s="393"/>
      <c r="DJ47" s="393"/>
      <c r="DK47" s="393"/>
      <c r="DL47" s="393"/>
      <c r="DM47" s="393"/>
      <c r="DN47" s="393"/>
      <c r="DO47" s="393"/>
      <c r="DP47" s="393"/>
      <c r="DQ47" s="393"/>
      <c r="DR47" s="393"/>
      <c r="DS47" s="393"/>
      <c r="DT47" s="393"/>
      <c r="DU47" s="393"/>
      <c r="DV47" s="393"/>
      <c r="DW47" s="393"/>
      <c r="DX47" s="393"/>
      <c r="DY47" s="393"/>
      <c r="DZ47" s="393"/>
      <c r="EA47" s="393"/>
      <c r="EB47" s="393"/>
      <c r="EC47" s="393"/>
      <c r="ED47" s="393"/>
      <c r="EE47" s="393"/>
      <c r="EF47" s="393"/>
      <c r="EG47" s="393"/>
      <c r="EH47" s="393"/>
      <c r="EI47" s="393"/>
      <c r="EJ47" s="393"/>
      <c r="EK47" s="393"/>
      <c r="EL47" s="393"/>
      <c r="EM47" s="393"/>
      <c r="EN47" s="393"/>
      <c r="EO47" s="393"/>
      <c r="EP47" s="393"/>
      <c r="EQ47" s="393"/>
      <c r="ER47" s="393"/>
      <c r="ES47" s="393"/>
      <c r="ET47" s="393"/>
      <c r="EU47" s="393"/>
      <c r="EV47" s="393"/>
      <c r="EW47" s="393"/>
      <c r="EX47" s="393"/>
      <c r="EY47" s="393"/>
      <c r="EZ47" s="393"/>
      <c r="FA47" s="393"/>
      <c r="FB47" s="393"/>
      <c r="FC47" s="393"/>
      <c r="FD47" s="393"/>
      <c r="FE47" s="393"/>
      <c r="FF47" s="393"/>
      <c r="FG47" s="393"/>
      <c r="FH47" s="393"/>
      <c r="FI47" s="393"/>
      <c r="FJ47" s="393"/>
      <c r="FK47" s="393"/>
      <c r="FL47" s="393"/>
      <c r="FM47" s="393"/>
      <c r="FN47" s="393"/>
      <c r="FO47" s="393"/>
      <c r="FP47" s="393"/>
      <c r="FQ47" s="393"/>
      <c r="FR47" s="393"/>
      <c r="FS47" s="393"/>
      <c r="FT47" s="393"/>
      <c r="FU47" s="393"/>
      <c r="FV47" s="393"/>
      <c r="FW47" s="393"/>
      <c r="FX47" s="393"/>
      <c r="FY47" s="393"/>
      <c r="FZ47" s="393"/>
      <c r="GA47" s="393"/>
      <c r="GB47" s="393"/>
      <c r="GC47" s="393"/>
      <c r="GD47" s="393"/>
      <c r="GE47" s="393"/>
      <c r="GF47" s="393"/>
      <c r="GG47" s="393"/>
      <c r="GH47" s="393"/>
      <c r="GI47" s="393"/>
      <c r="GJ47" s="393"/>
      <c r="GK47" s="393"/>
      <c r="GL47" s="393"/>
      <c r="GM47" s="393"/>
      <c r="GN47" s="393"/>
      <c r="GO47" s="393"/>
      <c r="GP47" s="393"/>
      <c r="GQ47" s="393"/>
      <c r="GR47" s="393"/>
      <c r="GS47" s="393"/>
      <c r="GT47" s="393"/>
      <c r="GU47" s="393"/>
      <c r="GV47" s="393"/>
      <c r="GW47" s="393"/>
      <c r="GX47" s="393"/>
      <c r="GY47" s="393"/>
      <c r="GZ47" s="393"/>
      <c r="HA47" s="393"/>
      <c r="HB47" s="393"/>
      <c r="HC47" s="393"/>
      <c r="HD47" s="393"/>
      <c r="HE47" s="393"/>
      <c r="HF47" s="393"/>
      <c r="HG47" s="393"/>
      <c r="HH47" s="393"/>
      <c r="HI47" s="393"/>
      <c r="HJ47" s="393"/>
      <c r="HK47" s="393"/>
      <c r="HL47" s="393"/>
      <c r="HM47" s="393"/>
      <c r="HN47" s="393"/>
      <c r="HO47" s="393"/>
      <c r="HP47" s="393"/>
      <c r="HQ47" s="393"/>
      <c r="HR47" s="393"/>
      <c r="HS47" s="393"/>
      <c r="HT47" s="393"/>
      <c r="HU47" s="393"/>
      <c r="HV47" s="393"/>
      <c r="HW47" s="393"/>
      <c r="HX47" s="393"/>
      <c r="HY47" s="393"/>
      <c r="HZ47" s="393"/>
      <c r="IA47" s="393"/>
      <c r="IB47" s="393"/>
      <c r="IC47" s="393"/>
      <c r="ID47" s="393"/>
      <c r="IE47" s="393"/>
      <c r="IF47" s="393"/>
      <c r="IG47" s="393"/>
      <c r="IH47" s="393"/>
      <c r="II47" s="393"/>
      <c r="IJ47" s="393"/>
      <c r="IK47" s="393"/>
      <c r="IL47" s="393"/>
      <c r="IM47" s="393"/>
      <c r="IN47" s="393"/>
      <c r="IO47" s="393"/>
      <c r="IP47" s="393"/>
      <c r="IQ47" s="393"/>
      <c r="IR47" s="393"/>
    </row>
    <row r="48" spans="2:252" s="62" customFormat="1" ht="25.15" customHeight="1" x14ac:dyDescent="0.25">
      <c r="B48" s="179" t="s">
        <v>25</v>
      </c>
      <c r="C48" s="86" t="s">
        <v>129</v>
      </c>
      <c r="D48" s="197">
        <v>43003</v>
      </c>
      <c r="E48" s="58"/>
      <c r="F48" s="58"/>
      <c r="V48" s="393"/>
      <c r="W48" s="393"/>
      <c r="X48" s="393"/>
      <c r="Y48" s="393"/>
      <c r="Z48" s="393"/>
      <c r="AA48" s="393"/>
      <c r="AB48" s="393"/>
      <c r="AC48" s="393"/>
      <c r="AD48" s="393"/>
      <c r="AE48" s="393"/>
      <c r="AF48" s="393"/>
      <c r="AG48" s="393"/>
      <c r="AH48" s="393"/>
      <c r="AI48" s="393"/>
      <c r="AJ48" s="393"/>
      <c r="AK48" s="393"/>
      <c r="AL48" s="393"/>
      <c r="AM48" s="393"/>
      <c r="AN48" s="393"/>
      <c r="AO48" s="393"/>
      <c r="AP48" s="393"/>
      <c r="AQ48" s="393"/>
      <c r="AR48" s="393"/>
      <c r="AS48" s="393"/>
      <c r="AT48" s="393"/>
      <c r="AU48" s="393"/>
      <c r="AV48" s="393"/>
      <c r="AW48" s="393"/>
      <c r="AX48" s="393"/>
      <c r="AY48" s="393"/>
      <c r="AZ48" s="393"/>
      <c r="BA48" s="393"/>
      <c r="BB48" s="393"/>
      <c r="BC48" s="393"/>
      <c r="BD48" s="393"/>
      <c r="BE48" s="393"/>
      <c r="BF48" s="393"/>
      <c r="BG48" s="393"/>
      <c r="BH48" s="393"/>
      <c r="BI48" s="393"/>
      <c r="BJ48" s="393"/>
      <c r="BK48" s="393"/>
      <c r="BL48" s="393"/>
      <c r="BM48" s="393"/>
      <c r="BN48" s="393"/>
      <c r="BO48" s="393"/>
      <c r="BP48" s="393"/>
      <c r="BQ48" s="393"/>
      <c r="BR48" s="393"/>
      <c r="BS48" s="393"/>
      <c r="BT48" s="393"/>
      <c r="BU48" s="393"/>
      <c r="BV48" s="393"/>
      <c r="BW48" s="393"/>
      <c r="BX48" s="393"/>
      <c r="BY48" s="393"/>
      <c r="BZ48" s="393"/>
      <c r="CA48" s="393"/>
      <c r="CB48" s="393"/>
      <c r="CC48" s="393"/>
      <c r="CD48" s="393"/>
      <c r="CE48" s="393"/>
      <c r="CF48" s="393"/>
      <c r="CG48" s="393"/>
      <c r="CH48" s="393"/>
      <c r="CI48" s="393"/>
      <c r="CJ48" s="393"/>
      <c r="CK48" s="393"/>
      <c r="CL48" s="393"/>
      <c r="CM48" s="393"/>
      <c r="CN48" s="393"/>
      <c r="CO48" s="393"/>
      <c r="CP48" s="393"/>
      <c r="CQ48" s="393"/>
      <c r="CR48" s="393"/>
      <c r="CS48" s="393"/>
      <c r="CT48" s="393"/>
      <c r="CU48" s="393"/>
      <c r="CV48" s="393"/>
      <c r="CW48" s="393"/>
      <c r="CX48" s="393"/>
      <c r="CY48" s="393"/>
      <c r="CZ48" s="393"/>
      <c r="DA48" s="393"/>
      <c r="DB48" s="393"/>
      <c r="DC48" s="393"/>
      <c r="DD48" s="393"/>
      <c r="DE48" s="393"/>
      <c r="DF48" s="393"/>
      <c r="DG48" s="393"/>
      <c r="DH48" s="393"/>
      <c r="DI48" s="393"/>
      <c r="DJ48" s="393"/>
      <c r="DK48" s="393"/>
      <c r="DL48" s="393"/>
      <c r="DM48" s="393"/>
      <c r="DN48" s="393"/>
      <c r="DO48" s="393"/>
      <c r="DP48" s="393"/>
      <c r="DQ48" s="393"/>
      <c r="DR48" s="393"/>
      <c r="DS48" s="393"/>
      <c r="DT48" s="393"/>
      <c r="DU48" s="393"/>
      <c r="DV48" s="393"/>
      <c r="DW48" s="393"/>
      <c r="DX48" s="393"/>
      <c r="DY48" s="393"/>
      <c r="DZ48" s="393"/>
      <c r="EA48" s="393"/>
      <c r="EB48" s="393"/>
      <c r="EC48" s="393"/>
      <c r="ED48" s="393"/>
      <c r="EE48" s="393"/>
      <c r="EF48" s="393"/>
      <c r="EG48" s="393"/>
      <c r="EH48" s="393"/>
      <c r="EI48" s="393"/>
      <c r="EJ48" s="393"/>
      <c r="EK48" s="393"/>
      <c r="EL48" s="393"/>
      <c r="EM48" s="393"/>
      <c r="EN48" s="393"/>
      <c r="EO48" s="393"/>
      <c r="EP48" s="393"/>
      <c r="EQ48" s="393"/>
      <c r="ER48" s="393"/>
      <c r="ES48" s="393"/>
      <c r="ET48" s="393"/>
      <c r="EU48" s="393"/>
      <c r="EV48" s="393"/>
      <c r="EW48" s="393"/>
      <c r="EX48" s="393"/>
      <c r="EY48" s="393"/>
      <c r="EZ48" s="393"/>
      <c r="FA48" s="393"/>
      <c r="FB48" s="393"/>
      <c r="FC48" s="393"/>
      <c r="FD48" s="393"/>
      <c r="FE48" s="393"/>
      <c r="FF48" s="393"/>
      <c r="FG48" s="393"/>
      <c r="FH48" s="393"/>
      <c r="FI48" s="393"/>
      <c r="FJ48" s="393"/>
      <c r="FK48" s="393"/>
      <c r="FL48" s="393"/>
      <c r="FM48" s="393"/>
      <c r="FN48" s="393"/>
      <c r="FO48" s="393"/>
      <c r="FP48" s="393"/>
      <c r="FQ48" s="393"/>
      <c r="FR48" s="393"/>
      <c r="FS48" s="393"/>
      <c r="FT48" s="393"/>
      <c r="FU48" s="393"/>
      <c r="FV48" s="393"/>
      <c r="FW48" s="393"/>
      <c r="FX48" s="393"/>
      <c r="FY48" s="393"/>
      <c r="FZ48" s="393"/>
      <c r="GA48" s="393"/>
      <c r="GB48" s="393"/>
      <c r="GC48" s="393"/>
      <c r="GD48" s="393"/>
      <c r="GE48" s="393"/>
      <c r="GF48" s="393"/>
      <c r="GG48" s="393"/>
      <c r="GH48" s="393"/>
      <c r="GI48" s="393"/>
      <c r="GJ48" s="393"/>
      <c r="GK48" s="393"/>
      <c r="GL48" s="393"/>
      <c r="GM48" s="393"/>
      <c r="GN48" s="393"/>
      <c r="GO48" s="393"/>
      <c r="GP48" s="393"/>
      <c r="GQ48" s="393"/>
      <c r="GR48" s="393"/>
      <c r="GS48" s="393"/>
      <c r="GT48" s="393"/>
      <c r="GU48" s="393"/>
      <c r="GV48" s="393"/>
      <c r="GW48" s="393"/>
      <c r="GX48" s="393"/>
      <c r="GY48" s="393"/>
      <c r="GZ48" s="393"/>
      <c r="HA48" s="393"/>
      <c r="HB48" s="393"/>
      <c r="HC48" s="393"/>
      <c r="HD48" s="393"/>
      <c r="HE48" s="393"/>
      <c r="HF48" s="393"/>
      <c r="HG48" s="393"/>
      <c r="HH48" s="393"/>
      <c r="HI48" s="393"/>
      <c r="HJ48" s="393"/>
      <c r="HK48" s="393"/>
      <c r="HL48" s="393"/>
      <c r="HM48" s="393"/>
      <c r="HN48" s="393"/>
      <c r="HO48" s="393"/>
      <c r="HP48" s="393"/>
      <c r="HQ48" s="393"/>
      <c r="HR48" s="393"/>
      <c r="HS48" s="393"/>
      <c r="HT48" s="393"/>
      <c r="HU48" s="393"/>
      <c r="HV48" s="393"/>
      <c r="HW48" s="393"/>
      <c r="HX48" s="393"/>
      <c r="HY48" s="393"/>
      <c r="HZ48" s="393"/>
      <c r="IA48" s="393"/>
      <c r="IB48" s="393"/>
      <c r="IC48" s="393"/>
      <c r="ID48" s="393"/>
      <c r="IE48" s="393"/>
      <c r="IF48" s="393"/>
      <c r="IG48" s="393"/>
      <c r="IH48" s="393"/>
      <c r="II48" s="393"/>
      <c r="IJ48" s="393"/>
      <c r="IK48" s="393"/>
      <c r="IL48" s="393"/>
      <c r="IM48" s="393"/>
      <c r="IN48" s="393"/>
      <c r="IO48" s="393"/>
      <c r="IP48" s="393"/>
      <c r="IQ48" s="393"/>
      <c r="IR48" s="393"/>
    </row>
    <row r="49" spans="2:252" s="62" customFormat="1" ht="25.15" customHeight="1" x14ac:dyDescent="0.25">
      <c r="B49" s="179" t="s">
        <v>26</v>
      </c>
      <c r="C49" s="86" t="s">
        <v>124</v>
      </c>
      <c r="D49" s="181">
        <v>43023</v>
      </c>
      <c r="E49" s="58"/>
      <c r="F49" s="58"/>
      <c r="V49" s="393"/>
      <c r="W49" s="393"/>
      <c r="X49" s="393"/>
      <c r="Y49" s="393"/>
      <c r="Z49" s="393"/>
      <c r="AA49" s="393"/>
      <c r="AB49" s="393"/>
      <c r="AC49" s="393"/>
      <c r="AD49" s="393"/>
      <c r="AE49" s="393"/>
      <c r="AF49" s="393"/>
      <c r="AG49" s="393"/>
      <c r="AH49" s="393"/>
      <c r="AI49" s="393"/>
      <c r="AJ49" s="393"/>
      <c r="AK49" s="393"/>
      <c r="AL49" s="393"/>
      <c r="AM49" s="393"/>
      <c r="AN49" s="393"/>
      <c r="AO49" s="393"/>
      <c r="AP49" s="393"/>
      <c r="AQ49" s="393"/>
      <c r="AR49" s="393"/>
      <c r="AS49" s="393"/>
      <c r="AT49" s="393"/>
      <c r="AU49" s="393"/>
      <c r="AV49" s="393"/>
      <c r="AW49" s="393"/>
      <c r="AX49" s="393"/>
      <c r="AY49" s="393"/>
      <c r="AZ49" s="393"/>
      <c r="BA49" s="393"/>
      <c r="BB49" s="393"/>
      <c r="BC49" s="393"/>
      <c r="BD49" s="393"/>
      <c r="BE49" s="393"/>
      <c r="BF49" s="393"/>
      <c r="BG49" s="393"/>
      <c r="BH49" s="393"/>
      <c r="BI49" s="393"/>
      <c r="BJ49" s="393"/>
      <c r="BK49" s="393"/>
      <c r="BL49" s="393"/>
      <c r="BM49" s="393"/>
      <c r="BN49" s="393"/>
      <c r="BO49" s="393"/>
      <c r="BP49" s="393"/>
      <c r="BQ49" s="393"/>
      <c r="BR49" s="393"/>
      <c r="BS49" s="393"/>
      <c r="BT49" s="393"/>
      <c r="BU49" s="393"/>
      <c r="BV49" s="393"/>
      <c r="BW49" s="393"/>
      <c r="BX49" s="393"/>
      <c r="BY49" s="393"/>
      <c r="BZ49" s="393"/>
      <c r="CA49" s="393"/>
      <c r="CB49" s="393"/>
      <c r="CC49" s="393"/>
      <c r="CD49" s="393"/>
      <c r="CE49" s="393"/>
      <c r="CF49" s="393"/>
      <c r="CG49" s="393"/>
      <c r="CH49" s="393"/>
      <c r="CI49" s="393"/>
      <c r="CJ49" s="393"/>
      <c r="CK49" s="393"/>
      <c r="CL49" s="393"/>
      <c r="CM49" s="393"/>
      <c r="CN49" s="393"/>
      <c r="CO49" s="393"/>
      <c r="CP49" s="393"/>
      <c r="CQ49" s="393"/>
      <c r="CR49" s="393"/>
      <c r="CS49" s="393"/>
      <c r="CT49" s="393"/>
      <c r="CU49" s="393"/>
      <c r="CV49" s="393"/>
      <c r="CW49" s="393"/>
      <c r="CX49" s="393"/>
      <c r="CY49" s="393"/>
      <c r="CZ49" s="393"/>
      <c r="DA49" s="393"/>
      <c r="DB49" s="393"/>
      <c r="DC49" s="393"/>
      <c r="DD49" s="393"/>
      <c r="DE49" s="393"/>
      <c r="DF49" s="393"/>
      <c r="DG49" s="393"/>
      <c r="DH49" s="393"/>
      <c r="DI49" s="393"/>
      <c r="DJ49" s="393"/>
      <c r="DK49" s="393"/>
      <c r="DL49" s="393"/>
      <c r="DM49" s="393"/>
      <c r="DN49" s="393"/>
      <c r="DO49" s="393"/>
      <c r="DP49" s="393"/>
      <c r="DQ49" s="393"/>
      <c r="DR49" s="393"/>
      <c r="DS49" s="393"/>
      <c r="DT49" s="393"/>
      <c r="DU49" s="393"/>
      <c r="DV49" s="393"/>
      <c r="DW49" s="393"/>
      <c r="DX49" s="393"/>
      <c r="DY49" s="393"/>
      <c r="DZ49" s="393"/>
      <c r="EA49" s="393"/>
      <c r="EB49" s="393"/>
      <c r="EC49" s="393"/>
      <c r="ED49" s="393"/>
      <c r="EE49" s="393"/>
      <c r="EF49" s="393"/>
      <c r="EG49" s="393"/>
      <c r="EH49" s="393"/>
      <c r="EI49" s="393"/>
      <c r="EJ49" s="393"/>
      <c r="EK49" s="393"/>
      <c r="EL49" s="393"/>
      <c r="EM49" s="393"/>
      <c r="EN49" s="393"/>
      <c r="EO49" s="393"/>
      <c r="EP49" s="393"/>
      <c r="EQ49" s="393"/>
      <c r="ER49" s="393"/>
      <c r="ES49" s="393"/>
      <c r="ET49" s="393"/>
      <c r="EU49" s="393"/>
      <c r="EV49" s="393"/>
      <c r="EW49" s="393"/>
      <c r="EX49" s="393"/>
      <c r="EY49" s="393"/>
      <c r="EZ49" s="393"/>
      <c r="FA49" s="393"/>
      <c r="FB49" s="393"/>
      <c r="FC49" s="393"/>
      <c r="FD49" s="393"/>
      <c r="FE49" s="393"/>
      <c r="FF49" s="393"/>
      <c r="FG49" s="393"/>
      <c r="FH49" s="393"/>
      <c r="FI49" s="393"/>
      <c r="FJ49" s="393"/>
      <c r="FK49" s="393"/>
      <c r="FL49" s="393"/>
      <c r="FM49" s="393"/>
      <c r="FN49" s="393"/>
      <c r="FO49" s="393"/>
      <c r="FP49" s="393"/>
      <c r="FQ49" s="393"/>
      <c r="FR49" s="393"/>
      <c r="FS49" s="393"/>
      <c r="FT49" s="393"/>
      <c r="FU49" s="393"/>
      <c r="FV49" s="393"/>
      <c r="FW49" s="393"/>
      <c r="FX49" s="393"/>
      <c r="FY49" s="393"/>
      <c r="FZ49" s="393"/>
      <c r="GA49" s="393"/>
      <c r="GB49" s="393"/>
      <c r="GC49" s="393"/>
      <c r="GD49" s="393"/>
      <c r="GE49" s="393"/>
      <c r="GF49" s="393"/>
      <c r="GG49" s="393"/>
      <c r="GH49" s="393"/>
      <c r="GI49" s="393"/>
      <c r="GJ49" s="393"/>
      <c r="GK49" s="393"/>
      <c r="GL49" s="393"/>
      <c r="GM49" s="393"/>
      <c r="GN49" s="393"/>
      <c r="GO49" s="393"/>
      <c r="GP49" s="393"/>
      <c r="GQ49" s="393"/>
      <c r="GR49" s="393"/>
      <c r="GS49" s="393"/>
      <c r="GT49" s="393"/>
      <c r="GU49" s="393"/>
      <c r="GV49" s="393"/>
      <c r="GW49" s="393"/>
      <c r="GX49" s="393"/>
      <c r="GY49" s="393"/>
      <c r="GZ49" s="393"/>
      <c r="HA49" s="393"/>
      <c r="HB49" s="393"/>
      <c r="HC49" s="393"/>
      <c r="HD49" s="393"/>
      <c r="HE49" s="393"/>
      <c r="HF49" s="393"/>
      <c r="HG49" s="393"/>
      <c r="HH49" s="393"/>
      <c r="HI49" s="393"/>
      <c r="HJ49" s="393"/>
      <c r="HK49" s="393"/>
      <c r="HL49" s="393"/>
      <c r="HM49" s="393"/>
      <c r="HN49" s="393"/>
      <c r="HO49" s="393"/>
      <c r="HP49" s="393"/>
      <c r="HQ49" s="393"/>
      <c r="HR49" s="393"/>
      <c r="HS49" s="393"/>
      <c r="HT49" s="393"/>
      <c r="HU49" s="393"/>
      <c r="HV49" s="393"/>
      <c r="HW49" s="393"/>
      <c r="HX49" s="393"/>
      <c r="HY49" s="393"/>
      <c r="HZ49" s="393"/>
      <c r="IA49" s="393"/>
      <c r="IB49" s="393"/>
      <c r="IC49" s="393"/>
      <c r="ID49" s="393"/>
      <c r="IE49" s="393"/>
      <c r="IF49" s="393"/>
      <c r="IG49" s="393"/>
      <c r="IH49" s="393"/>
      <c r="II49" s="393"/>
      <c r="IJ49" s="393"/>
      <c r="IK49" s="393"/>
      <c r="IL49" s="393"/>
      <c r="IM49" s="393"/>
      <c r="IN49" s="393"/>
      <c r="IO49" s="393"/>
      <c r="IP49" s="393"/>
      <c r="IQ49" s="393"/>
      <c r="IR49" s="393"/>
    </row>
    <row r="50" spans="2:252" s="62" customFormat="1" ht="25.15" customHeight="1" x14ac:dyDescent="0.25">
      <c r="B50" s="198" t="s">
        <v>127</v>
      </c>
      <c r="C50" s="86" t="s">
        <v>133</v>
      </c>
      <c r="D50" s="75">
        <v>43229</v>
      </c>
      <c r="E50" s="58"/>
      <c r="F50" s="58"/>
      <c r="V50" s="393"/>
      <c r="W50" s="393"/>
      <c r="X50" s="393"/>
      <c r="Y50" s="393"/>
      <c r="Z50" s="393"/>
      <c r="AA50" s="393"/>
      <c r="AB50" s="393"/>
      <c r="AC50" s="393"/>
      <c r="AD50" s="393"/>
      <c r="AE50" s="393"/>
      <c r="AF50" s="393"/>
      <c r="AG50" s="393"/>
      <c r="AH50" s="393"/>
      <c r="AI50" s="393"/>
      <c r="AJ50" s="393"/>
      <c r="AK50" s="393"/>
      <c r="AL50" s="393"/>
      <c r="AM50" s="393"/>
      <c r="AN50" s="393"/>
      <c r="AO50" s="393"/>
      <c r="AP50" s="393"/>
      <c r="AQ50" s="393"/>
      <c r="AR50" s="393"/>
      <c r="AS50" s="393"/>
      <c r="AT50" s="393"/>
      <c r="AU50" s="393"/>
      <c r="AV50" s="393"/>
      <c r="AW50" s="393"/>
      <c r="AX50" s="393"/>
      <c r="AY50" s="393"/>
      <c r="AZ50" s="393"/>
      <c r="BA50" s="393"/>
      <c r="BB50" s="393"/>
      <c r="BC50" s="393"/>
      <c r="BD50" s="393"/>
      <c r="BE50" s="393"/>
      <c r="BF50" s="393"/>
      <c r="BG50" s="393"/>
      <c r="BH50" s="393"/>
      <c r="BI50" s="393"/>
      <c r="BJ50" s="393"/>
      <c r="BK50" s="393"/>
      <c r="BL50" s="393"/>
      <c r="BM50" s="393"/>
      <c r="BN50" s="393"/>
      <c r="BO50" s="393"/>
      <c r="BP50" s="393"/>
      <c r="BQ50" s="393"/>
      <c r="BR50" s="393"/>
      <c r="BS50" s="393"/>
      <c r="BT50" s="393"/>
      <c r="BU50" s="393"/>
      <c r="BV50" s="393"/>
      <c r="BW50" s="393"/>
      <c r="BX50" s="393"/>
      <c r="BY50" s="393"/>
      <c r="BZ50" s="393"/>
      <c r="CA50" s="393"/>
      <c r="CB50" s="393"/>
      <c r="CC50" s="393"/>
      <c r="CD50" s="393"/>
      <c r="CE50" s="393"/>
      <c r="CF50" s="393"/>
      <c r="CG50" s="393"/>
      <c r="CH50" s="393"/>
      <c r="CI50" s="393"/>
      <c r="CJ50" s="393"/>
      <c r="CK50" s="393"/>
      <c r="CL50" s="393"/>
      <c r="CM50" s="393"/>
      <c r="CN50" s="393"/>
      <c r="CO50" s="393"/>
      <c r="CP50" s="393"/>
      <c r="CQ50" s="393"/>
      <c r="CR50" s="393"/>
      <c r="CS50" s="393"/>
      <c r="CT50" s="393"/>
      <c r="CU50" s="393"/>
      <c r="CV50" s="393"/>
      <c r="CW50" s="393"/>
      <c r="CX50" s="393"/>
      <c r="CY50" s="393"/>
      <c r="CZ50" s="393"/>
      <c r="DA50" s="393"/>
      <c r="DB50" s="393"/>
      <c r="DC50" s="393"/>
      <c r="DD50" s="393"/>
      <c r="DE50" s="393"/>
      <c r="DF50" s="393"/>
      <c r="DG50" s="393"/>
      <c r="DH50" s="393"/>
      <c r="DI50" s="393"/>
      <c r="DJ50" s="393"/>
      <c r="DK50" s="393"/>
      <c r="DL50" s="393"/>
      <c r="DM50" s="393"/>
      <c r="DN50" s="393"/>
      <c r="DO50" s="393"/>
      <c r="DP50" s="393"/>
      <c r="DQ50" s="393"/>
      <c r="DR50" s="393"/>
      <c r="DS50" s="393"/>
      <c r="DT50" s="393"/>
      <c r="DU50" s="393"/>
      <c r="DV50" s="393"/>
      <c r="DW50" s="393"/>
      <c r="DX50" s="393"/>
      <c r="DY50" s="393"/>
      <c r="DZ50" s="393"/>
      <c r="EA50" s="393"/>
      <c r="EB50" s="393"/>
      <c r="EC50" s="393"/>
      <c r="ED50" s="393"/>
      <c r="EE50" s="393"/>
      <c r="EF50" s="393"/>
      <c r="EG50" s="393"/>
      <c r="EH50" s="393"/>
      <c r="EI50" s="393"/>
      <c r="EJ50" s="393"/>
      <c r="EK50" s="393"/>
      <c r="EL50" s="393"/>
      <c r="EM50" s="393"/>
      <c r="EN50" s="393"/>
      <c r="EO50" s="393"/>
      <c r="EP50" s="393"/>
      <c r="EQ50" s="393"/>
      <c r="ER50" s="393"/>
      <c r="ES50" s="393"/>
      <c r="ET50" s="393"/>
      <c r="EU50" s="393"/>
      <c r="EV50" s="393"/>
      <c r="EW50" s="393"/>
      <c r="EX50" s="393"/>
      <c r="EY50" s="393"/>
      <c r="EZ50" s="393"/>
      <c r="FA50" s="393"/>
      <c r="FB50" s="393"/>
      <c r="FC50" s="393"/>
      <c r="FD50" s="393"/>
      <c r="FE50" s="393"/>
      <c r="FF50" s="393"/>
      <c r="FG50" s="393"/>
      <c r="FH50" s="393"/>
      <c r="FI50" s="393"/>
      <c r="FJ50" s="393"/>
      <c r="FK50" s="393"/>
      <c r="FL50" s="393"/>
      <c r="FM50" s="393"/>
      <c r="FN50" s="393"/>
      <c r="FO50" s="393"/>
      <c r="FP50" s="393"/>
      <c r="FQ50" s="393"/>
      <c r="FR50" s="393"/>
      <c r="FS50" s="393"/>
      <c r="FT50" s="393"/>
      <c r="FU50" s="393"/>
      <c r="FV50" s="393"/>
      <c r="FW50" s="393"/>
      <c r="FX50" s="393"/>
      <c r="FY50" s="393"/>
      <c r="FZ50" s="393"/>
      <c r="GA50" s="393"/>
      <c r="GB50" s="393"/>
      <c r="GC50" s="393"/>
      <c r="GD50" s="393"/>
      <c r="GE50" s="393"/>
      <c r="GF50" s="393"/>
      <c r="GG50" s="393"/>
      <c r="GH50" s="393"/>
      <c r="GI50" s="393"/>
      <c r="GJ50" s="393"/>
      <c r="GK50" s="393"/>
      <c r="GL50" s="393"/>
      <c r="GM50" s="393"/>
      <c r="GN50" s="393"/>
      <c r="GO50" s="393"/>
      <c r="GP50" s="393"/>
      <c r="GQ50" s="393"/>
      <c r="GR50" s="393"/>
      <c r="GS50" s="393"/>
      <c r="GT50" s="393"/>
      <c r="GU50" s="393"/>
      <c r="GV50" s="393"/>
      <c r="GW50" s="393"/>
      <c r="GX50" s="393"/>
      <c r="GY50" s="393"/>
      <c r="GZ50" s="393"/>
      <c r="HA50" s="393"/>
      <c r="HB50" s="393"/>
      <c r="HC50" s="393"/>
      <c r="HD50" s="393"/>
      <c r="HE50" s="393"/>
      <c r="HF50" s="393"/>
      <c r="HG50" s="393"/>
      <c r="HH50" s="393"/>
      <c r="HI50" s="393"/>
      <c r="HJ50" s="393"/>
      <c r="HK50" s="393"/>
      <c r="HL50" s="393"/>
      <c r="HM50" s="393"/>
      <c r="HN50" s="393"/>
      <c r="HO50" s="393"/>
      <c r="HP50" s="393"/>
      <c r="HQ50" s="393"/>
      <c r="HR50" s="393"/>
      <c r="HS50" s="393"/>
      <c r="HT50" s="393"/>
      <c r="HU50" s="393"/>
      <c r="HV50" s="393"/>
      <c r="HW50" s="393"/>
      <c r="HX50" s="393"/>
      <c r="HY50" s="393"/>
      <c r="HZ50" s="393"/>
      <c r="IA50" s="393"/>
      <c r="IB50" s="393"/>
      <c r="IC50" s="393"/>
      <c r="ID50" s="393"/>
      <c r="IE50" s="393"/>
      <c r="IF50" s="393"/>
      <c r="IG50" s="393"/>
      <c r="IH50" s="393"/>
      <c r="II50" s="393"/>
      <c r="IJ50" s="393"/>
      <c r="IK50" s="393"/>
      <c r="IL50" s="393"/>
      <c r="IM50" s="393"/>
      <c r="IN50" s="393"/>
      <c r="IO50" s="393"/>
      <c r="IP50" s="393"/>
      <c r="IQ50" s="393"/>
      <c r="IR50" s="393"/>
    </row>
    <row r="51" spans="2:252" s="62" customFormat="1" ht="25.15" customHeight="1" x14ac:dyDescent="0.25">
      <c r="B51" s="198" t="s">
        <v>128</v>
      </c>
      <c r="C51" s="86" t="s">
        <v>123</v>
      </c>
      <c r="D51" s="197">
        <v>43132</v>
      </c>
      <c r="E51" s="58"/>
      <c r="F51" s="58"/>
      <c r="V51" s="393"/>
      <c r="W51" s="393"/>
      <c r="X51" s="393"/>
      <c r="Y51" s="393"/>
      <c r="Z51" s="393"/>
      <c r="AA51" s="393"/>
      <c r="AB51" s="393"/>
      <c r="AC51" s="393"/>
      <c r="AD51" s="393"/>
      <c r="AE51" s="393"/>
      <c r="AF51" s="393"/>
      <c r="AG51" s="393"/>
      <c r="AH51" s="393"/>
      <c r="AI51" s="393"/>
      <c r="AJ51" s="393"/>
      <c r="AK51" s="393"/>
      <c r="AL51" s="393"/>
      <c r="AM51" s="393"/>
      <c r="AN51" s="393"/>
      <c r="AO51" s="393"/>
      <c r="AP51" s="393"/>
      <c r="AQ51" s="393"/>
      <c r="AR51" s="393"/>
      <c r="AS51" s="393"/>
      <c r="AT51" s="393"/>
      <c r="AU51" s="393"/>
      <c r="AV51" s="393"/>
      <c r="AW51" s="393"/>
      <c r="AX51" s="393"/>
      <c r="AY51" s="393"/>
      <c r="AZ51" s="393"/>
      <c r="BA51" s="393"/>
      <c r="BB51" s="393"/>
      <c r="BC51" s="393"/>
      <c r="BD51" s="393"/>
      <c r="BE51" s="393"/>
      <c r="BF51" s="393"/>
      <c r="BG51" s="393"/>
      <c r="BH51" s="393"/>
      <c r="BI51" s="393"/>
      <c r="BJ51" s="393"/>
      <c r="BK51" s="393"/>
      <c r="BL51" s="393"/>
      <c r="BM51" s="393"/>
      <c r="BN51" s="393"/>
      <c r="BO51" s="393"/>
      <c r="BP51" s="393"/>
      <c r="BQ51" s="393"/>
      <c r="BR51" s="393"/>
      <c r="BS51" s="393"/>
      <c r="BT51" s="393"/>
      <c r="BU51" s="393"/>
      <c r="BV51" s="393"/>
      <c r="BW51" s="393"/>
      <c r="BX51" s="393"/>
      <c r="BY51" s="393"/>
      <c r="BZ51" s="393"/>
      <c r="CA51" s="393"/>
      <c r="CB51" s="393"/>
      <c r="CC51" s="393"/>
      <c r="CD51" s="393"/>
      <c r="CE51" s="393"/>
      <c r="CF51" s="393"/>
      <c r="CG51" s="393"/>
      <c r="CH51" s="393"/>
      <c r="CI51" s="393"/>
      <c r="CJ51" s="393"/>
      <c r="CK51" s="393"/>
      <c r="CL51" s="393"/>
      <c r="CM51" s="393"/>
      <c r="CN51" s="393"/>
      <c r="CO51" s="393"/>
      <c r="CP51" s="393"/>
      <c r="CQ51" s="393"/>
      <c r="CR51" s="393"/>
      <c r="CS51" s="393"/>
      <c r="CT51" s="393"/>
      <c r="CU51" s="393"/>
      <c r="CV51" s="393"/>
      <c r="CW51" s="393"/>
      <c r="CX51" s="393"/>
      <c r="CY51" s="393"/>
      <c r="CZ51" s="393"/>
      <c r="DA51" s="393"/>
      <c r="DB51" s="393"/>
      <c r="DC51" s="393"/>
      <c r="DD51" s="393"/>
      <c r="DE51" s="393"/>
      <c r="DF51" s="393"/>
      <c r="DG51" s="393"/>
      <c r="DH51" s="393"/>
      <c r="DI51" s="393"/>
      <c r="DJ51" s="393"/>
      <c r="DK51" s="393"/>
      <c r="DL51" s="393"/>
      <c r="DM51" s="393"/>
      <c r="DN51" s="393"/>
      <c r="DO51" s="393"/>
      <c r="DP51" s="393"/>
      <c r="DQ51" s="393"/>
      <c r="DR51" s="393"/>
      <c r="DS51" s="393"/>
      <c r="DT51" s="393"/>
      <c r="DU51" s="393"/>
      <c r="DV51" s="393"/>
      <c r="DW51" s="393"/>
      <c r="DX51" s="393"/>
      <c r="DY51" s="393"/>
      <c r="DZ51" s="393"/>
      <c r="EA51" s="393"/>
      <c r="EB51" s="393"/>
      <c r="EC51" s="393"/>
      <c r="ED51" s="393"/>
      <c r="EE51" s="393"/>
      <c r="EF51" s="393"/>
      <c r="EG51" s="393"/>
      <c r="EH51" s="393"/>
      <c r="EI51" s="393"/>
      <c r="EJ51" s="393"/>
      <c r="EK51" s="393"/>
      <c r="EL51" s="393"/>
      <c r="EM51" s="393"/>
      <c r="EN51" s="393"/>
      <c r="EO51" s="393"/>
      <c r="EP51" s="393"/>
      <c r="EQ51" s="393"/>
      <c r="ER51" s="393"/>
      <c r="ES51" s="393"/>
      <c r="ET51" s="393"/>
      <c r="EU51" s="393"/>
      <c r="EV51" s="393"/>
      <c r="EW51" s="393"/>
      <c r="EX51" s="393"/>
      <c r="EY51" s="393"/>
      <c r="EZ51" s="393"/>
      <c r="FA51" s="393"/>
      <c r="FB51" s="393"/>
      <c r="FC51" s="393"/>
      <c r="FD51" s="393"/>
      <c r="FE51" s="393"/>
      <c r="FF51" s="393"/>
      <c r="FG51" s="393"/>
      <c r="FH51" s="393"/>
      <c r="FI51" s="393"/>
      <c r="FJ51" s="393"/>
      <c r="FK51" s="393"/>
      <c r="FL51" s="393"/>
      <c r="FM51" s="393"/>
      <c r="FN51" s="393"/>
      <c r="FO51" s="393"/>
      <c r="FP51" s="393"/>
      <c r="FQ51" s="393"/>
      <c r="FR51" s="393"/>
      <c r="FS51" s="393"/>
      <c r="FT51" s="393"/>
      <c r="FU51" s="393"/>
      <c r="FV51" s="393"/>
      <c r="FW51" s="393"/>
      <c r="FX51" s="393"/>
      <c r="FY51" s="393"/>
      <c r="FZ51" s="393"/>
      <c r="GA51" s="393"/>
      <c r="GB51" s="393"/>
      <c r="GC51" s="393"/>
      <c r="GD51" s="393"/>
      <c r="GE51" s="393"/>
      <c r="GF51" s="393"/>
      <c r="GG51" s="393"/>
      <c r="GH51" s="393"/>
      <c r="GI51" s="393"/>
      <c r="GJ51" s="393"/>
      <c r="GK51" s="393"/>
      <c r="GL51" s="393"/>
      <c r="GM51" s="393"/>
      <c r="GN51" s="393"/>
      <c r="GO51" s="393"/>
      <c r="GP51" s="393"/>
      <c r="GQ51" s="393"/>
      <c r="GR51" s="393"/>
      <c r="GS51" s="393"/>
      <c r="GT51" s="393"/>
      <c r="GU51" s="393"/>
      <c r="GV51" s="393"/>
      <c r="GW51" s="393"/>
      <c r="GX51" s="393"/>
      <c r="GY51" s="393"/>
      <c r="GZ51" s="393"/>
      <c r="HA51" s="393"/>
      <c r="HB51" s="393"/>
      <c r="HC51" s="393"/>
      <c r="HD51" s="393"/>
      <c r="HE51" s="393"/>
      <c r="HF51" s="393"/>
      <c r="HG51" s="393"/>
      <c r="HH51" s="393"/>
      <c r="HI51" s="393"/>
      <c r="HJ51" s="393"/>
      <c r="HK51" s="393"/>
      <c r="HL51" s="393"/>
      <c r="HM51" s="393"/>
      <c r="HN51" s="393"/>
      <c r="HO51" s="393"/>
      <c r="HP51" s="393"/>
      <c r="HQ51" s="393"/>
      <c r="HR51" s="393"/>
      <c r="HS51" s="393"/>
      <c r="HT51" s="393"/>
      <c r="HU51" s="393"/>
      <c r="HV51" s="393"/>
      <c r="HW51" s="393"/>
      <c r="HX51" s="393"/>
      <c r="HY51" s="393"/>
      <c r="HZ51" s="393"/>
      <c r="IA51" s="393"/>
      <c r="IB51" s="393"/>
      <c r="IC51" s="393"/>
      <c r="ID51" s="393"/>
      <c r="IE51" s="393"/>
      <c r="IF51" s="393"/>
      <c r="IG51" s="393"/>
      <c r="IH51" s="393"/>
      <c r="II51" s="393"/>
      <c r="IJ51" s="393"/>
      <c r="IK51" s="393"/>
      <c r="IL51" s="393"/>
      <c r="IM51" s="393"/>
      <c r="IN51" s="393"/>
      <c r="IO51" s="393"/>
      <c r="IP51" s="393"/>
      <c r="IQ51" s="393"/>
      <c r="IR51" s="393"/>
    </row>
    <row r="52" spans="2:252" s="62" customFormat="1" ht="25.15" customHeight="1" x14ac:dyDescent="0.25"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V52" s="393"/>
      <c r="W52" s="393"/>
      <c r="X52" s="393"/>
      <c r="Y52" s="393"/>
      <c r="Z52" s="393"/>
      <c r="AA52" s="393"/>
      <c r="AB52" s="393"/>
      <c r="AC52" s="393"/>
      <c r="AD52" s="393"/>
      <c r="AE52" s="393"/>
      <c r="AF52" s="393"/>
      <c r="AG52" s="393"/>
      <c r="AH52" s="393"/>
      <c r="AI52" s="393"/>
      <c r="AJ52" s="393"/>
      <c r="AK52" s="393"/>
      <c r="AL52" s="393"/>
      <c r="AM52" s="393"/>
      <c r="AN52" s="393"/>
      <c r="AO52" s="393"/>
      <c r="AP52" s="393"/>
      <c r="AQ52" s="393"/>
      <c r="AR52" s="393"/>
      <c r="AS52" s="393"/>
      <c r="AT52" s="393"/>
      <c r="AU52" s="393"/>
      <c r="AV52" s="393"/>
      <c r="AW52" s="393"/>
      <c r="AX52" s="393"/>
      <c r="AY52" s="393"/>
      <c r="AZ52" s="393"/>
      <c r="BA52" s="393"/>
      <c r="BB52" s="393"/>
      <c r="BC52" s="393"/>
      <c r="BD52" s="393"/>
      <c r="BE52" s="393"/>
      <c r="BF52" s="393"/>
      <c r="BG52" s="393"/>
      <c r="BH52" s="393"/>
      <c r="BI52" s="393"/>
      <c r="BJ52" s="393"/>
      <c r="BK52" s="393"/>
      <c r="BL52" s="393"/>
      <c r="BM52" s="393"/>
      <c r="BN52" s="393"/>
      <c r="BO52" s="393"/>
      <c r="BP52" s="393"/>
      <c r="BQ52" s="393"/>
      <c r="BR52" s="393"/>
      <c r="BS52" s="393"/>
      <c r="BT52" s="393"/>
      <c r="BU52" s="393"/>
      <c r="BV52" s="393"/>
      <c r="BW52" s="393"/>
      <c r="BX52" s="393"/>
      <c r="BY52" s="393"/>
      <c r="BZ52" s="393"/>
      <c r="CA52" s="393"/>
      <c r="CB52" s="393"/>
      <c r="CC52" s="393"/>
      <c r="CD52" s="393"/>
      <c r="CE52" s="393"/>
      <c r="CF52" s="393"/>
      <c r="CG52" s="393"/>
      <c r="CH52" s="393"/>
      <c r="CI52" s="393"/>
      <c r="CJ52" s="393"/>
      <c r="CK52" s="393"/>
      <c r="CL52" s="393"/>
      <c r="CM52" s="393"/>
      <c r="CN52" s="393"/>
      <c r="CO52" s="393"/>
      <c r="CP52" s="393"/>
      <c r="CQ52" s="393"/>
      <c r="CR52" s="393"/>
      <c r="CS52" s="393"/>
      <c r="CT52" s="393"/>
      <c r="CU52" s="393"/>
      <c r="CV52" s="393"/>
      <c r="CW52" s="393"/>
      <c r="CX52" s="393"/>
      <c r="CY52" s="393"/>
      <c r="CZ52" s="393"/>
      <c r="DA52" s="393"/>
      <c r="DB52" s="393"/>
      <c r="DC52" s="393"/>
      <c r="DD52" s="393"/>
      <c r="DE52" s="393"/>
      <c r="DF52" s="393"/>
      <c r="DG52" s="393"/>
      <c r="DH52" s="393"/>
      <c r="DI52" s="393"/>
      <c r="DJ52" s="393"/>
      <c r="DK52" s="393"/>
      <c r="DL52" s="393"/>
      <c r="DM52" s="393"/>
      <c r="DN52" s="393"/>
      <c r="DO52" s="393"/>
      <c r="DP52" s="393"/>
      <c r="DQ52" s="393"/>
      <c r="DR52" s="393"/>
      <c r="DS52" s="393"/>
      <c r="DT52" s="393"/>
      <c r="DU52" s="393"/>
      <c r="DV52" s="393"/>
      <c r="DW52" s="393"/>
      <c r="DX52" s="393"/>
      <c r="DY52" s="393"/>
      <c r="DZ52" s="393"/>
      <c r="EA52" s="393"/>
      <c r="EB52" s="393"/>
      <c r="EC52" s="393"/>
      <c r="ED52" s="393"/>
      <c r="EE52" s="393"/>
      <c r="EF52" s="393"/>
      <c r="EG52" s="393"/>
      <c r="EH52" s="393"/>
      <c r="EI52" s="393"/>
      <c r="EJ52" s="393"/>
      <c r="EK52" s="393"/>
      <c r="EL52" s="393"/>
      <c r="EM52" s="393"/>
      <c r="EN52" s="393"/>
      <c r="EO52" s="393"/>
      <c r="EP52" s="393"/>
      <c r="EQ52" s="393"/>
      <c r="ER52" s="393"/>
      <c r="ES52" s="393"/>
      <c r="ET52" s="393"/>
      <c r="EU52" s="393"/>
      <c r="EV52" s="393"/>
      <c r="EW52" s="393"/>
      <c r="EX52" s="393"/>
      <c r="EY52" s="393"/>
      <c r="EZ52" s="393"/>
      <c r="FA52" s="393"/>
      <c r="FB52" s="393"/>
      <c r="FC52" s="393"/>
      <c r="FD52" s="393"/>
      <c r="FE52" s="393"/>
      <c r="FF52" s="393"/>
      <c r="FG52" s="393"/>
      <c r="FH52" s="393"/>
      <c r="FI52" s="393"/>
      <c r="FJ52" s="393"/>
      <c r="FK52" s="393"/>
      <c r="FL52" s="393"/>
      <c r="FM52" s="393"/>
      <c r="FN52" s="393"/>
      <c r="FO52" s="393"/>
      <c r="FP52" s="393"/>
      <c r="FQ52" s="393"/>
      <c r="FR52" s="393"/>
      <c r="FS52" s="393"/>
      <c r="FT52" s="393"/>
      <c r="FU52" s="393"/>
      <c r="FV52" s="393"/>
      <c r="FW52" s="393"/>
      <c r="FX52" s="393"/>
      <c r="FY52" s="393"/>
      <c r="FZ52" s="393"/>
      <c r="GA52" s="393"/>
      <c r="GB52" s="393"/>
      <c r="GC52" s="393"/>
      <c r="GD52" s="393"/>
      <c r="GE52" s="393"/>
      <c r="GF52" s="393"/>
      <c r="GG52" s="393"/>
      <c r="GH52" s="393"/>
      <c r="GI52" s="393"/>
      <c r="GJ52" s="393"/>
      <c r="GK52" s="393"/>
      <c r="GL52" s="393"/>
      <c r="GM52" s="393"/>
      <c r="GN52" s="393"/>
      <c r="GO52" s="393"/>
      <c r="GP52" s="393"/>
      <c r="GQ52" s="393"/>
      <c r="GR52" s="393"/>
      <c r="GS52" s="393"/>
      <c r="GT52" s="393"/>
      <c r="GU52" s="393"/>
      <c r="GV52" s="393"/>
      <c r="GW52" s="393"/>
      <c r="GX52" s="393"/>
      <c r="GY52" s="393"/>
      <c r="GZ52" s="393"/>
      <c r="HA52" s="393"/>
      <c r="HB52" s="393"/>
      <c r="HC52" s="393"/>
      <c r="HD52" s="393"/>
      <c r="HE52" s="393"/>
      <c r="HF52" s="393"/>
      <c r="HG52" s="393"/>
      <c r="HH52" s="393"/>
      <c r="HI52" s="393"/>
      <c r="HJ52" s="393"/>
      <c r="HK52" s="393"/>
      <c r="HL52" s="393"/>
      <c r="HM52" s="393"/>
      <c r="HN52" s="393"/>
      <c r="HO52" s="393"/>
      <c r="HP52" s="393"/>
      <c r="HQ52" s="393"/>
      <c r="HR52" s="393"/>
      <c r="HS52" s="393"/>
      <c r="HT52" s="393"/>
      <c r="HU52" s="393"/>
      <c r="HV52" s="393"/>
      <c r="HW52" s="393"/>
      <c r="HX52" s="393"/>
      <c r="HY52" s="393"/>
      <c r="HZ52" s="393"/>
      <c r="IA52" s="393"/>
      <c r="IB52" s="393"/>
      <c r="IC52" s="393"/>
      <c r="ID52" s="393"/>
      <c r="IE52" s="393"/>
      <c r="IF52" s="393"/>
      <c r="IG52" s="393"/>
      <c r="IH52" s="393"/>
      <c r="II52" s="393"/>
      <c r="IJ52" s="393"/>
      <c r="IK52" s="393"/>
      <c r="IL52" s="393"/>
      <c r="IM52" s="393"/>
      <c r="IN52" s="393"/>
      <c r="IO52" s="393"/>
      <c r="IP52" s="393"/>
      <c r="IQ52" s="393"/>
      <c r="IR52" s="393"/>
    </row>
    <row r="53" spans="2:252" ht="25.5" x14ac:dyDescent="0.5">
      <c r="B53" s="70" t="s">
        <v>28</v>
      </c>
      <c r="C53" s="55"/>
      <c r="D53" s="55"/>
      <c r="E53" s="55"/>
      <c r="F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</row>
    <row r="54" spans="2:252" ht="4.5" customHeight="1" x14ac:dyDescent="0.3">
      <c r="B54" s="55"/>
      <c r="C54" s="55"/>
      <c r="D54" s="55"/>
      <c r="E54" s="55"/>
      <c r="F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</row>
    <row r="55" spans="2:252" s="62" customFormat="1" ht="25.15" customHeight="1" x14ac:dyDescent="0.25">
      <c r="B55" s="71" t="s">
        <v>29</v>
      </c>
      <c r="C55" s="58"/>
      <c r="D55" s="58"/>
      <c r="E55" s="58"/>
      <c r="F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V55" s="393"/>
      <c r="W55" s="393"/>
      <c r="X55" s="393"/>
      <c r="Y55" s="393"/>
      <c r="Z55" s="393"/>
      <c r="AA55" s="393"/>
      <c r="AB55" s="393"/>
      <c r="AC55" s="393"/>
      <c r="AD55" s="393"/>
      <c r="AE55" s="393"/>
      <c r="AF55" s="393"/>
      <c r="AG55" s="393"/>
      <c r="AH55" s="393"/>
      <c r="AI55" s="393"/>
      <c r="AJ55" s="393"/>
      <c r="AK55" s="393"/>
      <c r="AL55" s="393"/>
      <c r="AM55" s="393"/>
      <c r="AN55" s="393"/>
      <c r="AO55" s="393"/>
      <c r="AP55" s="393"/>
      <c r="AQ55" s="393"/>
      <c r="AR55" s="393"/>
      <c r="AS55" s="393"/>
      <c r="AT55" s="393"/>
      <c r="AU55" s="393"/>
      <c r="AV55" s="393"/>
      <c r="AW55" s="393"/>
      <c r="AX55" s="393"/>
      <c r="AY55" s="393"/>
      <c r="AZ55" s="393"/>
      <c r="BA55" s="393"/>
      <c r="BB55" s="393"/>
      <c r="BC55" s="393"/>
      <c r="BD55" s="393"/>
      <c r="BE55" s="393"/>
      <c r="BF55" s="393"/>
      <c r="BG55" s="393"/>
      <c r="BH55" s="393"/>
      <c r="BI55" s="393"/>
      <c r="BJ55" s="393"/>
      <c r="BK55" s="393"/>
      <c r="BL55" s="393"/>
      <c r="BM55" s="393"/>
      <c r="BN55" s="393"/>
      <c r="BO55" s="393"/>
      <c r="BP55" s="393"/>
      <c r="BQ55" s="393"/>
      <c r="BR55" s="393"/>
      <c r="BS55" s="393"/>
      <c r="BT55" s="393"/>
      <c r="BU55" s="393"/>
      <c r="BV55" s="393"/>
      <c r="BW55" s="393"/>
      <c r="BX55" s="393"/>
      <c r="BY55" s="393"/>
      <c r="BZ55" s="393"/>
      <c r="CA55" s="393"/>
      <c r="CB55" s="393"/>
      <c r="CC55" s="393"/>
      <c r="CD55" s="393"/>
      <c r="CE55" s="393"/>
      <c r="CF55" s="393"/>
      <c r="CG55" s="393"/>
      <c r="CH55" s="393"/>
      <c r="CI55" s="393"/>
      <c r="CJ55" s="393"/>
      <c r="CK55" s="393"/>
      <c r="CL55" s="393"/>
      <c r="CM55" s="393"/>
      <c r="CN55" s="393"/>
      <c r="CO55" s="393"/>
      <c r="CP55" s="393"/>
      <c r="CQ55" s="393"/>
      <c r="CR55" s="393"/>
      <c r="CS55" s="393"/>
      <c r="CT55" s="393"/>
      <c r="CU55" s="393"/>
      <c r="CV55" s="393"/>
      <c r="CW55" s="393"/>
      <c r="CX55" s="393"/>
      <c r="CY55" s="393"/>
      <c r="CZ55" s="393"/>
      <c r="DA55" s="393"/>
      <c r="DB55" s="393"/>
      <c r="DC55" s="393"/>
      <c r="DD55" s="393"/>
      <c r="DE55" s="393"/>
      <c r="DF55" s="393"/>
      <c r="DG55" s="393"/>
      <c r="DH55" s="393"/>
      <c r="DI55" s="393"/>
      <c r="DJ55" s="393"/>
      <c r="DK55" s="393"/>
      <c r="DL55" s="393"/>
      <c r="DM55" s="393"/>
      <c r="DN55" s="393"/>
      <c r="DO55" s="393"/>
      <c r="DP55" s="393"/>
      <c r="DQ55" s="393"/>
      <c r="DR55" s="393"/>
      <c r="DS55" s="393"/>
      <c r="DT55" s="393"/>
      <c r="DU55" s="393"/>
      <c r="DV55" s="393"/>
      <c r="DW55" s="393"/>
      <c r="DX55" s="393"/>
      <c r="DY55" s="393"/>
      <c r="DZ55" s="393"/>
      <c r="EA55" s="393"/>
      <c r="EB55" s="393"/>
      <c r="EC55" s="393"/>
      <c r="ED55" s="393"/>
      <c r="EE55" s="393"/>
      <c r="EF55" s="393"/>
      <c r="EG55" s="393"/>
      <c r="EH55" s="393"/>
      <c r="EI55" s="393"/>
      <c r="EJ55" s="393"/>
      <c r="EK55" s="393"/>
      <c r="EL55" s="393"/>
      <c r="EM55" s="393"/>
      <c r="EN55" s="393"/>
      <c r="EO55" s="393"/>
      <c r="EP55" s="393"/>
      <c r="EQ55" s="393"/>
      <c r="ER55" s="393"/>
      <c r="ES55" s="393"/>
      <c r="ET55" s="393"/>
      <c r="EU55" s="393"/>
      <c r="EV55" s="393"/>
      <c r="EW55" s="393"/>
      <c r="EX55" s="393"/>
      <c r="EY55" s="393"/>
      <c r="EZ55" s="393"/>
      <c r="FA55" s="393"/>
      <c r="FB55" s="393"/>
      <c r="FC55" s="393"/>
      <c r="FD55" s="393"/>
      <c r="FE55" s="393"/>
      <c r="FF55" s="393"/>
      <c r="FG55" s="393"/>
      <c r="FH55" s="393"/>
      <c r="FI55" s="393"/>
      <c r="FJ55" s="393"/>
      <c r="FK55" s="393"/>
      <c r="FL55" s="393"/>
      <c r="FM55" s="393"/>
      <c r="FN55" s="393"/>
      <c r="FO55" s="393"/>
      <c r="FP55" s="393"/>
      <c r="FQ55" s="393"/>
      <c r="FR55" s="393"/>
      <c r="FS55" s="393"/>
      <c r="FT55" s="393"/>
      <c r="FU55" s="393"/>
      <c r="FV55" s="393"/>
      <c r="FW55" s="393"/>
      <c r="FX55" s="393"/>
      <c r="FY55" s="393"/>
      <c r="FZ55" s="393"/>
      <c r="GA55" s="393"/>
      <c r="GB55" s="393"/>
      <c r="GC55" s="393"/>
      <c r="GD55" s="393"/>
      <c r="GE55" s="393"/>
      <c r="GF55" s="393"/>
      <c r="GG55" s="393"/>
      <c r="GH55" s="393"/>
      <c r="GI55" s="393"/>
      <c r="GJ55" s="393"/>
      <c r="GK55" s="393"/>
      <c r="GL55" s="393"/>
      <c r="GM55" s="393"/>
      <c r="GN55" s="393"/>
      <c r="GO55" s="393"/>
      <c r="GP55" s="393"/>
      <c r="GQ55" s="393"/>
      <c r="GR55" s="393"/>
      <c r="GS55" s="393"/>
      <c r="GT55" s="393"/>
      <c r="GU55" s="393"/>
      <c r="GV55" s="393"/>
      <c r="GW55" s="393"/>
      <c r="GX55" s="393"/>
      <c r="GY55" s="393"/>
      <c r="GZ55" s="393"/>
      <c r="HA55" s="393"/>
      <c r="HB55" s="393"/>
      <c r="HC55" s="393"/>
      <c r="HD55" s="393"/>
      <c r="HE55" s="393"/>
      <c r="HF55" s="393"/>
      <c r="HG55" s="393"/>
      <c r="HH55" s="393"/>
      <c r="HI55" s="393"/>
      <c r="HJ55" s="393"/>
      <c r="HK55" s="393"/>
      <c r="HL55" s="393"/>
      <c r="HM55" s="393"/>
      <c r="HN55" s="393"/>
      <c r="HO55" s="393"/>
      <c r="HP55" s="393"/>
      <c r="HQ55" s="393"/>
      <c r="HR55" s="393"/>
      <c r="HS55" s="393"/>
      <c r="HT55" s="393"/>
      <c r="HU55" s="393"/>
      <c r="HV55" s="393"/>
      <c r="HW55" s="393"/>
      <c r="HX55" s="393"/>
      <c r="HY55" s="393"/>
      <c r="HZ55" s="393"/>
      <c r="IA55" s="393"/>
      <c r="IB55" s="393"/>
      <c r="IC55" s="393"/>
      <c r="ID55" s="393"/>
      <c r="IE55" s="393"/>
      <c r="IF55" s="393"/>
      <c r="IG55" s="393"/>
      <c r="IH55" s="393"/>
      <c r="II55" s="393"/>
      <c r="IJ55" s="393"/>
      <c r="IK55" s="393"/>
      <c r="IL55" s="393"/>
      <c r="IM55" s="393"/>
      <c r="IN55" s="393"/>
      <c r="IO55" s="393"/>
      <c r="IP55" s="393"/>
      <c r="IQ55" s="393"/>
      <c r="IR55" s="393"/>
    </row>
    <row r="56" spans="2:252" s="58" customFormat="1" ht="25.15" customHeight="1" x14ac:dyDescent="0.25">
      <c r="D56" s="73" t="s">
        <v>30</v>
      </c>
      <c r="E56" s="74" t="s">
        <v>31</v>
      </c>
      <c r="F56" s="59" t="s">
        <v>32</v>
      </c>
      <c r="G56" s="73" t="s">
        <v>33</v>
      </c>
      <c r="H56" s="74" t="s">
        <v>34</v>
      </c>
      <c r="I56" s="59" t="s">
        <v>35</v>
      </c>
      <c r="J56" s="59" t="s">
        <v>36</v>
      </c>
      <c r="K56" s="73" t="s">
        <v>37</v>
      </c>
      <c r="L56" s="74" t="s">
        <v>38</v>
      </c>
      <c r="M56" s="74"/>
      <c r="N56" s="59" t="s">
        <v>39</v>
      </c>
      <c r="O56" s="73" t="s">
        <v>40</v>
      </c>
      <c r="P56" s="74" t="s">
        <v>41</v>
      </c>
      <c r="Q56" s="59" t="s">
        <v>42</v>
      </c>
      <c r="R56" s="73" t="s">
        <v>43</v>
      </c>
      <c r="S56" s="73" t="s">
        <v>44</v>
      </c>
      <c r="V56" s="395"/>
      <c r="W56" s="395"/>
      <c r="X56" s="395"/>
      <c r="Y56" s="395"/>
      <c r="Z56" s="395"/>
      <c r="AA56" s="395"/>
      <c r="AB56" s="395"/>
      <c r="AC56" s="395"/>
      <c r="AD56" s="395"/>
      <c r="AE56" s="395"/>
      <c r="AF56" s="395"/>
      <c r="AG56" s="395"/>
      <c r="AH56" s="395"/>
      <c r="AI56" s="395"/>
      <c r="AJ56" s="395"/>
      <c r="AK56" s="395"/>
      <c r="AL56" s="395"/>
      <c r="AM56" s="395"/>
      <c r="AN56" s="395"/>
      <c r="AO56" s="395"/>
      <c r="AP56" s="395"/>
      <c r="AQ56" s="395"/>
      <c r="AR56" s="395"/>
      <c r="AS56" s="395"/>
      <c r="AT56" s="395"/>
      <c r="AU56" s="395"/>
      <c r="AV56" s="395"/>
      <c r="AW56" s="395"/>
      <c r="AX56" s="395"/>
      <c r="AY56" s="395"/>
      <c r="AZ56" s="395"/>
      <c r="BA56" s="395"/>
      <c r="BB56" s="395"/>
      <c r="BC56" s="395"/>
      <c r="BD56" s="395"/>
      <c r="BE56" s="395"/>
      <c r="BF56" s="395"/>
      <c r="BG56" s="395"/>
      <c r="BH56" s="395"/>
      <c r="BI56" s="395"/>
      <c r="BJ56" s="395"/>
      <c r="BK56" s="395"/>
      <c r="BL56" s="395"/>
      <c r="BM56" s="395"/>
      <c r="BN56" s="395"/>
      <c r="BO56" s="395"/>
      <c r="BP56" s="395"/>
      <c r="BQ56" s="395"/>
      <c r="BR56" s="395"/>
      <c r="BS56" s="395"/>
      <c r="BT56" s="395"/>
      <c r="BU56" s="395"/>
      <c r="BV56" s="395"/>
      <c r="BW56" s="395"/>
      <c r="BX56" s="395"/>
      <c r="BY56" s="395"/>
      <c r="BZ56" s="395"/>
      <c r="CA56" s="395"/>
      <c r="CB56" s="395"/>
      <c r="CC56" s="395"/>
      <c r="CD56" s="395"/>
      <c r="CE56" s="395"/>
      <c r="CF56" s="395"/>
      <c r="CG56" s="395"/>
      <c r="CH56" s="395"/>
      <c r="CI56" s="395"/>
      <c r="CJ56" s="395"/>
      <c r="CK56" s="395"/>
      <c r="CL56" s="395"/>
      <c r="CM56" s="395"/>
      <c r="CN56" s="395"/>
      <c r="CO56" s="395"/>
      <c r="CP56" s="395"/>
      <c r="CQ56" s="395"/>
      <c r="CR56" s="395"/>
      <c r="CS56" s="395"/>
      <c r="CT56" s="395"/>
      <c r="CU56" s="395"/>
      <c r="CV56" s="395"/>
      <c r="CW56" s="395"/>
      <c r="CX56" s="395"/>
      <c r="CY56" s="395"/>
      <c r="CZ56" s="395"/>
      <c r="DA56" s="395"/>
      <c r="DB56" s="395"/>
      <c r="DC56" s="395"/>
      <c r="DD56" s="395"/>
      <c r="DE56" s="395"/>
      <c r="DF56" s="395"/>
      <c r="DG56" s="395"/>
      <c r="DH56" s="395"/>
      <c r="DI56" s="395"/>
      <c r="DJ56" s="395"/>
      <c r="DK56" s="395"/>
      <c r="DL56" s="395"/>
      <c r="DM56" s="395"/>
      <c r="DN56" s="395"/>
      <c r="DO56" s="395"/>
      <c r="DP56" s="395"/>
      <c r="DQ56" s="395"/>
      <c r="DR56" s="395"/>
      <c r="DS56" s="395"/>
      <c r="DT56" s="395"/>
      <c r="DU56" s="395"/>
      <c r="DV56" s="395"/>
      <c r="DW56" s="395"/>
      <c r="DX56" s="395"/>
      <c r="DY56" s="395"/>
      <c r="DZ56" s="395"/>
      <c r="EA56" s="395"/>
      <c r="EB56" s="395"/>
      <c r="EC56" s="395"/>
      <c r="ED56" s="395"/>
      <c r="EE56" s="395"/>
      <c r="EF56" s="395"/>
      <c r="EG56" s="395"/>
      <c r="EH56" s="395"/>
      <c r="EI56" s="395"/>
      <c r="EJ56" s="395"/>
      <c r="EK56" s="395"/>
      <c r="EL56" s="395"/>
      <c r="EM56" s="395"/>
      <c r="EN56" s="395"/>
      <c r="EO56" s="395"/>
      <c r="EP56" s="395"/>
      <c r="EQ56" s="395"/>
      <c r="ER56" s="395"/>
      <c r="ES56" s="395"/>
      <c r="ET56" s="395"/>
      <c r="EU56" s="395"/>
      <c r="EV56" s="395"/>
      <c r="EW56" s="395"/>
      <c r="EX56" s="395"/>
      <c r="EY56" s="395"/>
      <c r="EZ56" s="395"/>
      <c r="FA56" s="395"/>
      <c r="FB56" s="395"/>
      <c r="FC56" s="395"/>
      <c r="FD56" s="395"/>
      <c r="FE56" s="395"/>
      <c r="FF56" s="395"/>
      <c r="FG56" s="395"/>
      <c r="FH56" s="395"/>
      <c r="FI56" s="395"/>
      <c r="FJ56" s="395"/>
      <c r="FK56" s="395"/>
      <c r="FL56" s="395"/>
      <c r="FM56" s="395"/>
      <c r="FN56" s="395"/>
      <c r="FO56" s="395"/>
      <c r="FP56" s="395"/>
      <c r="FQ56" s="395"/>
      <c r="FR56" s="395"/>
      <c r="FS56" s="395"/>
      <c r="FT56" s="395"/>
      <c r="FU56" s="395"/>
      <c r="FV56" s="395"/>
      <c r="FW56" s="395"/>
      <c r="FX56" s="395"/>
      <c r="FY56" s="395"/>
      <c r="FZ56" s="395"/>
      <c r="GA56" s="395"/>
      <c r="GB56" s="395"/>
      <c r="GC56" s="395"/>
      <c r="GD56" s="395"/>
      <c r="GE56" s="395"/>
      <c r="GF56" s="395"/>
      <c r="GG56" s="395"/>
      <c r="GH56" s="395"/>
      <c r="GI56" s="395"/>
      <c r="GJ56" s="395"/>
      <c r="GK56" s="395"/>
      <c r="GL56" s="395"/>
      <c r="GM56" s="395"/>
      <c r="GN56" s="395"/>
      <c r="GO56" s="395"/>
      <c r="GP56" s="395"/>
      <c r="GQ56" s="395"/>
      <c r="GR56" s="395"/>
      <c r="GS56" s="395"/>
      <c r="GT56" s="395"/>
      <c r="GU56" s="395"/>
      <c r="GV56" s="395"/>
      <c r="GW56" s="395"/>
      <c r="GX56" s="395"/>
      <c r="GY56" s="395"/>
      <c r="GZ56" s="395"/>
      <c r="HA56" s="395"/>
      <c r="HB56" s="395"/>
      <c r="HC56" s="395"/>
      <c r="HD56" s="395"/>
      <c r="HE56" s="395"/>
      <c r="HF56" s="395"/>
      <c r="HG56" s="395"/>
      <c r="HH56" s="395"/>
      <c r="HI56" s="395"/>
      <c r="HJ56" s="395"/>
      <c r="HK56" s="395"/>
      <c r="HL56" s="395"/>
      <c r="HM56" s="395"/>
      <c r="HN56" s="395"/>
      <c r="HO56" s="395"/>
      <c r="HP56" s="395"/>
      <c r="HQ56" s="395"/>
      <c r="HR56" s="395"/>
      <c r="HS56" s="395"/>
      <c r="HT56" s="395"/>
      <c r="HU56" s="395"/>
      <c r="HV56" s="395"/>
      <c r="HW56" s="395"/>
      <c r="HX56" s="395"/>
      <c r="HY56" s="395"/>
      <c r="HZ56" s="395"/>
      <c r="IA56" s="395"/>
      <c r="IB56" s="395"/>
      <c r="IC56" s="395"/>
      <c r="ID56" s="395"/>
      <c r="IE56" s="395"/>
      <c r="IF56" s="395"/>
      <c r="IG56" s="395"/>
      <c r="IH56" s="395"/>
      <c r="II56" s="395"/>
      <c r="IJ56" s="395"/>
      <c r="IK56" s="395"/>
      <c r="IL56" s="395"/>
      <c r="IM56" s="395"/>
      <c r="IN56" s="395"/>
      <c r="IO56" s="395"/>
      <c r="IP56" s="395"/>
      <c r="IQ56" s="395"/>
      <c r="IR56" s="395"/>
    </row>
    <row r="57" spans="2:252" s="58" customFormat="1" ht="25.15" customHeight="1" x14ac:dyDescent="0.25">
      <c r="B57" s="181"/>
      <c r="D57" s="191">
        <f>D60</f>
        <v>200000</v>
      </c>
      <c r="E57" s="191">
        <f>D57*0.5</f>
        <v>100000</v>
      </c>
      <c r="F57" s="191">
        <f t="shared" ref="F57:L57" si="0">E57*0.5</f>
        <v>50000</v>
      </c>
      <c r="G57" s="191">
        <f t="shared" si="0"/>
        <v>25000</v>
      </c>
      <c r="H57" s="191">
        <f t="shared" si="0"/>
        <v>12500</v>
      </c>
      <c r="I57" s="191">
        <f>H57*0.5</f>
        <v>6250</v>
      </c>
      <c r="J57" s="191">
        <f t="shared" si="0"/>
        <v>3125</v>
      </c>
      <c r="K57" s="191">
        <f t="shared" si="0"/>
        <v>1562.5</v>
      </c>
      <c r="L57" s="191">
        <f t="shared" si="0"/>
        <v>781.25</v>
      </c>
      <c r="M57" s="191"/>
      <c r="N57" s="191">
        <f>L57*0.5</f>
        <v>390.625</v>
      </c>
      <c r="V57" s="395"/>
      <c r="W57" s="395"/>
      <c r="X57" s="395"/>
      <c r="Y57" s="395"/>
      <c r="Z57" s="395"/>
      <c r="AA57" s="395"/>
      <c r="AB57" s="395"/>
      <c r="AC57" s="395"/>
      <c r="AD57" s="395"/>
      <c r="AE57" s="395"/>
      <c r="AF57" s="395"/>
      <c r="AG57" s="395"/>
      <c r="AH57" s="395"/>
      <c r="AI57" s="395"/>
      <c r="AJ57" s="395"/>
      <c r="AK57" s="395"/>
      <c r="AL57" s="395"/>
      <c r="AM57" s="395"/>
      <c r="AN57" s="395"/>
      <c r="AO57" s="395"/>
      <c r="AP57" s="395"/>
      <c r="AQ57" s="395"/>
      <c r="AR57" s="395"/>
      <c r="AS57" s="395"/>
      <c r="AT57" s="395"/>
      <c r="AU57" s="395"/>
      <c r="AV57" s="395"/>
      <c r="AW57" s="395"/>
      <c r="AX57" s="395"/>
      <c r="AY57" s="395"/>
      <c r="AZ57" s="395"/>
      <c r="BA57" s="395"/>
      <c r="BB57" s="395"/>
      <c r="BC57" s="395"/>
      <c r="BD57" s="395"/>
      <c r="BE57" s="395"/>
      <c r="BF57" s="395"/>
      <c r="BG57" s="395"/>
      <c r="BH57" s="395"/>
      <c r="BI57" s="395"/>
      <c r="BJ57" s="395"/>
      <c r="BK57" s="395"/>
      <c r="BL57" s="395"/>
      <c r="BM57" s="395"/>
      <c r="BN57" s="395"/>
      <c r="BO57" s="395"/>
      <c r="BP57" s="395"/>
      <c r="BQ57" s="395"/>
      <c r="BR57" s="395"/>
      <c r="BS57" s="395"/>
      <c r="BT57" s="395"/>
      <c r="BU57" s="395"/>
      <c r="BV57" s="395"/>
      <c r="BW57" s="395"/>
      <c r="BX57" s="395"/>
      <c r="BY57" s="395"/>
      <c r="BZ57" s="395"/>
      <c r="CA57" s="395"/>
      <c r="CB57" s="395"/>
      <c r="CC57" s="395"/>
      <c r="CD57" s="395"/>
      <c r="CE57" s="395"/>
      <c r="CF57" s="395"/>
      <c r="CG57" s="395"/>
      <c r="CH57" s="395"/>
      <c r="CI57" s="395"/>
      <c r="CJ57" s="395"/>
      <c r="CK57" s="395"/>
      <c r="CL57" s="395"/>
      <c r="CM57" s="395"/>
      <c r="CN57" s="395"/>
      <c r="CO57" s="395"/>
      <c r="CP57" s="395"/>
      <c r="CQ57" s="395"/>
      <c r="CR57" s="395"/>
      <c r="CS57" s="395"/>
      <c r="CT57" s="395"/>
      <c r="CU57" s="395"/>
      <c r="CV57" s="395"/>
      <c r="CW57" s="395"/>
      <c r="CX57" s="395"/>
      <c r="CY57" s="395"/>
      <c r="CZ57" s="395"/>
      <c r="DA57" s="395"/>
      <c r="DB57" s="395"/>
      <c r="DC57" s="395"/>
      <c r="DD57" s="395"/>
      <c r="DE57" s="395"/>
      <c r="DF57" s="395"/>
      <c r="DG57" s="395"/>
      <c r="DH57" s="395"/>
      <c r="DI57" s="395"/>
      <c r="DJ57" s="395"/>
      <c r="DK57" s="395"/>
      <c r="DL57" s="395"/>
      <c r="DM57" s="395"/>
      <c r="DN57" s="395"/>
      <c r="DO57" s="395"/>
      <c r="DP57" s="395"/>
      <c r="DQ57" s="395"/>
      <c r="DR57" s="395"/>
      <c r="DS57" s="395"/>
      <c r="DT57" s="395"/>
      <c r="DU57" s="395"/>
      <c r="DV57" s="395"/>
      <c r="DW57" s="395"/>
      <c r="DX57" s="395"/>
      <c r="DY57" s="395"/>
      <c r="DZ57" s="395"/>
      <c r="EA57" s="395"/>
      <c r="EB57" s="395"/>
      <c r="EC57" s="395"/>
      <c r="ED57" s="395"/>
      <c r="EE57" s="395"/>
      <c r="EF57" s="395"/>
      <c r="EG57" s="395"/>
      <c r="EH57" s="395"/>
      <c r="EI57" s="395"/>
      <c r="EJ57" s="395"/>
      <c r="EK57" s="395"/>
      <c r="EL57" s="395"/>
      <c r="EM57" s="395"/>
      <c r="EN57" s="395"/>
      <c r="EO57" s="395"/>
      <c r="EP57" s="395"/>
      <c r="EQ57" s="395"/>
      <c r="ER57" s="395"/>
      <c r="ES57" s="395"/>
      <c r="ET57" s="395"/>
      <c r="EU57" s="395"/>
      <c r="EV57" s="395"/>
      <c r="EW57" s="395"/>
      <c r="EX57" s="395"/>
      <c r="EY57" s="395"/>
      <c r="EZ57" s="395"/>
      <c r="FA57" s="395"/>
      <c r="FB57" s="395"/>
      <c r="FC57" s="395"/>
      <c r="FD57" s="395"/>
      <c r="FE57" s="395"/>
      <c r="FF57" s="395"/>
      <c r="FG57" s="395"/>
      <c r="FH57" s="395"/>
      <c r="FI57" s="395"/>
      <c r="FJ57" s="395"/>
      <c r="FK57" s="395"/>
      <c r="FL57" s="395"/>
      <c r="FM57" s="395"/>
      <c r="FN57" s="395"/>
      <c r="FO57" s="395"/>
      <c r="FP57" s="395"/>
      <c r="FQ57" s="395"/>
      <c r="FR57" s="395"/>
      <c r="FS57" s="395"/>
      <c r="FT57" s="395"/>
      <c r="FU57" s="395"/>
      <c r="FV57" s="395"/>
      <c r="FW57" s="395"/>
      <c r="FX57" s="395"/>
      <c r="FY57" s="395"/>
      <c r="FZ57" s="395"/>
      <c r="GA57" s="395"/>
      <c r="GB57" s="395"/>
      <c r="GC57" s="395"/>
      <c r="GD57" s="395"/>
      <c r="GE57" s="395"/>
      <c r="GF57" s="395"/>
      <c r="GG57" s="395"/>
      <c r="GH57" s="395"/>
      <c r="GI57" s="395"/>
      <c r="GJ57" s="395"/>
      <c r="GK57" s="395"/>
      <c r="GL57" s="395"/>
      <c r="GM57" s="395"/>
      <c r="GN57" s="395"/>
      <c r="GO57" s="395"/>
      <c r="GP57" s="395"/>
      <c r="GQ57" s="395"/>
      <c r="GR57" s="395"/>
      <c r="GS57" s="395"/>
      <c r="GT57" s="395"/>
      <c r="GU57" s="395"/>
      <c r="GV57" s="395"/>
      <c r="GW57" s="395"/>
      <c r="GX57" s="395"/>
      <c r="GY57" s="395"/>
      <c r="GZ57" s="395"/>
      <c r="HA57" s="395"/>
      <c r="HB57" s="395"/>
      <c r="HC57" s="395"/>
      <c r="HD57" s="395"/>
      <c r="HE57" s="395"/>
      <c r="HF57" s="395"/>
      <c r="HG57" s="395"/>
      <c r="HH57" s="395"/>
      <c r="HI57" s="395"/>
      <c r="HJ57" s="395"/>
      <c r="HK57" s="395"/>
      <c r="HL57" s="395"/>
      <c r="HM57" s="395"/>
      <c r="HN57" s="395"/>
      <c r="HO57" s="395"/>
      <c r="HP57" s="395"/>
      <c r="HQ57" s="395"/>
      <c r="HR57" s="395"/>
      <c r="HS57" s="395"/>
      <c r="HT57" s="395"/>
      <c r="HU57" s="395"/>
      <c r="HV57" s="395"/>
      <c r="HW57" s="395"/>
      <c r="HX57" s="395"/>
      <c r="HY57" s="395"/>
      <c r="HZ57" s="395"/>
      <c r="IA57" s="395"/>
      <c r="IB57" s="395"/>
      <c r="IC57" s="395"/>
      <c r="ID57" s="395"/>
      <c r="IE57" s="395"/>
      <c r="IF57" s="395"/>
      <c r="IG57" s="395"/>
      <c r="IH57" s="395"/>
      <c r="II57" s="395"/>
      <c r="IJ57" s="395"/>
      <c r="IK57" s="395"/>
      <c r="IL57" s="395"/>
      <c r="IM57" s="395"/>
      <c r="IN57" s="395"/>
      <c r="IO57" s="395"/>
      <c r="IP57" s="395"/>
      <c r="IQ57" s="395"/>
      <c r="IR57" s="395"/>
    </row>
    <row r="58" spans="2:252" s="58" customFormat="1" ht="25.15" customHeight="1" x14ac:dyDescent="0.25">
      <c r="B58" s="181"/>
      <c r="D58" s="191"/>
      <c r="E58" s="191">
        <f>D57*(1+D59)</f>
        <v>220000.00000000003</v>
      </c>
      <c r="F58" s="191">
        <f>E57+E58*(1+D59)</f>
        <v>342000.00000000006</v>
      </c>
      <c r="G58" s="191">
        <f>F57+F58*(1+D59)</f>
        <v>426200.00000000012</v>
      </c>
      <c r="H58" s="191">
        <f>G57+G58*(1+D59)</f>
        <v>493820.00000000017</v>
      </c>
      <c r="I58" s="191">
        <f>H57+H58*(1+D59)</f>
        <v>555702.00000000023</v>
      </c>
      <c r="J58" s="191">
        <f>I57+I58*(1+D59)</f>
        <v>617522.2000000003</v>
      </c>
      <c r="K58" s="191">
        <f>J57+J58*(1+D59)</f>
        <v>682399.42000000039</v>
      </c>
      <c r="L58" s="191">
        <f>K57+K58*(1+D59)</f>
        <v>752201.86200000055</v>
      </c>
      <c r="M58" s="191"/>
      <c r="N58" s="191">
        <f>L57+L58*(1+D59)</f>
        <v>828203.29820000066</v>
      </c>
      <c r="V58" s="395"/>
      <c r="W58" s="395"/>
      <c r="X58" s="395"/>
      <c r="Y58" s="395"/>
      <c r="Z58" s="395"/>
      <c r="AA58" s="395"/>
      <c r="AB58" s="395"/>
      <c r="AC58" s="395"/>
      <c r="AD58" s="395"/>
      <c r="AE58" s="395"/>
      <c r="AF58" s="395"/>
      <c r="AG58" s="395"/>
      <c r="AH58" s="395"/>
      <c r="AI58" s="395"/>
      <c r="AJ58" s="395"/>
      <c r="AK58" s="395"/>
      <c r="AL58" s="395"/>
      <c r="AM58" s="395"/>
      <c r="AN58" s="395"/>
      <c r="AO58" s="395"/>
      <c r="AP58" s="395"/>
      <c r="AQ58" s="395"/>
      <c r="AR58" s="395"/>
      <c r="AS58" s="395"/>
      <c r="AT58" s="395"/>
      <c r="AU58" s="395"/>
      <c r="AV58" s="395"/>
      <c r="AW58" s="395"/>
      <c r="AX58" s="395"/>
      <c r="AY58" s="395"/>
      <c r="AZ58" s="395"/>
      <c r="BA58" s="395"/>
      <c r="BB58" s="395"/>
      <c r="BC58" s="395"/>
      <c r="BD58" s="395"/>
      <c r="BE58" s="395"/>
      <c r="BF58" s="395"/>
      <c r="BG58" s="395"/>
      <c r="BH58" s="395"/>
      <c r="BI58" s="395"/>
      <c r="BJ58" s="395"/>
      <c r="BK58" s="395"/>
      <c r="BL58" s="395"/>
      <c r="BM58" s="395"/>
      <c r="BN58" s="395"/>
      <c r="BO58" s="395"/>
      <c r="BP58" s="395"/>
      <c r="BQ58" s="395"/>
      <c r="BR58" s="395"/>
      <c r="BS58" s="395"/>
      <c r="BT58" s="395"/>
      <c r="BU58" s="395"/>
      <c r="BV58" s="395"/>
      <c r="BW58" s="395"/>
      <c r="BX58" s="395"/>
      <c r="BY58" s="395"/>
      <c r="BZ58" s="395"/>
      <c r="CA58" s="395"/>
      <c r="CB58" s="395"/>
      <c r="CC58" s="395"/>
      <c r="CD58" s="395"/>
      <c r="CE58" s="395"/>
      <c r="CF58" s="395"/>
      <c r="CG58" s="395"/>
      <c r="CH58" s="395"/>
      <c r="CI58" s="395"/>
      <c r="CJ58" s="395"/>
      <c r="CK58" s="395"/>
      <c r="CL58" s="395"/>
      <c r="CM58" s="395"/>
      <c r="CN58" s="395"/>
      <c r="CO58" s="395"/>
      <c r="CP58" s="395"/>
      <c r="CQ58" s="395"/>
      <c r="CR58" s="395"/>
      <c r="CS58" s="395"/>
      <c r="CT58" s="395"/>
      <c r="CU58" s="395"/>
      <c r="CV58" s="395"/>
      <c r="CW58" s="395"/>
      <c r="CX58" s="395"/>
      <c r="CY58" s="395"/>
      <c r="CZ58" s="395"/>
      <c r="DA58" s="395"/>
      <c r="DB58" s="395"/>
      <c r="DC58" s="395"/>
      <c r="DD58" s="395"/>
      <c r="DE58" s="395"/>
      <c r="DF58" s="395"/>
      <c r="DG58" s="395"/>
      <c r="DH58" s="395"/>
      <c r="DI58" s="395"/>
      <c r="DJ58" s="395"/>
      <c r="DK58" s="395"/>
      <c r="DL58" s="395"/>
      <c r="DM58" s="395"/>
      <c r="DN58" s="395"/>
      <c r="DO58" s="395"/>
      <c r="DP58" s="395"/>
      <c r="DQ58" s="395"/>
      <c r="DR58" s="395"/>
      <c r="DS58" s="395"/>
      <c r="DT58" s="395"/>
      <c r="DU58" s="395"/>
      <c r="DV58" s="395"/>
      <c r="DW58" s="395"/>
      <c r="DX58" s="395"/>
      <c r="DY58" s="395"/>
      <c r="DZ58" s="395"/>
      <c r="EA58" s="395"/>
      <c r="EB58" s="395"/>
      <c r="EC58" s="395"/>
      <c r="ED58" s="395"/>
      <c r="EE58" s="395"/>
      <c r="EF58" s="395"/>
      <c r="EG58" s="395"/>
      <c r="EH58" s="395"/>
      <c r="EI58" s="395"/>
      <c r="EJ58" s="395"/>
      <c r="EK58" s="395"/>
      <c r="EL58" s="395"/>
      <c r="EM58" s="395"/>
      <c r="EN58" s="395"/>
      <c r="EO58" s="395"/>
      <c r="EP58" s="395"/>
      <c r="EQ58" s="395"/>
      <c r="ER58" s="395"/>
      <c r="ES58" s="395"/>
      <c r="ET58" s="395"/>
      <c r="EU58" s="395"/>
      <c r="EV58" s="395"/>
      <c r="EW58" s="395"/>
      <c r="EX58" s="395"/>
      <c r="EY58" s="395"/>
      <c r="EZ58" s="395"/>
      <c r="FA58" s="395"/>
      <c r="FB58" s="395"/>
      <c r="FC58" s="395"/>
      <c r="FD58" s="395"/>
      <c r="FE58" s="395"/>
      <c r="FF58" s="395"/>
      <c r="FG58" s="395"/>
      <c r="FH58" s="395"/>
      <c r="FI58" s="395"/>
      <c r="FJ58" s="395"/>
      <c r="FK58" s="395"/>
      <c r="FL58" s="395"/>
      <c r="FM58" s="395"/>
      <c r="FN58" s="395"/>
      <c r="FO58" s="395"/>
      <c r="FP58" s="395"/>
      <c r="FQ58" s="395"/>
      <c r="FR58" s="395"/>
      <c r="FS58" s="395"/>
      <c r="FT58" s="395"/>
      <c r="FU58" s="395"/>
      <c r="FV58" s="395"/>
      <c r="FW58" s="395"/>
      <c r="FX58" s="395"/>
      <c r="FY58" s="395"/>
      <c r="FZ58" s="395"/>
      <c r="GA58" s="395"/>
      <c r="GB58" s="395"/>
      <c r="GC58" s="395"/>
      <c r="GD58" s="395"/>
      <c r="GE58" s="395"/>
      <c r="GF58" s="395"/>
      <c r="GG58" s="395"/>
      <c r="GH58" s="395"/>
      <c r="GI58" s="395"/>
      <c r="GJ58" s="395"/>
      <c r="GK58" s="395"/>
      <c r="GL58" s="395"/>
      <c r="GM58" s="395"/>
      <c r="GN58" s="395"/>
      <c r="GO58" s="395"/>
      <c r="GP58" s="395"/>
      <c r="GQ58" s="395"/>
      <c r="GR58" s="395"/>
      <c r="GS58" s="395"/>
      <c r="GT58" s="395"/>
      <c r="GU58" s="395"/>
      <c r="GV58" s="395"/>
      <c r="GW58" s="395"/>
      <c r="GX58" s="395"/>
      <c r="GY58" s="395"/>
      <c r="GZ58" s="395"/>
      <c r="HA58" s="395"/>
      <c r="HB58" s="395"/>
      <c r="HC58" s="395"/>
      <c r="HD58" s="395"/>
      <c r="HE58" s="395"/>
      <c r="HF58" s="395"/>
      <c r="HG58" s="395"/>
      <c r="HH58" s="395"/>
      <c r="HI58" s="395"/>
      <c r="HJ58" s="395"/>
      <c r="HK58" s="395"/>
      <c r="HL58" s="395"/>
      <c r="HM58" s="395"/>
      <c r="HN58" s="395"/>
      <c r="HO58" s="395"/>
      <c r="HP58" s="395"/>
      <c r="HQ58" s="395"/>
      <c r="HR58" s="395"/>
      <c r="HS58" s="395"/>
      <c r="HT58" s="395"/>
      <c r="HU58" s="395"/>
      <c r="HV58" s="395"/>
      <c r="HW58" s="395"/>
      <c r="HX58" s="395"/>
      <c r="HY58" s="395"/>
      <c r="HZ58" s="395"/>
      <c r="IA58" s="395"/>
      <c r="IB58" s="395"/>
      <c r="IC58" s="395"/>
      <c r="ID58" s="395"/>
      <c r="IE58" s="395"/>
      <c r="IF58" s="395"/>
      <c r="IG58" s="395"/>
      <c r="IH58" s="395"/>
      <c r="II58" s="395"/>
      <c r="IJ58" s="395"/>
      <c r="IK58" s="395"/>
      <c r="IL58" s="395"/>
      <c r="IM58" s="395"/>
      <c r="IN58" s="395"/>
      <c r="IO58" s="395"/>
      <c r="IP58" s="395"/>
      <c r="IQ58" s="395"/>
      <c r="IR58" s="395"/>
    </row>
    <row r="59" spans="2:252" s="58" customFormat="1" ht="25.15" customHeight="1" x14ac:dyDescent="0.25">
      <c r="B59" s="181" t="s">
        <v>45</v>
      </c>
      <c r="D59" s="189">
        <v>0.1</v>
      </c>
      <c r="V59" s="395"/>
      <c r="W59" s="395"/>
      <c r="X59" s="395"/>
      <c r="Y59" s="395"/>
      <c r="Z59" s="395"/>
      <c r="AA59" s="395"/>
      <c r="AB59" s="395"/>
      <c r="AC59" s="395"/>
      <c r="AD59" s="395"/>
      <c r="AE59" s="395"/>
      <c r="AF59" s="395"/>
      <c r="AG59" s="395"/>
      <c r="AH59" s="395"/>
      <c r="AI59" s="395"/>
      <c r="AJ59" s="395"/>
      <c r="AK59" s="395"/>
      <c r="AL59" s="395"/>
      <c r="AM59" s="395"/>
      <c r="AN59" s="395"/>
      <c r="AO59" s="395"/>
      <c r="AP59" s="395"/>
      <c r="AQ59" s="395"/>
      <c r="AR59" s="395"/>
      <c r="AS59" s="395"/>
      <c r="AT59" s="395"/>
      <c r="AU59" s="395"/>
      <c r="AV59" s="395"/>
      <c r="AW59" s="395"/>
      <c r="AX59" s="395"/>
      <c r="AY59" s="395"/>
      <c r="AZ59" s="395"/>
      <c r="BA59" s="395"/>
      <c r="BB59" s="395"/>
      <c r="BC59" s="395"/>
      <c r="BD59" s="395"/>
      <c r="BE59" s="395"/>
      <c r="BF59" s="395"/>
      <c r="BG59" s="395"/>
      <c r="BH59" s="395"/>
      <c r="BI59" s="395"/>
      <c r="BJ59" s="395"/>
      <c r="BK59" s="395"/>
      <c r="BL59" s="395"/>
      <c r="BM59" s="395"/>
      <c r="BN59" s="395"/>
      <c r="BO59" s="395"/>
      <c r="BP59" s="395"/>
      <c r="BQ59" s="395"/>
      <c r="BR59" s="395"/>
      <c r="BS59" s="395"/>
      <c r="BT59" s="395"/>
      <c r="BU59" s="395"/>
      <c r="BV59" s="395"/>
      <c r="BW59" s="395"/>
      <c r="BX59" s="395"/>
      <c r="BY59" s="395"/>
      <c r="BZ59" s="395"/>
      <c r="CA59" s="395"/>
      <c r="CB59" s="395"/>
      <c r="CC59" s="395"/>
      <c r="CD59" s="395"/>
      <c r="CE59" s="395"/>
      <c r="CF59" s="395"/>
      <c r="CG59" s="395"/>
      <c r="CH59" s="395"/>
      <c r="CI59" s="395"/>
      <c r="CJ59" s="395"/>
      <c r="CK59" s="395"/>
      <c r="CL59" s="395"/>
      <c r="CM59" s="395"/>
      <c r="CN59" s="395"/>
      <c r="CO59" s="395"/>
      <c r="CP59" s="395"/>
      <c r="CQ59" s="395"/>
      <c r="CR59" s="395"/>
      <c r="CS59" s="395"/>
      <c r="CT59" s="395"/>
      <c r="CU59" s="395"/>
      <c r="CV59" s="395"/>
      <c r="CW59" s="395"/>
      <c r="CX59" s="395"/>
      <c r="CY59" s="395"/>
      <c r="CZ59" s="395"/>
      <c r="DA59" s="395"/>
      <c r="DB59" s="395"/>
      <c r="DC59" s="395"/>
      <c r="DD59" s="395"/>
      <c r="DE59" s="395"/>
      <c r="DF59" s="395"/>
      <c r="DG59" s="395"/>
      <c r="DH59" s="395"/>
      <c r="DI59" s="395"/>
      <c r="DJ59" s="395"/>
      <c r="DK59" s="395"/>
      <c r="DL59" s="395"/>
      <c r="DM59" s="395"/>
      <c r="DN59" s="395"/>
      <c r="DO59" s="395"/>
      <c r="DP59" s="395"/>
      <c r="DQ59" s="395"/>
      <c r="DR59" s="395"/>
      <c r="DS59" s="395"/>
      <c r="DT59" s="395"/>
      <c r="DU59" s="395"/>
      <c r="DV59" s="395"/>
      <c r="DW59" s="395"/>
      <c r="DX59" s="395"/>
      <c r="DY59" s="395"/>
      <c r="DZ59" s="395"/>
      <c r="EA59" s="395"/>
      <c r="EB59" s="395"/>
      <c r="EC59" s="395"/>
      <c r="ED59" s="395"/>
      <c r="EE59" s="395"/>
      <c r="EF59" s="395"/>
      <c r="EG59" s="395"/>
      <c r="EH59" s="395"/>
      <c r="EI59" s="395"/>
      <c r="EJ59" s="395"/>
      <c r="EK59" s="395"/>
      <c r="EL59" s="395"/>
      <c r="EM59" s="395"/>
      <c r="EN59" s="395"/>
      <c r="EO59" s="395"/>
      <c r="EP59" s="395"/>
      <c r="EQ59" s="395"/>
      <c r="ER59" s="395"/>
      <c r="ES59" s="395"/>
      <c r="ET59" s="395"/>
      <c r="EU59" s="395"/>
      <c r="EV59" s="395"/>
      <c r="EW59" s="395"/>
      <c r="EX59" s="395"/>
      <c r="EY59" s="395"/>
      <c r="EZ59" s="395"/>
      <c r="FA59" s="395"/>
      <c r="FB59" s="395"/>
      <c r="FC59" s="395"/>
      <c r="FD59" s="395"/>
      <c r="FE59" s="395"/>
      <c r="FF59" s="395"/>
      <c r="FG59" s="395"/>
      <c r="FH59" s="395"/>
      <c r="FI59" s="395"/>
      <c r="FJ59" s="395"/>
      <c r="FK59" s="395"/>
      <c r="FL59" s="395"/>
      <c r="FM59" s="395"/>
      <c r="FN59" s="395"/>
      <c r="FO59" s="395"/>
      <c r="FP59" s="395"/>
      <c r="FQ59" s="395"/>
      <c r="FR59" s="395"/>
      <c r="FS59" s="395"/>
      <c r="FT59" s="395"/>
      <c r="FU59" s="395"/>
      <c r="FV59" s="395"/>
      <c r="FW59" s="395"/>
      <c r="FX59" s="395"/>
      <c r="FY59" s="395"/>
      <c r="FZ59" s="395"/>
      <c r="GA59" s="395"/>
      <c r="GB59" s="395"/>
      <c r="GC59" s="395"/>
      <c r="GD59" s="395"/>
      <c r="GE59" s="395"/>
      <c r="GF59" s="395"/>
      <c r="GG59" s="395"/>
      <c r="GH59" s="395"/>
      <c r="GI59" s="395"/>
      <c r="GJ59" s="395"/>
      <c r="GK59" s="395"/>
      <c r="GL59" s="395"/>
      <c r="GM59" s="395"/>
      <c r="GN59" s="395"/>
      <c r="GO59" s="395"/>
      <c r="GP59" s="395"/>
      <c r="GQ59" s="395"/>
      <c r="GR59" s="395"/>
      <c r="GS59" s="395"/>
      <c r="GT59" s="395"/>
      <c r="GU59" s="395"/>
      <c r="GV59" s="395"/>
      <c r="GW59" s="395"/>
      <c r="GX59" s="395"/>
      <c r="GY59" s="395"/>
      <c r="GZ59" s="395"/>
      <c r="HA59" s="395"/>
      <c r="HB59" s="395"/>
      <c r="HC59" s="395"/>
      <c r="HD59" s="395"/>
      <c r="HE59" s="395"/>
      <c r="HF59" s="395"/>
      <c r="HG59" s="395"/>
      <c r="HH59" s="395"/>
      <c r="HI59" s="395"/>
      <c r="HJ59" s="395"/>
      <c r="HK59" s="395"/>
      <c r="HL59" s="395"/>
      <c r="HM59" s="395"/>
      <c r="HN59" s="395"/>
      <c r="HO59" s="395"/>
      <c r="HP59" s="395"/>
      <c r="HQ59" s="395"/>
      <c r="HR59" s="395"/>
      <c r="HS59" s="395"/>
      <c r="HT59" s="395"/>
      <c r="HU59" s="395"/>
      <c r="HV59" s="395"/>
      <c r="HW59" s="395"/>
      <c r="HX59" s="395"/>
      <c r="HY59" s="395"/>
      <c r="HZ59" s="395"/>
      <c r="IA59" s="395"/>
      <c r="IB59" s="395"/>
      <c r="IC59" s="395"/>
      <c r="ID59" s="395"/>
      <c r="IE59" s="395"/>
      <c r="IF59" s="395"/>
      <c r="IG59" s="395"/>
      <c r="IH59" s="395"/>
      <c r="II59" s="395"/>
      <c r="IJ59" s="395"/>
      <c r="IK59" s="395"/>
      <c r="IL59" s="395"/>
      <c r="IM59" s="395"/>
      <c r="IN59" s="395"/>
      <c r="IO59" s="395"/>
      <c r="IP59" s="395"/>
      <c r="IQ59" s="395"/>
      <c r="IR59" s="395"/>
    </row>
    <row r="60" spans="2:252" s="58" customFormat="1" ht="25.15" customHeight="1" x14ac:dyDescent="0.25">
      <c r="B60" s="181" t="s">
        <v>46</v>
      </c>
      <c r="D60" s="188">
        <v>200000</v>
      </c>
      <c r="V60" s="395"/>
      <c r="W60" s="395"/>
      <c r="X60" s="395"/>
      <c r="Y60" s="395"/>
      <c r="Z60" s="395"/>
      <c r="AA60" s="395"/>
      <c r="AB60" s="395"/>
      <c r="AC60" s="395"/>
      <c r="AD60" s="395"/>
      <c r="AE60" s="395"/>
      <c r="AF60" s="395"/>
      <c r="AG60" s="395"/>
      <c r="AH60" s="395"/>
      <c r="AI60" s="395"/>
      <c r="AJ60" s="395"/>
      <c r="AK60" s="395"/>
      <c r="AL60" s="395"/>
      <c r="AM60" s="395"/>
      <c r="AN60" s="395"/>
      <c r="AO60" s="395"/>
      <c r="AP60" s="395"/>
      <c r="AQ60" s="395"/>
      <c r="AR60" s="395"/>
      <c r="AS60" s="395"/>
      <c r="AT60" s="395"/>
      <c r="AU60" s="395"/>
      <c r="AV60" s="395"/>
      <c r="AW60" s="395"/>
      <c r="AX60" s="395"/>
      <c r="AY60" s="395"/>
      <c r="AZ60" s="395"/>
      <c r="BA60" s="395"/>
      <c r="BB60" s="395"/>
      <c r="BC60" s="395"/>
      <c r="BD60" s="395"/>
      <c r="BE60" s="395"/>
      <c r="BF60" s="395"/>
      <c r="BG60" s="395"/>
      <c r="BH60" s="395"/>
      <c r="BI60" s="395"/>
      <c r="BJ60" s="395"/>
      <c r="BK60" s="395"/>
      <c r="BL60" s="395"/>
      <c r="BM60" s="395"/>
      <c r="BN60" s="395"/>
      <c r="BO60" s="395"/>
      <c r="BP60" s="395"/>
      <c r="BQ60" s="395"/>
      <c r="BR60" s="395"/>
      <c r="BS60" s="395"/>
      <c r="BT60" s="395"/>
      <c r="BU60" s="395"/>
      <c r="BV60" s="395"/>
      <c r="BW60" s="395"/>
      <c r="BX60" s="395"/>
      <c r="BY60" s="395"/>
      <c r="BZ60" s="395"/>
      <c r="CA60" s="395"/>
      <c r="CB60" s="395"/>
      <c r="CC60" s="395"/>
      <c r="CD60" s="395"/>
      <c r="CE60" s="395"/>
      <c r="CF60" s="395"/>
      <c r="CG60" s="395"/>
      <c r="CH60" s="395"/>
      <c r="CI60" s="395"/>
      <c r="CJ60" s="395"/>
      <c r="CK60" s="395"/>
      <c r="CL60" s="395"/>
      <c r="CM60" s="395"/>
      <c r="CN60" s="395"/>
      <c r="CO60" s="395"/>
      <c r="CP60" s="395"/>
      <c r="CQ60" s="395"/>
      <c r="CR60" s="395"/>
      <c r="CS60" s="395"/>
      <c r="CT60" s="395"/>
      <c r="CU60" s="395"/>
      <c r="CV60" s="395"/>
      <c r="CW60" s="395"/>
      <c r="CX60" s="395"/>
      <c r="CY60" s="395"/>
      <c r="CZ60" s="395"/>
      <c r="DA60" s="395"/>
      <c r="DB60" s="395"/>
      <c r="DC60" s="395"/>
      <c r="DD60" s="395"/>
      <c r="DE60" s="395"/>
      <c r="DF60" s="395"/>
      <c r="DG60" s="395"/>
      <c r="DH60" s="395"/>
      <c r="DI60" s="395"/>
      <c r="DJ60" s="395"/>
      <c r="DK60" s="395"/>
      <c r="DL60" s="395"/>
      <c r="DM60" s="395"/>
      <c r="DN60" s="395"/>
      <c r="DO60" s="395"/>
      <c r="DP60" s="395"/>
      <c r="DQ60" s="395"/>
      <c r="DR60" s="395"/>
      <c r="DS60" s="395"/>
      <c r="DT60" s="395"/>
      <c r="DU60" s="395"/>
      <c r="DV60" s="395"/>
      <c r="DW60" s="395"/>
      <c r="DX60" s="395"/>
      <c r="DY60" s="395"/>
      <c r="DZ60" s="395"/>
      <c r="EA60" s="395"/>
      <c r="EB60" s="395"/>
      <c r="EC60" s="395"/>
      <c r="ED60" s="395"/>
      <c r="EE60" s="395"/>
      <c r="EF60" s="395"/>
      <c r="EG60" s="395"/>
      <c r="EH60" s="395"/>
      <c r="EI60" s="395"/>
      <c r="EJ60" s="395"/>
      <c r="EK60" s="395"/>
      <c r="EL60" s="395"/>
      <c r="EM60" s="395"/>
      <c r="EN60" s="395"/>
      <c r="EO60" s="395"/>
      <c r="EP60" s="395"/>
      <c r="EQ60" s="395"/>
      <c r="ER60" s="395"/>
      <c r="ES60" s="395"/>
      <c r="ET60" s="395"/>
      <c r="EU60" s="395"/>
      <c r="EV60" s="395"/>
      <c r="EW60" s="395"/>
      <c r="EX60" s="395"/>
      <c r="EY60" s="395"/>
      <c r="EZ60" s="395"/>
      <c r="FA60" s="395"/>
      <c r="FB60" s="395"/>
      <c r="FC60" s="395"/>
      <c r="FD60" s="395"/>
      <c r="FE60" s="395"/>
      <c r="FF60" s="395"/>
      <c r="FG60" s="395"/>
      <c r="FH60" s="395"/>
      <c r="FI60" s="395"/>
      <c r="FJ60" s="395"/>
      <c r="FK60" s="395"/>
      <c r="FL60" s="395"/>
      <c r="FM60" s="395"/>
      <c r="FN60" s="395"/>
      <c r="FO60" s="395"/>
      <c r="FP60" s="395"/>
      <c r="FQ60" s="395"/>
      <c r="FR60" s="395"/>
      <c r="FS60" s="395"/>
      <c r="FT60" s="395"/>
      <c r="FU60" s="395"/>
      <c r="FV60" s="395"/>
      <c r="FW60" s="395"/>
      <c r="FX60" s="395"/>
      <c r="FY60" s="395"/>
      <c r="FZ60" s="395"/>
      <c r="GA60" s="395"/>
      <c r="GB60" s="395"/>
      <c r="GC60" s="395"/>
      <c r="GD60" s="395"/>
      <c r="GE60" s="395"/>
      <c r="GF60" s="395"/>
      <c r="GG60" s="395"/>
      <c r="GH60" s="395"/>
      <c r="GI60" s="395"/>
      <c r="GJ60" s="395"/>
      <c r="GK60" s="395"/>
      <c r="GL60" s="395"/>
      <c r="GM60" s="395"/>
      <c r="GN60" s="395"/>
      <c r="GO60" s="395"/>
      <c r="GP60" s="395"/>
      <c r="GQ60" s="395"/>
      <c r="GR60" s="395"/>
      <c r="GS60" s="395"/>
      <c r="GT60" s="395"/>
      <c r="GU60" s="395"/>
      <c r="GV60" s="395"/>
      <c r="GW60" s="395"/>
      <c r="GX60" s="395"/>
      <c r="GY60" s="395"/>
      <c r="GZ60" s="395"/>
      <c r="HA60" s="395"/>
      <c r="HB60" s="395"/>
      <c r="HC60" s="395"/>
      <c r="HD60" s="395"/>
      <c r="HE60" s="395"/>
      <c r="HF60" s="395"/>
      <c r="HG60" s="395"/>
      <c r="HH60" s="395"/>
      <c r="HI60" s="395"/>
      <c r="HJ60" s="395"/>
      <c r="HK60" s="395"/>
      <c r="HL60" s="395"/>
      <c r="HM60" s="395"/>
      <c r="HN60" s="395"/>
      <c r="HO60" s="395"/>
      <c r="HP60" s="395"/>
      <c r="HQ60" s="395"/>
      <c r="HR60" s="395"/>
      <c r="HS60" s="395"/>
      <c r="HT60" s="395"/>
      <c r="HU60" s="395"/>
      <c r="HV60" s="395"/>
      <c r="HW60" s="395"/>
      <c r="HX60" s="395"/>
      <c r="HY60" s="395"/>
      <c r="HZ60" s="395"/>
      <c r="IA60" s="395"/>
      <c r="IB60" s="395"/>
      <c r="IC60" s="395"/>
      <c r="ID60" s="395"/>
      <c r="IE60" s="395"/>
      <c r="IF60" s="395"/>
      <c r="IG60" s="395"/>
      <c r="IH60" s="395"/>
      <c r="II60" s="395"/>
      <c r="IJ60" s="395"/>
      <c r="IK60" s="395"/>
      <c r="IL60" s="395"/>
      <c r="IM60" s="395"/>
      <c r="IN60" s="395"/>
      <c r="IO60" s="395"/>
      <c r="IP60" s="395"/>
      <c r="IQ60" s="395"/>
      <c r="IR60" s="395"/>
    </row>
    <row r="61" spans="2:252" s="58" customFormat="1" ht="25.15" customHeight="1" x14ac:dyDescent="0.25">
      <c r="B61" s="195" t="s">
        <v>107</v>
      </c>
      <c r="C61" s="188"/>
      <c r="D61" s="188"/>
      <c r="V61" s="395"/>
      <c r="W61" s="395"/>
      <c r="X61" s="395"/>
      <c r="Y61" s="395"/>
      <c r="Z61" s="395"/>
      <c r="AA61" s="395"/>
      <c r="AB61" s="395"/>
      <c r="AC61" s="395"/>
      <c r="AD61" s="395"/>
      <c r="AE61" s="395"/>
      <c r="AF61" s="395"/>
      <c r="AG61" s="395"/>
      <c r="AH61" s="395"/>
      <c r="AI61" s="395"/>
      <c r="AJ61" s="395"/>
      <c r="AK61" s="395"/>
      <c r="AL61" s="395"/>
      <c r="AM61" s="395"/>
      <c r="AN61" s="395"/>
      <c r="AO61" s="395"/>
      <c r="AP61" s="395"/>
      <c r="AQ61" s="395"/>
      <c r="AR61" s="395"/>
      <c r="AS61" s="395"/>
      <c r="AT61" s="395"/>
      <c r="AU61" s="395"/>
      <c r="AV61" s="395"/>
      <c r="AW61" s="395"/>
      <c r="AX61" s="395"/>
      <c r="AY61" s="395"/>
      <c r="AZ61" s="395"/>
      <c r="BA61" s="395"/>
      <c r="BB61" s="395"/>
      <c r="BC61" s="395"/>
      <c r="BD61" s="395"/>
      <c r="BE61" s="395"/>
      <c r="BF61" s="395"/>
      <c r="BG61" s="395"/>
      <c r="BH61" s="395"/>
      <c r="BI61" s="395"/>
      <c r="BJ61" s="395"/>
      <c r="BK61" s="395"/>
      <c r="BL61" s="395"/>
      <c r="BM61" s="395"/>
      <c r="BN61" s="395"/>
      <c r="BO61" s="395"/>
      <c r="BP61" s="395"/>
      <c r="BQ61" s="395"/>
      <c r="BR61" s="395"/>
      <c r="BS61" s="395"/>
      <c r="BT61" s="395"/>
      <c r="BU61" s="395"/>
      <c r="BV61" s="395"/>
      <c r="BW61" s="395"/>
      <c r="BX61" s="395"/>
      <c r="BY61" s="395"/>
      <c r="BZ61" s="395"/>
      <c r="CA61" s="395"/>
      <c r="CB61" s="395"/>
      <c r="CC61" s="395"/>
      <c r="CD61" s="395"/>
      <c r="CE61" s="395"/>
      <c r="CF61" s="395"/>
      <c r="CG61" s="395"/>
      <c r="CH61" s="395"/>
      <c r="CI61" s="395"/>
      <c r="CJ61" s="395"/>
      <c r="CK61" s="395"/>
      <c r="CL61" s="395"/>
      <c r="CM61" s="395"/>
      <c r="CN61" s="395"/>
      <c r="CO61" s="395"/>
      <c r="CP61" s="395"/>
      <c r="CQ61" s="395"/>
      <c r="CR61" s="395"/>
      <c r="CS61" s="395"/>
      <c r="CT61" s="395"/>
      <c r="CU61" s="395"/>
      <c r="CV61" s="395"/>
      <c r="CW61" s="395"/>
      <c r="CX61" s="395"/>
      <c r="CY61" s="395"/>
      <c r="CZ61" s="395"/>
      <c r="DA61" s="395"/>
      <c r="DB61" s="395"/>
      <c r="DC61" s="395"/>
      <c r="DD61" s="395"/>
      <c r="DE61" s="395"/>
      <c r="DF61" s="395"/>
      <c r="DG61" s="395"/>
      <c r="DH61" s="395"/>
      <c r="DI61" s="395"/>
      <c r="DJ61" s="395"/>
      <c r="DK61" s="395"/>
      <c r="DL61" s="395"/>
      <c r="DM61" s="395"/>
      <c r="DN61" s="395"/>
      <c r="DO61" s="395"/>
      <c r="DP61" s="395"/>
      <c r="DQ61" s="395"/>
      <c r="DR61" s="395"/>
      <c r="DS61" s="395"/>
      <c r="DT61" s="395"/>
      <c r="DU61" s="395"/>
      <c r="DV61" s="395"/>
      <c r="DW61" s="395"/>
      <c r="DX61" s="395"/>
      <c r="DY61" s="395"/>
      <c r="DZ61" s="395"/>
      <c r="EA61" s="395"/>
      <c r="EB61" s="395"/>
      <c r="EC61" s="395"/>
      <c r="ED61" s="395"/>
      <c r="EE61" s="395"/>
      <c r="EF61" s="395"/>
      <c r="EG61" s="395"/>
      <c r="EH61" s="395"/>
      <c r="EI61" s="395"/>
      <c r="EJ61" s="395"/>
      <c r="EK61" s="395"/>
      <c r="EL61" s="395"/>
      <c r="EM61" s="395"/>
      <c r="EN61" s="395"/>
      <c r="EO61" s="395"/>
      <c r="EP61" s="395"/>
      <c r="EQ61" s="395"/>
      <c r="ER61" s="395"/>
      <c r="ES61" s="395"/>
      <c r="ET61" s="395"/>
      <c r="EU61" s="395"/>
      <c r="EV61" s="395"/>
      <c r="EW61" s="395"/>
      <c r="EX61" s="395"/>
      <c r="EY61" s="395"/>
      <c r="EZ61" s="395"/>
      <c r="FA61" s="395"/>
      <c r="FB61" s="395"/>
      <c r="FC61" s="395"/>
      <c r="FD61" s="395"/>
      <c r="FE61" s="395"/>
      <c r="FF61" s="395"/>
      <c r="FG61" s="395"/>
      <c r="FH61" s="395"/>
      <c r="FI61" s="395"/>
      <c r="FJ61" s="395"/>
      <c r="FK61" s="395"/>
      <c r="FL61" s="395"/>
      <c r="FM61" s="395"/>
      <c r="FN61" s="395"/>
      <c r="FO61" s="395"/>
      <c r="FP61" s="395"/>
      <c r="FQ61" s="395"/>
      <c r="FR61" s="395"/>
      <c r="FS61" s="395"/>
      <c r="FT61" s="395"/>
      <c r="FU61" s="395"/>
      <c r="FV61" s="395"/>
      <c r="FW61" s="395"/>
      <c r="FX61" s="395"/>
      <c r="FY61" s="395"/>
      <c r="FZ61" s="395"/>
      <c r="GA61" s="395"/>
      <c r="GB61" s="395"/>
      <c r="GC61" s="395"/>
      <c r="GD61" s="395"/>
      <c r="GE61" s="395"/>
      <c r="GF61" s="395"/>
      <c r="GG61" s="395"/>
      <c r="GH61" s="395"/>
      <c r="GI61" s="395"/>
      <c r="GJ61" s="395"/>
      <c r="GK61" s="395"/>
      <c r="GL61" s="395"/>
      <c r="GM61" s="395"/>
      <c r="GN61" s="395"/>
      <c r="GO61" s="395"/>
      <c r="GP61" s="395"/>
      <c r="GQ61" s="395"/>
      <c r="GR61" s="395"/>
      <c r="GS61" s="395"/>
      <c r="GT61" s="395"/>
      <c r="GU61" s="395"/>
      <c r="GV61" s="395"/>
      <c r="GW61" s="395"/>
      <c r="GX61" s="395"/>
      <c r="GY61" s="395"/>
      <c r="GZ61" s="395"/>
      <c r="HA61" s="395"/>
      <c r="HB61" s="395"/>
      <c r="HC61" s="395"/>
      <c r="HD61" s="395"/>
      <c r="HE61" s="395"/>
      <c r="HF61" s="395"/>
      <c r="HG61" s="395"/>
      <c r="HH61" s="395"/>
      <c r="HI61" s="395"/>
      <c r="HJ61" s="395"/>
      <c r="HK61" s="395"/>
      <c r="HL61" s="395"/>
      <c r="HM61" s="395"/>
      <c r="HN61" s="395"/>
      <c r="HO61" s="395"/>
      <c r="HP61" s="395"/>
      <c r="HQ61" s="395"/>
      <c r="HR61" s="395"/>
      <c r="HS61" s="395"/>
      <c r="HT61" s="395"/>
      <c r="HU61" s="395"/>
      <c r="HV61" s="395"/>
      <c r="HW61" s="395"/>
      <c r="HX61" s="395"/>
      <c r="HY61" s="395"/>
      <c r="HZ61" s="395"/>
      <c r="IA61" s="395"/>
      <c r="IB61" s="395"/>
      <c r="IC61" s="395"/>
      <c r="ID61" s="395"/>
      <c r="IE61" s="395"/>
      <c r="IF61" s="395"/>
      <c r="IG61" s="395"/>
      <c r="IH61" s="395"/>
      <c r="II61" s="395"/>
      <c r="IJ61" s="395"/>
      <c r="IK61" s="395"/>
      <c r="IL61" s="395"/>
      <c r="IM61" s="395"/>
      <c r="IN61" s="395"/>
      <c r="IO61" s="395"/>
      <c r="IP61" s="395"/>
      <c r="IQ61" s="395"/>
      <c r="IR61" s="395"/>
    </row>
    <row r="62" spans="2:252" s="58" customFormat="1" ht="25.15" customHeight="1" x14ac:dyDescent="0.25">
      <c r="B62" s="181"/>
      <c r="C62" s="191"/>
      <c r="D62" s="191"/>
      <c r="V62" s="395"/>
      <c r="W62" s="395"/>
      <c r="X62" s="395"/>
      <c r="Y62" s="395"/>
      <c r="Z62" s="395"/>
      <c r="AA62" s="395"/>
      <c r="AB62" s="395"/>
      <c r="AC62" s="395"/>
      <c r="AD62" s="395"/>
      <c r="AE62" s="395"/>
      <c r="AF62" s="395"/>
      <c r="AG62" s="395"/>
      <c r="AH62" s="395"/>
      <c r="AI62" s="395"/>
      <c r="AJ62" s="395"/>
      <c r="AK62" s="395"/>
      <c r="AL62" s="395"/>
      <c r="AM62" s="395"/>
      <c r="AN62" s="395"/>
      <c r="AO62" s="395"/>
      <c r="AP62" s="395"/>
      <c r="AQ62" s="395"/>
      <c r="AR62" s="395"/>
      <c r="AS62" s="395"/>
      <c r="AT62" s="395"/>
      <c r="AU62" s="395"/>
      <c r="AV62" s="395"/>
      <c r="AW62" s="395"/>
      <c r="AX62" s="395"/>
      <c r="AY62" s="395"/>
      <c r="AZ62" s="395"/>
      <c r="BA62" s="395"/>
      <c r="BB62" s="395"/>
      <c r="BC62" s="395"/>
      <c r="BD62" s="395"/>
      <c r="BE62" s="395"/>
      <c r="BF62" s="395"/>
      <c r="BG62" s="395"/>
      <c r="BH62" s="395"/>
      <c r="BI62" s="395"/>
      <c r="BJ62" s="395"/>
      <c r="BK62" s="395"/>
      <c r="BL62" s="395"/>
      <c r="BM62" s="395"/>
      <c r="BN62" s="395"/>
      <c r="BO62" s="395"/>
      <c r="BP62" s="395"/>
      <c r="BQ62" s="395"/>
      <c r="BR62" s="395"/>
      <c r="BS62" s="395"/>
      <c r="BT62" s="395"/>
      <c r="BU62" s="395"/>
      <c r="BV62" s="395"/>
      <c r="BW62" s="395"/>
      <c r="BX62" s="395"/>
      <c r="BY62" s="395"/>
      <c r="BZ62" s="395"/>
      <c r="CA62" s="395"/>
      <c r="CB62" s="395"/>
      <c r="CC62" s="395"/>
      <c r="CD62" s="395"/>
      <c r="CE62" s="395"/>
      <c r="CF62" s="395"/>
      <c r="CG62" s="395"/>
      <c r="CH62" s="395"/>
      <c r="CI62" s="395"/>
      <c r="CJ62" s="395"/>
      <c r="CK62" s="395"/>
      <c r="CL62" s="395"/>
      <c r="CM62" s="395"/>
      <c r="CN62" s="395"/>
      <c r="CO62" s="395"/>
      <c r="CP62" s="395"/>
      <c r="CQ62" s="395"/>
      <c r="CR62" s="395"/>
      <c r="CS62" s="395"/>
      <c r="CT62" s="395"/>
      <c r="CU62" s="395"/>
      <c r="CV62" s="395"/>
      <c r="CW62" s="395"/>
      <c r="CX62" s="395"/>
      <c r="CY62" s="395"/>
      <c r="CZ62" s="395"/>
      <c r="DA62" s="395"/>
      <c r="DB62" s="395"/>
      <c r="DC62" s="395"/>
      <c r="DD62" s="395"/>
      <c r="DE62" s="395"/>
      <c r="DF62" s="395"/>
      <c r="DG62" s="395"/>
      <c r="DH62" s="395"/>
      <c r="DI62" s="395"/>
      <c r="DJ62" s="395"/>
      <c r="DK62" s="395"/>
      <c r="DL62" s="395"/>
      <c r="DM62" s="395"/>
      <c r="DN62" s="395"/>
      <c r="DO62" s="395"/>
      <c r="DP62" s="395"/>
      <c r="DQ62" s="395"/>
      <c r="DR62" s="395"/>
      <c r="DS62" s="395"/>
      <c r="DT62" s="395"/>
      <c r="DU62" s="395"/>
      <c r="DV62" s="395"/>
      <c r="DW62" s="395"/>
      <c r="DX62" s="395"/>
      <c r="DY62" s="395"/>
      <c r="DZ62" s="395"/>
      <c r="EA62" s="395"/>
      <c r="EB62" s="395"/>
      <c r="EC62" s="395"/>
      <c r="ED62" s="395"/>
      <c r="EE62" s="395"/>
      <c r="EF62" s="395"/>
      <c r="EG62" s="395"/>
      <c r="EH62" s="395"/>
      <c r="EI62" s="395"/>
      <c r="EJ62" s="395"/>
      <c r="EK62" s="395"/>
      <c r="EL62" s="395"/>
      <c r="EM62" s="395"/>
      <c r="EN62" s="395"/>
      <c r="EO62" s="395"/>
      <c r="EP62" s="395"/>
      <c r="EQ62" s="395"/>
      <c r="ER62" s="395"/>
      <c r="ES62" s="395"/>
      <c r="ET62" s="395"/>
      <c r="EU62" s="395"/>
      <c r="EV62" s="395"/>
      <c r="EW62" s="395"/>
      <c r="EX62" s="395"/>
      <c r="EY62" s="395"/>
      <c r="EZ62" s="395"/>
      <c r="FA62" s="395"/>
      <c r="FB62" s="395"/>
      <c r="FC62" s="395"/>
      <c r="FD62" s="395"/>
      <c r="FE62" s="395"/>
      <c r="FF62" s="395"/>
      <c r="FG62" s="395"/>
      <c r="FH62" s="395"/>
      <c r="FI62" s="395"/>
      <c r="FJ62" s="395"/>
      <c r="FK62" s="395"/>
      <c r="FL62" s="395"/>
      <c r="FM62" s="395"/>
      <c r="FN62" s="395"/>
      <c r="FO62" s="395"/>
      <c r="FP62" s="395"/>
      <c r="FQ62" s="395"/>
      <c r="FR62" s="395"/>
      <c r="FS62" s="395"/>
      <c r="FT62" s="395"/>
      <c r="FU62" s="395"/>
      <c r="FV62" s="395"/>
      <c r="FW62" s="395"/>
      <c r="FX62" s="395"/>
      <c r="FY62" s="395"/>
      <c r="FZ62" s="395"/>
      <c r="GA62" s="395"/>
      <c r="GB62" s="395"/>
      <c r="GC62" s="395"/>
      <c r="GD62" s="395"/>
      <c r="GE62" s="395"/>
      <c r="GF62" s="395"/>
      <c r="GG62" s="395"/>
      <c r="GH62" s="395"/>
      <c r="GI62" s="395"/>
      <c r="GJ62" s="395"/>
      <c r="GK62" s="395"/>
      <c r="GL62" s="395"/>
      <c r="GM62" s="395"/>
      <c r="GN62" s="395"/>
      <c r="GO62" s="395"/>
      <c r="GP62" s="395"/>
      <c r="GQ62" s="395"/>
      <c r="GR62" s="395"/>
      <c r="GS62" s="395"/>
      <c r="GT62" s="395"/>
      <c r="GU62" s="395"/>
      <c r="GV62" s="395"/>
      <c r="GW62" s="395"/>
      <c r="GX62" s="395"/>
      <c r="GY62" s="395"/>
      <c r="GZ62" s="395"/>
      <c r="HA62" s="395"/>
      <c r="HB62" s="395"/>
      <c r="HC62" s="395"/>
      <c r="HD62" s="395"/>
      <c r="HE62" s="395"/>
      <c r="HF62" s="395"/>
      <c r="HG62" s="395"/>
      <c r="HH62" s="395"/>
      <c r="HI62" s="395"/>
      <c r="HJ62" s="395"/>
      <c r="HK62" s="395"/>
      <c r="HL62" s="395"/>
      <c r="HM62" s="395"/>
      <c r="HN62" s="395"/>
      <c r="HO62" s="395"/>
      <c r="HP62" s="395"/>
      <c r="HQ62" s="395"/>
      <c r="HR62" s="395"/>
      <c r="HS62" s="395"/>
      <c r="HT62" s="395"/>
      <c r="HU62" s="395"/>
      <c r="HV62" s="395"/>
      <c r="HW62" s="395"/>
      <c r="HX62" s="395"/>
      <c r="HY62" s="395"/>
      <c r="HZ62" s="395"/>
      <c r="IA62" s="395"/>
      <c r="IB62" s="395"/>
      <c r="IC62" s="395"/>
      <c r="ID62" s="395"/>
      <c r="IE62" s="395"/>
      <c r="IF62" s="395"/>
      <c r="IG62" s="395"/>
      <c r="IH62" s="395"/>
      <c r="II62" s="395"/>
      <c r="IJ62" s="395"/>
      <c r="IK62" s="395"/>
      <c r="IL62" s="395"/>
      <c r="IM62" s="395"/>
      <c r="IN62" s="395"/>
      <c r="IO62" s="395"/>
      <c r="IP62" s="395"/>
      <c r="IQ62" s="395"/>
      <c r="IR62" s="395"/>
    </row>
    <row r="63" spans="2:252" s="58" customFormat="1" ht="25.15" customHeight="1" x14ac:dyDescent="0.25">
      <c r="B63" s="71" t="s">
        <v>47</v>
      </c>
      <c r="C63" s="196"/>
      <c r="D63" s="196"/>
      <c r="E63" s="196"/>
      <c r="F63" s="196"/>
      <c r="G63" s="196"/>
      <c r="H63" s="196"/>
      <c r="I63" s="196"/>
      <c r="J63" s="196"/>
      <c r="K63" s="196"/>
      <c r="L63" s="196"/>
      <c r="M63" s="196"/>
      <c r="N63" s="196"/>
      <c r="V63" s="395"/>
      <c r="W63" s="395"/>
      <c r="X63" s="395"/>
      <c r="Y63" s="395"/>
      <c r="Z63" s="395"/>
      <c r="AA63" s="395"/>
      <c r="AB63" s="395"/>
      <c r="AC63" s="395"/>
      <c r="AD63" s="395"/>
      <c r="AE63" s="395"/>
      <c r="AF63" s="395"/>
      <c r="AG63" s="395"/>
      <c r="AH63" s="395"/>
      <c r="AI63" s="395"/>
      <c r="AJ63" s="395"/>
      <c r="AK63" s="395"/>
      <c r="AL63" s="395"/>
      <c r="AM63" s="395"/>
      <c r="AN63" s="395"/>
      <c r="AO63" s="395"/>
      <c r="AP63" s="395"/>
      <c r="AQ63" s="395"/>
      <c r="AR63" s="395"/>
      <c r="AS63" s="395"/>
      <c r="AT63" s="395"/>
      <c r="AU63" s="395"/>
      <c r="AV63" s="395"/>
      <c r="AW63" s="395"/>
      <c r="AX63" s="395"/>
      <c r="AY63" s="395"/>
      <c r="AZ63" s="395"/>
      <c r="BA63" s="395"/>
      <c r="BB63" s="395"/>
      <c r="BC63" s="395"/>
      <c r="BD63" s="395"/>
      <c r="BE63" s="395"/>
      <c r="BF63" s="395"/>
      <c r="BG63" s="395"/>
      <c r="BH63" s="395"/>
      <c r="BI63" s="395"/>
      <c r="BJ63" s="395"/>
      <c r="BK63" s="395"/>
      <c r="BL63" s="395"/>
      <c r="BM63" s="395"/>
      <c r="BN63" s="395"/>
      <c r="BO63" s="395"/>
      <c r="BP63" s="395"/>
      <c r="BQ63" s="395"/>
      <c r="BR63" s="395"/>
      <c r="BS63" s="395"/>
      <c r="BT63" s="395"/>
      <c r="BU63" s="395"/>
      <c r="BV63" s="395"/>
      <c r="BW63" s="395"/>
      <c r="BX63" s="395"/>
      <c r="BY63" s="395"/>
      <c r="BZ63" s="395"/>
      <c r="CA63" s="395"/>
      <c r="CB63" s="395"/>
      <c r="CC63" s="395"/>
      <c r="CD63" s="395"/>
      <c r="CE63" s="395"/>
      <c r="CF63" s="395"/>
      <c r="CG63" s="395"/>
      <c r="CH63" s="395"/>
      <c r="CI63" s="395"/>
      <c r="CJ63" s="395"/>
      <c r="CK63" s="395"/>
      <c r="CL63" s="395"/>
      <c r="CM63" s="395"/>
      <c r="CN63" s="395"/>
      <c r="CO63" s="395"/>
      <c r="CP63" s="395"/>
      <c r="CQ63" s="395"/>
      <c r="CR63" s="395"/>
      <c r="CS63" s="395"/>
      <c r="CT63" s="395"/>
      <c r="CU63" s="395"/>
      <c r="CV63" s="395"/>
      <c r="CW63" s="395"/>
      <c r="CX63" s="395"/>
      <c r="CY63" s="395"/>
      <c r="CZ63" s="395"/>
      <c r="DA63" s="395"/>
      <c r="DB63" s="395"/>
      <c r="DC63" s="395"/>
      <c r="DD63" s="395"/>
      <c r="DE63" s="395"/>
      <c r="DF63" s="395"/>
      <c r="DG63" s="395"/>
      <c r="DH63" s="395"/>
      <c r="DI63" s="395"/>
      <c r="DJ63" s="395"/>
      <c r="DK63" s="395"/>
      <c r="DL63" s="395"/>
      <c r="DM63" s="395"/>
      <c r="DN63" s="395"/>
      <c r="DO63" s="395"/>
      <c r="DP63" s="395"/>
      <c r="DQ63" s="395"/>
      <c r="DR63" s="395"/>
      <c r="DS63" s="395"/>
      <c r="DT63" s="395"/>
      <c r="DU63" s="395"/>
      <c r="DV63" s="395"/>
      <c r="DW63" s="395"/>
      <c r="DX63" s="395"/>
      <c r="DY63" s="395"/>
      <c r="DZ63" s="395"/>
      <c r="EA63" s="395"/>
      <c r="EB63" s="395"/>
      <c r="EC63" s="395"/>
      <c r="ED63" s="395"/>
      <c r="EE63" s="395"/>
      <c r="EF63" s="395"/>
      <c r="EG63" s="395"/>
      <c r="EH63" s="395"/>
      <c r="EI63" s="395"/>
      <c r="EJ63" s="395"/>
      <c r="EK63" s="395"/>
      <c r="EL63" s="395"/>
      <c r="EM63" s="395"/>
      <c r="EN63" s="395"/>
      <c r="EO63" s="395"/>
      <c r="EP63" s="395"/>
      <c r="EQ63" s="395"/>
      <c r="ER63" s="395"/>
      <c r="ES63" s="395"/>
      <c r="ET63" s="395"/>
      <c r="EU63" s="395"/>
      <c r="EV63" s="395"/>
      <c r="EW63" s="395"/>
      <c r="EX63" s="395"/>
      <c r="EY63" s="395"/>
      <c r="EZ63" s="395"/>
      <c r="FA63" s="395"/>
      <c r="FB63" s="395"/>
      <c r="FC63" s="395"/>
      <c r="FD63" s="395"/>
      <c r="FE63" s="395"/>
      <c r="FF63" s="395"/>
      <c r="FG63" s="395"/>
      <c r="FH63" s="395"/>
      <c r="FI63" s="395"/>
      <c r="FJ63" s="395"/>
      <c r="FK63" s="395"/>
      <c r="FL63" s="395"/>
      <c r="FM63" s="395"/>
      <c r="FN63" s="395"/>
      <c r="FO63" s="395"/>
      <c r="FP63" s="395"/>
      <c r="FQ63" s="395"/>
      <c r="FR63" s="395"/>
      <c r="FS63" s="395"/>
      <c r="FT63" s="395"/>
      <c r="FU63" s="395"/>
      <c r="FV63" s="395"/>
      <c r="FW63" s="395"/>
      <c r="FX63" s="395"/>
      <c r="FY63" s="395"/>
      <c r="FZ63" s="395"/>
      <c r="GA63" s="395"/>
      <c r="GB63" s="395"/>
      <c r="GC63" s="395"/>
      <c r="GD63" s="395"/>
      <c r="GE63" s="395"/>
      <c r="GF63" s="395"/>
      <c r="GG63" s="395"/>
      <c r="GH63" s="395"/>
      <c r="GI63" s="395"/>
      <c r="GJ63" s="395"/>
      <c r="GK63" s="395"/>
      <c r="GL63" s="395"/>
      <c r="GM63" s="395"/>
      <c r="GN63" s="395"/>
      <c r="GO63" s="395"/>
      <c r="GP63" s="395"/>
      <c r="GQ63" s="395"/>
      <c r="GR63" s="395"/>
      <c r="GS63" s="395"/>
      <c r="GT63" s="395"/>
      <c r="GU63" s="395"/>
      <c r="GV63" s="395"/>
      <c r="GW63" s="395"/>
      <c r="GX63" s="395"/>
      <c r="GY63" s="395"/>
      <c r="GZ63" s="395"/>
      <c r="HA63" s="395"/>
      <c r="HB63" s="395"/>
      <c r="HC63" s="395"/>
      <c r="HD63" s="395"/>
      <c r="HE63" s="395"/>
      <c r="HF63" s="395"/>
      <c r="HG63" s="395"/>
      <c r="HH63" s="395"/>
      <c r="HI63" s="395"/>
      <c r="HJ63" s="395"/>
      <c r="HK63" s="395"/>
      <c r="HL63" s="395"/>
      <c r="HM63" s="395"/>
      <c r="HN63" s="395"/>
      <c r="HO63" s="395"/>
      <c r="HP63" s="395"/>
      <c r="HQ63" s="395"/>
      <c r="HR63" s="395"/>
      <c r="HS63" s="395"/>
      <c r="HT63" s="395"/>
      <c r="HU63" s="395"/>
      <c r="HV63" s="395"/>
      <c r="HW63" s="395"/>
      <c r="HX63" s="395"/>
      <c r="HY63" s="395"/>
      <c r="HZ63" s="395"/>
      <c r="IA63" s="395"/>
      <c r="IB63" s="395"/>
      <c r="IC63" s="395"/>
      <c r="ID63" s="395"/>
      <c r="IE63" s="395"/>
      <c r="IF63" s="395"/>
      <c r="IG63" s="395"/>
      <c r="IH63" s="395"/>
      <c r="II63" s="395"/>
      <c r="IJ63" s="395"/>
      <c r="IK63" s="395"/>
      <c r="IL63" s="395"/>
      <c r="IM63" s="395"/>
      <c r="IN63" s="395"/>
      <c r="IO63" s="395"/>
      <c r="IP63" s="395"/>
      <c r="IQ63" s="395"/>
      <c r="IR63" s="395"/>
    </row>
    <row r="64" spans="2:252" s="58" customFormat="1" ht="25.15" customHeight="1" x14ac:dyDescent="0.25">
      <c r="B64" s="181"/>
      <c r="D64" s="76" t="s">
        <v>30</v>
      </c>
      <c r="E64" s="77" t="s">
        <v>31</v>
      </c>
      <c r="F64" s="78" t="s">
        <v>32</v>
      </c>
      <c r="G64" s="76" t="s">
        <v>33</v>
      </c>
      <c r="H64" s="77" t="s">
        <v>34</v>
      </c>
      <c r="I64" s="78" t="s">
        <v>35</v>
      </c>
      <c r="J64" s="78" t="s">
        <v>36</v>
      </c>
      <c r="K64" s="76" t="s">
        <v>37</v>
      </c>
      <c r="L64" s="77" t="s">
        <v>38</v>
      </c>
      <c r="M64" s="77"/>
      <c r="N64" s="78" t="s">
        <v>39</v>
      </c>
      <c r="O64" s="76" t="s">
        <v>40</v>
      </c>
      <c r="P64" s="77" t="s">
        <v>41</v>
      </c>
      <c r="Q64" s="78" t="s">
        <v>42</v>
      </c>
      <c r="R64" s="76" t="s">
        <v>43</v>
      </c>
      <c r="S64" s="77" t="s">
        <v>44</v>
      </c>
      <c r="V64" s="395"/>
      <c r="W64" s="395"/>
      <c r="X64" s="395"/>
      <c r="Y64" s="395"/>
      <c r="Z64" s="395"/>
      <c r="AA64" s="395"/>
      <c r="AB64" s="395"/>
      <c r="AC64" s="395"/>
      <c r="AD64" s="395"/>
      <c r="AE64" s="395"/>
      <c r="AF64" s="395"/>
      <c r="AG64" s="395"/>
      <c r="AH64" s="395"/>
      <c r="AI64" s="395"/>
      <c r="AJ64" s="395"/>
      <c r="AK64" s="395"/>
      <c r="AL64" s="395"/>
      <c r="AM64" s="395"/>
      <c r="AN64" s="395"/>
      <c r="AO64" s="395"/>
      <c r="AP64" s="395"/>
      <c r="AQ64" s="395"/>
      <c r="AR64" s="395"/>
      <c r="AS64" s="395"/>
      <c r="AT64" s="395"/>
      <c r="AU64" s="395"/>
      <c r="AV64" s="395"/>
      <c r="AW64" s="395"/>
      <c r="AX64" s="395"/>
      <c r="AY64" s="395"/>
      <c r="AZ64" s="395"/>
      <c r="BA64" s="395"/>
      <c r="BB64" s="395"/>
      <c r="BC64" s="395"/>
      <c r="BD64" s="395"/>
      <c r="BE64" s="395"/>
      <c r="BF64" s="395"/>
      <c r="BG64" s="395"/>
      <c r="BH64" s="395"/>
      <c r="BI64" s="395"/>
      <c r="BJ64" s="395"/>
      <c r="BK64" s="395"/>
      <c r="BL64" s="395"/>
      <c r="BM64" s="395"/>
      <c r="BN64" s="395"/>
      <c r="BO64" s="395"/>
      <c r="BP64" s="395"/>
      <c r="BQ64" s="395"/>
      <c r="BR64" s="395"/>
      <c r="BS64" s="395"/>
      <c r="BT64" s="395"/>
      <c r="BU64" s="395"/>
      <c r="BV64" s="395"/>
      <c r="BW64" s="395"/>
      <c r="BX64" s="395"/>
      <c r="BY64" s="395"/>
      <c r="BZ64" s="395"/>
      <c r="CA64" s="395"/>
      <c r="CB64" s="395"/>
      <c r="CC64" s="395"/>
      <c r="CD64" s="395"/>
      <c r="CE64" s="395"/>
      <c r="CF64" s="395"/>
      <c r="CG64" s="395"/>
      <c r="CH64" s="395"/>
      <c r="CI64" s="395"/>
      <c r="CJ64" s="395"/>
      <c r="CK64" s="395"/>
      <c r="CL64" s="395"/>
      <c r="CM64" s="395"/>
      <c r="CN64" s="395"/>
      <c r="CO64" s="395"/>
      <c r="CP64" s="395"/>
      <c r="CQ64" s="395"/>
      <c r="CR64" s="395"/>
      <c r="CS64" s="395"/>
      <c r="CT64" s="395"/>
      <c r="CU64" s="395"/>
      <c r="CV64" s="395"/>
      <c r="CW64" s="395"/>
      <c r="CX64" s="395"/>
      <c r="CY64" s="395"/>
      <c r="CZ64" s="395"/>
      <c r="DA64" s="395"/>
      <c r="DB64" s="395"/>
      <c r="DC64" s="395"/>
      <c r="DD64" s="395"/>
      <c r="DE64" s="395"/>
      <c r="DF64" s="395"/>
      <c r="DG64" s="395"/>
      <c r="DH64" s="395"/>
      <c r="DI64" s="395"/>
      <c r="DJ64" s="395"/>
      <c r="DK64" s="395"/>
      <c r="DL64" s="395"/>
      <c r="DM64" s="395"/>
      <c r="DN64" s="395"/>
      <c r="DO64" s="395"/>
      <c r="DP64" s="395"/>
      <c r="DQ64" s="395"/>
      <c r="DR64" s="395"/>
      <c r="DS64" s="395"/>
      <c r="DT64" s="395"/>
      <c r="DU64" s="395"/>
      <c r="DV64" s="395"/>
      <c r="DW64" s="395"/>
      <c r="DX64" s="395"/>
      <c r="DY64" s="395"/>
      <c r="DZ64" s="395"/>
      <c r="EA64" s="395"/>
      <c r="EB64" s="395"/>
      <c r="EC64" s="395"/>
      <c r="ED64" s="395"/>
      <c r="EE64" s="395"/>
      <c r="EF64" s="395"/>
      <c r="EG64" s="395"/>
      <c r="EH64" s="395"/>
      <c r="EI64" s="395"/>
      <c r="EJ64" s="395"/>
      <c r="EK64" s="395"/>
      <c r="EL64" s="395"/>
      <c r="EM64" s="395"/>
      <c r="EN64" s="395"/>
      <c r="EO64" s="395"/>
      <c r="EP64" s="395"/>
      <c r="EQ64" s="395"/>
      <c r="ER64" s="395"/>
      <c r="ES64" s="395"/>
      <c r="ET64" s="395"/>
      <c r="EU64" s="395"/>
      <c r="EV64" s="395"/>
      <c r="EW64" s="395"/>
      <c r="EX64" s="395"/>
      <c r="EY64" s="395"/>
      <c r="EZ64" s="395"/>
      <c r="FA64" s="395"/>
      <c r="FB64" s="395"/>
      <c r="FC64" s="395"/>
      <c r="FD64" s="395"/>
      <c r="FE64" s="395"/>
      <c r="FF64" s="395"/>
      <c r="FG64" s="395"/>
      <c r="FH64" s="395"/>
      <c r="FI64" s="395"/>
      <c r="FJ64" s="395"/>
      <c r="FK64" s="395"/>
      <c r="FL64" s="395"/>
      <c r="FM64" s="395"/>
      <c r="FN64" s="395"/>
      <c r="FO64" s="395"/>
      <c r="FP64" s="395"/>
      <c r="FQ64" s="395"/>
      <c r="FR64" s="395"/>
      <c r="FS64" s="395"/>
      <c r="FT64" s="395"/>
      <c r="FU64" s="395"/>
      <c r="FV64" s="395"/>
      <c r="FW64" s="395"/>
      <c r="FX64" s="395"/>
      <c r="FY64" s="395"/>
      <c r="FZ64" s="395"/>
      <c r="GA64" s="395"/>
      <c r="GB64" s="395"/>
      <c r="GC64" s="395"/>
      <c r="GD64" s="395"/>
      <c r="GE64" s="395"/>
      <c r="GF64" s="395"/>
      <c r="GG64" s="395"/>
      <c r="GH64" s="395"/>
      <c r="GI64" s="395"/>
      <c r="GJ64" s="395"/>
      <c r="GK64" s="395"/>
      <c r="GL64" s="395"/>
      <c r="GM64" s="395"/>
      <c r="GN64" s="395"/>
      <c r="GO64" s="395"/>
      <c r="GP64" s="395"/>
      <c r="GQ64" s="395"/>
      <c r="GR64" s="395"/>
      <c r="GS64" s="395"/>
      <c r="GT64" s="395"/>
      <c r="GU64" s="395"/>
      <c r="GV64" s="395"/>
      <c r="GW64" s="395"/>
      <c r="GX64" s="395"/>
      <c r="GY64" s="395"/>
      <c r="GZ64" s="395"/>
      <c r="HA64" s="395"/>
      <c r="HB64" s="395"/>
      <c r="HC64" s="395"/>
      <c r="HD64" s="395"/>
      <c r="HE64" s="395"/>
      <c r="HF64" s="395"/>
      <c r="HG64" s="395"/>
      <c r="HH64" s="395"/>
      <c r="HI64" s="395"/>
      <c r="HJ64" s="395"/>
      <c r="HK64" s="395"/>
      <c r="HL64" s="395"/>
      <c r="HM64" s="395"/>
      <c r="HN64" s="395"/>
      <c r="HO64" s="395"/>
      <c r="HP64" s="395"/>
      <c r="HQ64" s="395"/>
      <c r="HR64" s="395"/>
      <c r="HS64" s="395"/>
      <c r="HT64" s="395"/>
      <c r="HU64" s="395"/>
      <c r="HV64" s="395"/>
      <c r="HW64" s="395"/>
      <c r="HX64" s="395"/>
      <c r="HY64" s="395"/>
      <c r="HZ64" s="395"/>
      <c r="IA64" s="395"/>
      <c r="IB64" s="395"/>
      <c r="IC64" s="395"/>
      <c r="ID64" s="395"/>
      <c r="IE64" s="395"/>
      <c r="IF64" s="395"/>
      <c r="IG64" s="395"/>
      <c r="IH64" s="395"/>
      <c r="II64" s="395"/>
      <c r="IJ64" s="395"/>
      <c r="IK64" s="395"/>
      <c r="IL64" s="395"/>
      <c r="IM64" s="395"/>
      <c r="IN64" s="395"/>
      <c r="IO64" s="395"/>
      <c r="IP64" s="395"/>
      <c r="IQ64" s="395"/>
      <c r="IR64" s="395"/>
    </row>
    <row r="65" spans="2:252" s="58" customFormat="1" ht="25.15" customHeight="1" x14ac:dyDescent="0.25">
      <c r="B65" s="181" t="s">
        <v>48</v>
      </c>
      <c r="D65" s="191">
        <f>E69</f>
        <v>200000</v>
      </c>
      <c r="E65" s="191">
        <f t="shared" ref="E65:S65" si="1">D65*(1+SI_Interest)+D66</f>
        <v>260000.00000000003</v>
      </c>
      <c r="F65" s="191">
        <f t="shared" si="1"/>
        <v>308000.00000000006</v>
      </c>
      <c r="G65" s="191">
        <f t="shared" si="1"/>
        <v>382800.00000000012</v>
      </c>
      <c r="H65" s="191">
        <f t="shared" si="1"/>
        <v>445280.00000000017</v>
      </c>
      <c r="I65" s="191">
        <f>H65*(1+SI_Interest)+H66</f>
        <v>515218.00000000023</v>
      </c>
      <c r="J65" s="191">
        <f t="shared" si="1"/>
        <v>593420.30000000028</v>
      </c>
      <c r="K65" s="191">
        <f t="shared" si="1"/>
        <v>680776.85500000033</v>
      </c>
      <c r="L65" s="191">
        <f t="shared" si="1"/>
        <v>778269.79175000044</v>
      </c>
      <c r="M65" s="191"/>
      <c r="N65" s="191">
        <f>L65*(1+SI_Interest)+L66</f>
        <v>886982.78473750059</v>
      </c>
      <c r="O65" s="191">
        <f t="shared" si="1"/>
        <v>1008111.3777143757</v>
      </c>
      <c r="P65" s="191">
        <f t="shared" si="1"/>
        <v>1142974.3457140946</v>
      </c>
      <c r="Q65" s="191">
        <f t="shared" si="1"/>
        <v>1293026.2020251995</v>
      </c>
      <c r="R65" s="191">
        <f t="shared" si="1"/>
        <v>1459870.9650543998</v>
      </c>
      <c r="S65" s="191">
        <f t="shared" si="1"/>
        <v>1645277.3115278541</v>
      </c>
      <c r="V65" s="395"/>
      <c r="W65" s="395"/>
      <c r="X65" s="395"/>
      <c r="Y65" s="395"/>
      <c r="Z65" s="395"/>
      <c r="AA65" s="395"/>
      <c r="AB65" s="395"/>
      <c r="AC65" s="395"/>
      <c r="AD65" s="395"/>
      <c r="AE65" s="395"/>
      <c r="AF65" s="395"/>
      <c r="AG65" s="395"/>
      <c r="AH65" s="395"/>
      <c r="AI65" s="395"/>
      <c r="AJ65" s="395"/>
      <c r="AK65" s="395"/>
      <c r="AL65" s="395"/>
      <c r="AM65" s="395"/>
      <c r="AN65" s="395"/>
      <c r="AO65" s="395"/>
      <c r="AP65" s="395"/>
      <c r="AQ65" s="395"/>
      <c r="AR65" s="395"/>
      <c r="AS65" s="395"/>
      <c r="AT65" s="395"/>
      <c r="AU65" s="395"/>
      <c r="AV65" s="395"/>
      <c r="AW65" s="395"/>
      <c r="AX65" s="395"/>
      <c r="AY65" s="395"/>
      <c r="AZ65" s="395"/>
      <c r="BA65" s="395"/>
      <c r="BB65" s="395"/>
      <c r="BC65" s="395"/>
      <c r="BD65" s="395"/>
      <c r="BE65" s="395"/>
      <c r="BF65" s="395"/>
      <c r="BG65" s="395"/>
      <c r="BH65" s="395"/>
      <c r="BI65" s="395"/>
      <c r="BJ65" s="395"/>
      <c r="BK65" s="395"/>
      <c r="BL65" s="395"/>
      <c r="BM65" s="395"/>
      <c r="BN65" s="395"/>
      <c r="BO65" s="395"/>
      <c r="BP65" s="395"/>
      <c r="BQ65" s="395"/>
      <c r="BR65" s="395"/>
      <c r="BS65" s="395"/>
      <c r="BT65" s="395"/>
      <c r="BU65" s="395"/>
      <c r="BV65" s="395"/>
      <c r="BW65" s="395"/>
      <c r="BX65" s="395"/>
      <c r="BY65" s="395"/>
      <c r="BZ65" s="395"/>
      <c r="CA65" s="395"/>
      <c r="CB65" s="395"/>
      <c r="CC65" s="395"/>
      <c r="CD65" s="395"/>
      <c r="CE65" s="395"/>
      <c r="CF65" s="395"/>
      <c r="CG65" s="395"/>
      <c r="CH65" s="395"/>
      <c r="CI65" s="395"/>
      <c r="CJ65" s="395"/>
      <c r="CK65" s="395"/>
      <c r="CL65" s="395"/>
      <c r="CM65" s="395"/>
      <c r="CN65" s="395"/>
      <c r="CO65" s="395"/>
      <c r="CP65" s="395"/>
      <c r="CQ65" s="395"/>
      <c r="CR65" s="395"/>
      <c r="CS65" s="395"/>
      <c r="CT65" s="395"/>
      <c r="CU65" s="395"/>
      <c r="CV65" s="395"/>
      <c r="CW65" s="395"/>
      <c r="CX65" s="395"/>
      <c r="CY65" s="395"/>
      <c r="CZ65" s="395"/>
      <c r="DA65" s="395"/>
      <c r="DB65" s="395"/>
      <c r="DC65" s="395"/>
      <c r="DD65" s="395"/>
      <c r="DE65" s="395"/>
      <c r="DF65" s="395"/>
      <c r="DG65" s="395"/>
      <c r="DH65" s="395"/>
      <c r="DI65" s="395"/>
      <c r="DJ65" s="395"/>
      <c r="DK65" s="395"/>
      <c r="DL65" s="395"/>
      <c r="DM65" s="395"/>
      <c r="DN65" s="395"/>
      <c r="DO65" s="395"/>
      <c r="DP65" s="395"/>
      <c r="DQ65" s="395"/>
      <c r="DR65" s="395"/>
      <c r="DS65" s="395"/>
      <c r="DT65" s="395"/>
      <c r="DU65" s="395"/>
      <c r="DV65" s="395"/>
      <c r="DW65" s="395"/>
      <c r="DX65" s="395"/>
      <c r="DY65" s="395"/>
      <c r="DZ65" s="395"/>
      <c r="EA65" s="395"/>
      <c r="EB65" s="395"/>
      <c r="EC65" s="395"/>
      <c r="ED65" s="395"/>
      <c r="EE65" s="395"/>
      <c r="EF65" s="395"/>
      <c r="EG65" s="395"/>
      <c r="EH65" s="395"/>
      <c r="EI65" s="395"/>
      <c r="EJ65" s="395"/>
      <c r="EK65" s="395"/>
      <c r="EL65" s="395"/>
      <c r="EM65" s="395"/>
      <c r="EN65" s="395"/>
      <c r="EO65" s="395"/>
      <c r="EP65" s="395"/>
      <c r="EQ65" s="395"/>
      <c r="ER65" s="395"/>
      <c r="ES65" s="395"/>
      <c r="ET65" s="395"/>
      <c r="EU65" s="395"/>
      <c r="EV65" s="395"/>
      <c r="EW65" s="395"/>
      <c r="EX65" s="395"/>
      <c r="EY65" s="395"/>
      <c r="EZ65" s="395"/>
      <c r="FA65" s="395"/>
      <c r="FB65" s="395"/>
      <c r="FC65" s="395"/>
      <c r="FD65" s="395"/>
      <c r="FE65" s="395"/>
      <c r="FF65" s="395"/>
      <c r="FG65" s="395"/>
      <c r="FH65" s="395"/>
      <c r="FI65" s="395"/>
      <c r="FJ65" s="395"/>
      <c r="FK65" s="395"/>
      <c r="FL65" s="395"/>
      <c r="FM65" s="395"/>
      <c r="FN65" s="395"/>
      <c r="FO65" s="395"/>
      <c r="FP65" s="395"/>
      <c r="FQ65" s="395"/>
      <c r="FR65" s="395"/>
      <c r="FS65" s="395"/>
      <c r="FT65" s="395"/>
      <c r="FU65" s="395"/>
      <c r="FV65" s="395"/>
      <c r="FW65" s="395"/>
      <c r="FX65" s="395"/>
      <c r="FY65" s="395"/>
      <c r="FZ65" s="395"/>
      <c r="GA65" s="395"/>
      <c r="GB65" s="395"/>
      <c r="GC65" s="395"/>
      <c r="GD65" s="395"/>
      <c r="GE65" s="395"/>
      <c r="GF65" s="395"/>
      <c r="GG65" s="395"/>
      <c r="GH65" s="395"/>
      <c r="GI65" s="395"/>
      <c r="GJ65" s="395"/>
      <c r="GK65" s="395"/>
      <c r="GL65" s="395"/>
      <c r="GM65" s="395"/>
      <c r="GN65" s="395"/>
      <c r="GO65" s="395"/>
      <c r="GP65" s="395"/>
      <c r="GQ65" s="395"/>
      <c r="GR65" s="395"/>
      <c r="GS65" s="395"/>
      <c r="GT65" s="395"/>
      <c r="GU65" s="395"/>
      <c r="GV65" s="395"/>
      <c r="GW65" s="395"/>
      <c r="GX65" s="395"/>
      <c r="GY65" s="395"/>
      <c r="GZ65" s="395"/>
      <c r="HA65" s="395"/>
      <c r="HB65" s="395"/>
      <c r="HC65" s="395"/>
      <c r="HD65" s="395"/>
      <c r="HE65" s="395"/>
      <c r="HF65" s="395"/>
      <c r="HG65" s="395"/>
      <c r="HH65" s="395"/>
      <c r="HI65" s="395"/>
      <c r="HJ65" s="395"/>
      <c r="HK65" s="395"/>
      <c r="HL65" s="395"/>
      <c r="HM65" s="395"/>
      <c r="HN65" s="395"/>
      <c r="HO65" s="395"/>
      <c r="HP65" s="395"/>
      <c r="HQ65" s="395"/>
      <c r="HR65" s="395"/>
      <c r="HS65" s="395"/>
      <c r="HT65" s="395"/>
      <c r="HU65" s="395"/>
      <c r="HV65" s="395"/>
      <c r="HW65" s="395"/>
      <c r="HX65" s="395"/>
      <c r="HY65" s="395"/>
      <c r="HZ65" s="395"/>
      <c r="IA65" s="395"/>
      <c r="IB65" s="395"/>
      <c r="IC65" s="395"/>
      <c r="ID65" s="395"/>
      <c r="IE65" s="395"/>
      <c r="IF65" s="395"/>
      <c r="IG65" s="395"/>
      <c r="IH65" s="395"/>
      <c r="II65" s="395"/>
      <c r="IJ65" s="395"/>
      <c r="IK65" s="395"/>
      <c r="IL65" s="395"/>
      <c r="IM65" s="395"/>
      <c r="IN65" s="395"/>
      <c r="IO65" s="395"/>
      <c r="IP65" s="395"/>
      <c r="IQ65" s="395"/>
      <c r="IR65" s="395"/>
    </row>
    <row r="66" spans="2:252" s="58" customFormat="1" ht="25.15" customHeight="1" x14ac:dyDescent="0.25">
      <c r="B66" s="181" t="s">
        <v>49</v>
      </c>
      <c r="D66" s="191">
        <f>E70</f>
        <v>40000</v>
      </c>
      <c r="E66" s="191">
        <f>D66*(1+E67)</f>
        <v>22000</v>
      </c>
      <c r="F66" s="191">
        <f t="shared" ref="F66:S66" si="2">E66*(1+F67)</f>
        <v>44000</v>
      </c>
      <c r="G66" s="191">
        <f t="shared" si="2"/>
        <v>24200.000000000004</v>
      </c>
      <c r="H66" s="191">
        <f t="shared" si="2"/>
        <v>25410.000000000004</v>
      </c>
      <c r="I66" s="191">
        <f>H66*(1+I67)</f>
        <v>26680.500000000004</v>
      </c>
      <c r="J66" s="191">
        <f t="shared" si="2"/>
        <v>28014.525000000005</v>
      </c>
      <c r="K66" s="191">
        <f t="shared" si="2"/>
        <v>29415.251250000005</v>
      </c>
      <c r="L66" s="191">
        <f t="shared" si="2"/>
        <v>30886.013812500005</v>
      </c>
      <c r="M66" s="191"/>
      <c r="N66" s="191">
        <f>L66*(1+N67)</f>
        <v>32430.314503125006</v>
      </c>
      <c r="O66" s="191">
        <f t="shared" si="2"/>
        <v>34051.830228281258</v>
      </c>
      <c r="P66" s="191">
        <f t="shared" si="2"/>
        <v>35754.421739695325</v>
      </c>
      <c r="Q66" s="191">
        <f t="shared" si="2"/>
        <v>37542.142826680094</v>
      </c>
      <c r="R66" s="191">
        <f t="shared" si="2"/>
        <v>39419.249968014097</v>
      </c>
      <c r="S66" s="191">
        <f t="shared" si="2"/>
        <v>41390.212466414807</v>
      </c>
      <c r="V66" s="395"/>
      <c r="W66" s="395"/>
      <c r="X66" s="395"/>
      <c r="Y66" s="395"/>
      <c r="Z66" s="395"/>
      <c r="AA66" s="395"/>
      <c r="AB66" s="395"/>
      <c r="AC66" s="395"/>
      <c r="AD66" s="395"/>
      <c r="AE66" s="395"/>
      <c r="AF66" s="395"/>
      <c r="AG66" s="395"/>
      <c r="AH66" s="395"/>
      <c r="AI66" s="395"/>
      <c r="AJ66" s="395"/>
      <c r="AK66" s="395"/>
      <c r="AL66" s="395"/>
      <c r="AM66" s="395"/>
      <c r="AN66" s="395"/>
      <c r="AO66" s="395"/>
      <c r="AP66" s="395"/>
      <c r="AQ66" s="395"/>
      <c r="AR66" s="395"/>
      <c r="AS66" s="395"/>
      <c r="AT66" s="395"/>
      <c r="AU66" s="395"/>
      <c r="AV66" s="395"/>
      <c r="AW66" s="395"/>
      <c r="AX66" s="395"/>
      <c r="AY66" s="395"/>
      <c r="AZ66" s="395"/>
      <c r="BA66" s="395"/>
      <c r="BB66" s="395"/>
      <c r="BC66" s="395"/>
      <c r="BD66" s="395"/>
      <c r="BE66" s="395"/>
      <c r="BF66" s="395"/>
      <c r="BG66" s="395"/>
      <c r="BH66" s="395"/>
      <c r="BI66" s="395"/>
      <c r="BJ66" s="395"/>
      <c r="BK66" s="395"/>
      <c r="BL66" s="395"/>
      <c r="BM66" s="395"/>
      <c r="BN66" s="395"/>
      <c r="BO66" s="395"/>
      <c r="BP66" s="395"/>
      <c r="BQ66" s="395"/>
      <c r="BR66" s="395"/>
      <c r="BS66" s="395"/>
      <c r="BT66" s="395"/>
      <c r="BU66" s="395"/>
      <c r="BV66" s="395"/>
      <c r="BW66" s="395"/>
      <c r="BX66" s="395"/>
      <c r="BY66" s="395"/>
      <c r="BZ66" s="395"/>
      <c r="CA66" s="395"/>
      <c r="CB66" s="395"/>
      <c r="CC66" s="395"/>
      <c r="CD66" s="395"/>
      <c r="CE66" s="395"/>
      <c r="CF66" s="395"/>
      <c r="CG66" s="395"/>
      <c r="CH66" s="395"/>
      <c r="CI66" s="395"/>
      <c r="CJ66" s="395"/>
      <c r="CK66" s="395"/>
      <c r="CL66" s="395"/>
      <c r="CM66" s="395"/>
      <c r="CN66" s="395"/>
      <c r="CO66" s="395"/>
      <c r="CP66" s="395"/>
      <c r="CQ66" s="395"/>
      <c r="CR66" s="395"/>
      <c r="CS66" s="395"/>
      <c r="CT66" s="395"/>
      <c r="CU66" s="395"/>
      <c r="CV66" s="395"/>
      <c r="CW66" s="395"/>
      <c r="CX66" s="395"/>
      <c r="CY66" s="395"/>
      <c r="CZ66" s="395"/>
      <c r="DA66" s="395"/>
      <c r="DB66" s="395"/>
      <c r="DC66" s="395"/>
      <c r="DD66" s="395"/>
      <c r="DE66" s="395"/>
      <c r="DF66" s="395"/>
      <c r="DG66" s="395"/>
      <c r="DH66" s="395"/>
      <c r="DI66" s="395"/>
      <c r="DJ66" s="395"/>
      <c r="DK66" s="395"/>
      <c r="DL66" s="395"/>
      <c r="DM66" s="395"/>
      <c r="DN66" s="395"/>
      <c r="DO66" s="395"/>
      <c r="DP66" s="395"/>
      <c r="DQ66" s="395"/>
      <c r="DR66" s="395"/>
      <c r="DS66" s="395"/>
      <c r="DT66" s="395"/>
      <c r="DU66" s="395"/>
      <c r="DV66" s="395"/>
      <c r="DW66" s="395"/>
      <c r="DX66" s="395"/>
      <c r="DY66" s="395"/>
      <c r="DZ66" s="395"/>
      <c r="EA66" s="395"/>
      <c r="EB66" s="395"/>
      <c r="EC66" s="395"/>
      <c r="ED66" s="395"/>
      <c r="EE66" s="395"/>
      <c r="EF66" s="395"/>
      <c r="EG66" s="395"/>
      <c r="EH66" s="395"/>
      <c r="EI66" s="395"/>
      <c r="EJ66" s="395"/>
      <c r="EK66" s="395"/>
      <c r="EL66" s="395"/>
      <c r="EM66" s="395"/>
      <c r="EN66" s="395"/>
      <c r="EO66" s="395"/>
      <c r="EP66" s="395"/>
      <c r="EQ66" s="395"/>
      <c r="ER66" s="395"/>
      <c r="ES66" s="395"/>
      <c r="ET66" s="395"/>
      <c r="EU66" s="395"/>
      <c r="EV66" s="395"/>
      <c r="EW66" s="395"/>
      <c r="EX66" s="395"/>
      <c r="EY66" s="395"/>
      <c r="EZ66" s="395"/>
      <c r="FA66" s="395"/>
      <c r="FB66" s="395"/>
      <c r="FC66" s="395"/>
      <c r="FD66" s="395"/>
      <c r="FE66" s="395"/>
      <c r="FF66" s="395"/>
      <c r="FG66" s="395"/>
      <c r="FH66" s="395"/>
      <c r="FI66" s="395"/>
      <c r="FJ66" s="395"/>
      <c r="FK66" s="395"/>
      <c r="FL66" s="395"/>
      <c r="FM66" s="395"/>
      <c r="FN66" s="395"/>
      <c r="FO66" s="395"/>
      <c r="FP66" s="395"/>
      <c r="FQ66" s="395"/>
      <c r="FR66" s="395"/>
      <c r="FS66" s="395"/>
      <c r="FT66" s="395"/>
      <c r="FU66" s="395"/>
      <c r="FV66" s="395"/>
      <c r="FW66" s="395"/>
      <c r="FX66" s="395"/>
      <c r="FY66" s="395"/>
      <c r="FZ66" s="395"/>
      <c r="GA66" s="395"/>
      <c r="GB66" s="395"/>
      <c r="GC66" s="395"/>
      <c r="GD66" s="395"/>
      <c r="GE66" s="395"/>
      <c r="GF66" s="395"/>
      <c r="GG66" s="395"/>
      <c r="GH66" s="395"/>
      <c r="GI66" s="395"/>
      <c r="GJ66" s="395"/>
      <c r="GK66" s="395"/>
      <c r="GL66" s="395"/>
      <c r="GM66" s="395"/>
      <c r="GN66" s="395"/>
      <c r="GO66" s="395"/>
      <c r="GP66" s="395"/>
      <c r="GQ66" s="395"/>
      <c r="GR66" s="395"/>
      <c r="GS66" s="395"/>
      <c r="GT66" s="395"/>
      <c r="GU66" s="395"/>
      <c r="GV66" s="395"/>
      <c r="GW66" s="395"/>
      <c r="GX66" s="395"/>
      <c r="GY66" s="395"/>
      <c r="GZ66" s="395"/>
      <c r="HA66" s="395"/>
      <c r="HB66" s="395"/>
      <c r="HC66" s="395"/>
      <c r="HD66" s="395"/>
      <c r="HE66" s="395"/>
      <c r="HF66" s="395"/>
      <c r="HG66" s="395"/>
      <c r="HH66" s="395"/>
      <c r="HI66" s="395"/>
      <c r="HJ66" s="395"/>
      <c r="HK66" s="395"/>
      <c r="HL66" s="395"/>
      <c r="HM66" s="395"/>
      <c r="HN66" s="395"/>
      <c r="HO66" s="395"/>
      <c r="HP66" s="395"/>
      <c r="HQ66" s="395"/>
      <c r="HR66" s="395"/>
      <c r="HS66" s="395"/>
      <c r="HT66" s="395"/>
      <c r="HU66" s="395"/>
      <c r="HV66" s="395"/>
      <c r="HW66" s="395"/>
      <c r="HX66" s="395"/>
      <c r="HY66" s="395"/>
      <c r="HZ66" s="395"/>
      <c r="IA66" s="395"/>
      <c r="IB66" s="395"/>
      <c r="IC66" s="395"/>
      <c r="ID66" s="395"/>
      <c r="IE66" s="395"/>
      <c r="IF66" s="395"/>
      <c r="IG66" s="395"/>
      <c r="IH66" s="395"/>
      <c r="II66" s="395"/>
      <c r="IJ66" s="395"/>
      <c r="IK66" s="395"/>
      <c r="IL66" s="395"/>
      <c r="IM66" s="395"/>
      <c r="IN66" s="395"/>
      <c r="IO66" s="395"/>
      <c r="IP66" s="395"/>
      <c r="IQ66" s="395"/>
      <c r="IR66" s="395"/>
    </row>
    <row r="67" spans="2:252" s="58" customFormat="1" ht="25.15" customHeight="1" x14ac:dyDescent="0.25">
      <c r="B67" s="181" t="s">
        <v>50</v>
      </c>
      <c r="D67" s="189">
        <v>0.05</v>
      </c>
      <c r="E67" s="189">
        <v>-0.45</v>
      </c>
      <c r="F67" s="189">
        <v>1</v>
      </c>
      <c r="G67" s="189">
        <v>-0.45</v>
      </c>
      <c r="H67" s="189">
        <v>0.05</v>
      </c>
      <c r="I67" s="189">
        <v>0.05</v>
      </c>
      <c r="J67" s="189">
        <v>0.05</v>
      </c>
      <c r="K67" s="189">
        <v>0.05</v>
      </c>
      <c r="L67" s="189">
        <v>0.05</v>
      </c>
      <c r="M67" s="189"/>
      <c r="N67" s="189">
        <v>0.05</v>
      </c>
      <c r="O67" s="189">
        <v>0.05</v>
      </c>
      <c r="P67" s="189">
        <v>0.05</v>
      </c>
      <c r="Q67" s="189">
        <v>0.05</v>
      </c>
      <c r="R67" s="189">
        <v>0.05</v>
      </c>
      <c r="S67" s="189">
        <v>0.05</v>
      </c>
      <c r="V67" s="395"/>
      <c r="W67" s="395"/>
      <c r="X67" s="395"/>
      <c r="Y67" s="395"/>
      <c r="Z67" s="395"/>
      <c r="AA67" s="395"/>
      <c r="AB67" s="395"/>
      <c r="AC67" s="395"/>
      <c r="AD67" s="395"/>
      <c r="AE67" s="395"/>
      <c r="AF67" s="395"/>
      <c r="AG67" s="395"/>
      <c r="AH67" s="395"/>
      <c r="AI67" s="395"/>
      <c r="AJ67" s="395"/>
      <c r="AK67" s="395"/>
      <c r="AL67" s="395"/>
      <c r="AM67" s="395"/>
      <c r="AN67" s="395"/>
      <c r="AO67" s="395"/>
      <c r="AP67" s="395"/>
      <c r="AQ67" s="395"/>
      <c r="AR67" s="395"/>
      <c r="AS67" s="395"/>
      <c r="AT67" s="395"/>
      <c r="AU67" s="395"/>
      <c r="AV67" s="395"/>
      <c r="AW67" s="395"/>
      <c r="AX67" s="395"/>
      <c r="AY67" s="395"/>
      <c r="AZ67" s="395"/>
      <c r="BA67" s="395"/>
      <c r="BB67" s="395"/>
      <c r="BC67" s="395"/>
      <c r="BD67" s="395"/>
      <c r="BE67" s="395"/>
      <c r="BF67" s="395"/>
      <c r="BG67" s="395"/>
      <c r="BH67" s="395"/>
      <c r="BI67" s="395"/>
      <c r="BJ67" s="395"/>
      <c r="BK67" s="395"/>
      <c r="BL67" s="395"/>
      <c r="BM67" s="395"/>
      <c r="BN67" s="395"/>
      <c r="BO67" s="395"/>
      <c r="BP67" s="395"/>
      <c r="BQ67" s="395"/>
      <c r="BR67" s="395"/>
      <c r="BS67" s="395"/>
      <c r="BT67" s="395"/>
      <c r="BU67" s="395"/>
      <c r="BV67" s="395"/>
      <c r="BW67" s="395"/>
      <c r="BX67" s="395"/>
      <c r="BY67" s="395"/>
      <c r="BZ67" s="395"/>
      <c r="CA67" s="395"/>
      <c r="CB67" s="395"/>
      <c r="CC67" s="395"/>
      <c r="CD67" s="395"/>
      <c r="CE67" s="395"/>
      <c r="CF67" s="395"/>
      <c r="CG67" s="395"/>
      <c r="CH67" s="395"/>
      <c r="CI67" s="395"/>
      <c r="CJ67" s="395"/>
      <c r="CK67" s="395"/>
      <c r="CL67" s="395"/>
      <c r="CM67" s="395"/>
      <c r="CN67" s="395"/>
      <c r="CO67" s="395"/>
      <c r="CP67" s="395"/>
      <c r="CQ67" s="395"/>
      <c r="CR67" s="395"/>
      <c r="CS67" s="395"/>
      <c r="CT67" s="395"/>
      <c r="CU67" s="395"/>
      <c r="CV67" s="395"/>
      <c r="CW67" s="395"/>
      <c r="CX67" s="395"/>
      <c r="CY67" s="395"/>
      <c r="CZ67" s="395"/>
      <c r="DA67" s="395"/>
      <c r="DB67" s="395"/>
      <c r="DC67" s="395"/>
      <c r="DD67" s="395"/>
      <c r="DE67" s="395"/>
      <c r="DF67" s="395"/>
      <c r="DG67" s="395"/>
      <c r="DH67" s="395"/>
      <c r="DI67" s="395"/>
      <c r="DJ67" s="395"/>
      <c r="DK67" s="395"/>
      <c r="DL67" s="395"/>
      <c r="DM67" s="395"/>
      <c r="DN67" s="395"/>
      <c r="DO67" s="395"/>
      <c r="DP67" s="395"/>
      <c r="DQ67" s="395"/>
      <c r="DR67" s="395"/>
      <c r="DS67" s="395"/>
      <c r="DT67" s="395"/>
      <c r="DU67" s="395"/>
      <c r="DV67" s="395"/>
      <c r="DW67" s="395"/>
      <c r="DX67" s="395"/>
      <c r="DY67" s="395"/>
      <c r="DZ67" s="395"/>
      <c r="EA67" s="395"/>
      <c r="EB67" s="395"/>
      <c r="EC67" s="395"/>
      <c r="ED67" s="395"/>
      <c r="EE67" s="395"/>
      <c r="EF67" s="395"/>
      <c r="EG67" s="395"/>
      <c r="EH67" s="395"/>
      <c r="EI67" s="395"/>
      <c r="EJ67" s="395"/>
      <c r="EK67" s="395"/>
      <c r="EL67" s="395"/>
      <c r="EM67" s="395"/>
      <c r="EN67" s="395"/>
      <c r="EO67" s="395"/>
      <c r="EP67" s="395"/>
      <c r="EQ67" s="395"/>
      <c r="ER67" s="395"/>
      <c r="ES67" s="395"/>
      <c r="ET67" s="395"/>
      <c r="EU67" s="395"/>
      <c r="EV67" s="395"/>
      <c r="EW67" s="395"/>
      <c r="EX67" s="395"/>
      <c r="EY67" s="395"/>
      <c r="EZ67" s="395"/>
      <c r="FA67" s="395"/>
      <c r="FB67" s="395"/>
      <c r="FC67" s="395"/>
      <c r="FD67" s="395"/>
      <c r="FE67" s="395"/>
      <c r="FF67" s="395"/>
      <c r="FG67" s="395"/>
      <c r="FH67" s="395"/>
      <c r="FI67" s="395"/>
      <c r="FJ67" s="395"/>
      <c r="FK67" s="395"/>
      <c r="FL67" s="395"/>
      <c r="FM67" s="395"/>
      <c r="FN67" s="395"/>
      <c r="FO67" s="395"/>
      <c r="FP67" s="395"/>
      <c r="FQ67" s="395"/>
      <c r="FR67" s="395"/>
      <c r="FS67" s="395"/>
      <c r="FT67" s="395"/>
      <c r="FU67" s="395"/>
      <c r="FV67" s="395"/>
      <c r="FW67" s="395"/>
      <c r="FX67" s="395"/>
      <c r="FY67" s="395"/>
      <c r="FZ67" s="395"/>
      <c r="GA67" s="395"/>
      <c r="GB67" s="395"/>
      <c r="GC67" s="395"/>
      <c r="GD67" s="395"/>
      <c r="GE67" s="395"/>
      <c r="GF67" s="395"/>
      <c r="GG67" s="395"/>
      <c r="GH67" s="395"/>
      <c r="GI67" s="395"/>
      <c r="GJ67" s="395"/>
      <c r="GK67" s="395"/>
      <c r="GL67" s="395"/>
      <c r="GM67" s="395"/>
      <c r="GN67" s="395"/>
      <c r="GO67" s="395"/>
      <c r="GP67" s="395"/>
      <c r="GQ67" s="395"/>
      <c r="GR67" s="395"/>
      <c r="GS67" s="395"/>
      <c r="GT67" s="395"/>
      <c r="GU67" s="395"/>
      <c r="GV67" s="395"/>
      <c r="GW67" s="395"/>
      <c r="GX67" s="395"/>
      <c r="GY67" s="395"/>
      <c r="GZ67" s="395"/>
      <c r="HA67" s="395"/>
      <c r="HB67" s="395"/>
      <c r="HC67" s="395"/>
      <c r="HD67" s="395"/>
      <c r="HE67" s="395"/>
      <c r="HF67" s="395"/>
      <c r="HG67" s="395"/>
      <c r="HH67" s="395"/>
      <c r="HI67" s="395"/>
      <c r="HJ67" s="395"/>
      <c r="HK67" s="395"/>
      <c r="HL67" s="395"/>
      <c r="HM67" s="395"/>
      <c r="HN67" s="395"/>
      <c r="HO67" s="395"/>
      <c r="HP67" s="395"/>
      <c r="HQ67" s="395"/>
      <c r="HR67" s="395"/>
      <c r="HS67" s="395"/>
      <c r="HT67" s="395"/>
      <c r="HU67" s="395"/>
      <c r="HV67" s="395"/>
      <c r="HW67" s="395"/>
      <c r="HX67" s="395"/>
      <c r="HY67" s="395"/>
      <c r="HZ67" s="395"/>
      <c r="IA67" s="395"/>
      <c r="IB67" s="395"/>
      <c r="IC67" s="395"/>
      <c r="ID67" s="395"/>
      <c r="IE67" s="395"/>
      <c r="IF67" s="395"/>
      <c r="IG67" s="395"/>
      <c r="IH67" s="395"/>
      <c r="II67" s="395"/>
      <c r="IJ67" s="395"/>
      <c r="IK67" s="395"/>
      <c r="IL67" s="395"/>
      <c r="IM67" s="395"/>
      <c r="IN67" s="395"/>
      <c r="IO67" s="395"/>
      <c r="IP67" s="395"/>
      <c r="IQ67" s="395"/>
      <c r="IR67" s="395"/>
    </row>
    <row r="68" spans="2:252" s="58" customFormat="1" ht="25.15" customHeight="1" x14ac:dyDescent="0.25">
      <c r="B68" s="181" t="s">
        <v>45</v>
      </c>
      <c r="E68" s="189">
        <v>0.1</v>
      </c>
      <c r="V68" s="395"/>
      <c r="W68" s="395"/>
      <c r="X68" s="395"/>
      <c r="Y68" s="395"/>
      <c r="Z68" s="395"/>
      <c r="AA68" s="395"/>
      <c r="AB68" s="395"/>
      <c r="AC68" s="395"/>
      <c r="AD68" s="395"/>
      <c r="AE68" s="395"/>
      <c r="AF68" s="395"/>
      <c r="AG68" s="395"/>
      <c r="AH68" s="395"/>
      <c r="AI68" s="395"/>
      <c r="AJ68" s="395"/>
      <c r="AK68" s="395"/>
      <c r="AL68" s="395"/>
      <c r="AM68" s="395"/>
      <c r="AN68" s="395"/>
      <c r="AO68" s="395"/>
      <c r="AP68" s="395"/>
      <c r="AQ68" s="395"/>
      <c r="AR68" s="395"/>
      <c r="AS68" s="395"/>
      <c r="AT68" s="395"/>
      <c r="AU68" s="395"/>
      <c r="AV68" s="395"/>
      <c r="AW68" s="395"/>
      <c r="AX68" s="395"/>
      <c r="AY68" s="395"/>
      <c r="AZ68" s="395"/>
      <c r="BA68" s="395"/>
      <c r="BB68" s="395"/>
      <c r="BC68" s="395"/>
      <c r="BD68" s="395"/>
      <c r="BE68" s="395"/>
      <c r="BF68" s="395"/>
      <c r="BG68" s="395"/>
      <c r="BH68" s="395"/>
      <c r="BI68" s="395"/>
      <c r="BJ68" s="395"/>
      <c r="BK68" s="395"/>
      <c r="BL68" s="395"/>
      <c r="BM68" s="395"/>
      <c r="BN68" s="395"/>
      <c r="BO68" s="395"/>
      <c r="BP68" s="395"/>
      <c r="BQ68" s="395"/>
      <c r="BR68" s="395"/>
      <c r="BS68" s="395"/>
      <c r="BT68" s="395"/>
      <c r="BU68" s="395"/>
      <c r="BV68" s="395"/>
      <c r="BW68" s="395"/>
      <c r="BX68" s="395"/>
      <c r="BY68" s="395"/>
      <c r="BZ68" s="395"/>
      <c r="CA68" s="395"/>
      <c r="CB68" s="395"/>
      <c r="CC68" s="395"/>
      <c r="CD68" s="395"/>
      <c r="CE68" s="395"/>
      <c r="CF68" s="395"/>
      <c r="CG68" s="395"/>
      <c r="CH68" s="395"/>
      <c r="CI68" s="395"/>
      <c r="CJ68" s="395"/>
      <c r="CK68" s="395"/>
      <c r="CL68" s="395"/>
      <c r="CM68" s="395"/>
      <c r="CN68" s="395"/>
      <c r="CO68" s="395"/>
      <c r="CP68" s="395"/>
      <c r="CQ68" s="395"/>
      <c r="CR68" s="395"/>
      <c r="CS68" s="395"/>
      <c r="CT68" s="395"/>
      <c r="CU68" s="395"/>
      <c r="CV68" s="395"/>
      <c r="CW68" s="395"/>
      <c r="CX68" s="395"/>
      <c r="CY68" s="395"/>
      <c r="CZ68" s="395"/>
      <c r="DA68" s="395"/>
      <c r="DB68" s="395"/>
      <c r="DC68" s="395"/>
      <c r="DD68" s="395"/>
      <c r="DE68" s="395"/>
      <c r="DF68" s="395"/>
      <c r="DG68" s="395"/>
      <c r="DH68" s="395"/>
      <c r="DI68" s="395"/>
      <c r="DJ68" s="395"/>
      <c r="DK68" s="395"/>
      <c r="DL68" s="395"/>
      <c r="DM68" s="395"/>
      <c r="DN68" s="395"/>
      <c r="DO68" s="395"/>
      <c r="DP68" s="395"/>
      <c r="DQ68" s="395"/>
      <c r="DR68" s="395"/>
      <c r="DS68" s="395"/>
      <c r="DT68" s="395"/>
      <c r="DU68" s="395"/>
      <c r="DV68" s="395"/>
      <c r="DW68" s="395"/>
      <c r="DX68" s="395"/>
      <c r="DY68" s="395"/>
      <c r="DZ68" s="395"/>
      <c r="EA68" s="395"/>
      <c r="EB68" s="395"/>
      <c r="EC68" s="395"/>
      <c r="ED68" s="395"/>
      <c r="EE68" s="395"/>
      <c r="EF68" s="395"/>
      <c r="EG68" s="395"/>
      <c r="EH68" s="395"/>
      <c r="EI68" s="395"/>
      <c r="EJ68" s="395"/>
      <c r="EK68" s="395"/>
      <c r="EL68" s="395"/>
      <c r="EM68" s="395"/>
      <c r="EN68" s="395"/>
      <c r="EO68" s="395"/>
      <c r="EP68" s="395"/>
      <c r="EQ68" s="395"/>
      <c r="ER68" s="395"/>
      <c r="ES68" s="395"/>
      <c r="ET68" s="395"/>
      <c r="EU68" s="395"/>
      <c r="EV68" s="395"/>
      <c r="EW68" s="395"/>
      <c r="EX68" s="395"/>
      <c r="EY68" s="395"/>
      <c r="EZ68" s="395"/>
      <c r="FA68" s="395"/>
      <c r="FB68" s="395"/>
      <c r="FC68" s="395"/>
      <c r="FD68" s="395"/>
      <c r="FE68" s="395"/>
      <c r="FF68" s="395"/>
      <c r="FG68" s="395"/>
      <c r="FH68" s="395"/>
      <c r="FI68" s="395"/>
      <c r="FJ68" s="395"/>
      <c r="FK68" s="395"/>
      <c r="FL68" s="395"/>
      <c r="FM68" s="395"/>
      <c r="FN68" s="395"/>
      <c r="FO68" s="395"/>
      <c r="FP68" s="395"/>
      <c r="FQ68" s="395"/>
      <c r="FR68" s="395"/>
      <c r="FS68" s="395"/>
      <c r="FT68" s="395"/>
      <c r="FU68" s="395"/>
      <c r="FV68" s="395"/>
      <c r="FW68" s="395"/>
      <c r="FX68" s="395"/>
      <c r="FY68" s="395"/>
      <c r="FZ68" s="395"/>
      <c r="GA68" s="395"/>
      <c r="GB68" s="395"/>
      <c r="GC68" s="395"/>
      <c r="GD68" s="395"/>
      <c r="GE68" s="395"/>
      <c r="GF68" s="395"/>
      <c r="GG68" s="395"/>
      <c r="GH68" s="395"/>
      <c r="GI68" s="395"/>
      <c r="GJ68" s="395"/>
      <c r="GK68" s="395"/>
      <c r="GL68" s="395"/>
      <c r="GM68" s="395"/>
      <c r="GN68" s="395"/>
      <c r="GO68" s="395"/>
      <c r="GP68" s="395"/>
      <c r="GQ68" s="395"/>
      <c r="GR68" s="395"/>
      <c r="GS68" s="395"/>
      <c r="GT68" s="395"/>
      <c r="GU68" s="395"/>
      <c r="GV68" s="395"/>
      <c r="GW68" s="395"/>
      <c r="GX68" s="395"/>
      <c r="GY68" s="395"/>
      <c r="GZ68" s="395"/>
      <c r="HA68" s="395"/>
      <c r="HB68" s="395"/>
      <c r="HC68" s="395"/>
      <c r="HD68" s="395"/>
      <c r="HE68" s="395"/>
      <c r="HF68" s="395"/>
      <c r="HG68" s="395"/>
      <c r="HH68" s="395"/>
      <c r="HI68" s="395"/>
      <c r="HJ68" s="395"/>
      <c r="HK68" s="395"/>
      <c r="HL68" s="395"/>
      <c r="HM68" s="395"/>
      <c r="HN68" s="395"/>
      <c r="HO68" s="395"/>
      <c r="HP68" s="395"/>
      <c r="HQ68" s="395"/>
      <c r="HR68" s="395"/>
      <c r="HS68" s="395"/>
      <c r="HT68" s="395"/>
      <c r="HU68" s="395"/>
      <c r="HV68" s="395"/>
      <c r="HW68" s="395"/>
      <c r="HX68" s="395"/>
      <c r="HY68" s="395"/>
      <c r="HZ68" s="395"/>
      <c r="IA68" s="395"/>
      <c r="IB68" s="395"/>
      <c r="IC68" s="395"/>
      <c r="ID68" s="395"/>
      <c r="IE68" s="395"/>
      <c r="IF68" s="395"/>
      <c r="IG68" s="395"/>
      <c r="IH68" s="395"/>
      <c r="II68" s="395"/>
      <c r="IJ68" s="395"/>
      <c r="IK68" s="395"/>
      <c r="IL68" s="395"/>
      <c r="IM68" s="395"/>
      <c r="IN68" s="395"/>
      <c r="IO68" s="395"/>
      <c r="IP68" s="395"/>
      <c r="IQ68" s="395"/>
      <c r="IR68" s="395"/>
    </row>
    <row r="69" spans="2:252" s="58" customFormat="1" ht="25.15" customHeight="1" x14ac:dyDescent="0.25">
      <c r="B69" s="181" t="s">
        <v>51</v>
      </c>
      <c r="E69" s="191">
        <v>200000</v>
      </c>
      <c r="V69" s="395"/>
      <c r="W69" s="395"/>
      <c r="X69" s="395"/>
      <c r="Y69" s="395"/>
      <c r="Z69" s="395"/>
      <c r="AA69" s="395"/>
      <c r="AB69" s="395"/>
      <c r="AC69" s="395"/>
      <c r="AD69" s="395"/>
      <c r="AE69" s="395"/>
      <c r="AF69" s="395"/>
      <c r="AG69" s="395"/>
      <c r="AH69" s="395"/>
      <c r="AI69" s="395"/>
      <c r="AJ69" s="395"/>
      <c r="AK69" s="395"/>
      <c r="AL69" s="395"/>
      <c r="AM69" s="395"/>
      <c r="AN69" s="395"/>
      <c r="AO69" s="395"/>
      <c r="AP69" s="395"/>
      <c r="AQ69" s="395"/>
      <c r="AR69" s="395"/>
      <c r="AS69" s="395"/>
      <c r="AT69" s="395"/>
      <c r="AU69" s="395"/>
      <c r="AV69" s="395"/>
      <c r="AW69" s="395"/>
      <c r="AX69" s="395"/>
      <c r="AY69" s="395"/>
      <c r="AZ69" s="395"/>
      <c r="BA69" s="395"/>
      <c r="BB69" s="395"/>
      <c r="BC69" s="395"/>
      <c r="BD69" s="395"/>
      <c r="BE69" s="395"/>
      <c r="BF69" s="395"/>
      <c r="BG69" s="395"/>
      <c r="BH69" s="395"/>
      <c r="BI69" s="395"/>
      <c r="BJ69" s="395"/>
      <c r="BK69" s="395"/>
      <c r="BL69" s="395"/>
      <c r="BM69" s="395"/>
      <c r="BN69" s="395"/>
      <c r="BO69" s="395"/>
      <c r="BP69" s="395"/>
      <c r="BQ69" s="395"/>
      <c r="BR69" s="395"/>
      <c r="BS69" s="395"/>
      <c r="BT69" s="395"/>
      <c r="BU69" s="395"/>
      <c r="BV69" s="395"/>
      <c r="BW69" s="395"/>
      <c r="BX69" s="395"/>
      <c r="BY69" s="395"/>
      <c r="BZ69" s="395"/>
      <c r="CA69" s="395"/>
      <c r="CB69" s="395"/>
      <c r="CC69" s="395"/>
      <c r="CD69" s="395"/>
      <c r="CE69" s="395"/>
      <c r="CF69" s="395"/>
      <c r="CG69" s="395"/>
      <c r="CH69" s="395"/>
      <c r="CI69" s="395"/>
      <c r="CJ69" s="395"/>
      <c r="CK69" s="395"/>
      <c r="CL69" s="395"/>
      <c r="CM69" s="395"/>
      <c r="CN69" s="395"/>
      <c r="CO69" s="395"/>
      <c r="CP69" s="395"/>
      <c r="CQ69" s="395"/>
      <c r="CR69" s="395"/>
      <c r="CS69" s="395"/>
      <c r="CT69" s="395"/>
      <c r="CU69" s="395"/>
      <c r="CV69" s="395"/>
      <c r="CW69" s="395"/>
      <c r="CX69" s="395"/>
      <c r="CY69" s="395"/>
      <c r="CZ69" s="395"/>
      <c r="DA69" s="395"/>
      <c r="DB69" s="395"/>
      <c r="DC69" s="395"/>
      <c r="DD69" s="395"/>
      <c r="DE69" s="395"/>
      <c r="DF69" s="395"/>
      <c r="DG69" s="395"/>
      <c r="DH69" s="395"/>
      <c r="DI69" s="395"/>
      <c r="DJ69" s="395"/>
      <c r="DK69" s="395"/>
      <c r="DL69" s="395"/>
      <c r="DM69" s="395"/>
      <c r="DN69" s="395"/>
      <c r="DO69" s="395"/>
      <c r="DP69" s="395"/>
      <c r="DQ69" s="395"/>
      <c r="DR69" s="395"/>
      <c r="DS69" s="395"/>
      <c r="DT69" s="395"/>
      <c r="DU69" s="395"/>
      <c r="DV69" s="395"/>
      <c r="DW69" s="395"/>
      <c r="DX69" s="395"/>
      <c r="DY69" s="395"/>
      <c r="DZ69" s="395"/>
      <c r="EA69" s="395"/>
      <c r="EB69" s="395"/>
      <c r="EC69" s="395"/>
      <c r="ED69" s="395"/>
      <c r="EE69" s="395"/>
      <c r="EF69" s="395"/>
      <c r="EG69" s="395"/>
      <c r="EH69" s="395"/>
      <c r="EI69" s="395"/>
      <c r="EJ69" s="395"/>
      <c r="EK69" s="395"/>
      <c r="EL69" s="395"/>
      <c r="EM69" s="395"/>
      <c r="EN69" s="395"/>
      <c r="EO69" s="395"/>
      <c r="EP69" s="395"/>
      <c r="EQ69" s="395"/>
      <c r="ER69" s="395"/>
      <c r="ES69" s="395"/>
      <c r="ET69" s="395"/>
      <c r="EU69" s="395"/>
      <c r="EV69" s="395"/>
      <c r="EW69" s="395"/>
      <c r="EX69" s="395"/>
      <c r="EY69" s="395"/>
      <c r="EZ69" s="395"/>
      <c r="FA69" s="395"/>
      <c r="FB69" s="395"/>
      <c r="FC69" s="395"/>
      <c r="FD69" s="395"/>
      <c r="FE69" s="395"/>
      <c r="FF69" s="395"/>
      <c r="FG69" s="395"/>
      <c r="FH69" s="395"/>
      <c r="FI69" s="395"/>
      <c r="FJ69" s="395"/>
      <c r="FK69" s="395"/>
      <c r="FL69" s="395"/>
      <c r="FM69" s="395"/>
      <c r="FN69" s="395"/>
      <c r="FO69" s="395"/>
      <c r="FP69" s="395"/>
      <c r="FQ69" s="395"/>
      <c r="FR69" s="395"/>
      <c r="FS69" s="395"/>
      <c r="FT69" s="395"/>
      <c r="FU69" s="395"/>
      <c r="FV69" s="395"/>
      <c r="FW69" s="395"/>
      <c r="FX69" s="395"/>
      <c r="FY69" s="395"/>
      <c r="FZ69" s="395"/>
      <c r="GA69" s="395"/>
      <c r="GB69" s="395"/>
      <c r="GC69" s="395"/>
      <c r="GD69" s="395"/>
      <c r="GE69" s="395"/>
      <c r="GF69" s="395"/>
      <c r="GG69" s="395"/>
      <c r="GH69" s="395"/>
      <c r="GI69" s="395"/>
      <c r="GJ69" s="395"/>
      <c r="GK69" s="395"/>
      <c r="GL69" s="395"/>
      <c r="GM69" s="395"/>
      <c r="GN69" s="395"/>
      <c r="GO69" s="395"/>
      <c r="GP69" s="395"/>
      <c r="GQ69" s="395"/>
      <c r="GR69" s="395"/>
      <c r="GS69" s="395"/>
      <c r="GT69" s="395"/>
      <c r="GU69" s="395"/>
      <c r="GV69" s="395"/>
      <c r="GW69" s="395"/>
      <c r="GX69" s="395"/>
      <c r="GY69" s="395"/>
      <c r="GZ69" s="395"/>
      <c r="HA69" s="395"/>
      <c r="HB69" s="395"/>
      <c r="HC69" s="395"/>
      <c r="HD69" s="395"/>
      <c r="HE69" s="395"/>
      <c r="HF69" s="395"/>
      <c r="HG69" s="395"/>
      <c r="HH69" s="395"/>
      <c r="HI69" s="395"/>
      <c r="HJ69" s="395"/>
      <c r="HK69" s="395"/>
      <c r="HL69" s="395"/>
      <c r="HM69" s="395"/>
      <c r="HN69" s="395"/>
      <c r="HO69" s="395"/>
      <c r="HP69" s="395"/>
      <c r="HQ69" s="395"/>
      <c r="HR69" s="395"/>
      <c r="HS69" s="395"/>
      <c r="HT69" s="395"/>
      <c r="HU69" s="395"/>
      <c r="HV69" s="395"/>
      <c r="HW69" s="395"/>
      <c r="HX69" s="395"/>
      <c r="HY69" s="395"/>
      <c r="HZ69" s="395"/>
      <c r="IA69" s="395"/>
      <c r="IB69" s="395"/>
      <c r="IC69" s="395"/>
      <c r="ID69" s="395"/>
      <c r="IE69" s="395"/>
      <c r="IF69" s="395"/>
      <c r="IG69" s="395"/>
      <c r="IH69" s="395"/>
      <c r="II69" s="395"/>
      <c r="IJ69" s="395"/>
      <c r="IK69" s="395"/>
      <c r="IL69" s="395"/>
      <c r="IM69" s="395"/>
      <c r="IN69" s="395"/>
      <c r="IO69" s="395"/>
      <c r="IP69" s="395"/>
      <c r="IQ69" s="395"/>
      <c r="IR69" s="395"/>
    </row>
    <row r="70" spans="2:252" s="58" customFormat="1" ht="25.15" customHeight="1" x14ac:dyDescent="0.25">
      <c r="B70" s="181" t="s">
        <v>52</v>
      </c>
      <c r="E70" s="191">
        <v>40000</v>
      </c>
      <c r="V70" s="395"/>
      <c r="W70" s="395"/>
      <c r="X70" s="395"/>
      <c r="Y70" s="395"/>
      <c r="Z70" s="395"/>
      <c r="AA70" s="395"/>
      <c r="AB70" s="395"/>
      <c r="AC70" s="395"/>
      <c r="AD70" s="395"/>
      <c r="AE70" s="395"/>
      <c r="AF70" s="395"/>
      <c r="AG70" s="395"/>
      <c r="AH70" s="395"/>
      <c r="AI70" s="395"/>
      <c r="AJ70" s="395"/>
      <c r="AK70" s="395"/>
      <c r="AL70" s="395"/>
      <c r="AM70" s="395"/>
      <c r="AN70" s="395"/>
      <c r="AO70" s="395"/>
      <c r="AP70" s="395"/>
      <c r="AQ70" s="395"/>
      <c r="AR70" s="395"/>
      <c r="AS70" s="395"/>
      <c r="AT70" s="395"/>
      <c r="AU70" s="395"/>
      <c r="AV70" s="395"/>
      <c r="AW70" s="395"/>
      <c r="AX70" s="395"/>
      <c r="AY70" s="395"/>
      <c r="AZ70" s="395"/>
      <c r="BA70" s="395"/>
      <c r="BB70" s="395"/>
      <c r="BC70" s="395"/>
      <c r="BD70" s="395"/>
      <c r="BE70" s="395"/>
      <c r="BF70" s="395"/>
      <c r="BG70" s="395"/>
      <c r="BH70" s="395"/>
      <c r="BI70" s="395"/>
      <c r="BJ70" s="395"/>
      <c r="BK70" s="395"/>
      <c r="BL70" s="395"/>
      <c r="BM70" s="395"/>
      <c r="BN70" s="395"/>
      <c r="BO70" s="395"/>
      <c r="BP70" s="395"/>
      <c r="BQ70" s="395"/>
      <c r="BR70" s="395"/>
      <c r="BS70" s="395"/>
      <c r="BT70" s="395"/>
      <c r="BU70" s="395"/>
      <c r="BV70" s="395"/>
      <c r="BW70" s="395"/>
      <c r="BX70" s="395"/>
      <c r="BY70" s="395"/>
      <c r="BZ70" s="395"/>
      <c r="CA70" s="395"/>
      <c r="CB70" s="395"/>
      <c r="CC70" s="395"/>
      <c r="CD70" s="395"/>
      <c r="CE70" s="395"/>
      <c r="CF70" s="395"/>
      <c r="CG70" s="395"/>
      <c r="CH70" s="395"/>
      <c r="CI70" s="395"/>
      <c r="CJ70" s="395"/>
      <c r="CK70" s="395"/>
      <c r="CL70" s="395"/>
      <c r="CM70" s="395"/>
      <c r="CN70" s="395"/>
      <c r="CO70" s="395"/>
      <c r="CP70" s="395"/>
      <c r="CQ70" s="395"/>
      <c r="CR70" s="395"/>
      <c r="CS70" s="395"/>
      <c r="CT70" s="395"/>
      <c r="CU70" s="395"/>
      <c r="CV70" s="395"/>
      <c r="CW70" s="395"/>
      <c r="CX70" s="395"/>
      <c r="CY70" s="395"/>
      <c r="CZ70" s="395"/>
      <c r="DA70" s="395"/>
      <c r="DB70" s="395"/>
      <c r="DC70" s="395"/>
      <c r="DD70" s="395"/>
      <c r="DE70" s="395"/>
      <c r="DF70" s="395"/>
      <c r="DG70" s="395"/>
      <c r="DH70" s="395"/>
      <c r="DI70" s="395"/>
      <c r="DJ70" s="395"/>
      <c r="DK70" s="395"/>
      <c r="DL70" s="395"/>
      <c r="DM70" s="395"/>
      <c r="DN70" s="395"/>
      <c r="DO70" s="395"/>
      <c r="DP70" s="395"/>
      <c r="DQ70" s="395"/>
      <c r="DR70" s="395"/>
      <c r="DS70" s="395"/>
      <c r="DT70" s="395"/>
      <c r="DU70" s="395"/>
      <c r="DV70" s="395"/>
      <c r="DW70" s="395"/>
      <c r="DX70" s="395"/>
      <c r="DY70" s="395"/>
      <c r="DZ70" s="395"/>
      <c r="EA70" s="395"/>
      <c r="EB70" s="395"/>
      <c r="EC70" s="395"/>
      <c r="ED70" s="395"/>
      <c r="EE70" s="395"/>
      <c r="EF70" s="395"/>
      <c r="EG70" s="395"/>
      <c r="EH70" s="395"/>
      <c r="EI70" s="395"/>
      <c r="EJ70" s="395"/>
      <c r="EK70" s="395"/>
      <c r="EL70" s="395"/>
      <c r="EM70" s="395"/>
      <c r="EN70" s="395"/>
      <c r="EO70" s="395"/>
      <c r="EP70" s="395"/>
      <c r="EQ70" s="395"/>
      <c r="ER70" s="395"/>
      <c r="ES70" s="395"/>
      <c r="ET70" s="395"/>
      <c r="EU70" s="395"/>
      <c r="EV70" s="395"/>
      <c r="EW70" s="395"/>
      <c r="EX70" s="395"/>
      <c r="EY70" s="395"/>
      <c r="EZ70" s="395"/>
      <c r="FA70" s="395"/>
      <c r="FB70" s="395"/>
      <c r="FC70" s="395"/>
      <c r="FD70" s="395"/>
      <c r="FE70" s="395"/>
      <c r="FF70" s="395"/>
      <c r="FG70" s="395"/>
      <c r="FH70" s="395"/>
      <c r="FI70" s="395"/>
      <c r="FJ70" s="395"/>
      <c r="FK70" s="395"/>
      <c r="FL70" s="395"/>
      <c r="FM70" s="395"/>
      <c r="FN70" s="395"/>
      <c r="FO70" s="395"/>
      <c r="FP70" s="395"/>
      <c r="FQ70" s="395"/>
      <c r="FR70" s="395"/>
      <c r="FS70" s="395"/>
      <c r="FT70" s="395"/>
      <c r="FU70" s="395"/>
      <c r="FV70" s="395"/>
      <c r="FW70" s="395"/>
      <c r="FX70" s="395"/>
      <c r="FY70" s="395"/>
      <c r="FZ70" s="395"/>
      <c r="GA70" s="395"/>
      <c r="GB70" s="395"/>
      <c r="GC70" s="395"/>
      <c r="GD70" s="395"/>
      <c r="GE70" s="395"/>
      <c r="GF70" s="395"/>
      <c r="GG70" s="395"/>
      <c r="GH70" s="395"/>
      <c r="GI70" s="395"/>
      <c r="GJ70" s="395"/>
      <c r="GK70" s="395"/>
      <c r="GL70" s="395"/>
      <c r="GM70" s="395"/>
      <c r="GN70" s="395"/>
      <c r="GO70" s="395"/>
      <c r="GP70" s="395"/>
      <c r="GQ70" s="395"/>
      <c r="GR70" s="395"/>
      <c r="GS70" s="395"/>
      <c r="GT70" s="395"/>
      <c r="GU70" s="395"/>
      <c r="GV70" s="395"/>
      <c r="GW70" s="395"/>
      <c r="GX70" s="395"/>
      <c r="GY70" s="395"/>
      <c r="GZ70" s="395"/>
      <c r="HA70" s="395"/>
      <c r="HB70" s="395"/>
      <c r="HC70" s="395"/>
      <c r="HD70" s="395"/>
      <c r="HE70" s="395"/>
      <c r="HF70" s="395"/>
      <c r="HG70" s="395"/>
      <c r="HH70" s="395"/>
      <c r="HI70" s="395"/>
      <c r="HJ70" s="395"/>
      <c r="HK70" s="395"/>
      <c r="HL70" s="395"/>
      <c r="HM70" s="395"/>
      <c r="HN70" s="395"/>
      <c r="HO70" s="395"/>
      <c r="HP70" s="395"/>
      <c r="HQ70" s="395"/>
      <c r="HR70" s="395"/>
      <c r="HS70" s="395"/>
      <c r="HT70" s="395"/>
      <c r="HU70" s="395"/>
      <c r="HV70" s="395"/>
      <c r="HW70" s="395"/>
      <c r="HX70" s="395"/>
      <c r="HY70" s="395"/>
      <c r="HZ70" s="395"/>
      <c r="IA70" s="395"/>
      <c r="IB70" s="395"/>
      <c r="IC70" s="395"/>
      <c r="ID70" s="395"/>
      <c r="IE70" s="395"/>
      <c r="IF70" s="395"/>
      <c r="IG70" s="395"/>
      <c r="IH70" s="395"/>
      <c r="II70" s="395"/>
      <c r="IJ70" s="395"/>
      <c r="IK70" s="395"/>
      <c r="IL70" s="395"/>
      <c r="IM70" s="395"/>
      <c r="IN70" s="395"/>
      <c r="IO70" s="395"/>
      <c r="IP70" s="395"/>
      <c r="IQ70" s="395"/>
      <c r="IR70" s="395"/>
    </row>
    <row r="71" spans="2:252" s="58" customFormat="1" ht="25.15" customHeight="1" x14ac:dyDescent="0.25">
      <c r="B71" s="181"/>
      <c r="E71" s="190"/>
      <c r="V71" s="395"/>
      <c r="W71" s="395"/>
      <c r="X71" s="395"/>
      <c r="Y71" s="395"/>
      <c r="Z71" s="395"/>
      <c r="AA71" s="395"/>
      <c r="AB71" s="395"/>
      <c r="AC71" s="395"/>
      <c r="AD71" s="395"/>
      <c r="AE71" s="395"/>
      <c r="AF71" s="395"/>
      <c r="AG71" s="395"/>
      <c r="AH71" s="395"/>
      <c r="AI71" s="395"/>
      <c r="AJ71" s="395"/>
      <c r="AK71" s="395"/>
      <c r="AL71" s="395"/>
      <c r="AM71" s="395"/>
      <c r="AN71" s="395"/>
      <c r="AO71" s="395"/>
      <c r="AP71" s="395"/>
      <c r="AQ71" s="395"/>
      <c r="AR71" s="395"/>
      <c r="AS71" s="395"/>
      <c r="AT71" s="395"/>
      <c r="AU71" s="395"/>
      <c r="AV71" s="395"/>
      <c r="AW71" s="395"/>
      <c r="AX71" s="395"/>
      <c r="AY71" s="395"/>
      <c r="AZ71" s="395"/>
      <c r="BA71" s="395"/>
      <c r="BB71" s="395"/>
      <c r="BC71" s="395"/>
      <c r="BD71" s="395"/>
      <c r="BE71" s="395"/>
      <c r="BF71" s="395"/>
      <c r="BG71" s="395"/>
      <c r="BH71" s="395"/>
      <c r="BI71" s="395"/>
      <c r="BJ71" s="395"/>
      <c r="BK71" s="395"/>
      <c r="BL71" s="395"/>
      <c r="BM71" s="395"/>
      <c r="BN71" s="395"/>
      <c r="BO71" s="395"/>
      <c r="BP71" s="395"/>
      <c r="BQ71" s="395"/>
      <c r="BR71" s="395"/>
      <c r="BS71" s="395"/>
      <c r="BT71" s="395"/>
      <c r="BU71" s="395"/>
      <c r="BV71" s="395"/>
      <c r="BW71" s="395"/>
      <c r="BX71" s="395"/>
      <c r="BY71" s="395"/>
      <c r="BZ71" s="395"/>
      <c r="CA71" s="395"/>
      <c r="CB71" s="395"/>
      <c r="CC71" s="395"/>
      <c r="CD71" s="395"/>
      <c r="CE71" s="395"/>
      <c r="CF71" s="395"/>
      <c r="CG71" s="395"/>
      <c r="CH71" s="395"/>
      <c r="CI71" s="395"/>
      <c r="CJ71" s="395"/>
      <c r="CK71" s="395"/>
      <c r="CL71" s="395"/>
      <c r="CM71" s="395"/>
      <c r="CN71" s="395"/>
      <c r="CO71" s="395"/>
      <c r="CP71" s="395"/>
      <c r="CQ71" s="395"/>
      <c r="CR71" s="395"/>
      <c r="CS71" s="395"/>
      <c r="CT71" s="395"/>
      <c r="CU71" s="395"/>
      <c r="CV71" s="395"/>
      <c r="CW71" s="395"/>
      <c r="CX71" s="395"/>
      <c r="CY71" s="395"/>
      <c r="CZ71" s="395"/>
      <c r="DA71" s="395"/>
      <c r="DB71" s="395"/>
      <c r="DC71" s="395"/>
      <c r="DD71" s="395"/>
      <c r="DE71" s="395"/>
      <c r="DF71" s="395"/>
      <c r="DG71" s="395"/>
      <c r="DH71" s="395"/>
      <c r="DI71" s="395"/>
      <c r="DJ71" s="395"/>
      <c r="DK71" s="395"/>
      <c r="DL71" s="395"/>
      <c r="DM71" s="395"/>
      <c r="DN71" s="395"/>
      <c r="DO71" s="395"/>
      <c r="DP71" s="395"/>
      <c r="DQ71" s="395"/>
      <c r="DR71" s="395"/>
      <c r="DS71" s="395"/>
      <c r="DT71" s="395"/>
      <c r="DU71" s="395"/>
      <c r="DV71" s="395"/>
      <c r="DW71" s="395"/>
      <c r="DX71" s="395"/>
      <c r="DY71" s="395"/>
      <c r="DZ71" s="395"/>
      <c r="EA71" s="395"/>
      <c r="EB71" s="395"/>
      <c r="EC71" s="395"/>
      <c r="ED71" s="395"/>
      <c r="EE71" s="395"/>
      <c r="EF71" s="395"/>
      <c r="EG71" s="395"/>
      <c r="EH71" s="395"/>
      <c r="EI71" s="395"/>
      <c r="EJ71" s="395"/>
      <c r="EK71" s="395"/>
      <c r="EL71" s="395"/>
      <c r="EM71" s="395"/>
      <c r="EN71" s="395"/>
      <c r="EO71" s="395"/>
      <c r="EP71" s="395"/>
      <c r="EQ71" s="395"/>
      <c r="ER71" s="395"/>
      <c r="ES71" s="395"/>
      <c r="ET71" s="395"/>
      <c r="EU71" s="395"/>
      <c r="EV71" s="395"/>
      <c r="EW71" s="395"/>
      <c r="EX71" s="395"/>
      <c r="EY71" s="395"/>
      <c r="EZ71" s="395"/>
      <c r="FA71" s="395"/>
      <c r="FB71" s="395"/>
      <c r="FC71" s="395"/>
      <c r="FD71" s="395"/>
      <c r="FE71" s="395"/>
      <c r="FF71" s="395"/>
      <c r="FG71" s="395"/>
      <c r="FH71" s="395"/>
      <c r="FI71" s="395"/>
      <c r="FJ71" s="395"/>
      <c r="FK71" s="395"/>
      <c r="FL71" s="395"/>
      <c r="FM71" s="395"/>
      <c r="FN71" s="395"/>
      <c r="FO71" s="395"/>
      <c r="FP71" s="395"/>
      <c r="FQ71" s="395"/>
      <c r="FR71" s="395"/>
      <c r="FS71" s="395"/>
      <c r="FT71" s="395"/>
      <c r="FU71" s="395"/>
      <c r="FV71" s="395"/>
      <c r="FW71" s="395"/>
      <c r="FX71" s="395"/>
      <c r="FY71" s="395"/>
      <c r="FZ71" s="395"/>
      <c r="GA71" s="395"/>
      <c r="GB71" s="395"/>
      <c r="GC71" s="395"/>
      <c r="GD71" s="395"/>
      <c r="GE71" s="395"/>
      <c r="GF71" s="395"/>
      <c r="GG71" s="395"/>
      <c r="GH71" s="395"/>
      <c r="GI71" s="395"/>
      <c r="GJ71" s="395"/>
      <c r="GK71" s="395"/>
      <c r="GL71" s="395"/>
      <c r="GM71" s="395"/>
      <c r="GN71" s="395"/>
      <c r="GO71" s="395"/>
      <c r="GP71" s="395"/>
      <c r="GQ71" s="395"/>
      <c r="GR71" s="395"/>
      <c r="GS71" s="395"/>
      <c r="GT71" s="395"/>
      <c r="GU71" s="395"/>
      <c r="GV71" s="395"/>
      <c r="GW71" s="395"/>
      <c r="GX71" s="395"/>
      <c r="GY71" s="395"/>
      <c r="GZ71" s="395"/>
      <c r="HA71" s="395"/>
      <c r="HB71" s="395"/>
      <c r="HC71" s="395"/>
      <c r="HD71" s="395"/>
      <c r="HE71" s="395"/>
      <c r="HF71" s="395"/>
      <c r="HG71" s="395"/>
      <c r="HH71" s="395"/>
      <c r="HI71" s="395"/>
      <c r="HJ71" s="395"/>
      <c r="HK71" s="395"/>
      <c r="HL71" s="395"/>
      <c r="HM71" s="395"/>
      <c r="HN71" s="395"/>
      <c r="HO71" s="395"/>
      <c r="HP71" s="395"/>
      <c r="HQ71" s="395"/>
      <c r="HR71" s="395"/>
      <c r="HS71" s="395"/>
      <c r="HT71" s="395"/>
      <c r="HU71" s="395"/>
      <c r="HV71" s="395"/>
      <c r="HW71" s="395"/>
      <c r="HX71" s="395"/>
      <c r="HY71" s="395"/>
      <c r="HZ71" s="395"/>
      <c r="IA71" s="395"/>
      <c r="IB71" s="395"/>
      <c r="IC71" s="395"/>
      <c r="ID71" s="395"/>
      <c r="IE71" s="395"/>
      <c r="IF71" s="395"/>
      <c r="IG71" s="395"/>
      <c r="IH71" s="395"/>
      <c r="II71" s="395"/>
      <c r="IJ71" s="395"/>
      <c r="IK71" s="395"/>
      <c r="IL71" s="395"/>
      <c r="IM71" s="395"/>
      <c r="IN71" s="395"/>
      <c r="IO71" s="395"/>
      <c r="IP71" s="395"/>
      <c r="IQ71" s="395"/>
      <c r="IR71" s="395"/>
    </row>
    <row r="72" spans="2:252" ht="25.5" x14ac:dyDescent="0.5">
      <c r="B72" s="70" t="s">
        <v>53</v>
      </c>
      <c r="C72" s="55"/>
      <c r="D72" s="55"/>
      <c r="E72" s="55"/>
      <c r="F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</row>
    <row r="73" spans="2:252" ht="4.5" customHeight="1" x14ac:dyDescent="0.3">
      <c r="B73" s="55"/>
      <c r="C73" s="55"/>
      <c r="D73" s="55"/>
      <c r="E73" s="55"/>
      <c r="F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</row>
    <row r="74" spans="2:252" s="58" customFormat="1" ht="25.15" customHeight="1" x14ac:dyDescent="0.25">
      <c r="B74" s="181" t="s">
        <v>54</v>
      </c>
      <c r="C74" s="191"/>
      <c r="D74" s="191"/>
      <c r="E74" s="2">
        <v>2010</v>
      </c>
      <c r="F74" s="2">
        <v>2011</v>
      </c>
      <c r="G74" s="2">
        <v>2012</v>
      </c>
      <c r="H74" s="2">
        <v>2013</v>
      </c>
      <c r="I74" s="2">
        <v>2014</v>
      </c>
      <c r="J74" s="2">
        <v>2015</v>
      </c>
      <c r="K74" s="2">
        <v>2016</v>
      </c>
      <c r="L74" s="2">
        <v>2017</v>
      </c>
      <c r="M74" s="2"/>
      <c r="N74" s="2">
        <v>2018</v>
      </c>
      <c r="V74" s="395"/>
      <c r="W74" s="395"/>
      <c r="X74" s="395"/>
      <c r="Y74" s="395"/>
      <c r="Z74" s="395"/>
      <c r="AA74" s="395"/>
      <c r="AB74" s="395"/>
      <c r="AC74" s="395"/>
      <c r="AD74" s="395"/>
      <c r="AE74" s="395"/>
      <c r="AF74" s="395"/>
      <c r="AG74" s="395"/>
      <c r="AH74" s="395"/>
      <c r="AI74" s="395"/>
      <c r="AJ74" s="395"/>
      <c r="AK74" s="395"/>
      <c r="AL74" s="395"/>
      <c r="AM74" s="395"/>
      <c r="AN74" s="395"/>
      <c r="AO74" s="395"/>
      <c r="AP74" s="395"/>
      <c r="AQ74" s="395"/>
      <c r="AR74" s="395"/>
      <c r="AS74" s="395"/>
      <c r="AT74" s="395"/>
      <c r="AU74" s="395"/>
      <c r="AV74" s="395"/>
      <c r="AW74" s="395"/>
      <c r="AX74" s="395"/>
      <c r="AY74" s="395"/>
      <c r="AZ74" s="395"/>
      <c r="BA74" s="395"/>
      <c r="BB74" s="395"/>
      <c r="BC74" s="395"/>
      <c r="BD74" s="395"/>
      <c r="BE74" s="395"/>
      <c r="BF74" s="395"/>
      <c r="BG74" s="395"/>
      <c r="BH74" s="395"/>
      <c r="BI74" s="395"/>
      <c r="BJ74" s="395"/>
      <c r="BK74" s="395"/>
      <c r="BL74" s="395"/>
      <c r="BM74" s="395"/>
      <c r="BN74" s="395"/>
      <c r="BO74" s="395"/>
      <c r="BP74" s="395"/>
      <c r="BQ74" s="395"/>
      <c r="BR74" s="395"/>
      <c r="BS74" s="395"/>
      <c r="BT74" s="395"/>
      <c r="BU74" s="395"/>
      <c r="BV74" s="395"/>
      <c r="BW74" s="395"/>
      <c r="BX74" s="395"/>
      <c r="BY74" s="395"/>
      <c r="BZ74" s="395"/>
      <c r="CA74" s="395"/>
      <c r="CB74" s="395"/>
      <c r="CC74" s="395"/>
      <c r="CD74" s="395"/>
      <c r="CE74" s="395"/>
      <c r="CF74" s="395"/>
      <c r="CG74" s="395"/>
      <c r="CH74" s="395"/>
      <c r="CI74" s="395"/>
      <c r="CJ74" s="395"/>
      <c r="CK74" s="395"/>
      <c r="CL74" s="395"/>
      <c r="CM74" s="395"/>
      <c r="CN74" s="395"/>
      <c r="CO74" s="395"/>
      <c r="CP74" s="395"/>
      <c r="CQ74" s="395"/>
      <c r="CR74" s="395"/>
      <c r="CS74" s="395"/>
      <c r="CT74" s="395"/>
      <c r="CU74" s="395"/>
      <c r="CV74" s="395"/>
      <c r="CW74" s="395"/>
      <c r="CX74" s="395"/>
      <c r="CY74" s="395"/>
      <c r="CZ74" s="395"/>
      <c r="DA74" s="395"/>
      <c r="DB74" s="395"/>
      <c r="DC74" s="395"/>
      <c r="DD74" s="395"/>
      <c r="DE74" s="395"/>
      <c r="DF74" s="395"/>
      <c r="DG74" s="395"/>
      <c r="DH74" s="395"/>
      <c r="DI74" s="395"/>
      <c r="DJ74" s="395"/>
      <c r="DK74" s="395"/>
      <c r="DL74" s="395"/>
      <c r="DM74" s="395"/>
      <c r="DN74" s="395"/>
      <c r="DO74" s="395"/>
      <c r="DP74" s="395"/>
      <c r="DQ74" s="395"/>
      <c r="DR74" s="395"/>
      <c r="DS74" s="395"/>
      <c r="DT74" s="395"/>
      <c r="DU74" s="395"/>
      <c r="DV74" s="395"/>
      <c r="DW74" s="395"/>
      <c r="DX74" s="395"/>
      <c r="DY74" s="395"/>
      <c r="DZ74" s="395"/>
      <c r="EA74" s="395"/>
      <c r="EB74" s="395"/>
      <c r="EC74" s="395"/>
      <c r="ED74" s="395"/>
      <c r="EE74" s="395"/>
      <c r="EF74" s="395"/>
      <c r="EG74" s="395"/>
      <c r="EH74" s="395"/>
      <c r="EI74" s="395"/>
      <c r="EJ74" s="395"/>
      <c r="EK74" s="395"/>
      <c r="EL74" s="395"/>
      <c r="EM74" s="395"/>
      <c r="EN74" s="395"/>
      <c r="EO74" s="395"/>
      <c r="EP74" s="395"/>
      <c r="EQ74" s="395"/>
      <c r="ER74" s="395"/>
      <c r="ES74" s="395"/>
      <c r="ET74" s="395"/>
      <c r="EU74" s="395"/>
      <c r="EV74" s="395"/>
      <c r="EW74" s="395"/>
      <c r="EX74" s="395"/>
      <c r="EY74" s="395"/>
      <c r="EZ74" s="395"/>
      <c r="FA74" s="395"/>
      <c r="FB74" s="395"/>
      <c r="FC74" s="395"/>
      <c r="FD74" s="395"/>
      <c r="FE74" s="395"/>
      <c r="FF74" s="395"/>
      <c r="FG74" s="395"/>
      <c r="FH74" s="395"/>
      <c r="FI74" s="395"/>
      <c r="FJ74" s="395"/>
      <c r="FK74" s="395"/>
      <c r="FL74" s="395"/>
      <c r="FM74" s="395"/>
      <c r="FN74" s="395"/>
      <c r="FO74" s="395"/>
      <c r="FP74" s="395"/>
      <c r="FQ74" s="395"/>
      <c r="FR74" s="395"/>
      <c r="FS74" s="395"/>
      <c r="FT74" s="395"/>
      <c r="FU74" s="395"/>
      <c r="FV74" s="395"/>
      <c r="FW74" s="395"/>
      <c r="FX74" s="395"/>
      <c r="FY74" s="395"/>
      <c r="FZ74" s="395"/>
      <c r="GA74" s="395"/>
      <c r="GB74" s="395"/>
      <c r="GC74" s="395"/>
      <c r="GD74" s="395"/>
      <c r="GE74" s="395"/>
      <c r="GF74" s="395"/>
      <c r="GG74" s="395"/>
      <c r="GH74" s="395"/>
      <c r="GI74" s="395"/>
      <c r="GJ74" s="395"/>
      <c r="GK74" s="395"/>
      <c r="GL74" s="395"/>
      <c r="GM74" s="395"/>
      <c r="GN74" s="395"/>
      <c r="GO74" s="395"/>
      <c r="GP74" s="395"/>
      <c r="GQ74" s="395"/>
      <c r="GR74" s="395"/>
      <c r="GS74" s="395"/>
      <c r="GT74" s="395"/>
      <c r="GU74" s="395"/>
      <c r="GV74" s="395"/>
      <c r="GW74" s="395"/>
      <c r="GX74" s="395"/>
      <c r="GY74" s="395"/>
      <c r="GZ74" s="395"/>
      <c r="HA74" s="395"/>
      <c r="HB74" s="395"/>
      <c r="HC74" s="395"/>
      <c r="HD74" s="395"/>
      <c r="HE74" s="395"/>
      <c r="HF74" s="395"/>
      <c r="HG74" s="395"/>
      <c r="HH74" s="395"/>
      <c r="HI74" s="395"/>
      <c r="HJ74" s="395"/>
      <c r="HK74" s="395"/>
      <c r="HL74" s="395"/>
      <c r="HM74" s="395"/>
      <c r="HN74" s="395"/>
      <c r="HO74" s="395"/>
      <c r="HP74" s="395"/>
      <c r="HQ74" s="395"/>
      <c r="HR74" s="395"/>
      <c r="HS74" s="395"/>
      <c r="HT74" s="395"/>
      <c r="HU74" s="395"/>
      <c r="HV74" s="395"/>
      <c r="HW74" s="395"/>
      <c r="HX74" s="395"/>
      <c r="HY74" s="395"/>
      <c r="HZ74" s="395"/>
      <c r="IA74" s="395"/>
      <c r="IB74" s="395"/>
      <c r="IC74" s="395"/>
      <c r="ID74" s="395"/>
      <c r="IE74" s="395"/>
      <c r="IF74" s="395"/>
      <c r="IG74" s="395"/>
      <c r="IH74" s="395"/>
      <c r="II74" s="395"/>
      <c r="IJ74" s="395"/>
      <c r="IK74" s="395"/>
      <c r="IL74" s="395"/>
      <c r="IM74" s="395"/>
      <c r="IN74" s="395"/>
      <c r="IO74" s="395"/>
      <c r="IP74" s="395"/>
      <c r="IQ74" s="395"/>
      <c r="IR74" s="395"/>
    </row>
    <row r="75" spans="2:252" s="58" customFormat="1" ht="25.15" customHeight="1" x14ac:dyDescent="0.25">
      <c r="B75" s="181" t="s">
        <v>55</v>
      </c>
      <c r="C75" s="191"/>
      <c r="D75" s="191"/>
      <c r="E75" s="192">
        <v>129183.58</v>
      </c>
      <c r="F75" s="192">
        <v>143873.35999999999</v>
      </c>
      <c r="G75" s="192">
        <v>155431.35999999999</v>
      </c>
      <c r="H75" s="192">
        <v>150583.43</v>
      </c>
      <c r="I75" s="192">
        <v>173113.76</v>
      </c>
      <c r="J75" s="192">
        <v>175365.8</v>
      </c>
      <c r="K75" s="192">
        <v>177527</v>
      </c>
      <c r="L75" s="192">
        <v>188389</v>
      </c>
      <c r="M75" s="192"/>
      <c r="N75" s="192">
        <v>204916</v>
      </c>
      <c r="V75" s="395"/>
      <c r="W75" s="395"/>
      <c r="X75" s="395"/>
      <c r="Y75" s="395"/>
      <c r="Z75" s="395"/>
      <c r="AA75" s="395"/>
      <c r="AB75" s="395"/>
      <c r="AC75" s="395"/>
      <c r="AD75" s="395"/>
      <c r="AE75" s="395"/>
      <c r="AF75" s="395"/>
      <c r="AG75" s="395"/>
      <c r="AH75" s="395"/>
      <c r="AI75" s="395"/>
      <c r="AJ75" s="395"/>
      <c r="AK75" s="395"/>
      <c r="AL75" s="395"/>
      <c r="AM75" s="395"/>
      <c r="AN75" s="395"/>
      <c r="AO75" s="395"/>
      <c r="AP75" s="395"/>
      <c r="AQ75" s="395"/>
      <c r="AR75" s="395"/>
      <c r="AS75" s="395"/>
      <c r="AT75" s="395"/>
      <c r="AU75" s="395"/>
      <c r="AV75" s="395"/>
      <c r="AW75" s="395"/>
      <c r="AX75" s="395"/>
      <c r="AY75" s="395"/>
      <c r="AZ75" s="395"/>
      <c r="BA75" s="395"/>
      <c r="BB75" s="395"/>
      <c r="BC75" s="395"/>
      <c r="BD75" s="395"/>
      <c r="BE75" s="395"/>
      <c r="BF75" s="395"/>
      <c r="BG75" s="395"/>
      <c r="BH75" s="395"/>
      <c r="BI75" s="395"/>
      <c r="BJ75" s="395"/>
      <c r="BK75" s="395"/>
      <c r="BL75" s="395"/>
      <c r="BM75" s="395"/>
      <c r="BN75" s="395"/>
      <c r="BO75" s="395"/>
      <c r="BP75" s="395"/>
      <c r="BQ75" s="395"/>
      <c r="BR75" s="395"/>
      <c r="BS75" s="395"/>
      <c r="BT75" s="395"/>
      <c r="BU75" s="395"/>
      <c r="BV75" s="395"/>
      <c r="BW75" s="395"/>
      <c r="BX75" s="395"/>
      <c r="BY75" s="395"/>
      <c r="BZ75" s="395"/>
      <c r="CA75" s="395"/>
      <c r="CB75" s="395"/>
      <c r="CC75" s="395"/>
      <c r="CD75" s="395"/>
      <c r="CE75" s="395"/>
      <c r="CF75" s="395"/>
      <c r="CG75" s="395"/>
      <c r="CH75" s="395"/>
      <c r="CI75" s="395"/>
      <c r="CJ75" s="395"/>
      <c r="CK75" s="395"/>
      <c r="CL75" s="395"/>
      <c r="CM75" s="395"/>
      <c r="CN75" s="395"/>
      <c r="CO75" s="395"/>
      <c r="CP75" s="395"/>
      <c r="CQ75" s="395"/>
      <c r="CR75" s="395"/>
      <c r="CS75" s="395"/>
      <c r="CT75" s="395"/>
      <c r="CU75" s="395"/>
      <c r="CV75" s="395"/>
      <c r="CW75" s="395"/>
      <c r="CX75" s="395"/>
      <c r="CY75" s="395"/>
      <c r="CZ75" s="395"/>
      <c r="DA75" s="395"/>
      <c r="DB75" s="395"/>
      <c r="DC75" s="395"/>
      <c r="DD75" s="395"/>
      <c r="DE75" s="395"/>
      <c r="DF75" s="395"/>
      <c r="DG75" s="395"/>
      <c r="DH75" s="395"/>
      <c r="DI75" s="395"/>
      <c r="DJ75" s="395"/>
      <c r="DK75" s="395"/>
      <c r="DL75" s="395"/>
      <c r="DM75" s="395"/>
      <c r="DN75" s="395"/>
      <c r="DO75" s="395"/>
      <c r="DP75" s="395"/>
      <c r="DQ75" s="395"/>
      <c r="DR75" s="395"/>
      <c r="DS75" s="395"/>
      <c r="DT75" s="395"/>
      <c r="DU75" s="395"/>
      <c r="DV75" s="395"/>
      <c r="DW75" s="395"/>
      <c r="DX75" s="395"/>
      <c r="DY75" s="395"/>
      <c r="DZ75" s="395"/>
      <c r="EA75" s="395"/>
      <c r="EB75" s="395"/>
      <c r="EC75" s="395"/>
      <c r="ED75" s="395"/>
      <c r="EE75" s="395"/>
      <c r="EF75" s="395"/>
      <c r="EG75" s="395"/>
      <c r="EH75" s="395"/>
      <c r="EI75" s="395"/>
      <c r="EJ75" s="395"/>
      <c r="EK75" s="395"/>
      <c r="EL75" s="395"/>
      <c r="EM75" s="395"/>
      <c r="EN75" s="395"/>
      <c r="EO75" s="395"/>
      <c r="EP75" s="395"/>
      <c r="EQ75" s="395"/>
      <c r="ER75" s="395"/>
      <c r="ES75" s="395"/>
      <c r="ET75" s="395"/>
      <c r="EU75" s="395"/>
      <c r="EV75" s="395"/>
      <c r="EW75" s="395"/>
      <c r="EX75" s="395"/>
      <c r="EY75" s="395"/>
      <c r="EZ75" s="395"/>
      <c r="FA75" s="395"/>
      <c r="FB75" s="395"/>
      <c r="FC75" s="395"/>
      <c r="FD75" s="395"/>
      <c r="FE75" s="395"/>
      <c r="FF75" s="395"/>
      <c r="FG75" s="395"/>
      <c r="FH75" s="395"/>
      <c r="FI75" s="395"/>
      <c r="FJ75" s="395"/>
      <c r="FK75" s="395"/>
      <c r="FL75" s="395"/>
      <c r="FM75" s="395"/>
      <c r="FN75" s="395"/>
      <c r="FO75" s="395"/>
      <c r="FP75" s="395"/>
      <c r="FQ75" s="395"/>
      <c r="FR75" s="395"/>
      <c r="FS75" s="395"/>
      <c r="FT75" s="395"/>
      <c r="FU75" s="395"/>
      <c r="FV75" s="395"/>
      <c r="FW75" s="395"/>
      <c r="FX75" s="395"/>
      <c r="FY75" s="395"/>
      <c r="FZ75" s="395"/>
      <c r="GA75" s="395"/>
      <c r="GB75" s="395"/>
      <c r="GC75" s="395"/>
      <c r="GD75" s="395"/>
      <c r="GE75" s="395"/>
      <c r="GF75" s="395"/>
      <c r="GG75" s="395"/>
      <c r="GH75" s="395"/>
      <c r="GI75" s="395"/>
      <c r="GJ75" s="395"/>
      <c r="GK75" s="395"/>
      <c r="GL75" s="395"/>
      <c r="GM75" s="395"/>
      <c r="GN75" s="395"/>
      <c r="GO75" s="395"/>
      <c r="GP75" s="395"/>
      <c r="GQ75" s="395"/>
      <c r="GR75" s="395"/>
      <c r="GS75" s="395"/>
      <c r="GT75" s="395"/>
      <c r="GU75" s="395"/>
      <c r="GV75" s="395"/>
      <c r="GW75" s="395"/>
      <c r="GX75" s="395"/>
      <c r="GY75" s="395"/>
      <c r="GZ75" s="395"/>
      <c r="HA75" s="395"/>
      <c r="HB75" s="395"/>
      <c r="HC75" s="395"/>
      <c r="HD75" s="395"/>
      <c r="HE75" s="395"/>
      <c r="HF75" s="395"/>
      <c r="HG75" s="395"/>
      <c r="HH75" s="395"/>
      <c r="HI75" s="395"/>
      <c r="HJ75" s="395"/>
      <c r="HK75" s="395"/>
      <c r="HL75" s="395"/>
      <c r="HM75" s="395"/>
      <c r="HN75" s="395"/>
      <c r="HO75" s="395"/>
      <c r="HP75" s="395"/>
      <c r="HQ75" s="395"/>
      <c r="HR75" s="395"/>
      <c r="HS75" s="395"/>
      <c r="HT75" s="395"/>
      <c r="HU75" s="395"/>
      <c r="HV75" s="395"/>
      <c r="HW75" s="395"/>
      <c r="HX75" s="395"/>
      <c r="HY75" s="395"/>
      <c r="HZ75" s="395"/>
      <c r="IA75" s="395"/>
      <c r="IB75" s="395"/>
      <c r="IC75" s="395"/>
      <c r="ID75" s="395"/>
      <c r="IE75" s="395"/>
      <c r="IF75" s="395"/>
      <c r="IG75" s="395"/>
      <c r="IH75" s="395"/>
      <c r="II75" s="395"/>
      <c r="IJ75" s="395"/>
      <c r="IK75" s="395"/>
      <c r="IL75" s="395"/>
      <c r="IM75" s="395"/>
      <c r="IN75" s="395"/>
      <c r="IO75" s="395"/>
      <c r="IP75" s="395"/>
      <c r="IQ75" s="395"/>
      <c r="IR75" s="395"/>
    </row>
    <row r="76" spans="2:252" s="58" customFormat="1" ht="25.15" customHeight="1" x14ac:dyDescent="0.25">
      <c r="B76" s="181" t="s">
        <v>56</v>
      </c>
      <c r="C76" s="191"/>
      <c r="D76" s="191"/>
      <c r="E76" s="193">
        <v>19715.93</v>
      </c>
      <c r="F76" s="193">
        <v>15746.87</v>
      </c>
      <c r="G76" s="193">
        <v>16460.29</v>
      </c>
      <c r="H76" s="193">
        <v>53320.36</v>
      </c>
      <c r="I76" s="193">
        <v>14247.48</v>
      </c>
      <c r="J76" s="193">
        <v>13862.9</v>
      </c>
      <c r="K76" s="193">
        <f>4530+3070+8130</f>
        <v>15730</v>
      </c>
      <c r="L76" s="267">
        <v>37890.959999999999</v>
      </c>
      <c r="M76" s="267"/>
      <c r="N76" s="193">
        <v>38079.660000000003</v>
      </c>
      <c r="V76" s="395"/>
      <c r="W76" s="395"/>
      <c r="X76" s="395"/>
      <c r="Y76" s="395"/>
      <c r="Z76" s="395"/>
      <c r="AA76" s="395"/>
      <c r="AB76" s="395"/>
      <c r="AC76" s="395"/>
      <c r="AD76" s="395"/>
      <c r="AE76" s="395"/>
      <c r="AF76" s="395"/>
      <c r="AG76" s="395"/>
      <c r="AH76" s="395"/>
      <c r="AI76" s="395"/>
      <c r="AJ76" s="395"/>
      <c r="AK76" s="395"/>
      <c r="AL76" s="395"/>
      <c r="AM76" s="395"/>
      <c r="AN76" s="395"/>
      <c r="AO76" s="395"/>
      <c r="AP76" s="395"/>
      <c r="AQ76" s="395"/>
      <c r="AR76" s="395"/>
      <c r="AS76" s="395"/>
      <c r="AT76" s="395"/>
      <c r="AU76" s="395"/>
      <c r="AV76" s="395"/>
      <c r="AW76" s="395"/>
      <c r="AX76" s="395"/>
      <c r="AY76" s="395"/>
      <c r="AZ76" s="395"/>
      <c r="BA76" s="395"/>
      <c r="BB76" s="395"/>
      <c r="BC76" s="395"/>
      <c r="BD76" s="395"/>
      <c r="BE76" s="395"/>
      <c r="BF76" s="395"/>
      <c r="BG76" s="395"/>
      <c r="BH76" s="395"/>
      <c r="BI76" s="395"/>
      <c r="BJ76" s="395"/>
      <c r="BK76" s="395"/>
      <c r="BL76" s="395"/>
      <c r="BM76" s="395"/>
      <c r="BN76" s="395"/>
      <c r="BO76" s="395"/>
      <c r="BP76" s="395"/>
      <c r="BQ76" s="395"/>
      <c r="BR76" s="395"/>
      <c r="BS76" s="395"/>
      <c r="BT76" s="395"/>
      <c r="BU76" s="395"/>
      <c r="BV76" s="395"/>
      <c r="BW76" s="395"/>
      <c r="BX76" s="395"/>
      <c r="BY76" s="395"/>
      <c r="BZ76" s="395"/>
      <c r="CA76" s="395"/>
      <c r="CB76" s="395"/>
      <c r="CC76" s="395"/>
      <c r="CD76" s="395"/>
      <c r="CE76" s="395"/>
      <c r="CF76" s="395"/>
      <c r="CG76" s="395"/>
      <c r="CH76" s="395"/>
      <c r="CI76" s="395"/>
      <c r="CJ76" s="395"/>
      <c r="CK76" s="395"/>
      <c r="CL76" s="395"/>
      <c r="CM76" s="395"/>
      <c r="CN76" s="395"/>
      <c r="CO76" s="395"/>
      <c r="CP76" s="395"/>
      <c r="CQ76" s="395"/>
      <c r="CR76" s="395"/>
      <c r="CS76" s="395"/>
      <c r="CT76" s="395"/>
      <c r="CU76" s="395"/>
      <c r="CV76" s="395"/>
      <c r="CW76" s="395"/>
      <c r="CX76" s="395"/>
      <c r="CY76" s="395"/>
      <c r="CZ76" s="395"/>
      <c r="DA76" s="395"/>
      <c r="DB76" s="395"/>
      <c r="DC76" s="395"/>
      <c r="DD76" s="395"/>
      <c r="DE76" s="395"/>
      <c r="DF76" s="395"/>
      <c r="DG76" s="395"/>
      <c r="DH76" s="395"/>
      <c r="DI76" s="395"/>
      <c r="DJ76" s="395"/>
      <c r="DK76" s="395"/>
      <c r="DL76" s="395"/>
      <c r="DM76" s="395"/>
      <c r="DN76" s="395"/>
      <c r="DO76" s="395"/>
      <c r="DP76" s="395"/>
      <c r="DQ76" s="395"/>
      <c r="DR76" s="395"/>
      <c r="DS76" s="395"/>
      <c r="DT76" s="395"/>
      <c r="DU76" s="395"/>
      <c r="DV76" s="395"/>
      <c r="DW76" s="395"/>
      <c r="DX76" s="395"/>
      <c r="DY76" s="395"/>
      <c r="DZ76" s="395"/>
      <c r="EA76" s="395"/>
      <c r="EB76" s="395"/>
      <c r="EC76" s="395"/>
      <c r="ED76" s="395"/>
      <c r="EE76" s="395"/>
      <c r="EF76" s="395"/>
      <c r="EG76" s="395"/>
      <c r="EH76" s="395"/>
      <c r="EI76" s="395"/>
      <c r="EJ76" s="395"/>
      <c r="EK76" s="395"/>
      <c r="EL76" s="395"/>
      <c r="EM76" s="395"/>
      <c r="EN76" s="395"/>
      <c r="EO76" s="395"/>
      <c r="EP76" s="395"/>
      <c r="EQ76" s="395"/>
      <c r="ER76" s="395"/>
      <c r="ES76" s="395"/>
      <c r="ET76" s="395"/>
      <c r="EU76" s="395"/>
      <c r="EV76" s="395"/>
      <c r="EW76" s="395"/>
      <c r="EX76" s="395"/>
      <c r="EY76" s="395"/>
      <c r="EZ76" s="395"/>
      <c r="FA76" s="395"/>
      <c r="FB76" s="395"/>
      <c r="FC76" s="395"/>
      <c r="FD76" s="395"/>
      <c r="FE76" s="395"/>
      <c r="FF76" s="395"/>
      <c r="FG76" s="395"/>
      <c r="FH76" s="395"/>
      <c r="FI76" s="395"/>
      <c r="FJ76" s="395"/>
      <c r="FK76" s="395"/>
      <c r="FL76" s="395"/>
      <c r="FM76" s="395"/>
      <c r="FN76" s="395"/>
      <c r="FO76" s="395"/>
      <c r="FP76" s="395"/>
      <c r="FQ76" s="395"/>
      <c r="FR76" s="395"/>
      <c r="FS76" s="395"/>
      <c r="FT76" s="395"/>
      <c r="FU76" s="395"/>
      <c r="FV76" s="395"/>
      <c r="FW76" s="395"/>
      <c r="FX76" s="395"/>
      <c r="FY76" s="395"/>
      <c r="FZ76" s="395"/>
      <c r="GA76" s="395"/>
      <c r="GB76" s="395"/>
      <c r="GC76" s="395"/>
      <c r="GD76" s="395"/>
      <c r="GE76" s="395"/>
      <c r="GF76" s="395"/>
      <c r="GG76" s="395"/>
      <c r="GH76" s="395"/>
      <c r="GI76" s="395"/>
      <c r="GJ76" s="395"/>
      <c r="GK76" s="395"/>
      <c r="GL76" s="395"/>
      <c r="GM76" s="395"/>
      <c r="GN76" s="395"/>
      <c r="GO76" s="395"/>
      <c r="GP76" s="395"/>
      <c r="GQ76" s="395"/>
      <c r="GR76" s="395"/>
      <c r="GS76" s="395"/>
      <c r="GT76" s="395"/>
      <c r="GU76" s="395"/>
      <c r="GV76" s="395"/>
      <c r="GW76" s="395"/>
      <c r="GX76" s="395"/>
      <c r="GY76" s="395"/>
      <c r="GZ76" s="395"/>
      <c r="HA76" s="395"/>
      <c r="HB76" s="395"/>
      <c r="HC76" s="395"/>
      <c r="HD76" s="395"/>
      <c r="HE76" s="395"/>
      <c r="HF76" s="395"/>
      <c r="HG76" s="395"/>
      <c r="HH76" s="395"/>
      <c r="HI76" s="395"/>
      <c r="HJ76" s="395"/>
      <c r="HK76" s="395"/>
      <c r="HL76" s="395"/>
      <c r="HM76" s="395"/>
      <c r="HN76" s="395"/>
      <c r="HO76" s="395"/>
      <c r="HP76" s="395"/>
      <c r="HQ76" s="395"/>
      <c r="HR76" s="395"/>
      <c r="HS76" s="395"/>
      <c r="HT76" s="395"/>
      <c r="HU76" s="395"/>
      <c r="HV76" s="395"/>
      <c r="HW76" s="395"/>
      <c r="HX76" s="395"/>
      <c r="HY76" s="395"/>
      <c r="HZ76" s="395"/>
      <c r="IA76" s="395"/>
      <c r="IB76" s="395"/>
      <c r="IC76" s="395"/>
      <c r="ID76" s="395"/>
      <c r="IE76" s="395"/>
      <c r="IF76" s="395"/>
      <c r="IG76" s="395"/>
      <c r="IH76" s="395"/>
      <c r="II76" s="395"/>
      <c r="IJ76" s="395"/>
      <c r="IK76" s="395"/>
      <c r="IL76" s="395"/>
      <c r="IM76" s="395"/>
      <c r="IN76" s="395"/>
      <c r="IO76" s="395"/>
      <c r="IP76" s="395"/>
      <c r="IQ76" s="395"/>
      <c r="IR76" s="395"/>
    </row>
    <row r="77" spans="2:252" s="58" customFormat="1" ht="25.15" customHeight="1" x14ac:dyDescent="0.25">
      <c r="B77" s="181" t="s">
        <v>57</v>
      </c>
      <c r="C77" s="191"/>
      <c r="D77" s="191"/>
      <c r="E77" s="194">
        <f t="shared" ref="E77:N77" si="3">E76/E75</f>
        <v>0.15261947377522747</v>
      </c>
      <c r="F77" s="194">
        <f t="shared" si="3"/>
        <v>0.10944951866002157</v>
      </c>
      <c r="G77" s="194">
        <f t="shared" si="3"/>
        <v>0.10590070111977404</v>
      </c>
      <c r="H77" s="194">
        <f t="shared" si="3"/>
        <v>0.35409181475013557</v>
      </c>
      <c r="I77" s="194">
        <f t="shared" si="3"/>
        <v>8.2301256699640737E-2</v>
      </c>
      <c r="J77" s="194">
        <f t="shared" si="3"/>
        <v>7.905133155951731E-2</v>
      </c>
      <c r="K77" s="194">
        <f t="shared" si="3"/>
        <v>8.8606240177550463E-2</v>
      </c>
      <c r="L77" s="194">
        <f t="shared" si="3"/>
        <v>0.20113148856886548</v>
      </c>
      <c r="M77" s="194"/>
      <c r="N77" s="194">
        <f t="shared" si="3"/>
        <v>0.18583058423939566</v>
      </c>
      <c r="V77" s="395"/>
      <c r="W77" s="395"/>
      <c r="X77" s="395"/>
      <c r="Y77" s="395"/>
      <c r="Z77" s="395"/>
      <c r="AA77" s="395"/>
      <c r="AB77" s="395"/>
      <c r="AC77" s="395"/>
      <c r="AD77" s="395"/>
      <c r="AE77" s="395"/>
      <c r="AF77" s="395"/>
      <c r="AG77" s="395"/>
      <c r="AH77" s="395"/>
      <c r="AI77" s="395"/>
      <c r="AJ77" s="395"/>
      <c r="AK77" s="395"/>
      <c r="AL77" s="395"/>
      <c r="AM77" s="395"/>
      <c r="AN77" s="395"/>
      <c r="AO77" s="395"/>
      <c r="AP77" s="395"/>
      <c r="AQ77" s="395"/>
      <c r="AR77" s="395"/>
      <c r="AS77" s="395"/>
      <c r="AT77" s="395"/>
      <c r="AU77" s="395"/>
      <c r="AV77" s="395"/>
      <c r="AW77" s="395"/>
      <c r="AX77" s="395"/>
      <c r="AY77" s="395"/>
      <c r="AZ77" s="395"/>
      <c r="BA77" s="395"/>
      <c r="BB77" s="395"/>
      <c r="BC77" s="395"/>
      <c r="BD77" s="395"/>
      <c r="BE77" s="395"/>
      <c r="BF77" s="395"/>
      <c r="BG77" s="395"/>
      <c r="BH77" s="395"/>
      <c r="BI77" s="395"/>
      <c r="BJ77" s="395"/>
      <c r="BK77" s="395"/>
      <c r="BL77" s="395"/>
      <c r="BM77" s="395"/>
      <c r="BN77" s="395"/>
      <c r="BO77" s="395"/>
      <c r="BP77" s="395"/>
      <c r="BQ77" s="395"/>
      <c r="BR77" s="395"/>
      <c r="BS77" s="395"/>
      <c r="BT77" s="395"/>
      <c r="BU77" s="395"/>
      <c r="BV77" s="395"/>
      <c r="BW77" s="395"/>
      <c r="BX77" s="395"/>
      <c r="BY77" s="395"/>
      <c r="BZ77" s="395"/>
      <c r="CA77" s="395"/>
      <c r="CB77" s="395"/>
      <c r="CC77" s="395"/>
      <c r="CD77" s="395"/>
      <c r="CE77" s="395"/>
      <c r="CF77" s="395"/>
      <c r="CG77" s="395"/>
      <c r="CH77" s="395"/>
      <c r="CI77" s="395"/>
      <c r="CJ77" s="395"/>
      <c r="CK77" s="395"/>
      <c r="CL77" s="395"/>
      <c r="CM77" s="395"/>
      <c r="CN77" s="395"/>
      <c r="CO77" s="395"/>
      <c r="CP77" s="395"/>
      <c r="CQ77" s="395"/>
      <c r="CR77" s="395"/>
      <c r="CS77" s="395"/>
      <c r="CT77" s="395"/>
      <c r="CU77" s="395"/>
      <c r="CV77" s="395"/>
      <c r="CW77" s="395"/>
      <c r="CX77" s="395"/>
      <c r="CY77" s="395"/>
      <c r="CZ77" s="395"/>
      <c r="DA77" s="395"/>
      <c r="DB77" s="395"/>
      <c r="DC77" s="395"/>
      <c r="DD77" s="395"/>
      <c r="DE77" s="395"/>
      <c r="DF77" s="395"/>
      <c r="DG77" s="395"/>
      <c r="DH77" s="395"/>
      <c r="DI77" s="395"/>
      <c r="DJ77" s="395"/>
      <c r="DK77" s="395"/>
      <c r="DL77" s="395"/>
      <c r="DM77" s="395"/>
      <c r="DN77" s="395"/>
      <c r="DO77" s="395"/>
      <c r="DP77" s="395"/>
      <c r="DQ77" s="395"/>
      <c r="DR77" s="395"/>
      <c r="DS77" s="395"/>
      <c r="DT77" s="395"/>
      <c r="DU77" s="395"/>
      <c r="DV77" s="395"/>
      <c r="DW77" s="395"/>
      <c r="DX77" s="395"/>
      <c r="DY77" s="395"/>
      <c r="DZ77" s="395"/>
      <c r="EA77" s="395"/>
      <c r="EB77" s="395"/>
      <c r="EC77" s="395"/>
      <c r="ED77" s="395"/>
      <c r="EE77" s="395"/>
      <c r="EF77" s="395"/>
      <c r="EG77" s="395"/>
      <c r="EH77" s="395"/>
      <c r="EI77" s="395"/>
      <c r="EJ77" s="395"/>
      <c r="EK77" s="395"/>
      <c r="EL77" s="395"/>
      <c r="EM77" s="395"/>
      <c r="EN77" s="395"/>
      <c r="EO77" s="395"/>
      <c r="EP77" s="395"/>
      <c r="EQ77" s="395"/>
      <c r="ER77" s="395"/>
      <c r="ES77" s="395"/>
      <c r="ET77" s="395"/>
      <c r="EU77" s="395"/>
      <c r="EV77" s="395"/>
      <c r="EW77" s="395"/>
      <c r="EX77" s="395"/>
      <c r="EY77" s="395"/>
      <c r="EZ77" s="395"/>
      <c r="FA77" s="395"/>
      <c r="FB77" s="395"/>
      <c r="FC77" s="395"/>
      <c r="FD77" s="395"/>
      <c r="FE77" s="395"/>
      <c r="FF77" s="395"/>
      <c r="FG77" s="395"/>
      <c r="FH77" s="395"/>
      <c r="FI77" s="395"/>
      <c r="FJ77" s="395"/>
      <c r="FK77" s="395"/>
      <c r="FL77" s="395"/>
      <c r="FM77" s="395"/>
      <c r="FN77" s="395"/>
      <c r="FO77" s="395"/>
      <c r="FP77" s="395"/>
      <c r="FQ77" s="395"/>
      <c r="FR77" s="395"/>
      <c r="FS77" s="395"/>
      <c r="FT77" s="395"/>
      <c r="FU77" s="395"/>
      <c r="FV77" s="395"/>
      <c r="FW77" s="395"/>
      <c r="FX77" s="395"/>
      <c r="FY77" s="395"/>
      <c r="FZ77" s="395"/>
      <c r="GA77" s="395"/>
      <c r="GB77" s="395"/>
      <c r="GC77" s="395"/>
      <c r="GD77" s="395"/>
      <c r="GE77" s="395"/>
      <c r="GF77" s="395"/>
      <c r="GG77" s="395"/>
      <c r="GH77" s="395"/>
      <c r="GI77" s="395"/>
      <c r="GJ77" s="395"/>
      <c r="GK77" s="395"/>
      <c r="GL77" s="395"/>
      <c r="GM77" s="395"/>
      <c r="GN77" s="395"/>
      <c r="GO77" s="395"/>
      <c r="GP77" s="395"/>
      <c r="GQ77" s="395"/>
      <c r="GR77" s="395"/>
      <c r="GS77" s="395"/>
      <c r="GT77" s="395"/>
      <c r="GU77" s="395"/>
      <c r="GV77" s="395"/>
      <c r="GW77" s="395"/>
      <c r="GX77" s="395"/>
      <c r="GY77" s="395"/>
      <c r="GZ77" s="395"/>
      <c r="HA77" s="395"/>
      <c r="HB77" s="395"/>
      <c r="HC77" s="395"/>
      <c r="HD77" s="395"/>
      <c r="HE77" s="395"/>
      <c r="HF77" s="395"/>
      <c r="HG77" s="395"/>
      <c r="HH77" s="395"/>
      <c r="HI77" s="395"/>
      <c r="HJ77" s="395"/>
      <c r="HK77" s="395"/>
      <c r="HL77" s="395"/>
      <c r="HM77" s="395"/>
      <c r="HN77" s="395"/>
      <c r="HO77" s="395"/>
      <c r="HP77" s="395"/>
      <c r="HQ77" s="395"/>
      <c r="HR77" s="395"/>
      <c r="HS77" s="395"/>
      <c r="HT77" s="395"/>
      <c r="HU77" s="395"/>
      <c r="HV77" s="395"/>
      <c r="HW77" s="395"/>
      <c r="HX77" s="395"/>
      <c r="HY77" s="395"/>
      <c r="HZ77" s="395"/>
      <c r="IA77" s="395"/>
      <c r="IB77" s="395"/>
      <c r="IC77" s="395"/>
      <c r="ID77" s="395"/>
      <c r="IE77" s="395"/>
      <c r="IF77" s="395"/>
      <c r="IG77" s="395"/>
      <c r="IH77" s="395"/>
      <c r="II77" s="395"/>
      <c r="IJ77" s="395"/>
      <c r="IK77" s="395"/>
      <c r="IL77" s="395"/>
      <c r="IM77" s="395"/>
      <c r="IN77" s="395"/>
      <c r="IO77" s="395"/>
      <c r="IP77" s="395"/>
      <c r="IQ77" s="395"/>
      <c r="IR77" s="395"/>
    </row>
    <row r="78" spans="2:252" s="58" customFormat="1" ht="25.15" customHeight="1" x14ac:dyDescent="0.25">
      <c r="B78" s="181"/>
      <c r="C78" s="191"/>
      <c r="D78" s="191"/>
      <c r="E78" s="194"/>
      <c r="F78" s="194"/>
      <c r="G78" s="194"/>
      <c r="H78" s="194"/>
      <c r="I78" s="194"/>
      <c r="J78" s="194"/>
      <c r="K78" s="194"/>
      <c r="L78" s="194"/>
      <c r="M78" s="194"/>
      <c r="N78" s="194"/>
      <c r="V78" s="395"/>
      <c r="W78" s="395"/>
      <c r="X78" s="395"/>
      <c r="Y78" s="395"/>
      <c r="Z78" s="395"/>
      <c r="AA78" s="395"/>
      <c r="AB78" s="395"/>
      <c r="AC78" s="395"/>
      <c r="AD78" s="395"/>
      <c r="AE78" s="395"/>
      <c r="AF78" s="395"/>
      <c r="AG78" s="395"/>
      <c r="AH78" s="395"/>
      <c r="AI78" s="395"/>
      <c r="AJ78" s="395"/>
      <c r="AK78" s="395"/>
      <c r="AL78" s="395"/>
      <c r="AM78" s="395"/>
      <c r="AN78" s="395"/>
      <c r="AO78" s="395"/>
      <c r="AP78" s="395"/>
      <c r="AQ78" s="395"/>
      <c r="AR78" s="395"/>
      <c r="AS78" s="395"/>
      <c r="AT78" s="395"/>
      <c r="AU78" s="395"/>
      <c r="AV78" s="395"/>
      <c r="AW78" s="395"/>
      <c r="AX78" s="395"/>
      <c r="AY78" s="395"/>
      <c r="AZ78" s="395"/>
      <c r="BA78" s="395"/>
      <c r="BB78" s="395"/>
      <c r="BC78" s="395"/>
      <c r="BD78" s="395"/>
      <c r="BE78" s="395"/>
      <c r="BF78" s="395"/>
      <c r="BG78" s="395"/>
      <c r="BH78" s="395"/>
      <c r="BI78" s="395"/>
      <c r="BJ78" s="395"/>
      <c r="BK78" s="395"/>
      <c r="BL78" s="395"/>
      <c r="BM78" s="395"/>
      <c r="BN78" s="395"/>
      <c r="BO78" s="395"/>
      <c r="BP78" s="395"/>
      <c r="BQ78" s="395"/>
      <c r="BR78" s="395"/>
      <c r="BS78" s="395"/>
      <c r="BT78" s="395"/>
      <c r="BU78" s="395"/>
      <c r="BV78" s="395"/>
      <c r="BW78" s="395"/>
      <c r="BX78" s="395"/>
      <c r="BY78" s="395"/>
      <c r="BZ78" s="395"/>
      <c r="CA78" s="395"/>
      <c r="CB78" s="395"/>
      <c r="CC78" s="395"/>
      <c r="CD78" s="395"/>
      <c r="CE78" s="395"/>
      <c r="CF78" s="395"/>
      <c r="CG78" s="395"/>
      <c r="CH78" s="395"/>
      <c r="CI78" s="395"/>
      <c r="CJ78" s="395"/>
      <c r="CK78" s="395"/>
      <c r="CL78" s="395"/>
      <c r="CM78" s="395"/>
      <c r="CN78" s="395"/>
      <c r="CO78" s="395"/>
      <c r="CP78" s="395"/>
      <c r="CQ78" s="395"/>
      <c r="CR78" s="395"/>
      <c r="CS78" s="395"/>
      <c r="CT78" s="395"/>
      <c r="CU78" s="395"/>
      <c r="CV78" s="395"/>
      <c r="CW78" s="395"/>
      <c r="CX78" s="395"/>
      <c r="CY78" s="395"/>
      <c r="CZ78" s="395"/>
      <c r="DA78" s="395"/>
      <c r="DB78" s="395"/>
      <c r="DC78" s="395"/>
      <c r="DD78" s="395"/>
      <c r="DE78" s="395"/>
      <c r="DF78" s="395"/>
      <c r="DG78" s="395"/>
      <c r="DH78" s="395"/>
      <c r="DI78" s="395"/>
      <c r="DJ78" s="395"/>
      <c r="DK78" s="395"/>
      <c r="DL78" s="395"/>
      <c r="DM78" s="395"/>
      <c r="DN78" s="395"/>
      <c r="DO78" s="395"/>
      <c r="DP78" s="395"/>
      <c r="DQ78" s="395"/>
      <c r="DR78" s="395"/>
      <c r="DS78" s="395"/>
      <c r="DT78" s="395"/>
      <c r="DU78" s="395"/>
      <c r="DV78" s="395"/>
      <c r="DW78" s="395"/>
      <c r="DX78" s="395"/>
      <c r="DY78" s="395"/>
      <c r="DZ78" s="395"/>
      <c r="EA78" s="395"/>
      <c r="EB78" s="395"/>
      <c r="EC78" s="395"/>
      <c r="ED78" s="395"/>
      <c r="EE78" s="395"/>
      <c r="EF78" s="395"/>
      <c r="EG78" s="395"/>
      <c r="EH78" s="395"/>
      <c r="EI78" s="395"/>
      <c r="EJ78" s="395"/>
      <c r="EK78" s="395"/>
      <c r="EL78" s="395"/>
      <c r="EM78" s="395"/>
      <c r="EN78" s="395"/>
      <c r="EO78" s="395"/>
      <c r="EP78" s="395"/>
      <c r="EQ78" s="395"/>
      <c r="ER78" s="395"/>
      <c r="ES78" s="395"/>
      <c r="ET78" s="395"/>
      <c r="EU78" s="395"/>
      <c r="EV78" s="395"/>
      <c r="EW78" s="395"/>
      <c r="EX78" s="395"/>
      <c r="EY78" s="395"/>
      <c r="EZ78" s="395"/>
      <c r="FA78" s="395"/>
      <c r="FB78" s="395"/>
      <c r="FC78" s="395"/>
      <c r="FD78" s="395"/>
      <c r="FE78" s="395"/>
      <c r="FF78" s="395"/>
      <c r="FG78" s="395"/>
      <c r="FH78" s="395"/>
      <c r="FI78" s="395"/>
      <c r="FJ78" s="395"/>
      <c r="FK78" s="395"/>
      <c r="FL78" s="395"/>
      <c r="FM78" s="395"/>
      <c r="FN78" s="395"/>
      <c r="FO78" s="395"/>
      <c r="FP78" s="395"/>
      <c r="FQ78" s="395"/>
      <c r="FR78" s="395"/>
      <c r="FS78" s="395"/>
      <c r="FT78" s="395"/>
      <c r="FU78" s="395"/>
      <c r="FV78" s="395"/>
      <c r="FW78" s="395"/>
      <c r="FX78" s="395"/>
      <c r="FY78" s="395"/>
      <c r="FZ78" s="395"/>
      <c r="GA78" s="395"/>
      <c r="GB78" s="395"/>
      <c r="GC78" s="395"/>
      <c r="GD78" s="395"/>
      <c r="GE78" s="395"/>
      <c r="GF78" s="395"/>
      <c r="GG78" s="395"/>
      <c r="GH78" s="395"/>
      <c r="GI78" s="395"/>
      <c r="GJ78" s="395"/>
      <c r="GK78" s="395"/>
      <c r="GL78" s="395"/>
      <c r="GM78" s="395"/>
      <c r="GN78" s="395"/>
      <c r="GO78" s="395"/>
      <c r="GP78" s="395"/>
      <c r="GQ78" s="395"/>
      <c r="GR78" s="395"/>
      <c r="GS78" s="395"/>
      <c r="GT78" s="395"/>
      <c r="GU78" s="395"/>
      <c r="GV78" s="395"/>
      <c r="GW78" s="395"/>
      <c r="GX78" s="395"/>
      <c r="GY78" s="395"/>
      <c r="GZ78" s="395"/>
      <c r="HA78" s="395"/>
      <c r="HB78" s="395"/>
      <c r="HC78" s="395"/>
      <c r="HD78" s="395"/>
      <c r="HE78" s="395"/>
      <c r="HF78" s="395"/>
      <c r="HG78" s="395"/>
      <c r="HH78" s="395"/>
      <c r="HI78" s="395"/>
      <c r="HJ78" s="395"/>
      <c r="HK78" s="395"/>
      <c r="HL78" s="395"/>
      <c r="HM78" s="395"/>
      <c r="HN78" s="395"/>
      <c r="HO78" s="395"/>
      <c r="HP78" s="395"/>
      <c r="HQ78" s="395"/>
      <c r="HR78" s="395"/>
      <c r="HS78" s="395"/>
      <c r="HT78" s="395"/>
      <c r="HU78" s="395"/>
      <c r="HV78" s="395"/>
      <c r="HW78" s="395"/>
      <c r="HX78" s="395"/>
      <c r="HY78" s="395"/>
      <c r="HZ78" s="395"/>
      <c r="IA78" s="395"/>
      <c r="IB78" s="395"/>
      <c r="IC78" s="395"/>
      <c r="ID78" s="395"/>
      <c r="IE78" s="395"/>
      <c r="IF78" s="395"/>
      <c r="IG78" s="395"/>
      <c r="IH78" s="395"/>
      <c r="II78" s="395"/>
      <c r="IJ78" s="395"/>
      <c r="IK78" s="395"/>
      <c r="IL78" s="395"/>
      <c r="IM78" s="395"/>
      <c r="IN78" s="395"/>
      <c r="IO78" s="395"/>
      <c r="IP78" s="395"/>
      <c r="IQ78" s="395"/>
      <c r="IR78" s="395"/>
    </row>
    <row r="79" spans="2:252" s="5" customFormat="1" ht="30" customHeight="1" x14ac:dyDescent="0.5">
      <c r="B79" s="6" t="s">
        <v>60</v>
      </c>
      <c r="C79" s="3"/>
      <c r="D79" s="7"/>
      <c r="E79" s="8"/>
      <c r="F79" s="9"/>
      <c r="G79" s="9"/>
      <c r="V79" s="396"/>
      <c r="W79" s="396"/>
      <c r="X79" s="396"/>
      <c r="Y79" s="396"/>
      <c r="Z79" s="396"/>
      <c r="AA79" s="396"/>
      <c r="AB79" s="396"/>
      <c r="AC79" s="396"/>
      <c r="AD79" s="396"/>
      <c r="AE79" s="396"/>
      <c r="AF79" s="396"/>
      <c r="AG79" s="396"/>
      <c r="AH79" s="396"/>
      <c r="AI79" s="396"/>
      <c r="AJ79" s="396"/>
      <c r="AK79" s="396"/>
      <c r="AL79" s="396"/>
      <c r="AM79" s="396"/>
      <c r="AN79" s="396"/>
      <c r="AO79" s="396"/>
      <c r="AP79" s="396"/>
      <c r="AQ79" s="396"/>
      <c r="AR79" s="396"/>
      <c r="AS79" s="396"/>
      <c r="AT79" s="396"/>
      <c r="AU79" s="396"/>
      <c r="AV79" s="396"/>
      <c r="AW79" s="396"/>
      <c r="AX79" s="396"/>
      <c r="AY79" s="396"/>
      <c r="AZ79" s="396"/>
      <c r="BA79" s="396"/>
      <c r="BB79" s="396"/>
      <c r="BC79" s="396"/>
      <c r="BD79" s="396"/>
      <c r="BE79" s="396"/>
      <c r="BF79" s="396"/>
      <c r="BG79" s="396"/>
      <c r="BH79" s="396"/>
      <c r="BI79" s="396"/>
      <c r="BJ79" s="396"/>
      <c r="BK79" s="396"/>
      <c r="BL79" s="396"/>
      <c r="BM79" s="396"/>
      <c r="BN79" s="396"/>
      <c r="BO79" s="396"/>
      <c r="BP79" s="396"/>
      <c r="BQ79" s="396"/>
      <c r="BR79" s="396"/>
      <c r="BS79" s="396"/>
      <c r="BT79" s="396"/>
      <c r="BU79" s="396"/>
      <c r="BV79" s="396"/>
      <c r="BW79" s="396"/>
      <c r="BX79" s="396"/>
      <c r="BY79" s="396"/>
      <c r="BZ79" s="396"/>
      <c r="CA79" s="396"/>
      <c r="CB79" s="396"/>
      <c r="CC79" s="396"/>
      <c r="CD79" s="396"/>
      <c r="CE79" s="396"/>
      <c r="CF79" s="396"/>
      <c r="CG79" s="396"/>
      <c r="CH79" s="396"/>
      <c r="CI79" s="396"/>
      <c r="CJ79" s="396"/>
      <c r="CK79" s="396"/>
      <c r="CL79" s="396"/>
      <c r="CM79" s="396"/>
      <c r="CN79" s="396"/>
      <c r="CO79" s="396"/>
      <c r="CP79" s="396"/>
      <c r="CQ79" s="396"/>
      <c r="CR79" s="396"/>
      <c r="CS79" s="396"/>
      <c r="CT79" s="396"/>
      <c r="CU79" s="396"/>
      <c r="CV79" s="396"/>
      <c r="CW79" s="396"/>
      <c r="CX79" s="396"/>
      <c r="CY79" s="396"/>
      <c r="CZ79" s="396"/>
      <c r="DA79" s="396"/>
      <c r="DB79" s="396"/>
      <c r="DC79" s="396"/>
      <c r="DD79" s="396"/>
      <c r="DE79" s="396"/>
      <c r="DF79" s="396"/>
      <c r="DG79" s="396"/>
      <c r="DH79" s="396"/>
      <c r="DI79" s="396"/>
      <c r="DJ79" s="396"/>
      <c r="DK79" s="396"/>
      <c r="DL79" s="396"/>
      <c r="DM79" s="396"/>
      <c r="DN79" s="396"/>
      <c r="DO79" s="396"/>
      <c r="DP79" s="396"/>
      <c r="DQ79" s="396"/>
      <c r="DR79" s="396"/>
      <c r="DS79" s="396"/>
      <c r="DT79" s="396"/>
      <c r="DU79" s="396"/>
      <c r="DV79" s="396"/>
      <c r="DW79" s="396"/>
      <c r="DX79" s="396"/>
      <c r="DY79" s="396"/>
      <c r="DZ79" s="396"/>
      <c r="EA79" s="396"/>
      <c r="EB79" s="396"/>
      <c r="EC79" s="396"/>
      <c r="ED79" s="396"/>
      <c r="EE79" s="396"/>
      <c r="EF79" s="396"/>
      <c r="EG79" s="396"/>
      <c r="EH79" s="396"/>
      <c r="EI79" s="396"/>
      <c r="EJ79" s="396"/>
      <c r="EK79" s="396"/>
      <c r="EL79" s="396"/>
      <c r="EM79" s="396"/>
      <c r="EN79" s="396"/>
      <c r="EO79" s="396"/>
      <c r="EP79" s="396"/>
      <c r="EQ79" s="396"/>
      <c r="ER79" s="396"/>
      <c r="ES79" s="396"/>
      <c r="ET79" s="396"/>
      <c r="EU79" s="396"/>
      <c r="EV79" s="396"/>
      <c r="EW79" s="396"/>
      <c r="EX79" s="396"/>
      <c r="EY79" s="396"/>
      <c r="EZ79" s="396"/>
      <c r="FA79" s="396"/>
      <c r="FB79" s="396"/>
      <c r="FC79" s="396"/>
      <c r="FD79" s="396"/>
      <c r="FE79" s="396"/>
      <c r="FF79" s="396"/>
      <c r="FG79" s="396"/>
      <c r="FH79" s="396"/>
      <c r="FI79" s="396"/>
      <c r="FJ79" s="396"/>
      <c r="FK79" s="396"/>
      <c r="FL79" s="396"/>
      <c r="FM79" s="396"/>
      <c r="FN79" s="396"/>
      <c r="FO79" s="396"/>
      <c r="FP79" s="396"/>
      <c r="FQ79" s="396"/>
      <c r="FR79" s="396"/>
      <c r="FS79" s="396"/>
      <c r="FT79" s="396"/>
      <c r="FU79" s="396"/>
      <c r="FV79" s="396"/>
      <c r="FW79" s="396"/>
      <c r="FX79" s="396"/>
      <c r="FY79" s="396"/>
      <c r="FZ79" s="396"/>
      <c r="GA79" s="396"/>
      <c r="GB79" s="396"/>
      <c r="GC79" s="396"/>
      <c r="GD79" s="396"/>
      <c r="GE79" s="396"/>
      <c r="GF79" s="396"/>
      <c r="GG79" s="396"/>
      <c r="GH79" s="396"/>
      <c r="GI79" s="396"/>
      <c r="GJ79" s="396"/>
      <c r="GK79" s="396"/>
      <c r="GL79" s="396"/>
      <c r="GM79" s="396"/>
      <c r="GN79" s="396"/>
      <c r="GO79" s="396"/>
      <c r="GP79" s="396"/>
      <c r="GQ79" s="396"/>
      <c r="GR79" s="396"/>
      <c r="GS79" s="396"/>
      <c r="GT79" s="396"/>
      <c r="GU79" s="396"/>
      <c r="GV79" s="396"/>
      <c r="GW79" s="396"/>
      <c r="GX79" s="396"/>
      <c r="GY79" s="396"/>
      <c r="GZ79" s="396"/>
      <c r="HA79" s="396"/>
      <c r="HB79" s="396"/>
      <c r="HC79" s="396"/>
      <c r="HD79" s="396"/>
      <c r="HE79" s="396"/>
      <c r="HF79" s="396"/>
      <c r="HG79" s="396"/>
      <c r="HH79" s="396"/>
      <c r="HI79" s="396"/>
      <c r="HJ79" s="396"/>
      <c r="HK79" s="396"/>
      <c r="HL79" s="396"/>
      <c r="HM79" s="396"/>
      <c r="HN79" s="396"/>
      <c r="HO79" s="396"/>
      <c r="HP79" s="396"/>
      <c r="HQ79" s="396"/>
      <c r="HR79" s="396"/>
      <c r="HS79" s="396"/>
      <c r="HT79" s="396"/>
      <c r="HU79" s="396"/>
      <c r="HV79" s="396"/>
      <c r="HW79" s="396"/>
      <c r="HX79" s="396"/>
      <c r="HY79" s="396"/>
      <c r="HZ79" s="396"/>
      <c r="IA79" s="396"/>
      <c r="IB79" s="396"/>
      <c r="IC79" s="396"/>
      <c r="ID79" s="396"/>
      <c r="IE79" s="396"/>
      <c r="IF79" s="396"/>
      <c r="IG79" s="396"/>
      <c r="IH79" s="396"/>
      <c r="II79" s="396"/>
      <c r="IJ79" s="396"/>
      <c r="IK79" s="396"/>
      <c r="IL79" s="396"/>
      <c r="IM79" s="396"/>
      <c r="IN79" s="396"/>
      <c r="IO79" s="396"/>
      <c r="IP79" s="396"/>
      <c r="IQ79" s="396"/>
      <c r="IR79" s="396"/>
    </row>
    <row r="80" spans="2:252" s="5" customFormat="1" ht="5.0999999999999996" customHeight="1" x14ac:dyDescent="0.3">
      <c r="B80" s="7"/>
      <c r="C80" s="10"/>
      <c r="D80" s="11"/>
      <c r="E80" s="8"/>
      <c r="F80" s="9"/>
      <c r="G80" s="9"/>
      <c r="V80" s="396"/>
      <c r="W80" s="396"/>
      <c r="X80" s="396"/>
      <c r="Y80" s="396"/>
      <c r="Z80" s="396"/>
      <c r="AA80" s="396"/>
      <c r="AB80" s="396"/>
      <c r="AC80" s="396"/>
      <c r="AD80" s="396"/>
      <c r="AE80" s="396"/>
      <c r="AF80" s="396"/>
      <c r="AG80" s="396"/>
      <c r="AH80" s="396"/>
      <c r="AI80" s="396"/>
      <c r="AJ80" s="396"/>
      <c r="AK80" s="396"/>
      <c r="AL80" s="396"/>
      <c r="AM80" s="396"/>
      <c r="AN80" s="396"/>
      <c r="AO80" s="396"/>
      <c r="AP80" s="396"/>
      <c r="AQ80" s="396"/>
      <c r="AR80" s="396"/>
      <c r="AS80" s="396"/>
      <c r="AT80" s="396"/>
      <c r="AU80" s="396"/>
      <c r="AV80" s="396"/>
      <c r="AW80" s="396"/>
      <c r="AX80" s="396"/>
      <c r="AY80" s="396"/>
      <c r="AZ80" s="396"/>
      <c r="BA80" s="396"/>
      <c r="BB80" s="396"/>
      <c r="BC80" s="396"/>
      <c r="BD80" s="396"/>
      <c r="BE80" s="396"/>
      <c r="BF80" s="396"/>
      <c r="BG80" s="396"/>
      <c r="BH80" s="396"/>
      <c r="BI80" s="396"/>
      <c r="BJ80" s="396"/>
      <c r="BK80" s="396"/>
      <c r="BL80" s="396"/>
      <c r="BM80" s="396"/>
      <c r="BN80" s="396"/>
      <c r="BO80" s="396"/>
      <c r="BP80" s="396"/>
      <c r="BQ80" s="396"/>
      <c r="BR80" s="396"/>
      <c r="BS80" s="396"/>
      <c r="BT80" s="396"/>
      <c r="BU80" s="396"/>
      <c r="BV80" s="396"/>
      <c r="BW80" s="396"/>
      <c r="BX80" s="396"/>
      <c r="BY80" s="396"/>
      <c r="BZ80" s="396"/>
      <c r="CA80" s="396"/>
      <c r="CB80" s="396"/>
      <c r="CC80" s="396"/>
      <c r="CD80" s="396"/>
      <c r="CE80" s="396"/>
      <c r="CF80" s="396"/>
      <c r="CG80" s="396"/>
      <c r="CH80" s="396"/>
      <c r="CI80" s="396"/>
      <c r="CJ80" s="396"/>
      <c r="CK80" s="396"/>
      <c r="CL80" s="396"/>
      <c r="CM80" s="396"/>
      <c r="CN80" s="396"/>
      <c r="CO80" s="396"/>
      <c r="CP80" s="396"/>
      <c r="CQ80" s="396"/>
      <c r="CR80" s="396"/>
      <c r="CS80" s="396"/>
      <c r="CT80" s="396"/>
      <c r="CU80" s="396"/>
      <c r="CV80" s="396"/>
      <c r="CW80" s="396"/>
      <c r="CX80" s="396"/>
      <c r="CY80" s="396"/>
      <c r="CZ80" s="396"/>
      <c r="DA80" s="396"/>
      <c r="DB80" s="396"/>
      <c r="DC80" s="396"/>
      <c r="DD80" s="396"/>
      <c r="DE80" s="396"/>
      <c r="DF80" s="396"/>
      <c r="DG80" s="396"/>
      <c r="DH80" s="396"/>
      <c r="DI80" s="396"/>
      <c r="DJ80" s="396"/>
      <c r="DK80" s="396"/>
      <c r="DL80" s="396"/>
      <c r="DM80" s="396"/>
      <c r="DN80" s="396"/>
      <c r="DO80" s="396"/>
      <c r="DP80" s="396"/>
      <c r="DQ80" s="396"/>
      <c r="DR80" s="396"/>
      <c r="DS80" s="396"/>
      <c r="DT80" s="396"/>
      <c r="DU80" s="396"/>
      <c r="DV80" s="396"/>
      <c r="DW80" s="396"/>
      <c r="DX80" s="396"/>
      <c r="DY80" s="396"/>
      <c r="DZ80" s="396"/>
      <c r="EA80" s="396"/>
      <c r="EB80" s="396"/>
      <c r="EC80" s="396"/>
      <c r="ED80" s="396"/>
      <c r="EE80" s="396"/>
      <c r="EF80" s="396"/>
      <c r="EG80" s="396"/>
      <c r="EH80" s="396"/>
      <c r="EI80" s="396"/>
      <c r="EJ80" s="396"/>
      <c r="EK80" s="396"/>
      <c r="EL80" s="396"/>
      <c r="EM80" s="396"/>
      <c r="EN80" s="396"/>
      <c r="EO80" s="396"/>
      <c r="EP80" s="396"/>
      <c r="EQ80" s="396"/>
      <c r="ER80" s="396"/>
      <c r="ES80" s="396"/>
      <c r="ET80" s="396"/>
      <c r="EU80" s="396"/>
      <c r="EV80" s="396"/>
      <c r="EW80" s="396"/>
      <c r="EX80" s="396"/>
      <c r="EY80" s="396"/>
      <c r="EZ80" s="396"/>
      <c r="FA80" s="396"/>
      <c r="FB80" s="396"/>
      <c r="FC80" s="396"/>
      <c r="FD80" s="396"/>
      <c r="FE80" s="396"/>
      <c r="FF80" s="396"/>
      <c r="FG80" s="396"/>
      <c r="FH80" s="396"/>
      <c r="FI80" s="396"/>
      <c r="FJ80" s="396"/>
      <c r="FK80" s="396"/>
      <c r="FL80" s="396"/>
      <c r="FM80" s="396"/>
      <c r="FN80" s="396"/>
      <c r="FO80" s="396"/>
      <c r="FP80" s="396"/>
      <c r="FQ80" s="396"/>
      <c r="FR80" s="396"/>
      <c r="FS80" s="396"/>
      <c r="FT80" s="396"/>
      <c r="FU80" s="396"/>
      <c r="FV80" s="396"/>
      <c r="FW80" s="396"/>
      <c r="FX80" s="396"/>
      <c r="FY80" s="396"/>
      <c r="FZ80" s="396"/>
      <c r="GA80" s="396"/>
      <c r="GB80" s="396"/>
      <c r="GC80" s="396"/>
      <c r="GD80" s="396"/>
      <c r="GE80" s="396"/>
      <c r="GF80" s="396"/>
      <c r="GG80" s="396"/>
      <c r="GH80" s="396"/>
      <c r="GI80" s="396"/>
      <c r="GJ80" s="396"/>
      <c r="GK80" s="396"/>
      <c r="GL80" s="396"/>
      <c r="GM80" s="396"/>
      <c r="GN80" s="396"/>
      <c r="GO80" s="396"/>
      <c r="GP80" s="396"/>
      <c r="GQ80" s="396"/>
      <c r="GR80" s="396"/>
      <c r="GS80" s="396"/>
      <c r="GT80" s="396"/>
      <c r="GU80" s="396"/>
      <c r="GV80" s="396"/>
      <c r="GW80" s="396"/>
      <c r="GX80" s="396"/>
      <c r="GY80" s="396"/>
      <c r="GZ80" s="396"/>
      <c r="HA80" s="396"/>
      <c r="HB80" s="396"/>
      <c r="HC80" s="396"/>
      <c r="HD80" s="396"/>
      <c r="HE80" s="396"/>
      <c r="HF80" s="396"/>
      <c r="HG80" s="396"/>
      <c r="HH80" s="396"/>
      <c r="HI80" s="396"/>
      <c r="HJ80" s="396"/>
      <c r="HK80" s="396"/>
      <c r="HL80" s="396"/>
      <c r="HM80" s="396"/>
      <c r="HN80" s="396"/>
      <c r="HO80" s="396"/>
      <c r="HP80" s="396"/>
      <c r="HQ80" s="396"/>
      <c r="HR80" s="396"/>
      <c r="HS80" s="396"/>
      <c r="HT80" s="396"/>
      <c r="HU80" s="396"/>
      <c r="HV80" s="396"/>
      <c r="HW80" s="396"/>
      <c r="HX80" s="396"/>
      <c r="HY80" s="396"/>
      <c r="HZ80" s="396"/>
      <c r="IA80" s="396"/>
      <c r="IB80" s="396"/>
      <c r="IC80" s="396"/>
      <c r="ID80" s="396"/>
      <c r="IE80" s="396"/>
      <c r="IF80" s="396"/>
      <c r="IG80" s="396"/>
      <c r="IH80" s="396"/>
      <c r="II80" s="396"/>
      <c r="IJ80" s="396"/>
      <c r="IK80" s="396"/>
      <c r="IL80" s="396"/>
      <c r="IM80" s="396"/>
      <c r="IN80" s="396"/>
      <c r="IO80" s="396"/>
      <c r="IP80" s="396"/>
      <c r="IQ80" s="396"/>
      <c r="IR80" s="396"/>
    </row>
    <row r="81" spans="2:252" s="183" customFormat="1" ht="25.15" customHeight="1" x14ac:dyDescent="0.25">
      <c r="B81" s="85" t="s">
        <v>27</v>
      </c>
      <c r="C81" s="182" t="s">
        <v>61</v>
      </c>
      <c r="D81" s="1" t="s">
        <v>62</v>
      </c>
      <c r="E81" s="1" t="s">
        <v>63</v>
      </c>
      <c r="V81" s="397"/>
      <c r="W81" s="397"/>
      <c r="X81" s="397"/>
      <c r="Y81" s="397"/>
      <c r="Z81" s="397"/>
      <c r="AA81" s="397"/>
      <c r="AB81" s="397"/>
      <c r="AC81" s="397"/>
      <c r="AD81" s="397"/>
      <c r="AE81" s="397"/>
      <c r="AF81" s="397"/>
      <c r="AG81" s="397"/>
      <c r="AH81" s="397"/>
      <c r="AI81" s="397"/>
      <c r="AJ81" s="397"/>
      <c r="AK81" s="397"/>
      <c r="AL81" s="397"/>
      <c r="AM81" s="397"/>
      <c r="AN81" s="397"/>
      <c r="AO81" s="397"/>
      <c r="AP81" s="397"/>
      <c r="AQ81" s="397"/>
      <c r="AR81" s="397"/>
      <c r="AS81" s="397"/>
      <c r="AT81" s="397"/>
      <c r="AU81" s="397"/>
      <c r="AV81" s="397"/>
      <c r="AW81" s="397"/>
      <c r="AX81" s="397"/>
      <c r="AY81" s="397"/>
      <c r="AZ81" s="397"/>
      <c r="BA81" s="397"/>
      <c r="BB81" s="397"/>
      <c r="BC81" s="397"/>
      <c r="BD81" s="397"/>
      <c r="BE81" s="397"/>
      <c r="BF81" s="397"/>
      <c r="BG81" s="397"/>
      <c r="BH81" s="397"/>
      <c r="BI81" s="397"/>
      <c r="BJ81" s="397"/>
      <c r="BK81" s="397"/>
      <c r="BL81" s="397"/>
      <c r="BM81" s="397"/>
      <c r="BN81" s="397"/>
      <c r="BO81" s="397"/>
      <c r="BP81" s="397"/>
      <c r="BQ81" s="397"/>
      <c r="BR81" s="397"/>
      <c r="BS81" s="397"/>
      <c r="BT81" s="397"/>
      <c r="BU81" s="397"/>
      <c r="BV81" s="397"/>
      <c r="BW81" s="397"/>
      <c r="BX81" s="397"/>
      <c r="BY81" s="397"/>
      <c r="BZ81" s="397"/>
      <c r="CA81" s="397"/>
      <c r="CB81" s="397"/>
      <c r="CC81" s="397"/>
      <c r="CD81" s="397"/>
      <c r="CE81" s="397"/>
      <c r="CF81" s="397"/>
      <c r="CG81" s="397"/>
      <c r="CH81" s="397"/>
      <c r="CI81" s="397"/>
      <c r="CJ81" s="397"/>
      <c r="CK81" s="397"/>
      <c r="CL81" s="397"/>
      <c r="CM81" s="397"/>
      <c r="CN81" s="397"/>
      <c r="CO81" s="397"/>
      <c r="CP81" s="397"/>
      <c r="CQ81" s="397"/>
      <c r="CR81" s="397"/>
      <c r="CS81" s="397"/>
      <c r="CT81" s="397"/>
      <c r="CU81" s="397"/>
      <c r="CV81" s="397"/>
      <c r="CW81" s="397"/>
      <c r="CX81" s="397"/>
      <c r="CY81" s="397"/>
      <c r="CZ81" s="397"/>
      <c r="DA81" s="397"/>
      <c r="DB81" s="397"/>
      <c r="DC81" s="397"/>
      <c r="DD81" s="397"/>
      <c r="DE81" s="397"/>
      <c r="DF81" s="397"/>
      <c r="DG81" s="397"/>
      <c r="DH81" s="397"/>
      <c r="DI81" s="397"/>
      <c r="DJ81" s="397"/>
      <c r="DK81" s="397"/>
      <c r="DL81" s="397"/>
      <c r="DM81" s="397"/>
      <c r="DN81" s="397"/>
      <c r="DO81" s="397"/>
      <c r="DP81" s="397"/>
      <c r="DQ81" s="397"/>
      <c r="DR81" s="397"/>
      <c r="DS81" s="397"/>
      <c r="DT81" s="397"/>
      <c r="DU81" s="397"/>
      <c r="DV81" s="397"/>
      <c r="DW81" s="397"/>
      <c r="DX81" s="397"/>
      <c r="DY81" s="397"/>
      <c r="DZ81" s="397"/>
      <c r="EA81" s="397"/>
      <c r="EB81" s="397"/>
      <c r="EC81" s="397"/>
      <c r="ED81" s="397"/>
      <c r="EE81" s="397"/>
      <c r="EF81" s="397"/>
      <c r="EG81" s="397"/>
      <c r="EH81" s="397"/>
      <c r="EI81" s="397"/>
      <c r="EJ81" s="397"/>
      <c r="EK81" s="397"/>
      <c r="EL81" s="397"/>
      <c r="EM81" s="397"/>
      <c r="EN81" s="397"/>
      <c r="EO81" s="397"/>
      <c r="EP81" s="397"/>
      <c r="EQ81" s="397"/>
      <c r="ER81" s="397"/>
      <c r="ES81" s="397"/>
      <c r="ET81" s="397"/>
      <c r="EU81" s="397"/>
      <c r="EV81" s="397"/>
      <c r="EW81" s="397"/>
      <c r="EX81" s="397"/>
      <c r="EY81" s="397"/>
      <c r="EZ81" s="397"/>
      <c r="FA81" s="397"/>
      <c r="FB81" s="397"/>
      <c r="FC81" s="397"/>
      <c r="FD81" s="397"/>
      <c r="FE81" s="397"/>
      <c r="FF81" s="397"/>
      <c r="FG81" s="397"/>
      <c r="FH81" s="397"/>
      <c r="FI81" s="397"/>
      <c r="FJ81" s="397"/>
      <c r="FK81" s="397"/>
      <c r="FL81" s="397"/>
      <c r="FM81" s="397"/>
      <c r="FN81" s="397"/>
      <c r="FO81" s="397"/>
      <c r="FP81" s="397"/>
      <c r="FQ81" s="397"/>
      <c r="FR81" s="397"/>
      <c r="FS81" s="397"/>
      <c r="FT81" s="397"/>
      <c r="FU81" s="397"/>
      <c r="FV81" s="397"/>
      <c r="FW81" s="397"/>
      <c r="FX81" s="397"/>
      <c r="FY81" s="397"/>
      <c r="FZ81" s="397"/>
      <c r="GA81" s="397"/>
      <c r="GB81" s="397"/>
      <c r="GC81" s="397"/>
      <c r="GD81" s="397"/>
      <c r="GE81" s="397"/>
      <c r="GF81" s="397"/>
      <c r="GG81" s="397"/>
      <c r="GH81" s="397"/>
      <c r="GI81" s="397"/>
      <c r="GJ81" s="397"/>
      <c r="GK81" s="397"/>
      <c r="GL81" s="397"/>
      <c r="GM81" s="397"/>
      <c r="GN81" s="397"/>
      <c r="GO81" s="397"/>
      <c r="GP81" s="397"/>
      <c r="GQ81" s="397"/>
      <c r="GR81" s="397"/>
      <c r="GS81" s="397"/>
      <c r="GT81" s="397"/>
      <c r="GU81" s="397"/>
      <c r="GV81" s="397"/>
      <c r="GW81" s="397"/>
      <c r="GX81" s="397"/>
      <c r="GY81" s="397"/>
      <c r="GZ81" s="397"/>
      <c r="HA81" s="397"/>
      <c r="HB81" s="397"/>
      <c r="HC81" s="397"/>
      <c r="HD81" s="397"/>
      <c r="HE81" s="397"/>
      <c r="HF81" s="397"/>
      <c r="HG81" s="397"/>
      <c r="HH81" s="397"/>
      <c r="HI81" s="397"/>
      <c r="HJ81" s="397"/>
      <c r="HK81" s="397"/>
      <c r="HL81" s="397"/>
      <c r="HM81" s="397"/>
      <c r="HN81" s="397"/>
      <c r="HO81" s="397"/>
      <c r="HP81" s="397"/>
      <c r="HQ81" s="397"/>
      <c r="HR81" s="397"/>
      <c r="HS81" s="397"/>
      <c r="HT81" s="397"/>
      <c r="HU81" s="397"/>
      <c r="HV81" s="397"/>
      <c r="HW81" s="397"/>
      <c r="HX81" s="397"/>
      <c r="HY81" s="397"/>
      <c r="HZ81" s="397"/>
      <c r="IA81" s="397"/>
      <c r="IB81" s="397"/>
      <c r="IC81" s="397"/>
      <c r="ID81" s="397"/>
      <c r="IE81" s="397"/>
      <c r="IF81" s="397"/>
      <c r="IG81" s="397"/>
      <c r="IH81" s="397"/>
      <c r="II81" s="397"/>
      <c r="IJ81" s="397"/>
      <c r="IK81" s="397"/>
      <c r="IL81" s="397"/>
      <c r="IM81" s="397"/>
      <c r="IN81" s="397"/>
      <c r="IO81" s="397"/>
      <c r="IP81" s="397"/>
      <c r="IQ81" s="397"/>
      <c r="IR81" s="397"/>
    </row>
    <row r="82" spans="2:252" s="183" customFormat="1" ht="25.15" customHeight="1" x14ac:dyDescent="0.25">
      <c r="B82" s="85">
        <v>43831</v>
      </c>
      <c r="C82" s="184">
        <v>1177276.58</v>
      </c>
      <c r="D82" s="184">
        <f>NetWorth[[#This Row],[Worth]]-C83</f>
        <v>12469.950000000186</v>
      </c>
      <c r="E82" s="1"/>
      <c r="V82" s="397"/>
      <c r="W82" s="397"/>
      <c r="X82" s="397"/>
      <c r="Y82" s="397"/>
      <c r="Z82" s="397"/>
      <c r="AA82" s="397"/>
      <c r="AB82" s="397"/>
      <c r="AC82" s="397"/>
      <c r="AD82" s="397"/>
      <c r="AE82" s="397"/>
      <c r="AF82" s="397"/>
      <c r="AG82" s="397"/>
      <c r="AH82" s="397"/>
      <c r="AI82" s="397"/>
      <c r="AJ82" s="397"/>
      <c r="AK82" s="397"/>
      <c r="AL82" s="397"/>
      <c r="AM82" s="397"/>
      <c r="AN82" s="397"/>
      <c r="AO82" s="397"/>
      <c r="AP82" s="397"/>
      <c r="AQ82" s="397"/>
      <c r="AR82" s="397"/>
      <c r="AS82" s="397"/>
      <c r="AT82" s="397"/>
      <c r="AU82" s="397"/>
      <c r="AV82" s="397"/>
      <c r="AW82" s="397"/>
      <c r="AX82" s="397"/>
      <c r="AY82" s="397"/>
      <c r="AZ82" s="397"/>
      <c r="BA82" s="397"/>
      <c r="BB82" s="397"/>
      <c r="BC82" s="397"/>
      <c r="BD82" s="397"/>
      <c r="BE82" s="397"/>
      <c r="BF82" s="397"/>
      <c r="BG82" s="397"/>
      <c r="BH82" s="397"/>
      <c r="BI82" s="397"/>
      <c r="BJ82" s="397"/>
      <c r="BK82" s="397"/>
      <c r="BL82" s="397"/>
      <c r="BM82" s="397"/>
      <c r="BN82" s="397"/>
      <c r="BO82" s="397"/>
      <c r="BP82" s="397"/>
      <c r="BQ82" s="397"/>
      <c r="BR82" s="397"/>
      <c r="BS82" s="397"/>
      <c r="BT82" s="397"/>
      <c r="BU82" s="397"/>
      <c r="BV82" s="397"/>
      <c r="BW82" s="397"/>
      <c r="BX82" s="397"/>
      <c r="BY82" s="397"/>
      <c r="BZ82" s="397"/>
      <c r="CA82" s="397"/>
      <c r="CB82" s="397"/>
      <c r="CC82" s="397"/>
      <c r="CD82" s="397"/>
      <c r="CE82" s="397"/>
      <c r="CF82" s="397"/>
      <c r="CG82" s="397"/>
      <c r="CH82" s="397"/>
      <c r="CI82" s="397"/>
      <c r="CJ82" s="397"/>
      <c r="CK82" s="397"/>
      <c r="CL82" s="397"/>
      <c r="CM82" s="397"/>
      <c r="CN82" s="397"/>
      <c r="CO82" s="397"/>
      <c r="CP82" s="397"/>
      <c r="CQ82" s="397"/>
      <c r="CR82" s="397"/>
      <c r="CS82" s="397"/>
      <c r="CT82" s="397"/>
      <c r="CU82" s="397"/>
      <c r="CV82" s="397"/>
      <c r="CW82" s="397"/>
      <c r="CX82" s="397"/>
      <c r="CY82" s="397"/>
      <c r="CZ82" s="397"/>
      <c r="DA82" s="397"/>
      <c r="DB82" s="397"/>
      <c r="DC82" s="397"/>
      <c r="DD82" s="397"/>
      <c r="DE82" s="397"/>
      <c r="DF82" s="397"/>
      <c r="DG82" s="397"/>
      <c r="DH82" s="397"/>
      <c r="DI82" s="397"/>
      <c r="DJ82" s="397"/>
      <c r="DK82" s="397"/>
      <c r="DL82" s="397"/>
      <c r="DM82" s="397"/>
      <c r="DN82" s="397"/>
      <c r="DO82" s="397"/>
      <c r="DP82" s="397"/>
      <c r="DQ82" s="397"/>
      <c r="DR82" s="397"/>
      <c r="DS82" s="397"/>
      <c r="DT82" s="397"/>
      <c r="DU82" s="397"/>
      <c r="DV82" s="397"/>
      <c r="DW82" s="397"/>
      <c r="DX82" s="397"/>
      <c r="DY82" s="397"/>
      <c r="DZ82" s="397"/>
      <c r="EA82" s="397"/>
      <c r="EB82" s="397"/>
      <c r="EC82" s="397"/>
      <c r="ED82" s="397"/>
      <c r="EE82" s="397"/>
      <c r="EF82" s="397"/>
      <c r="EG82" s="397"/>
      <c r="EH82" s="397"/>
      <c r="EI82" s="397"/>
      <c r="EJ82" s="397"/>
      <c r="EK82" s="397"/>
      <c r="EL82" s="397"/>
      <c r="EM82" s="397"/>
      <c r="EN82" s="397"/>
      <c r="EO82" s="397"/>
      <c r="EP82" s="397"/>
      <c r="EQ82" s="397"/>
      <c r="ER82" s="397"/>
      <c r="ES82" s="397"/>
      <c r="ET82" s="397"/>
      <c r="EU82" s="397"/>
      <c r="EV82" s="397"/>
      <c r="EW82" s="397"/>
      <c r="EX82" s="397"/>
      <c r="EY82" s="397"/>
      <c r="EZ82" s="397"/>
      <c r="FA82" s="397"/>
      <c r="FB82" s="397"/>
      <c r="FC82" s="397"/>
      <c r="FD82" s="397"/>
      <c r="FE82" s="397"/>
      <c r="FF82" s="397"/>
      <c r="FG82" s="397"/>
      <c r="FH82" s="397"/>
      <c r="FI82" s="397"/>
      <c r="FJ82" s="397"/>
      <c r="FK82" s="397"/>
      <c r="FL82" s="397"/>
      <c r="FM82" s="397"/>
      <c r="FN82" s="397"/>
      <c r="FO82" s="397"/>
      <c r="FP82" s="397"/>
      <c r="FQ82" s="397"/>
      <c r="FR82" s="397"/>
      <c r="FS82" s="397"/>
      <c r="FT82" s="397"/>
      <c r="FU82" s="397"/>
      <c r="FV82" s="397"/>
      <c r="FW82" s="397"/>
      <c r="FX82" s="397"/>
      <c r="FY82" s="397"/>
      <c r="FZ82" s="397"/>
      <c r="GA82" s="397"/>
      <c r="GB82" s="397"/>
      <c r="GC82" s="397"/>
      <c r="GD82" s="397"/>
      <c r="GE82" s="397"/>
      <c r="GF82" s="397"/>
      <c r="GG82" s="397"/>
      <c r="GH82" s="397"/>
      <c r="GI82" s="397"/>
      <c r="GJ82" s="397"/>
      <c r="GK82" s="397"/>
      <c r="GL82" s="397"/>
      <c r="GM82" s="397"/>
      <c r="GN82" s="397"/>
      <c r="GO82" s="397"/>
      <c r="GP82" s="397"/>
      <c r="GQ82" s="397"/>
      <c r="GR82" s="397"/>
      <c r="GS82" s="397"/>
      <c r="GT82" s="397"/>
      <c r="GU82" s="397"/>
      <c r="GV82" s="397"/>
      <c r="GW82" s="397"/>
      <c r="GX82" s="397"/>
      <c r="GY82" s="397"/>
      <c r="GZ82" s="397"/>
      <c r="HA82" s="397"/>
      <c r="HB82" s="397"/>
      <c r="HC82" s="397"/>
      <c r="HD82" s="397"/>
      <c r="HE82" s="397"/>
      <c r="HF82" s="397"/>
      <c r="HG82" s="397"/>
      <c r="HH82" s="397"/>
      <c r="HI82" s="397"/>
      <c r="HJ82" s="397"/>
      <c r="HK82" s="397"/>
      <c r="HL82" s="397"/>
      <c r="HM82" s="397"/>
      <c r="HN82" s="397"/>
      <c r="HO82" s="397"/>
      <c r="HP82" s="397"/>
      <c r="HQ82" s="397"/>
      <c r="HR82" s="397"/>
      <c r="HS82" s="397"/>
      <c r="HT82" s="397"/>
      <c r="HU82" s="397"/>
      <c r="HV82" s="397"/>
      <c r="HW82" s="397"/>
      <c r="HX82" s="397"/>
      <c r="HY82" s="397"/>
      <c r="HZ82" s="397"/>
      <c r="IA82" s="397"/>
      <c r="IB82" s="397"/>
      <c r="IC82" s="397"/>
      <c r="ID82" s="397"/>
      <c r="IE82" s="397"/>
      <c r="IF82" s="397"/>
      <c r="IG82" s="397"/>
      <c r="IH82" s="397"/>
      <c r="II82" s="397"/>
      <c r="IJ82" s="397"/>
      <c r="IK82" s="397"/>
      <c r="IL82" s="397"/>
      <c r="IM82" s="397"/>
      <c r="IN82" s="397"/>
      <c r="IO82" s="397"/>
      <c r="IP82" s="397"/>
      <c r="IQ82" s="397"/>
      <c r="IR82" s="397"/>
    </row>
    <row r="83" spans="2:252" s="183" customFormat="1" ht="25.15" customHeight="1" x14ac:dyDescent="0.25">
      <c r="B83" s="85">
        <v>43800</v>
      </c>
      <c r="C83" s="184">
        <v>1164806.6299999999</v>
      </c>
      <c r="D83" s="184">
        <f>NetWorth[[#This Row],[Worth]]-C84</f>
        <v>6659.2399999997579</v>
      </c>
      <c r="E83" s="1"/>
      <c r="V83" s="397"/>
      <c r="W83" s="397"/>
      <c r="X83" s="397"/>
      <c r="Y83" s="397"/>
      <c r="Z83" s="397"/>
      <c r="AA83" s="397"/>
      <c r="AB83" s="397"/>
      <c r="AC83" s="397"/>
      <c r="AD83" s="397"/>
      <c r="AE83" s="397"/>
      <c r="AF83" s="397"/>
      <c r="AG83" s="397"/>
      <c r="AH83" s="397"/>
      <c r="AI83" s="397"/>
      <c r="AJ83" s="397"/>
      <c r="AK83" s="397"/>
      <c r="AL83" s="397"/>
      <c r="AM83" s="397"/>
      <c r="AN83" s="397"/>
      <c r="AO83" s="397"/>
      <c r="AP83" s="397"/>
      <c r="AQ83" s="397"/>
      <c r="AR83" s="397"/>
      <c r="AS83" s="397"/>
      <c r="AT83" s="397"/>
      <c r="AU83" s="397"/>
      <c r="AV83" s="397"/>
      <c r="AW83" s="397"/>
      <c r="AX83" s="397"/>
      <c r="AY83" s="397"/>
      <c r="AZ83" s="397"/>
      <c r="BA83" s="397"/>
      <c r="BB83" s="397"/>
      <c r="BC83" s="397"/>
      <c r="BD83" s="397"/>
      <c r="BE83" s="397"/>
      <c r="BF83" s="397"/>
      <c r="BG83" s="397"/>
      <c r="BH83" s="397"/>
      <c r="BI83" s="397"/>
      <c r="BJ83" s="397"/>
      <c r="BK83" s="397"/>
      <c r="BL83" s="397"/>
      <c r="BM83" s="397"/>
      <c r="BN83" s="397"/>
      <c r="BO83" s="397"/>
      <c r="BP83" s="397"/>
      <c r="BQ83" s="397"/>
      <c r="BR83" s="397"/>
      <c r="BS83" s="397"/>
      <c r="BT83" s="397"/>
      <c r="BU83" s="397"/>
      <c r="BV83" s="397"/>
      <c r="BW83" s="397"/>
      <c r="BX83" s="397"/>
      <c r="BY83" s="397"/>
      <c r="BZ83" s="397"/>
      <c r="CA83" s="397"/>
      <c r="CB83" s="397"/>
      <c r="CC83" s="397"/>
      <c r="CD83" s="397"/>
      <c r="CE83" s="397"/>
      <c r="CF83" s="397"/>
      <c r="CG83" s="397"/>
      <c r="CH83" s="397"/>
      <c r="CI83" s="397"/>
      <c r="CJ83" s="397"/>
      <c r="CK83" s="397"/>
      <c r="CL83" s="397"/>
      <c r="CM83" s="397"/>
      <c r="CN83" s="397"/>
      <c r="CO83" s="397"/>
      <c r="CP83" s="397"/>
      <c r="CQ83" s="397"/>
      <c r="CR83" s="397"/>
      <c r="CS83" s="397"/>
      <c r="CT83" s="397"/>
      <c r="CU83" s="397"/>
      <c r="CV83" s="397"/>
      <c r="CW83" s="397"/>
      <c r="CX83" s="397"/>
      <c r="CY83" s="397"/>
      <c r="CZ83" s="397"/>
      <c r="DA83" s="397"/>
      <c r="DB83" s="397"/>
      <c r="DC83" s="397"/>
      <c r="DD83" s="397"/>
      <c r="DE83" s="397"/>
      <c r="DF83" s="397"/>
      <c r="DG83" s="397"/>
      <c r="DH83" s="397"/>
      <c r="DI83" s="397"/>
      <c r="DJ83" s="397"/>
      <c r="DK83" s="397"/>
      <c r="DL83" s="397"/>
      <c r="DM83" s="397"/>
      <c r="DN83" s="397"/>
      <c r="DO83" s="397"/>
      <c r="DP83" s="397"/>
      <c r="DQ83" s="397"/>
      <c r="DR83" s="397"/>
      <c r="DS83" s="397"/>
      <c r="DT83" s="397"/>
      <c r="DU83" s="397"/>
      <c r="DV83" s="397"/>
      <c r="DW83" s="397"/>
      <c r="DX83" s="397"/>
      <c r="DY83" s="397"/>
      <c r="DZ83" s="397"/>
      <c r="EA83" s="397"/>
      <c r="EB83" s="397"/>
      <c r="EC83" s="397"/>
      <c r="ED83" s="397"/>
      <c r="EE83" s="397"/>
      <c r="EF83" s="397"/>
      <c r="EG83" s="397"/>
      <c r="EH83" s="397"/>
      <c r="EI83" s="397"/>
      <c r="EJ83" s="397"/>
      <c r="EK83" s="397"/>
      <c r="EL83" s="397"/>
      <c r="EM83" s="397"/>
      <c r="EN83" s="397"/>
      <c r="EO83" s="397"/>
      <c r="EP83" s="397"/>
      <c r="EQ83" s="397"/>
      <c r="ER83" s="397"/>
      <c r="ES83" s="397"/>
      <c r="ET83" s="397"/>
      <c r="EU83" s="397"/>
      <c r="EV83" s="397"/>
      <c r="EW83" s="397"/>
      <c r="EX83" s="397"/>
      <c r="EY83" s="397"/>
      <c r="EZ83" s="397"/>
      <c r="FA83" s="397"/>
      <c r="FB83" s="397"/>
      <c r="FC83" s="397"/>
      <c r="FD83" s="397"/>
      <c r="FE83" s="397"/>
      <c r="FF83" s="397"/>
      <c r="FG83" s="397"/>
      <c r="FH83" s="397"/>
      <c r="FI83" s="397"/>
      <c r="FJ83" s="397"/>
      <c r="FK83" s="397"/>
      <c r="FL83" s="397"/>
      <c r="FM83" s="397"/>
      <c r="FN83" s="397"/>
      <c r="FO83" s="397"/>
      <c r="FP83" s="397"/>
      <c r="FQ83" s="397"/>
      <c r="FR83" s="397"/>
      <c r="FS83" s="397"/>
      <c r="FT83" s="397"/>
      <c r="FU83" s="397"/>
      <c r="FV83" s="397"/>
      <c r="FW83" s="397"/>
      <c r="FX83" s="397"/>
      <c r="FY83" s="397"/>
      <c r="FZ83" s="397"/>
      <c r="GA83" s="397"/>
      <c r="GB83" s="397"/>
      <c r="GC83" s="397"/>
      <c r="GD83" s="397"/>
      <c r="GE83" s="397"/>
      <c r="GF83" s="397"/>
      <c r="GG83" s="397"/>
      <c r="GH83" s="397"/>
      <c r="GI83" s="397"/>
      <c r="GJ83" s="397"/>
      <c r="GK83" s="397"/>
      <c r="GL83" s="397"/>
      <c r="GM83" s="397"/>
      <c r="GN83" s="397"/>
      <c r="GO83" s="397"/>
      <c r="GP83" s="397"/>
      <c r="GQ83" s="397"/>
      <c r="GR83" s="397"/>
      <c r="GS83" s="397"/>
      <c r="GT83" s="397"/>
      <c r="GU83" s="397"/>
      <c r="GV83" s="397"/>
      <c r="GW83" s="397"/>
      <c r="GX83" s="397"/>
      <c r="GY83" s="397"/>
      <c r="GZ83" s="397"/>
      <c r="HA83" s="397"/>
      <c r="HB83" s="397"/>
      <c r="HC83" s="397"/>
      <c r="HD83" s="397"/>
      <c r="HE83" s="397"/>
      <c r="HF83" s="397"/>
      <c r="HG83" s="397"/>
      <c r="HH83" s="397"/>
      <c r="HI83" s="397"/>
      <c r="HJ83" s="397"/>
      <c r="HK83" s="397"/>
      <c r="HL83" s="397"/>
      <c r="HM83" s="397"/>
      <c r="HN83" s="397"/>
      <c r="HO83" s="397"/>
      <c r="HP83" s="397"/>
      <c r="HQ83" s="397"/>
      <c r="HR83" s="397"/>
      <c r="HS83" s="397"/>
      <c r="HT83" s="397"/>
      <c r="HU83" s="397"/>
      <c r="HV83" s="397"/>
      <c r="HW83" s="397"/>
      <c r="HX83" s="397"/>
      <c r="HY83" s="397"/>
      <c r="HZ83" s="397"/>
      <c r="IA83" s="397"/>
      <c r="IB83" s="397"/>
      <c r="IC83" s="397"/>
      <c r="ID83" s="397"/>
      <c r="IE83" s="397"/>
      <c r="IF83" s="397"/>
      <c r="IG83" s="397"/>
      <c r="IH83" s="397"/>
      <c r="II83" s="397"/>
      <c r="IJ83" s="397"/>
      <c r="IK83" s="397"/>
      <c r="IL83" s="397"/>
      <c r="IM83" s="397"/>
      <c r="IN83" s="397"/>
      <c r="IO83" s="397"/>
      <c r="IP83" s="397"/>
      <c r="IQ83" s="397"/>
      <c r="IR83" s="397"/>
    </row>
    <row r="84" spans="2:252" s="183" customFormat="1" ht="25.15" customHeight="1" x14ac:dyDescent="0.25">
      <c r="B84" s="85">
        <v>43770</v>
      </c>
      <c r="C84" s="184">
        <v>1158147.3900000001</v>
      </c>
      <c r="D84" s="184">
        <f>NetWorth[[#This Row],[Worth]]-C85</f>
        <v>14911.950000000186</v>
      </c>
      <c r="E84" s="1"/>
      <c r="V84" s="397"/>
      <c r="W84" s="397"/>
      <c r="X84" s="397"/>
      <c r="Y84" s="397"/>
      <c r="Z84" s="397"/>
      <c r="AA84" s="397"/>
      <c r="AB84" s="397"/>
      <c r="AC84" s="397"/>
      <c r="AD84" s="397"/>
      <c r="AE84" s="397"/>
      <c r="AF84" s="397"/>
      <c r="AG84" s="397"/>
      <c r="AH84" s="397"/>
      <c r="AI84" s="397"/>
      <c r="AJ84" s="397"/>
      <c r="AK84" s="397"/>
      <c r="AL84" s="397"/>
      <c r="AM84" s="397"/>
      <c r="AN84" s="397"/>
      <c r="AO84" s="397"/>
      <c r="AP84" s="397"/>
      <c r="AQ84" s="397"/>
      <c r="AR84" s="397"/>
      <c r="AS84" s="397"/>
      <c r="AT84" s="397"/>
      <c r="AU84" s="397"/>
      <c r="AV84" s="397"/>
      <c r="AW84" s="397"/>
      <c r="AX84" s="397"/>
      <c r="AY84" s="397"/>
      <c r="AZ84" s="397"/>
      <c r="BA84" s="397"/>
      <c r="BB84" s="397"/>
      <c r="BC84" s="397"/>
      <c r="BD84" s="397"/>
      <c r="BE84" s="397"/>
      <c r="BF84" s="397"/>
      <c r="BG84" s="397"/>
      <c r="BH84" s="397"/>
      <c r="BI84" s="397"/>
      <c r="BJ84" s="397"/>
      <c r="BK84" s="397"/>
      <c r="BL84" s="397"/>
      <c r="BM84" s="397"/>
      <c r="BN84" s="397"/>
      <c r="BO84" s="397"/>
      <c r="BP84" s="397"/>
      <c r="BQ84" s="397"/>
      <c r="BR84" s="397"/>
      <c r="BS84" s="397"/>
      <c r="BT84" s="397"/>
      <c r="BU84" s="397"/>
      <c r="BV84" s="397"/>
      <c r="BW84" s="397"/>
      <c r="BX84" s="397"/>
      <c r="BY84" s="397"/>
      <c r="BZ84" s="397"/>
      <c r="CA84" s="397"/>
      <c r="CB84" s="397"/>
      <c r="CC84" s="397"/>
      <c r="CD84" s="397"/>
      <c r="CE84" s="397"/>
      <c r="CF84" s="397"/>
      <c r="CG84" s="397"/>
      <c r="CH84" s="397"/>
      <c r="CI84" s="397"/>
      <c r="CJ84" s="397"/>
      <c r="CK84" s="397"/>
      <c r="CL84" s="397"/>
      <c r="CM84" s="397"/>
      <c r="CN84" s="397"/>
      <c r="CO84" s="397"/>
      <c r="CP84" s="397"/>
      <c r="CQ84" s="397"/>
      <c r="CR84" s="397"/>
      <c r="CS84" s="397"/>
      <c r="CT84" s="397"/>
      <c r="CU84" s="397"/>
      <c r="CV84" s="397"/>
      <c r="CW84" s="397"/>
      <c r="CX84" s="397"/>
      <c r="CY84" s="397"/>
      <c r="CZ84" s="397"/>
      <c r="DA84" s="397"/>
      <c r="DB84" s="397"/>
      <c r="DC84" s="397"/>
      <c r="DD84" s="397"/>
      <c r="DE84" s="397"/>
      <c r="DF84" s="397"/>
      <c r="DG84" s="397"/>
      <c r="DH84" s="397"/>
      <c r="DI84" s="397"/>
      <c r="DJ84" s="397"/>
      <c r="DK84" s="397"/>
      <c r="DL84" s="397"/>
      <c r="DM84" s="397"/>
      <c r="DN84" s="397"/>
      <c r="DO84" s="397"/>
      <c r="DP84" s="397"/>
      <c r="DQ84" s="397"/>
      <c r="DR84" s="397"/>
      <c r="DS84" s="397"/>
      <c r="DT84" s="397"/>
      <c r="DU84" s="397"/>
      <c r="DV84" s="397"/>
      <c r="DW84" s="397"/>
      <c r="DX84" s="397"/>
      <c r="DY84" s="397"/>
      <c r="DZ84" s="397"/>
      <c r="EA84" s="397"/>
      <c r="EB84" s="397"/>
      <c r="EC84" s="397"/>
      <c r="ED84" s="397"/>
      <c r="EE84" s="397"/>
      <c r="EF84" s="397"/>
      <c r="EG84" s="397"/>
      <c r="EH84" s="397"/>
      <c r="EI84" s="397"/>
      <c r="EJ84" s="397"/>
      <c r="EK84" s="397"/>
      <c r="EL84" s="397"/>
      <c r="EM84" s="397"/>
      <c r="EN84" s="397"/>
      <c r="EO84" s="397"/>
      <c r="EP84" s="397"/>
      <c r="EQ84" s="397"/>
      <c r="ER84" s="397"/>
      <c r="ES84" s="397"/>
      <c r="ET84" s="397"/>
      <c r="EU84" s="397"/>
      <c r="EV84" s="397"/>
      <c r="EW84" s="397"/>
      <c r="EX84" s="397"/>
      <c r="EY84" s="397"/>
      <c r="EZ84" s="397"/>
      <c r="FA84" s="397"/>
      <c r="FB84" s="397"/>
      <c r="FC84" s="397"/>
      <c r="FD84" s="397"/>
      <c r="FE84" s="397"/>
      <c r="FF84" s="397"/>
      <c r="FG84" s="397"/>
      <c r="FH84" s="397"/>
      <c r="FI84" s="397"/>
      <c r="FJ84" s="397"/>
      <c r="FK84" s="397"/>
      <c r="FL84" s="397"/>
      <c r="FM84" s="397"/>
      <c r="FN84" s="397"/>
      <c r="FO84" s="397"/>
      <c r="FP84" s="397"/>
      <c r="FQ84" s="397"/>
      <c r="FR84" s="397"/>
      <c r="FS84" s="397"/>
      <c r="FT84" s="397"/>
      <c r="FU84" s="397"/>
      <c r="FV84" s="397"/>
      <c r="FW84" s="397"/>
      <c r="FX84" s="397"/>
      <c r="FY84" s="397"/>
      <c r="FZ84" s="397"/>
      <c r="GA84" s="397"/>
      <c r="GB84" s="397"/>
      <c r="GC84" s="397"/>
      <c r="GD84" s="397"/>
      <c r="GE84" s="397"/>
      <c r="GF84" s="397"/>
      <c r="GG84" s="397"/>
      <c r="GH84" s="397"/>
      <c r="GI84" s="397"/>
      <c r="GJ84" s="397"/>
      <c r="GK84" s="397"/>
      <c r="GL84" s="397"/>
      <c r="GM84" s="397"/>
      <c r="GN84" s="397"/>
      <c r="GO84" s="397"/>
      <c r="GP84" s="397"/>
      <c r="GQ84" s="397"/>
      <c r="GR84" s="397"/>
      <c r="GS84" s="397"/>
      <c r="GT84" s="397"/>
      <c r="GU84" s="397"/>
      <c r="GV84" s="397"/>
      <c r="GW84" s="397"/>
      <c r="GX84" s="397"/>
      <c r="GY84" s="397"/>
      <c r="GZ84" s="397"/>
      <c r="HA84" s="397"/>
      <c r="HB84" s="397"/>
      <c r="HC84" s="397"/>
      <c r="HD84" s="397"/>
      <c r="HE84" s="397"/>
      <c r="HF84" s="397"/>
      <c r="HG84" s="397"/>
      <c r="HH84" s="397"/>
      <c r="HI84" s="397"/>
      <c r="HJ84" s="397"/>
      <c r="HK84" s="397"/>
      <c r="HL84" s="397"/>
      <c r="HM84" s="397"/>
      <c r="HN84" s="397"/>
      <c r="HO84" s="397"/>
      <c r="HP84" s="397"/>
      <c r="HQ84" s="397"/>
      <c r="HR84" s="397"/>
      <c r="HS84" s="397"/>
      <c r="HT84" s="397"/>
      <c r="HU84" s="397"/>
      <c r="HV84" s="397"/>
      <c r="HW84" s="397"/>
      <c r="HX84" s="397"/>
      <c r="HY84" s="397"/>
      <c r="HZ84" s="397"/>
      <c r="IA84" s="397"/>
      <c r="IB84" s="397"/>
      <c r="IC84" s="397"/>
      <c r="ID84" s="397"/>
      <c r="IE84" s="397"/>
      <c r="IF84" s="397"/>
      <c r="IG84" s="397"/>
      <c r="IH84" s="397"/>
      <c r="II84" s="397"/>
      <c r="IJ84" s="397"/>
      <c r="IK84" s="397"/>
      <c r="IL84" s="397"/>
      <c r="IM84" s="397"/>
      <c r="IN84" s="397"/>
      <c r="IO84" s="397"/>
      <c r="IP84" s="397"/>
      <c r="IQ84" s="397"/>
      <c r="IR84" s="397"/>
    </row>
    <row r="85" spans="2:252" s="183" customFormat="1" ht="25.15" customHeight="1" x14ac:dyDescent="0.25">
      <c r="B85" s="85">
        <v>43739</v>
      </c>
      <c r="C85" s="184">
        <v>1143235.44</v>
      </c>
      <c r="D85" s="184">
        <f>NetWorth[[#This Row],[Worth]]-C86</f>
        <v>-24344.084935999941</v>
      </c>
      <c r="E85" s="1"/>
      <c r="V85" s="397"/>
      <c r="W85" s="397"/>
      <c r="X85" s="397"/>
      <c r="Y85" s="397"/>
      <c r="Z85" s="397"/>
      <c r="AA85" s="397"/>
      <c r="AB85" s="397"/>
      <c r="AC85" s="397"/>
      <c r="AD85" s="397"/>
      <c r="AE85" s="397"/>
      <c r="AF85" s="397"/>
      <c r="AG85" s="397"/>
      <c r="AH85" s="397"/>
      <c r="AI85" s="397"/>
      <c r="AJ85" s="397"/>
      <c r="AK85" s="397"/>
      <c r="AL85" s="397"/>
      <c r="AM85" s="397"/>
      <c r="AN85" s="397"/>
      <c r="AO85" s="397"/>
      <c r="AP85" s="397"/>
      <c r="AQ85" s="397"/>
      <c r="AR85" s="397"/>
      <c r="AS85" s="397"/>
      <c r="AT85" s="397"/>
      <c r="AU85" s="397"/>
      <c r="AV85" s="397"/>
      <c r="AW85" s="397"/>
      <c r="AX85" s="397"/>
      <c r="AY85" s="397"/>
      <c r="AZ85" s="397"/>
      <c r="BA85" s="397"/>
      <c r="BB85" s="397"/>
      <c r="BC85" s="397"/>
      <c r="BD85" s="397"/>
      <c r="BE85" s="397"/>
      <c r="BF85" s="397"/>
      <c r="BG85" s="397"/>
      <c r="BH85" s="397"/>
      <c r="BI85" s="397"/>
      <c r="BJ85" s="397"/>
      <c r="BK85" s="397"/>
      <c r="BL85" s="397"/>
      <c r="BM85" s="397"/>
      <c r="BN85" s="397"/>
      <c r="BO85" s="397"/>
      <c r="BP85" s="397"/>
      <c r="BQ85" s="397"/>
      <c r="BR85" s="397"/>
      <c r="BS85" s="397"/>
      <c r="BT85" s="397"/>
      <c r="BU85" s="397"/>
      <c r="BV85" s="397"/>
      <c r="BW85" s="397"/>
      <c r="BX85" s="397"/>
      <c r="BY85" s="397"/>
      <c r="BZ85" s="397"/>
      <c r="CA85" s="397"/>
      <c r="CB85" s="397"/>
      <c r="CC85" s="397"/>
      <c r="CD85" s="397"/>
      <c r="CE85" s="397"/>
      <c r="CF85" s="397"/>
      <c r="CG85" s="397"/>
      <c r="CH85" s="397"/>
      <c r="CI85" s="397"/>
      <c r="CJ85" s="397"/>
      <c r="CK85" s="397"/>
      <c r="CL85" s="397"/>
      <c r="CM85" s="397"/>
      <c r="CN85" s="397"/>
      <c r="CO85" s="397"/>
      <c r="CP85" s="397"/>
      <c r="CQ85" s="397"/>
      <c r="CR85" s="397"/>
      <c r="CS85" s="397"/>
      <c r="CT85" s="397"/>
      <c r="CU85" s="397"/>
      <c r="CV85" s="397"/>
      <c r="CW85" s="397"/>
      <c r="CX85" s="397"/>
      <c r="CY85" s="397"/>
      <c r="CZ85" s="397"/>
      <c r="DA85" s="397"/>
      <c r="DB85" s="397"/>
      <c r="DC85" s="397"/>
      <c r="DD85" s="397"/>
      <c r="DE85" s="397"/>
      <c r="DF85" s="397"/>
      <c r="DG85" s="397"/>
      <c r="DH85" s="397"/>
      <c r="DI85" s="397"/>
      <c r="DJ85" s="397"/>
      <c r="DK85" s="397"/>
      <c r="DL85" s="397"/>
      <c r="DM85" s="397"/>
      <c r="DN85" s="397"/>
      <c r="DO85" s="397"/>
      <c r="DP85" s="397"/>
      <c r="DQ85" s="397"/>
      <c r="DR85" s="397"/>
      <c r="DS85" s="397"/>
      <c r="DT85" s="397"/>
      <c r="DU85" s="397"/>
      <c r="DV85" s="397"/>
      <c r="DW85" s="397"/>
      <c r="DX85" s="397"/>
      <c r="DY85" s="397"/>
      <c r="DZ85" s="397"/>
      <c r="EA85" s="397"/>
      <c r="EB85" s="397"/>
      <c r="EC85" s="397"/>
      <c r="ED85" s="397"/>
      <c r="EE85" s="397"/>
      <c r="EF85" s="397"/>
      <c r="EG85" s="397"/>
      <c r="EH85" s="397"/>
      <c r="EI85" s="397"/>
      <c r="EJ85" s="397"/>
      <c r="EK85" s="397"/>
      <c r="EL85" s="397"/>
      <c r="EM85" s="397"/>
      <c r="EN85" s="397"/>
      <c r="EO85" s="397"/>
      <c r="EP85" s="397"/>
      <c r="EQ85" s="397"/>
      <c r="ER85" s="397"/>
      <c r="ES85" s="397"/>
      <c r="ET85" s="397"/>
      <c r="EU85" s="397"/>
      <c r="EV85" s="397"/>
      <c r="EW85" s="397"/>
      <c r="EX85" s="397"/>
      <c r="EY85" s="397"/>
      <c r="EZ85" s="397"/>
      <c r="FA85" s="397"/>
      <c r="FB85" s="397"/>
      <c r="FC85" s="397"/>
      <c r="FD85" s="397"/>
      <c r="FE85" s="397"/>
      <c r="FF85" s="397"/>
      <c r="FG85" s="397"/>
      <c r="FH85" s="397"/>
      <c r="FI85" s="397"/>
      <c r="FJ85" s="397"/>
      <c r="FK85" s="397"/>
      <c r="FL85" s="397"/>
      <c r="FM85" s="397"/>
      <c r="FN85" s="397"/>
      <c r="FO85" s="397"/>
      <c r="FP85" s="397"/>
      <c r="FQ85" s="397"/>
      <c r="FR85" s="397"/>
      <c r="FS85" s="397"/>
      <c r="FT85" s="397"/>
      <c r="FU85" s="397"/>
      <c r="FV85" s="397"/>
      <c r="FW85" s="397"/>
      <c r="FX85" s="397"/>
      <c r="FY85" s="397"/>
      <c r="FZ85" s="397"/>
      <c r="GA85" s="397"/>
      <c r="GB85" s="397"/>
      <c r="GC85" s="397"/>
      <c r="GD85" s="397"/>
      <c r="GE85" s="397"/>
      <c r="GF85" s="397"/>
      <c r="GG85" s="397"/>
      <c r="GH85" s="397"/>
      <c r="GI85" s="397"/>
      <c r="GJ85" s="397"/>
      <c r="GK85" s="397"/>
      <c r="GL85" s="397"/>
      <c r="GM85" s="397"/>
      <c r="GN85" s="397"/>
      <c r="GO85" s="397"/>
      <c r="GP85" s="397"/>
      <c r="GQ85" s="397"/>
      <c r="GR85" s="397"/>
      <c r="GS85" s="397"/>
      <c r="GT85" s="397"/>
      <c r="GU85" s="397"/>
      <c r="GV85" s="397"/>
      <c r="GW85" s="397"/>
      <c r="GX85" s="397"/>
      <c r="GY85" s="397"/>
      <c r="GZ85" s="397"/>
      <c r="HA85" s="397"/>
      <c r="HB85" s="397"/>
      <c r="HC85" s="397"/>
      <c r="HD85" s="397"/>
      <c r="HE85" s="397"/>
      <c r="HF85" s="397"/>
      <c r="HG85" s="397"/>
      <c r="HH85" s="397"/>
      <c r="HI85" s="397"/>
      <c r="HJ85" s="397"/>
      <c r="HK85" s="397"/>
      <c r="HL85" s="397"/>
      <c r="HM85" s="397"/>
      <c r="HN85" s="397"/>
      <c r="HO85" s="397"/>
      <c r="HP85" s="397"/>
      <c r="HQ85" s="397"/>
      <c r="HR85" s="397"/>
      <c r="HS85" s="397"/>
      <c r="HT85" s="397"/>
      <c r="HU85" s="397"/>
      <c r="HV85" s="397"/>
      <c r="HW85" s="397"/>
      <c r="HX85" s="397"/>
      <c r="HY85" s="397"/>
      <c r="HZ85" s="397"/>
      <c r="IA85" s="397"/>
      <c r="IB85" s="397"/>
      <c r="IC85" s="397"/>
      <c r="ID85" s="397"/>
      <c r="IE85" s="397"/>
      <c r="IF85" s="397"/>
      <c r="IG85" s="397"/>
      <c r="IH85" s="397"/>
      <c r="II85" s="397"/>
      <c r="IJ85" s="397"/>
      <c r="IK85" s="397"/>
      <c r="IL85" s="397"/>
      <c r="IM85" s="397"/>
      <c r="IN85" s="397"/>
      <c r="IO85" s="397"/>
      <c r="IP85" s="397"/>
      <c r="IQ85" s="397"/>
      <c r="IR85" s="397"/>
    </row>
    <row r="86" spans="2:252" s="183" customFormat="1" ht="25.15" customHeight="1" x14ac:dyDescent="0.25">
      <c r="B86" s="85">
        <v>43709</v>
      </c>
      <c r="C86" s="184">
        <v>1167579.5249359999</v>
      </c>
      <c r="D86" s="184">
        <f>NetWorth[[#This Row],[Worth]]-C87</f>
        <v>12440.750366999768</v>
      </c>
      <c r="E86" s="1" t="s">
        <v>245</v>
      </c>
      <c r="V86" s="397"/>
      <c r="W86" s="397"/>
      <c r="X86" s="397"/>
      <c r="Y86" s="397"/>
      <c r="Z86" s="397"/>
      <c r="AA86" s="397"/>
      <c r="AB86" s="397"/>
      <c r="AC86" s="397"/>
      <c r="AD86" s="397"/>
      <c r="AE86" s="397"/>
      <c r="AF86" s="397"/>
      <c r="AG86" s="397"/>
      <c r="AH86" s="397"/>
      <c r="AI86" s="397"/>
      <c r="AJ86" s="397"/>
      <c r="AK86" s="397"/>
      <c r="AL86" s="397"/>
      <c r="AM86" s="397"/>
      <c r="AN86" s="397"/>
      <c r="AO86" s="397"/>
      <c r="AP86" s="397"/>
      <c r="AQ86" s="397"/>
      <c r="AR86" s="397"/>
      <c r="AS86" s="397"/>
      <c r="AT86" s="397"/>
      <c r="AU86" s="397"/>
      <c r="AV86" s="397"/>
      <c r="AW86" s="397"/>
      <c r="AX86" s="397"/>
      <c r="AY86" s="397"/>
      <c r="AZ86" s="397"/>
      <c r="BA86" s="397"/>
      <c r="BB86" s="397"/>
      <c r="BC86" s="397"/>
      <c r="BD86" s="397"/>
      <c r="BE86" s="397"/>
      <c r="BF86" s="397"/>
      <c r="BG86" s="397"/>
      <c r="BH86" s="397"/>
      <c r="BI86" s="397"/>
      <c r="BJ86" s="397"/>
      <c r="BK86" s="397"/>
      <c r="BL86" s="397"/>
      <c r="BM86" s="397"/>
      <c r="BN86" s="397"/>
      <c r="BO86" s="397"/>
      <c r="BP86" s="397"/>
      <c r="BQ86" s="397"/>
      <c r="BR86" s="397"/>
      <c r="BS86" s="397"/>
      <c r="BT86" s="397"/>
      <c r="BU86" s="397"/>
      <c r="BV86" s="397"/>
      <c r="BW86" s="397"/>
      <c r="BX86" s="397"/>
      <c r="BY86" s="397"/>
      <c r="BZ86" s="397"/>
      <c r="CA86" s="397"/>
      <c r="CB86" s="397"/>
      <c r="CC86" s="397"/>
      <c r="CD86" s="397"/>
      <c r="CE86" s="397"/>
      <c r="CF86" s="397"/>
      <c r="CG86" s="397"/>
      <c r="CH86" s="397"/>
      <c r="CI86" s="397"/>
      <c r="CJ86" s="397"/>
      <c r="CK86" s="397"/>
      <c r="CL86" s="397"/>
      <c r="CM86" s="397"/>
      <c r="CN86" s="397"/>
      <c r="CO86" s="397"/>
      <c r="CP86" s="397"/>
      <c r="CQ86" s="397"/>
      <c r="CR86" s="397"/>
      <c r="CS86" s="397"/>
      <c r="CT86" s="397"/>
      <c r="CU86" s="397"/>
      <c r="CV86" s="397"/>
      <c r="CW86" s="397"/>
      <c r="CX86" s="397"/>
      <c r="CY86" s="397"/>
      <c r="CZ86" s="397"/>
      <c r="DA86" s="397"/>
      <c r="DB86" s="397"/>
      <c r="DC86" s="397"/>
      <c r="DD86" s="397"/>
      <c r="DE86" s="397"/>
      <c r="DF86" s="397"/>
      <c r="DG86" s="397"/>
      <c r="DH86" s="397"/>
      <c r="DI86" s="397"/>
      <c r="DJ86" s="397"/>
      <c r="DK86" s="397"/>
      <c r="DL86" s="397"/>
      <c r="DM86" s="397"/>
      <c r="DN86" s="397"/>
      <c r="DO86" s="397"/>
      <c r="DP86" s="397"/>
      <c r="DQ86" s="397"/>
      <c r="DR86" s="397"/>
      <c r="DS86" s="397"/>
      <c r="DT86" s="397"/>
      <c r="DU86" s="397"/>
      <c r="DV86" s="397"/>
      <c r="DW86" s="397"/>
      <c r="DX86" s="397"/>
      <c r="DY86" s="397"/>
      <c r="DZ86" s="397"/>
      <c r="EA86" s="397"/>
      <c r="EB86" s="397"/>
      <c r="EC86" s="397"/>
      <c r="ED86" s="397"/>
      <c r="EE86" s="397"/>
      <c r="EF86" s="397"/>
      <c r="EG86" s="397"/>
      <c r="EH86" s="397"/>
      <c r="EI86" s="397"/>
      <c r="EJ86" s="397"/>
      <c r="EK86" s="397"/>
      <c r="EL86" s="397"/>
      <c r="EM86" s="397"/>
      <c r="EN86" s="397"/>
      <c r="EO86" s="397"/>
      <c r="EP86" s="397"/>
      <c r="EQ86" s="397"/>
      <c r="ER86" s="397"/>
      <c r="ES86" s="397"/>
      <c r="ET86" s="397"/>
      <c r="EU86" s="397"/>
      <c r="EV86" s="397"/>
      <c r="EW86" s="397"/>
      <c r="EX86" s="397"/>
      <c r="EY86" s="397"/>
      <c r="EZ86" s="397"/>
      <c r="FA86" s="397"/>
      <c r="FB86" s="397"/>
      <c r="FC86" s="397"/>
      <c r="FD86" s="397"/>
      <c r="FE86" s="397"/>
      <c r="FF86" s="397"/>
      <c r="FG86" s="397"/>
      <c r="FH86" s="397"/>
      <c r="FI86" s="397"/>
      <c r="FJ86" s="397"/>
      <c r="FK86" s="397"/>
      <c r="FL86" s="397"/>
      <c r="FM86" s="397"/>
      <c r="FN86" s="397"/>
      <c r="FO86" s="397"/>
      <c r="FP86" s="397"/>
      <c r="FQ86" s="397"/>
      <c r="FR86" s="397"/>
      <c r="FS86" s="397"/>
      <c r="FT86" s="397"/>
      <c r="FU86" s="397"/>
      <c r="FV86" s="397"/>
      <c r="FW86" s="397"/>
      <c r="FX86" s="397"/>
      <c r="FY86" s="397"/>
      <c r="FZ86" s="397"/>
      <c r="GA86" s="397"/>
      <c r="GB86" s="397"/>
      <c r="GC86" s="397"/>
      <c r="GD86" s="397"/>
      <c r="GE86" s="397"/>
      <c r="GF86" s="397"/>
      <c r="GG86" s="397"/>
      <c r="GH86" s="397"/>
      <c r="GI86" s="397"/>
      <c r="GJ86" s="397"/>
      <c r="GK86" s="397"/>
      <c r="GL86" s="397"/>
      <c r="GM86" s="397"/>
      <c r="GN86" s="397"/>
      <c r="GO86" s="397"/>
      <c r="GP86" s="397"/>
      <c r="GQ86" s="397"/>
      <c r="GR86" s="397"/>
      <c r="GS86" s="397"/>
      <c r="GT86" s="397"/>
      <c r="GU86" s="397"/>
      <c r="GV86" s="397"/>
      <c r="GW86" s="397"/>
      <c r="GX86" s="397"/>
      <c r="GY86" s="397"/>
      <c r="GZ86" s="397"/>
      <c r="HA86" s="397"/>
      <c r="HB86" s="397"/>
      <c r="HC86" s="397"/>
      <c r="HD86" s="397"/>
      <c r="HE86" s="397"/>
      <c r="HF86" s="397"/>
      <c r="HG86" s="397"/>
      <c r="HH86" s="397"/>
      <c r="HI86" s="397"/>
      <c r="HJ86" s="397"/>
      <c r="HK86" s="397"/>
      <c r="HL86" s="397"/>
      <c r="HM86" s="397"/>
      <c r="HN86" s="397"/>
      <c r="HO86" s="397"/>
      <c r="HP86" s="397"/>
      <c r="HQ86" s="397"/>
      <c r="HR86" s="397"/>
      <c r="HS86" s="397"/>
      <c r="HT86" s="397"/>
      <c r="HU86" s="397"/>
      <c r="HV86" s="397"/>
      <c r="HW86" s="397"/>
      <c r="HX86" s="397"/>
      <c r="HY86" s="397"/>
      <c r="HZ86" s="397"/>
      <c r="IA86" s="397"/>
      <c r="IB86" s="397"/>
      <c r="IC86" s="397"/>
      <c r="ID86" s="397"/>
      <c r="IE86" s="397"/>
      <c r="IF86" s="397"/>
      <c r="IG86" s="397"/>
      <c r="IH86" s="397"/>
      <c r="II86" s="397"/>
      <c r="IJ86" s="397"/>
      <c r="IK86" s="397"/>
      <c r="IL86" s="397"/>
      <c r="IM86" s="397"/>
      <c r="IN86" s="397"/>
      <c r="IO86" s="397"/>
      <c r="IP86" s="397"/>
      <c r="IQ86" s="397"/>
      <c r="IR86" s="397"/>
    </row>
    <row r="87" spans="2:252" s="183" customFormat="1" ht="25.15" customHeight="1" x14ac:dyDescent="0.25">
      <c r="B87" s="85">
        <v>43678</v>
      </c>
      <c r="C87" s="184">
        <v>1155138.7745690001</v>
      </c>
      <c r="D87" s="184">
        <f>NetWorth[[#This Row],[Worth]]-C88</f>
        <v>61451.037543000188</v>
      </c>
      <c r="E87" s="1" t="s">
        <v>174</v>
      </c>
      <c r="V87" s="397"/>
      <c r="W87" s="397"/>
      <c r="X87" s="397"/>
      <c r="Y87" s="397"/>
      <c r="Z87" s="397"/>
      <c r="AA87" s="397"/>
      <c r="AB87" s="397"/>
      <c r="AC87" s="397"/>
      <c r="AD87" s="397"/>
      <c r="AE87" s="397"/>
      <c r="AF87" s="397"/>
      <c r="AG87" s="397"/>
      <c r="AH87" s="397"/>
      <c r="AI87" s="397"/>
      <c r="AJ87" s="397"/>
      <c r="AK87" s="397"/>
      <c r="AL87" s="397"/>
      <c r="AM87" s="397"/>
      <c r="AN87" s="397"/>
      <c r="AO87" s="397"/>
      <c r="AP87" s="397"/>
      <c r="AQ87" s="397"/>
      <c r="AR87" s="397"/>
      <c r="AS87" s="397"/>
      <c r="AT87" s="397"/>
      <c r="AU87" s="397"/>
      <c r="AV87" s="397"/>
      <c r="AW87" s="397"/>
      <c r="AX87" s="397"/>
      <c r="AY87" s="397"/>
      <c r="AZ87" s="397"/>
      <c r="BA87" s="397"/>
      <c r="BB87" s="397"/>
      <c r="BC87" s="397"/>
      <c r="BD87" s="397"/>
      <c r="BE87" s="397"/>
      <c r="BF87" s="397"/>
      <c r="BG87" s="397"/>
      <c r="BH87" s="397"/>
      <c r="BI87" s="397"/>
      <c r="BJ87" s="397"/>
      <c r="BK87" s="397"/>
      <c r="BL87" s="397"/>
      <c r="BM87" s="397"/>
      <c r="BN87" s="397"/>
      <c r="BO87" s="397"/>
      <c r="BP87" s="397"/>
      <c r="BQ87" s="397"/>
      <c r="BR87" s="397"/>
      <c r="BS87" s="397"/>
      <c r="BT87" s="397"/>
      <c r="BU87" s="397"/>
      <c r="BV87" s="397"/>
      <c r="BW87" s="397"/>
      <c r="BX87" s="397"/>
      <c r="BY87" s="397"/>
      <c r="BZ87" s="397"/>
      <c r="CA87" s="397"/>
      <c r="CB87" s="397"/>
      <c r="CC87" s="397"/>
      <c r="CD87" s="397"/>
      <c r="CE87" s="397"/>
      <c r="CF87" s="397"/>
      <c r="CG87" s="397"/>
      <c r="CH87" s="397"/>
      <c r="CI87" s="397"/>
      <c r="CJ87" s="397"/>
      <c r="CK87" s="397"/>
      <c r="CL87" s="397"/>
      <c r="CM87" s="397"/>
      <c r="CN87" s="397"/>
      <c r="CO87" s="397"/>
      <c r="CP87" s="397"/>
      <c r="CQ87" s="397"/>
      <c r="CR87" s="397"/>
      <c r="CS87" s="397"/>
      <c r="CT87" s="397"/>
      <c r="CU87" s="397"/>
      <c r="CV87" s="397"/>
      <c r="CW87" s="397"/>
      <c r="CX87" s="397"/>
      <c r="CY87" s="397"/>
      <c r="CZ87" s="397"/>
      <c r="DA87" s="397"/>
      <c r="DB87" s="397"/>
      <c r="DC87" s="397"/>
      <c r="DD87" s="397"/>
      <c r="DE87" s="397"/>
      <c r="DF87" s="397"/>
      <c r="DG87" s="397"/>
      <c r="DH87" s="397"/>
      <c r="DI87" s="397"/>
      <c r="DJ87" s="397"/>
      <c r="DK87" s="397"/>
      <c r="DL87" s="397"/>
      <c r="DM87" s="397"/>
      <c r="DN87" s="397"/>
      <c r="DO87" s="397"/>
      <c r="DP87" s="397"/>
      <c r="DQ87" s="397"/>
      <c r="DR87" s="397"/>
      <c r="DS87" s="397"/>
      <c r="DT87" s="397"/>
      <c r="DU87" s="397"/>
      <c r="DV87" s="397"/>
      <c r="DW87" s="397"/>
      <c r="DX87" s="397"/>
      <c r="DY87" s="397"/>
      <c r="DZ87" s="397"/>
      <c r="EA87" s="397"/>
      <c r="EB87" s="397"/>
      <c r="EC87" s="397"/>
      <c r="ED87" s="397"/>
      <c r="EE87" s="397"/>
      <c r="EF87" s="397"/>
      <c r="EG87" s="397"/>
      <c r="EH87" s="397"/>
      <c r="EI87" s="397"/>
      <c r="EJ87" s="397"/>
      <c r="EK87" s="397"/>
      <c r="EL87" s="397"/>
      <c r="EM87" s="397"/>
      <c r="EN87" s="397"/>
      <c r="EO87" s="397"/>
      <c r="EP87" s="397"/>
      <c r="EQ87" s="397"/>
      <c r="ER87" s="397"/>
      <c r="ES87" s="397"/>
      <c r="ET87" s="397"/>
      <c r="EU87" s="397"/>
      <c r="EV87" s="397"/>
      <c r="EW87" s="397"/>
      <c r="EX87" s="397"/>
      <c r="EY87" s="397"/>
      <c r="EZ87" s="397"/>
      <c r="FA87" s="397"/>
      <c r="FB87" s="397"/>
      <c r="FC87" s="397"/>
      <c r="FD87" s="397"/>
      <c r="FE87" s="397"/>
      <c r="FF87" s="397"/>
      <c r="FG87" s="397"/>
      <c r="FH87" s="397"/>
      <c r="FI87" s="397"/>
      <c r="FJ87" s="397"/>
      <c r="FK87" s="397"/>
      <c r="FL87" s="397"/>
      <c r="FM87" s="397"/>
      <c r="FN87" s="397"/>
      <c r="FO87" s="397"/>
      <c r="FP87" s="397"/>
      <c r="FQ87" s="397"/>
      <c r="FR87" s="397"/>
      <c r="FS87" s="397"/>
      <c r="FT87" s="397"/>
      <c r="FU87" s="397"/>
      <c r="FV87" s="397"/>
      <c r="FW87" s="397"/>
      <c r="FX87" s="397"/>
      <c r="FY87" s="397"/>
      <c r="FZ87" s="397"/>
      <c r="GA87" s="397"/>
      <c r="GB87" s="397"/>
      <c r="GC87" s="397"/>
      <c r="GD87" s="397"/>
      <c r="GE87" s="397"/>
      <c r="GF87" s="397"/>
      <c r="GG87" s="397"/>
      <c r="GH87" s="397"/>
      <c r="GI87" s="397"/>
      <c r="GJ87" s="397"/>
      <c r="GK87" s="397"/>
      <c r="GL87" s="397"/>
      <c r="GM87" s="397"/>
      <c r="GN87" s="397"/>
      <c r="GO87" s="397"/>
      <c r="GP87" s="397"/>
      <c r="GQ87" s="397"/>
      <c r="GR87" s="397"/>
      <c r="GS87" s="397"/>
      <c r="GT87" s="397"/>
      <c r="GU87" s="397"/>
      <c r="GV87" s="397"/>
      <c r="GW87" s="397"/>
      <c r="GX87" s="397"/>
      <c r="GY87" s="397"/>
      <c r="GZ87" s="397"/>
      <c r="HA87" s="397"/>
      <c r="HB87" s="397"/>
      <c r="HC87" s="397"/>
      <c r="HD87" s="397"/>
      <c r="HE87" s="397"/>
      <c r="HF87" s="397"/>
      <c r="HG87" s="397"/>
      <c r="HH87" s="397"/>
      <c r="HI87" s="397"/>
      <c r="HJ87" s="397"/>
      <c r="HK87" s="397"/>
      <c r="HL87" s="397"/>
      <c r="HM87" s="397"/>
      <c r="HN87" s="397"/>
      <c r="HO87" s="397"/>
      <c r="HP87" s="397"/>
      <c r="HQ87" s="397"/>
      <c r="HR87" s="397"/>
      <c r="HS87" s="397"/>
      <c r="HT87" s="397"/>
      <c r="HU87" s="397"/>
      <c r="HV87" s="397"/>
      <c r="HW87" s="397"/>
      <c r="HX87" s="397"/>
      <c r="HY87" s="397"/>
      <c r="HZ87" s="397"/>
      <c r="IA87" s="397"/>
      <c r="IB87" s="397"/>
      <c r="IC87" s="397"/>
      <c r="ID87" s="397"/>
      <c r="IE87" s="397"/>
      <c r="IF87" s="397"/>
      <c r="IG87" s="397"/>
      <c r="IH87" s="397"/>
      <c r="II87" s="397"/>
      <c r="IJ87" s="397"/>
      <c r="IK87" s="397"/>
      <c r="IL87" s="397"/>
      <c r="IM87" s="397"/>
      <c r="IN87" s="397"/>
      <c r="IO87" s="397"/>
      <c r="IP87" s="397"/>
      <c r="IQ87" s="397"/>
      <c r="IR87" s="397"/>
    </row>
    <row r="88" spans="2:252" s="183" customFormat="1" ht="25.15" customHeight="1" x14ac:dyDescent="0.25">
      <c r="B88" s="85">
        <v>43647</v>
      </c>
      <c r="C88" s="184">
        <v>1093687.7370259999</v>
      </c>
      <c r="D88" s="184">
        <f>NetWorth[[#This Row],[Worth]]-C89</f>
        <v>-1979.9826239999384</v>
      </c>
      <c r="E88" s="1"/>
      <c r="V88" s="397"/>
      <c r="W88" s="397"/>
      <c r="X88" s="397"/>
      <c r="Y88" s="397"/>
      <c r="Z88" s="397"/>
      <c r="AA88" s="397"/>
      <c r="AB88" s="397"/>
      <c r="AC88" s="397"/>
      <c r="AD88" s="397"/>
      <c r="AE88" s="397"/>
      <c r="AF88" s="397"/>
      <c r="AG88" s="397"/>
      <c r="AH88" s="397"/>
      <c r="AI88" s="397"/>
      <c r="AJ88" s="397"/>
      <c r="AK88" s="397"/>
      <c r="AL88" s="397"/>
      <c r="AM88" s="397"/>
      <c r="AN88" s="397"/>
      <c r="AO88" s="397"/>
      <c r="AP88" s="397"/>
      <c r="AQ88" s="397"/>
      <c r="AR88" s="397"/>
      <c r="AS88" s="397"/>
      <c r="AT88" s="397"/>
      <c r="AU88" s="397"/>
      <c r="AV88" s="397"/>
      <c r="AW88" s="397"/>
      <c r="AX88" s="397"/>
      <c r="AY88" s="397"/>
      <c r="AZ88" s="397"/>
      <c r="BA88" s="397"/>
      <c r="BB88" s="397"/>
      <c r="BC88" s="397"/>
      <c r="BD88" s="397"/>
      <c r="BE88" s="397"/>
      <c r="BF88" s="397"/>
      <c r="BG88" s="397"/>
      <c r="BH88" s="397"/>
      <c r="BI88" s="397"/>
      <c r="BJ88" s="397"/>
      <c r="BK88" s="397"/>
      <c r="BL88" s="397"/>
      <c r="BM88" s="397"/>
      <c r="BN88" s="397"/>
      <c r="BO88" s="397"/>
      <c r="BP88" s="397"/>
      <c r="BQ88" s="397"/>
      <c r="BR88" s="397"/>
      <c r="BS88" s="397"/>
      <c r="BT88" s="397"/>
      <c r="BU88" s="397"/>
      <c r="BV88" s="397"/>
      <c r="BW88" s="397"/>
      <c r="BX88" s="397"/>
      <c r="BY88" s="397"/>
      <c r="BZ88" s="397"/>
      <c r="CA88" s="397"/>
      <c r="CB88" s="397"/>
      <c r="CC88" s="397"/>
      <c r="CD88" s="397"/>
      <c r="CE88" s="397"/>
      <c r="CF88" s="397"/>
      <c r="CG88" s="397"/>
      <c r="CH88" s="397"/>
      <c r="CI88" s="397"/>
      <c r="CJ88" s="397"/>
      <c r="CK88" s="397"/>
      <c r="CL88" s="397"/>
      <c r="CM88" s="397"/>
      <c r="CN88" s="397"/>
      <c r="CO88" s="397"/>
      <c r="CP88" s="397"/>
      <c r="CQ88" s="397"/>
      <c r="CR88" s="397"/>
      <c r="CS88" s="397"/>
      <c r="CT88" s="397"/>
      <c r="CU88" s="397"/>
      <c r="CV88" s="397"/>
      <c r="CW88" s="397"/>
      <c r="CX88" s="397"/>
      <c r="CY88" s="397"/>
      <c r="CZ88" s="397"/>
      <c r="DA88" s="397"/>
      <c r="DB88" s="397"/>
      <c r="DC88" s="397"/>
      <c r="DD88" s="397"/>
      <c r="DE88" s="397"/>
      <c r="DF88" s="397"/>
      <c r="DG88" s="397"/>
      <c r="DH88" s="397"/>
      <c r="DI88" s="397"/>
      <c r="DJ88" s="397"/>
      <c r="DK88" s="397"/>
      <c r="DL88" s="397"/>
      <c r="DM88" s="397"/>
      <c r="DN88" s="397"/>
      <c r="DO88" s="397"/>
      <c r="DP88" s="397"/>
      <c r="DQ88" s="397"/>
      <c r="DR88" s="397"/>
      <c r="DS88" s="397"/>
      <c r="DT88" s="397"/>
      <c r="DU88" s="397"/>
      <c r="DV88" s="397"/>
      <c r="DW88" s="397"/>
      <c r="DX88" s="397"/>
      <c r="DY88" s="397"/>
      <c r="DZ88" s="397"/>
      <c r="EA88" s="397"/>
      <c r="EB88" s="397"/>
      <c r="EC88" s="397"/>
      <c r="ED88" s="397"/>
      <c r="EE88" s="397"/>
      <c r="EF88" s="397"/>
      <c r="EG88" s="397"/>
      <c r="EH88" s="397"/>
      <c r="EI88" s="397"/>
      <c r="EJ88" s="397"/>
      <c r="EK88" s="397"/>
      <c r="EL88" s="397"/>
      <c r="EM88" s="397"/>
      <c r="EN88" s="397"/>
      <c r="EO88" s="397"/>
      <c r="EP88" s="397"/>
      <c r="EQ88" s="397"/>
      <c r="ER88" s="397"/>
      <c r="ES88" s="397"/>
      <c r="ET88" s="397"/>
      <c r="EU88" s="397"/>
      <c r="EV88" s="397"/>
      <c r="EW88" s="397"/>
      <c r="EX88" s="397"/>
      <c r="EY88" s="397"/>
      <c r="EZ88" s="397"/>
      <c r="FA88" s="397"/>
      <c r="FB88" s="397"/>
      <c r="FC88" s="397"/>
      <c r="FD88" s="397"/>
      <c r="FE88" s="397"/>
      <c r="FF88" s="397"/>
      <c r="FG88" s="397"/>
      <c r="FH88" s="397"/>
      <c r="FI88" s="397"/>
      <c r="FJ88" s="397"/>
      <c r="FK88" s="397"/>
      <c r="FL88" s="397"/>
      <c r="FM88" s="397"/>
      <c r="FN88" s="397"/>
      <c r="FO88" s="397"/>
      <c r="FP88" s="397"/>
      <c r="FQ88" s="397"/>
      <c r="FR88" s="397"/>
      <c r="FS88" s="397"/>
      <c r="FT88" s="397"/>
      <c r="FU88" s="397"/>
      <c r="FV88" s="397"/>
      <c r="FW88" s="397"/>
      <c r="FX88" s="397"/>
      <c r="FY88" s="397"/>
      <c r="FZ88" s="397"/>
      <c r="GA88" s="397"/>
      <c r="GB88" s="397"/>
      <c r="GC88" s="397"/>
      <c r="GD88" s="397"/>
      <c r="GE88" s="397"/>
      <c r="GF88" s="397"/>
      <c r="GG88" s="397"/>
      <c r="GH88" s="397"/>
      <c r="GI88" s="397"/>
      <c r="GJ88" s="397"/>
      <c r="GK88" s="397"/>
      <c r="GL88" s="397"/>
      <c r="GM88" s="397"/>
      <c r="GN88" s="397"/>
      <c r="GO88" s="397"/>
      <c r="GP88" s="397"/>
      <c r="GQ88" s="397"/>
      <c r="GR88" s="397"/>
      <c r="GS88" s="397"/>
      <c r="GT88" s="397"/>
      <c r="GU88" s="397"/>
      <c r="GV88" s="397"/>
      <c r="GW88" s="397"/>
      <c r="GX88" s="397"/>
      <c r="GY88" s="397"/>
      <c r="GZ88" s="397"/>
      <c r="HA88" s="397"/>
      <c r="HB88" s="397"/>
      <c r="HC88" s="397"/>
      <c r="HD88" s="397"/>
      <c r="HE88" s="397"/>
      <c r="HF88" s="397"/>
      <c r="HG88" s="397"/>
      <c r="HH88" s="397"/>
      <c r="HI88" s="397"/>
      <c r="HJ88" s="397"/>
      <c r="HK88" s="397"/>
      <c r="HL88" s="397"/>
      <c r="HM88" s="397"/>
      <c r="HN88" s="397"/>
      <c r="HO88" s="397"/>
      <c r="HP88" s="397"/>
      <c r="HQ88" s="397"/>
      <c r="HR88" s="397"/>
      <c r="HS88" s="397"/>
      <c r="HT88" s="397"/>
      <c r="HU88" s="397"/>
      <c r="HV88" s="397"/>
      <c r="HW88" s="397"/>
      <c r="HX88" s="397"/>
      <c r="HY88" s="397"/>
      <c r="HZ88" s="397"/>
      <c r="IA88" s="397"/>
      <c r="IB88" s="397"/>
      <c r="IC88" s="397"/>
      <c r="ID88" s="397"/>
      <c r="IE88" s="397"/>
      <c r="IF88" s="397"/>
      <c r="IG88" s="397"/>
      <c r="IH88" s="397"/>
      <c r="II88" s="397"/>
      <c r="IJ88" s="397"/>
      <c r="IK88" s="397"/>
      <c r="IL88" s="397"/>
      <c r="IM88" s="397"/>
      <c r="IN88" s="397"/>
      <c r="IO88" s="397"/>
      <c r="IP88" s="397"/>
      <c r="IQ88" s="397"/>
      <c r="IR88" s="397"/>
    </row>
    <row r="89" spans="2:252" s="183" customFormat="1" ht="25.15" customHeight="1" x14ac:dyDescent="0.25">
      <c r="B89" s="85">
        <v>43617</v>
      </c>
      <c r="C89" s="184">
        <v>1095667.7196499999</v>
      </c>
      <c r="D89" s="184">
        <f>NetWorth[[#This Row],[Worth]]-C90</f>
        <v>-53.001430000178516</v>
      </c>
      <c r="E89" s="1"/>
      <c r="V89" s="397"/>
      <c r="W89" s="397"/>
      <c r="X89" s="397"/>
      <c r="Y89" s="397"/>
      <c r="Z89" s="397"/>
      <c r="AA89" s="397"/>
      <c r="AB89" s="397"/>
      <c r="AC89" s="397"/>
      <c r="AD89" s="397"/>
      <c r="AE89" s="397"/>
      <c r="AF89" s="397"/>
      <c r="AG89" s="397"/>
      <c r="AH89" s="397"/>
      <c r="AI89" s="397"/>
      <c r="AJ89" s="397"/>
      <c r="AK89" s="397"/>
      <c r="AL89" s="397"/>
      <c r="AM89" s="397"/>
      <c r="AN89" s="397"/>
      <c r="AO89" s="397"/>
      <c r="AP89" s="397"/>
      <c r="AQ89" s="397"/>
      <c r="AR89" s="397"/>
      <c r="AS89" s="397"/>
      <c r="AT89" s="397"/>
      <c r="AU89" s="397"/>
      <c r="AV89" s="397"/>
      <c r="AW89" s="397"/>
      <c r="AX89" s="397"/>
      <c r="AY89" s="397"/>
      <c r="AZ89" s="397"/>
      <c r="BA89" s="397"/>
      <c r="BB89" s="397"/>
      <c r="BC89" s="397"/>
      <c r="BD89" s="397"/>
      <c r="BE89" s="397"/>
      <c r="BF89" s="397"/>
      <c r="BG89" s="397"/>
      <c r="BH89" s="397"/>
      <c r="BI89" s="397"/>
      <c r="BJ89" s="397"/>
      <c r="BK89" s="397"/>
      <c r="BL89" s="397"/>
      <c r="BM89" s="397"/>
      <c r="BN89" s="397"/>
      <c r="BO89" s="397"/>
      <c r="BP89" s="397"/>
      <c r="BQ89" s="397"/>
      <c r="BR89" s="397"/>
      <c r="BS89" s="397"/>
      <c r="BT89" s="397"/>
      <c r="BU89" s="397"/>
      <c r="BV89" s="397"/>
      <c r="BW89" s="397"/>
      <c r="BX89" s="397"/>
      <c r="BY89" s="397"/>
      <c r="BZ89" s="397"/>
      <c r="CA89" s="397"/>
      <c r="CB89" s="397"/>
      <c r="CC89" s="397"/>
      <c r="CD89" s="397"/>
      <c r="CE89" s="397"/>
      <c r="CF89" s="397"/>
      <c r="CG89" s="397"/>
      <c r="CH89" s="397"/>
      <c r="CI89" s="397"/>
      <c r="CJ89" s="397"/>
      <c r="CK89" s="397"/>
      <c r="CL89" s="397"/>
      <c r="CM89" s="397"/>
      <c r="CN89" s="397"/>
      <c r="CO89" s="397"/>
      <c r="CP89" s="397"/>
      <c r="CQ89" s="397"/>
      <c r="CR89" s="397"/>
      <c r="CS89" s="397"/>
      <c r="CT89" s="397"/>
      <c r="CU89" s="397"/>
      <c r="CV89" s="397"/>
      <c r="CW89" s="397"/>
      <c r="CX89" s="397"/>
      <c r="CY89" s="397"/>
      <c r="CZ89" s="397"/>
      <c r="DA89" s="397"/>
      <c r="DB89" s="397"/>
      <c r="DC89" s="397"/>
      <c r="DD89" s="397"/>
      <c r="DE89" s="397"/>
      <c r="DF89" s="397"/>
      <c r="DG89" s="397"/>
      <c r="DH89" s="397"/>
      <c r="DI89" s="397"/>
      <c r="DJ89" s="397"/>
      <c r="DK89" s="397"/>
      <c r="DL89" s="397"/>
      <c r="DM89" s="397"/>
      <c r="DN89" s="397"/>
      <c r="DO89" s="397"/>
      <c r="DP89" s="397"/>
      <c r="DQ89" s="397"/>
      <c r="DR89" s="397"/>
      <c r="DS89" s="397"/>
      <c r="DT89" s="397"/>
      <c r="DU89" s="397"/>
      <c r="DV89" s="397"/>
      <c r="DW89" s="397"/>
      <c r="DX89" s="397"/>
      <c r="DY89" s="397"/>
      <c r="DZ89" s="397"/>
      <c r="EA89" s="397"/>
      <c r="EB89" s="397"/>
      <c r="EC89" s="397"/>
      <c r="ED89" s="397"/>
      <c r="EE89" s="397"/>
      <c r="EF89" s="397"/>
      <c r="EG89" s="397"/>
      <c r="EH89" s="397"/>
      <c r="EI89" s="397"/>
      <c r="EJ89" s="397"/>
      <c r="EK89" s="397"/>
      <c r="EL89" s="397"/>
      <c r="EM89" s="397"/>
      <c r="EN89" s="397"/>
      <c r="EO89" s="397"/>
      <c r="EP89" s="397"/>
      <c r="EQ89" s="397"/>
      <c r="ER89" s="397"/>
      <c r="ES89" s="397"/>
      <c r="ET89" s="397"/>
      <c r="EU89" s="397"/>
      <c r="EV89" s="397"/>
      <c r="EW89" s="397"/>
      <c r="EX89" s="397"/>
      <c r="EY89" s="397"/>
      <c r="EZ89" s="397"/>
      <c r="FA89" s="397"/>
      <c r="FB89" s="397"/>
      <c r="FC89" s="397"/>
      <c r="FD89" s="397"/>
      <c r="FE89" s="397"/>
      <c r="FF89" s="397"/>
      <c r="FG89" s="397"/>
      <c r="FH89" s="397"/>
      <c r="FI89" s="397"/>
      <c r="FJ89" s="397"/>
      <c r="FK89" s="397"/>
      <c r="FL89" s="397"/>
      <c r="FM89" s="397"/>
      <c r="FN89" s="397"/>
      <c r="FO89" s="397"/>
      <c r="FP89" s="397"/>
      <c r="FQ89" s="397"/>
      <c r="FR89" s="397"/>
      <c r="FS89" s="397"/>
      <c r="FT89" s="397"/>
      <c r="FU89" s="397"/>
      <c r="FV89" s="397"/>
      <c r="FW89" s="397"/>
      <c r="FX89" s="397"/>
      <c r="FY89" s="397"/>
      <c r="FZ89" s="397"/>
      <c r="GA89" s="397"/>
      <c r="GB89" s="397"/>
      <c r="GC89" s="397"/>
      <c r="GD89" s="397"/>
      <c r="GE89" s="397"/>
      <c r="GF89" s="397"/>
      <c r="GG89" s="397"/>
      <c r="GH89" s="397"/>
      <c r="GI89" s="397"/>
      <c r="GJ89" s="397"/>
      <c r="GK89" s="397"/>
      <c r="GL89" s="397"/>
      <c r="GM89" s="397"/>
      <c r="GN89" s="397"/>
      <c r="GO89" s="397"/>
      <c r="GP89" s="397"/>
      <c r="GQ89" s="397"/>
      <c r="GR89" s="397"/>
      <c r="GS89" s="397"/>
      <c r="GT89" s="397"/>
      <c r="GU89" s="397"/>
      <c r="GV89" s="397"/>
      <c r="GW89" s="397"/>
      <c r="GX89" s="397"/>
      <c r="GY89" s="397"/>
      <c r="GZ89" s="397"/>
      <c r="HA89" s="397"/>
      <c r="HB89" s="397"/>
      <c r="HC89" s="397"/>
      <c r="HD89" s="397"/>
      <c r="HE89" s="397"/>
      <c r="HF89" s="397"/>
      <c r="HG89" s="397"/>
      <c r="HH89" s="397"/>
      <c r="HI89" s="397"/>
      <c r="HJ89" s="397"/>
      <c r="HK89" s="397"/>
      <c r="HL89" s="397"/>
      <c r="HM89" s="397"/>
      <c r="HN89" s="397"/>
      <c r="HO89" s="397"/>
      <c r="HP89" s="397"/>
      <c r="HQ89" s="397"/>
      <c r="HR89" s="397"/>
      <c r="HS89" s="397"/>
      <c r="HT89" s="397"/>
      <c r="HU89" s="397"/>
      <c r="HV89" s="397"/>
      <c r="HW89" s="397"/>
      <c r="HX89" s="397"/>
      <c r="HY89" s="397"/>
      <c r="HZ89" s="397"/>
      <c r="IA89" s="397"/>
      <c r="IB89" s="397"/>
      <c r="IC89" s="397"/>
      <c r="ID89" s="397"/>
      <c r="IE89" s="397"/>
      <c r="IF89" s="397"/>
      <c r="IG89" s="397"/>
      <c r="IH89" s="397"/>
      <c r="II89" s="397"/>
      <c r="IJ89" s="397"/>
      <c r="IK89" s="397"/>
      <c r="IL89" s="397"/>
      <c r="IM89" s="397"/>
      <c r="IN89" s="397"/>
      <c r="IO89" s="397"/>
      <c r="IP89" s="397"/>
      <c r="IQ89" s="397"/>
      <c r="IR89" s="397"/>
    </row>
    <row r="90" spans="2:252" s="183" customFormat="1" ht="25.15" customHeight="1" x14ac:dyDescent="0.25">
      <c r="B90" s="85">
        <v>43586</v>
      </c>
      <c r="C90" s="184">
        <v>1095720.72108</v>
      </c>
      <c r="D90" s="184">
        <f>NetWorth[[#This Row],[Worth]]-C91</f>
        <v>11054.72900299984</v>
      </c>
      <c r="E90" s="1"/>
      <c r="V90" s="397"/>
      <c r="W90" s="397"/>
      <c r="X90" s="397"/>
      <c r="Y90" s="397"/>
      <c r="Z90" s="397"/>
      <c r="AA90" s="397"/>
      <c r="AB90" s="397"/>
      <c r="AC90" s="397"/>
      <c r="AD90" s="397"/>
      <c r="AE90" s="397"/>
      <c r="AF90" s="397"/>
      <c r="AG90" s="397"/>
      <c r="AH90" s="397"/>
      <c r="AI90" s="397"/>
      <c r="AJ90" s="397"/>
      <c r="AK90" s="397"/>
      <c r="AL90" s="397"/>
      <c r="AM90" s="397"/>
      <c r="AN90" s="397"/>
      <c r="AO90" s="397"/>
      <c r="AP90" s="397"/>
      <c r="AQ90" s="397"/>
      <c r="AR90" s="397"/>
      <c r="AS90" s="397"/>
      <c r="AT90" s="397"/>
      <c r="AU90" s="397"/>
      <c r="AV90" s="397"/>
      <c r="AW90" s="397"/>
      <c r="AX90" s="397"/>
      <c r="AY90" s="397"/>
      <c r="AZ90" s="397"/>
      <c r="BA90" s="397"/>
      <c r="BB90" s="397"/>
      <c r="BC90" s="397"/>
      <c r="BD90" s="397"/>
      <c r="BE90" s="397"/>
      <c r="BF90" s="397"/>
      <c r="BG90" s="397"/>
      <c r="BH90" s="397"/>
      <c r="BI90" s="397"/>
      <c r="BJ90" s="397"/>
      <c r="BK90" s="397"/>
      <c r="BL90" s="397"/>
      <c r="BM90" s="397"/>
      <c r="BN90" s="397"/>
      <c r="BO90" s="397"/>
      <c r="BP90" s="397"/>
      <c r="BQ90" s="397"/>
      <c r="BR90" s="397"/>
      <c r="BS90" s="397"/>
      <c r="BT90" s="397"/>
      <c r="BU90" s="397"/>
      <c r="BV90" s="397"/>
      <c r="BW90" s="397"/>
      <c r="BX90" s="397"/>
      <c r="BY90" s="397"/>
      <c r="BZ90" s="397"/>
      <c r="CA90" s="397"/>
      <c r="CB90" s="397"/>
      <c r="CC90" s="397"/>
      <c r="CD90" s="397"/>
      <c r="CE90" s="397"/>
      <c r="CF90" s="397"/>
      <c r="CG90" s="397"/>
      <c r="CH90" s="397"/>
      <c r="CI90" s="397"/>
      <c r="CJ90" s="397"/>
      <c r="CK90" s="397"/>
      <c r="CL90" s="397"/>
      <c r="CM90" s="397"/>
      <c r="CN90" s="397"/>
      <c r="CO90" s="397"/>
      <c r="CP90" s="397"/>
      <c r="CQ90" s="397"/>
      <c r="CR90" s="397"/>
      <c r="CS90" s="397"/>
      <c r="CT90" s="397"/>
      <c r="CU90" s="397"/>
      <c r="CV90" s="397"/>
      <c r="CW90" s="397"/>
      <c r="CX90" s="397"/>
      <c r="CY90" s="397"/>
      <c r="CZ90" s="397"/>
      <c r="DA90" s="397"/>
      <c r="DB90" s="397"/>
      <c r="DC90" s="397"/>
      <c r="DD90" s="397"/>
      <c r="DE90" s="397"/>
      <c r="DF90" s="397"/>
      <c r="DG90" s="397"/>
      <c r="DH90" s="397"/>
      <c r="DI90" s="397"/>
      <c r="DJ90" s="397"/>
      <c r="DK90" s="397"/>
      <c r="DL90" s="397"/>
      <c r="DM90" s="397"/>
      <c r="DN90" s="397"/>
      <c r="DO90" s="397"/>
      <c r="DP90" s="397"/>
      <c r="DQ90" s="397"/>
      <c r="DR90" s="397"/>
      <c r="DS90" s="397"/>
      <c r="DT90" s="397"/>
      <c r="DU90" s="397"/>
      <c r="DV90" s="397"/>
      <c r="DW90" s="397"/>
      <c r="DX90" s="397"/>
      <c r="DY90" s="397"/>
      <c r="DZ90" s="397"/>
      <c r="EA90" s="397"/>
      <c r="EB90" s="397"/>
      <c r="EC90" s="397"/>
      <c r="ED90" s="397"/>
      <c r="EE90" s="397"/>
      <c r="EF90" s="397"/>
      <c r="EG90" s="397"/>
      <c r="EH90" s="397"/>
      <c r="EI90" s="397"/>
      <c r="EJ90" s="397"/>
      <c r="EK90" s="397"/>
      <c r="EL90" s="397"/>
      <c r="EM90" s="397"/>
      <c r="EN90" s="397"/>
      <c r="EO90" s="397"/>
      <c r="EP90" s="397"/>
      <c r="EQ90" s="397"/>
      <c r="ER90" s="397"/>
      <c r="ES90" s="397"/>
      <c r="ET90" s="397"/>
      <c r="EU90" s="397"/>
      <c r="EV90" s="397"/>
      <c r="EW90" s="397"/>
      <c r="EX90" s="397"/>
      <c r="EY90" s="397"/>
      <c r="EZ90" s="397"/>
      <c r="FA90" s="397"/>
      <c r="FB90" s="397"/>
      <c r="FC90" s="397"/>
      <c r="FD90" s="397"/>
      <c r="FE90" s="397"/>
      <c r="FF90" s="397"/>
      <c r="FG90" s="397"/>
      <c r="FH90" s="397"/>
      <c r="FI90" s="397"/>
      <c r="FJ90" s="397"/>
      <c r="FK90" s="397"/>
      <c r="FL90" s="397"/>
      <c r="FM90" s="397"/>
      <c r="FN90" s="397"/>
      <c r="FO90" s="397"/>
      <c r="FP90" s="397"/>
      <c r="FQ90" s="397"/>
      <c r="FR90" s="397"/>
      <c r="FS90" s="397"/>
      <c r="FT90" s="397"/>
      <c r="FU90" s="397"/>
      <c r="FV90" s="397"/>
      <c r="FW90" s="397"/>
      <c r="FX90" s="397"/>
      <c r="FY90" s="397"/>
      <c r="FZ90" s="397"/>
      <c r="GA90" s="397"/>
      <c r="GB90" s="397"/>
      <c r="GC90" s="397"/>
      <c r="GD90" s="397"/>
      <c r="GE90" s="397"/>
      <c r="GF90" s="397"/>
      <c r="GG90" s="397"/>
      <c r="GH90" s="397"/>
      <c r="GI90" s="397"/>
      <c r="GJ90" s="397"/>
      <c r="GK90" s="397"/>
      <c r="GL90" s="397"/>
      <c r="GM90" s="397"/>
      <c r="GN90" s="397"/>
      <c r="GO90" s="397"/>
      <c r="GP90" s="397"/>
      <c r="GQ90" s="397"/>
      <c r="GR90" s="397"/>
      <c r="GS90" s="397"/>
      <c r="GT90" s="397"/>
      <c r="GU90" s="397"/>
      <c r="GV90" s="397"/>
      <c r="GW90" s="397"/>
      <c r="GX90" s="397"/>
      <c r="GY90" s="397"/>
      <c r="GZ90" s="397"/>
      <c r="HA90" s="397"/>
      <c r="HB90" s="397"/>
      <c r="HC90" s="397"/>
      <c r="HD90" s="397"/>
      <c r="HE90" s="397"/>
      <c r="HF90" s="397"/>
      <c r="HG90" s="397"/>
      <c r="HH90" s="397"/>
      <c r="HI90" s="397"/>
      <c r="HJ90" s="397"/>
      <c r="HK90" s="397"/>
      <c r="HL90" s="397"/>
      <c r="HM90" s="397"/>
      <c r="HN90" s="397"/>
      <c r="HO90" s="397"/>
      <c r="HP90" s="397"/>
      <c r="HQ90" s="397"/>
      <c r="HR90" s="397"/>
      <c r="HS90" s="397"/>
      <c r="HT90" s="397"/>
      <c r="HU90" s="397"/>
      <c r="HV90" s="397"/>
      <c r="HW90" s="397"/>
      <c r="HX90" s="397"/>
      <c r="HY90" s="397"/>
      <c r="HZ90" s="397"/>
      <c r="IA90" s="397"/>
      <c r="IB90" s="397"/>
      <c r="IC90" s="397"/>
      <c r="ID90" s="397"/>
      <c r="IE90" s="397"/>
      <c r="IF90" s="397"/>
      <c r="IG90" s="397"/>
      <c r="IH90" s="397"/>
      <c r="II90" s="397"/>
      <c r="IJ90" s="397"/>
      <c r="IK90" s="397"/>
      <c r="IL90" s="397"/>
      <c r="IM90" s="397"/>
      <c r="IN90" s="397"/>
      <c r="IO90" s="397"/>
      <c r="IP90" s="397"/>
      <c r="IQ90" s="397"/>
      <c r="IR90" s="397"/>
    </row>
    <row r="91" spans="2:252" s="183" customFormat="1" ht="25.15" customHeight="1" x14ac:dyDescent="0.25">
      <c r="B91" s="85">
        <v>43556</v>
      </c>
      <c r="C91" s="184">
        <v>1084665.9920770002</v>
      </c>
      <c r="D91" s="184">
        <f>NetWorth[[#This Row],[Worth]]-C92</f>
        <v>27070.262877000263</v>
      </c>
      <c r="E91" s="1"/>
      <c r="V91" s="397"/>
      <c r="W91" s="397"/>
      <c r="X91" s="397"/>
      <c r="Y91" s="397"/>
      <c r="Z91" s="397"/>
      <c r="AA91" s="397"/>
      <c r="AB91" s="397"/>
      <c r="AC91" s="397"/>
      <c r="AD91" s="397"/>
      <c r="AE91" s="397"/>
      <c r="AF91" s="397"/>
      <c r="AG91" s="397"/>
      <c r="AH91" s="397"/>
      <c r="AI91" s="397"/>
      <c r="AJ91" s="397"/>
      <c r="AK91" s="397"/>
      <c r="AL91" s="397"/>
      <c r="AM91" s="397"/>
      <c r="AN91" s="397"/>
      <c r="AO91" s="397"/>
      <c r="AP91" s="397"/>
      <c r="AQ91" s="397"/>
      <c r="AR91" s="397"/>
      <c r="AS91" s="397"/>
      <c r="AT91" s="397"/>
      <c r="AU91" s="397"/>
      <c r="AV91" s="397"/>
      <c r="AW91" s="397"/>
      <c r="AX91" s="397"/>
      <c r="AY91" s="397"/>
      <c r="AZ91" s="397"/>
      <c r="BA91" s="397"/>
      <c r="BB91" s="397"/>
      <c r="BC91" s="397"/>
      <c r="BD91" s="397"/>
      <c r="BE91" s="397"/>
      <c r="BF91" s="397"/>
      <c r="BG91" s="397"/>
      <c r="BH91" s="397"/>
      <c r="BI91" s="397"/>
      <c r="BJ91" s="397"/>
      <c r="BK91" s="397"/>
      <c r="BL91" s="397"/>
      <c r="BM91" s="397"/>
      <c r="BN91" s="397"/>
      <c r="BO91" s="397"/>
      <c r="BP91" s="397"/>
      <c r="BQ91" s="397"/>
      <c r="BR91" s="397"/>
      <c r="BS91" s="397"/>
      <c r="BT91" s="397"/>
      <c r="BU91" s="397"/>
      <c r="BV91" s="397"/>
      <c r="BW91" s="397"/>
      <c r="BX91" s="397"/>
      <c r="BY91" s="397"/>
      <c r="BZ91" s="397"/>
      <c r="CA91" s="397"/>
      <c r="CB91" s="397"/>
      <c r="CC91" s="397"/>
      <c r="CD91" s="397"/>
      <c r="CE91" s="397"/>
      <c r="CF91" s="397"/>
      <c r="CG91" s="397"/>
      <c r="CH91" s="397"/>
      <c r="CI91" s="397"/>
      <c r="CJ91" s="397"/>
      <c r="CK91" s="397"/>
      <c r="CL91" s="397"/>
      <c r="CM91" s="397"/>
      <c r="CN91" s="397"/>
      <c r="CO91" s="397"/>
      <c r="CP91" s="397"/>
      <c r="CQ91" s="397"/>
      <c r="CR91" s="397"/>
      <c r="CS91" s="397"/>
      <c r="CT91" s="397"/>
      <c r="CU91" s="397"/>
      <c r="CV91" s="397"/>
      <c r="CW91" s="397"/>
      <c r="CX91" s="397"/>
      <c r="CY91" s="397"/>
      <c r="CZ91" s="397"/>
      <c r="DA91" s="397"/>
      <c r="DB91" s="397"/>
      <c r="DC91" s="397"/>
      <c r="DD91" s="397"/>
      <c r="DE91" s="397"/>
      <c r="DF91" s="397"/>
      <c r="DG91" s="397"/>
      <c r="DH91" s="397"/>
      <c r="DI91" s="397"/>
      <c r="DJ91" s="397"/>
      <c r="DK91" s="397"/>
      <c r="DL91" s="397"/>
      <c r="DM91" s="397"/>
      <c r="DN91" s="397"/>
      <c r="DO91" s="397"/>
      <c r="DP91" s="397"/>
      <c r="DQ91" s="397"/>
      <c r="DR91" s="397"/>
      <c r="DS91" s="397"/>
      <c r="DT91" s="397"/>
      <c r="DU91" s="397"/>
      <c r="DV91" s="397"/>
      <c r="DW91" s="397"/>
      <c r="DX91" s="397"/>
      <c r="DY91" s="397"/>
      <c r="DZ91" s="397"/>
      <c r="EA91" s="397"/>
      <c r="EB91" s="397"/>
      <c r="EC91" s="397"/>
      <c r="ED91" s="397"/>
      <c r="EE91" s="397"/>
      <c r="EF91" s="397"/>
      <c r="EG91" s="397"/>
      <c r="EH91" s="397"/>
      <c r="EI91" s="397"/>
      <c r="EJ91" s="397"/>
      <c r="EK91" s="397"/>
      <c r="EL91" s="397"/>
      <c r="EM91" s="397"/>
      <c r="EN91" s="397"/>
      <c r="EO91" s="397"/>
      <c r="EP91" s="397"/>
      <c r="EQ91" s="397"/>
      <c r="ER91" s="397"/>
      <c r="ES91" s="397"/>
      <c r="ET91" s="397"/>
      <c r="EU91" s="397"/>
      <c r="EV91" s="397"/>
      <c r="EW91" s="397"/>
      <c r="EX91" s="397"/>
      <c r="EY91" s="397"/>
      <c r="EZ91" s="397"/>
      <c r="FA91" s="397"/>
      <c r="FB91" s="397"/>
      <c r="FC91" s="397"/>
      <c r="FD91" s="397"/>
      <c r="FE91" s="397"/>
      <c r="FF91" s="397"/>
      <c r="FG91" s="397"/>
      <c r="FH91" s="397"/>
      <c r="FI91" s="397"/>
      <c r="FJ91" s="397"/>
      <c r="FK91" s="397"/>
      <c r="FL91" s="397"/>
      <c r="FM91" s="397"/>
      <c r="FN91" s="397"/>
      <c r="FO91" s="397"/>
      <c r="FP91" s="397"/>
      <c r="FQ91" s="397"/>
      <c r="FR91" s="397"/>
      <c r="FS91" s="397"/>
      <c r="FT91" s="397"/>
      <c r="FU91" s="397"/>
      <c r="FV91" s="397"/>
      <c r="FW91" s="397"/>
      <c r="FX91" s="397"/>
      <c r="FY91" s="397"/>
      <c r="FZ91" s="397"/>
      <c r="GA91" s="397"/>
      <c r="GB91" s="397"/>
      <c r="GC91" s="397"/>
      <c r="GD91" s="397"/>
      <c r="GE91" s="397"/>
      <c r="GF91" s="397"/>
      <c r="GG91" s="397"/>
      <c r="GH91" s="397"/>
      <c r="GI91" s="397"/>
      <c r="GJ91" s="397"/>
      <c r="GK91" s="397"/>
      <c r="GL91" s="397"/>
      <c r="GM91" s="397"/>
      <c r="GN91" s="397"/>
      <c r="GO91" s="397"/>
      <c r="GP91" s="397"/>
      <c r="GQ91" s="397"/>
      <c r="GR91" s="397"/>
      <c r="GS91" s="397"/>
      <c r="GT91" s="397"/>
      <c r="GU91" s="397"/>
      <c r="GV91" s="397"/>
      <c r="GW91" s="397"/>
      <c r="GX91" s="397"/>
      <c r="GY91" s="397"/>
      <c r="GZ91" s="397"/>
      <c r="HA91" s="397"/>
      <c r="HB91" s="397"/>
      <c r="HC91" s="397"/>
      <c r="HD91" s="397"/>
      <c r="HE91" s="397"/>
      <c r="HF91" s="397"/>
      <c r="HG91" s="397"/>
      <c r="HH91" s="397"/>
      <c r="HI91" s="397"/>
      <c r="HJ91" s="397"/>
      <c r="HK91" s="397"/>
      <c r="HL91" s="397"/>
      <c r="HM91" s="397"/>
      <c r="HN91" s="397"/>
      <c r="HO91" s="397"/>
      <c r="HP91" s="397"/>
      <c r="HQ91" s="397"/>
      <c r="HR91" s="397"/>
      <c r="HS91" s="397"/>
      <c r="HT91" s="397"/>
      <c r="HU91" s="397"/>
      <c r="HV91" s="397"/>
      <c r="HW91" s="397"/>
      <c r="HX91" s="397"/>
      <c r="HY91" s="397"/>
      <c r="HZ91" s="397"/>
      <c r="IA91" s="397"/>
      <c r="IB91" s="397"/>
      <c r="IC91" s="397"/>
      <c r="ID91" s="397"/>
      <c r="IE91" s="397"/>
      <c r="IF91" s="397"/>
      <c r="IG91" s="397"/>
      <c r="IH91" s="397"/>
      <c r="II91" s="397"/>
      <c r="IJ91" s="397"/>
      <c r="IK91" s="397"/>
      <c r="IL91" s="397"/>
      <c r="IM91" s="397"/>
      <c r="IN91" s="397"/>
      <c r="IO91" s="397"/>
      <c r="IP91" s="397"/>
      <c r="IQ91" s="397"/>
      <c r="IR91" s="397"/>
    </row>
    <row r="92" spans="2:252" s="183" customFormat="1" ht="25.15" customHeight="1" x14ac:dyDescent="0.25">
      <c r="B92" s="85">
        <v>43525</v>
      </c>
      <c r="C92" s="184">
        <v>1057595.7291999999</v>
      </c>
      <c r="D92" s="184">
        <f>NetWorth[[#This Row],[Worth]]-C93</f>
        <v>17493.042399999918</v>
      </c>
      <c r="E92" s="1"/>
      <c r="V92" s="397"/>
      <c r="W92" s="397"/>
      <c r="X92" s="397"/>
      <c r="Y92" s="397"/>
      <c r="Z92" s="397"/>
      <c r="AA92" s="397"/>
      <c r="AB92" s="397"/>
      <c r="AC92" s="397"/>
      <c r="AD92" s="397"/>
      <c r="AE92" s="397"/>
      <c r="AF92" s="397"/>
      <c r="AG92" s="397"/>
      <c r="AH92" s="397"/>
      <c r="AI92" s="397"/>
      <c r="AJ92" s="397"/>
      <c r="AK92" s="397"/>
      <c r="AL92" s="397"/>
      <c r="AM92" s="397"/>
      <c r="AN92" s="397"/>
      <c r="AO92" s="397"/>
      <c r="AP92" s="397"/>
      <c r="AQ92" s="397"/>
      <c r="AR92" s="397"/>
      <c r="AS92" s="397"/>
      <c r="AT92" s="397"/>
      <c r="AU92" s="397"/>
      <c r="AV92" s="397"/>
      <c r="AW92" s="397"/>
      <c r="AX92" s="397"/>
      <c r="AY92" s="397"/>
      <c r="AZ92" s="397"/>
      <c r="BA92" s="397"/>
      <c r="BB92" s="397"/>
      <c r="BC92" s="397"/>
      <c r="BD92" s="397"/>
      <c r="BE92" s="397"/>
      <c r="BF92" s="397"/>
      <c r="BG92" s="397"/>
      <c r="BH92" s="397"/>
      <c r="BI92" s="397"/>
      <c r="BJ92" s="397"/>
      <c r="BK92" s="397"/>
      <c r="BL92" s="397"/>
      <c r="BM92" s="397"/>
      <c r="BN92" s="397"/>
      <c r="BO92" s="397"/>
      <c r="BP92" s="397"/>
      <c r="BQ92" s="397"/>
      <c r="BR92" s="397"/>
      <c r="BS92" s="397"/>
      <c r="BT92" s="397"/>
      <c r="BU92" s="397"/>
      <c r="BV92" s="397"/>
      <c r="BW92" s="397"/>
      <c r="BX92" s="397"/>
      <c r="BY92" s="397"/>
      <c r="BZ92" s="397"/>
      <c r="CA92" s="397"/>
      <c r="CB92" s="397"/>
      <c r="CC92" s="397"/>
      <c r="CD92" s="397"/>
      <c r="CE92" s="397"/>
      <c r="CF92" s="397"/>
      <c r="CG92" s="397"/>
      <c r="CH92" s="397"/>
      <c r="CI92" s="397"/>
      <c r="CJ92" s="397"/>
      <c r="CK92" s="397"/>
      <c r="CL92" s="397"/>
      <c r="CM92" s="397"/>
      <c r="CN92" s="397"/>
      <c r="CO92" s="397"/>
      <c r="CP92" s="397"/>
      <c r="CQ92" s="397"/>
      <c r="CR92" s="397"/>
      <c r="CS92" s="397"/>
      <c r="CT92" s="397"/>
      <c r="CU92" s="397"/>
      <c r="CV92" s="397"/>
      <c r="CW92" s="397"/>
      <c r="CX92" s="397"/>
      <c r="CY92" s="397"/>
      <c r="CZ92" s="397"/>
      <c r="DA92" s="397"/>
      <c r="DB92" s="397"/>
      <c r="DC92" s="397"/>
      <c r="DD92" s="397"/>
      <c r="DE92" s="397"/>
      <c r="DF92" s="397"/>
      <c r="DG92" s="397"/>
      <c r="DH92" s="397"/>
      <c r="DI92" s="397"/>
      <c r="DJ92" s="397"/>
      <c r="DK92" s="397"/>
      <c r="DL92" s="397"/>
      <c r="DM92" s="397"/>
      <c r="DN92" s="397"/>
      <c r="DO92" s="397"/>
      <c r="DP92" s="397"/>
      <c r="DQ92" s="397"/>
      <c r="DR92" s="397"/>
      <c r="DS92" s="397"/>
      <c r="DT92" s="397"/>
      <c r="DU92" s="397"/>
      <c r="DV92" s="397"/>
      <c r="DW92" s="397"/>
      <c r="DX92" s="397"/>
      <c r="DY92" s="397"/>
      <c r="DZ92" s="397"/>
      <c r="EA92" s="397"/>
      <c r="EB92" s="397"/>
      <c r="EC92" s="397"/>
      <c r="ED92" s="397"/>
      <c r="EE92" s="397"/>
      <c r="EF92" s="397"/>
      <c r="EG92" s="397"/>
      <c r="EH92" s="397"/>
      <c r="EI92" s="397"/>
      <c r="EJ92" s="397"/>
      <c r="EK92" s="397"/>
      <c r="EL92" s="397"/>
      <c r="EM92" s="397"/>
      <c r="EN92" s="397"/>
      <c r="EO92" s="397"/>
      <c r="EP92" s="397"/>
      <c r="EQ92" s="397"/>
      <c r="ER92" s="397"/>
      <c r="ES92" s="397"/>
      <c r="ET92" s="397"/>
      <c r="EU92" s="397"/>
      <c r="EV92" s="397"/>
      <c r="EW92" s="397"/>
      <c r="EX92" s="397"/>
      <c r="EY92" s="397"/>
      <c r="EZ92" s="397"/>
      <c r="FA92" s="397"/>
      <c r="FB92" s="397"/>
      <c r="FC92" s="397"/>
      <c r="FD92" s="397"/>
      <c r="FE92" s="397"/>
      <c r="FF92" s="397"/>
      <c r="FG92" s="397"/>
      <c r="FH92" s="397"/>
      <c r="FI92" s="397"/>
      <c r="FJ92" s="397"/>
      <c r="FK92" s="397"/>
      <c r="FL92" s="397"/>
      <c r="FM92" s="397"/>
      <c r="FN92" s="397"/>
      <c r="FO92" s="397"/>
      <c r="FP92" s="397"/>
      <c r="FQ92" s="397"/>
      <c r="FR92" s="397"/>
      <c r="FS92" s="397"/>
      <c r="FT92" s="397"/>
      <c r="FU92" s="397"/>
      <c r="FV92" s="397"/>
      <c r="FW92" s="397"/>
      <c r="FX92" s="397"/>
      <c r="FY92" s="397"/>
      <c r="FZ92" s="397"/>
      <c r="GA92" s="397"/>
      <c r="GB92" s="397"/>
      <c r="GC92" s="397"/>
      <c r="GD92" s="397"/>
      <c r="GE92" s="397"/>
      <c r="GF92" s="397"/>
      <c r="GG92" s="397"/>
      <c r="GH92" s="397"/>
      <c r="GI92" s="397"/>
      <c r="GJ92" s="397"/>
      <c r="GK92" s="397"/>
      <c r="GL92" s="397"/>
      <c r="GM92" s="397"/>
      <c r="GN92" s="397"/>
      <c r="GO92" s="397"/>
      <c r="GP92" s="397"/>
      <c r="GQ92" s="397"/>
      <c r="GR92" s="397"/>
      <c r="GS92" s="397"/>
      <c r="GT92" s="397"/>
      <c r="GU92" s="397"/>
      <c r="GV92" s="397"/>
      <c r="GW92" s="397"/>
      <c r="GX92" s="397"/>
      <c r="GY92" s="397"/>
      <c r="GZ92" s="397"/>
      <c r="HA92" s="397"/>
      <c r="HB92" s="397"/>
      <c r="HC92" s="397"/>
      <c r="HD92" s="397"/>
      <c r="HE92" s="397"/>
      <c r="HF92" s="397"/>
      <c r="HG92" s="397"/>
      <c r="HH92" s="397"/>
      <c r="HI92" s="397"/>
      <c r="HJ92" s="397"/>
      <c r="HK92" s="397"/>
      <c r="HL92" s="397"/>
      <c r="HM92" s="397"/>
      <c r="HN92" s="397"/>
      <c r="HO92" s="397"/>
      <c r="HP92" s="397"/>
      <c r="HQ92" s="397"/>
      <c r="HR92" s="397"/>
      <c r="HS92" s="397"/>
      <c r="HT92" s="397"/>
      <c r="HU92" s="397"/>
      <c r="HV92" s="397"/>
      <c r="HW92" s="397"/>
      <c r="HX92" s="397"/>
      <c r="HY92" s="397"/>
      <c r="HZ92" s="397"/>
      <c r="IA92" s="397"/>
      <c r="IB92" s="397"/>
      <c r="IC92" s="397"/>
      <c r="ID92" s="397"/>
      <c r="IE92" s="397"/>
      <c r="IF92" s="397"/>
      <c r="IG92" s="397"/>
      <c r="IH92" s="397"/>
      <c r="II92" s="397"/>
      <c r="IJ92" s="397"/>
      <c r="IK92" s="397"/>
      <c r="IL92" s="397"/>
      <c r="IM92" s="397"/>
      <c r="IN92" s="397"/>
      <c r="IO92" s="397"/>
      <c r="IP92" s="397"/>
      <c r="IQ92" s="397"/>
      <c r="IR92" s="397"/>
    </row>
    <row r="93" spans="2:252" s="183" customFormat="1" ht="25.15" customHeight="1" x14ac:dyDescent="0.25">
      <c r="B93" s="85">
        <v>43497</v>
      </c>
      <c r="C93" s="184">
        <v>1040102.6868</v>
      </c>
      <c r="D93" s="184">
        <f>NetWorth[[#This Row],[Worth]]-C94</f>
        <v>-1305.8034999999218</v>
      </c>
      <c r="E93" s="1"/>
      <c r="V93" s="397"/>
      <c r="W93" s="397"/>
      <c r="X93" s="397"/>
      <c r="Y93" s="397"/>
      <c r="Z93" s="397"/>
      <c r="AA93" s="397"/>
      <c r="AB93" s="397"/>
      <c r="AC93" s="397"/>
      <c r="AD93" s="397"/>
      <c r="AE93" s="397"/>
      <c r="AF93" s="397"/>
      <c r="AG93" s="397"/>
      <c r="AH93" s="397"/>
      <c r="AI93" s="397"/>
      <c r="AJ93" s="397"/>
      <c r="AK93" s="397"/>
      <c r="AL93" s="397"/>
      <c r="AM93" s="397"/>
      <c r="AN93" s="397"/>
      <c r="AO93" s="397"/>
      <c r="AP93" s="397"/>
      <c r="AQ93" s="397"/>
      <c r="AR93" s="397"/>
      <c r="AS93" s="397"/>
      <c r="AT93" s="397"/>
      <c r="AU93" s="397"/>
      <c r="AV93" s="397"/>
      <c r="AW93" s="397"/>
      <c r="AX93" s="397"/>
      <c r="AY93" s="397"/>
      <c r="AZ93" s="397"/>
      <c r="BA93" s="397"/>
      <c r="BB93" s="397"/>
      <c r="BC93" s="397"/>
      <c r="BD93" s="397"/>
      <c r="BE93" s="397"/>
      <c r="BF93" s="397"/>
      <c r="BG93" s="397"/>
      <c r="BH93" s="397"/>
      <c r="BI93" s="397"/>
      <c r="BJ93" s="397"/>
      <c r="BK93" s="397"/>
      <c r="BL93" s="397"/>
      <c r="BM93" s="397"/>
      <c r="BN93" s="397"/>
      <c r="BO93" s="397"/>
      <c r="BP93" s="397"/>
      <c r="BQ93" s="397"/>
      <c r="BR93" s="397"/>
      <c r="BS93" s="397"/>
      <c r="BT93" s="397"/>
      <c r="BU93" s="397"/>
      <c r="BV93" s="397"/>
      <c r="BW93" s="397"/>
      <c r="BX93" s="397"/>
      <c r="BY93" s="397"/>
      <c r="BZ93" s="397"/>
      <c r="CA93" s="397"/>
      <c r="CB93" s="397"/>
      <c r="CC93" s="397"/>
      <c r="CD93" s="397"/>
      <c r="CE93" s="397"/>
      <c r="CF93" s="397"/>
      <c r="CG93" s="397"/>
      <c r="CH93" s="397"/>
      <c r="CI93" s="397"/>
      <c r="CJ93" s="397"/>
      <c r="CK93" s="397"/>
      <c r="CL93" s="397"/>
      <c r="CM93" s="397"/>
      <c r="CN93" s="397"/>
      <c r="CO93" s="397"/>
      <c r="CP93" s="397"/>
      <c r="CQ93" s="397"/>
      <c r="CR93" s="397"/>
      <c r="CS93" s="397"/>
      <c r="CT93" s="397"/>
      <c r="CU93" s="397"/>
      <c r="CV93" s="397"/>
      <c r="CW93" s="397"/>
      <c r="CX93" s="397"/>
      <c r="CY93" s="397"/>
      <c r="CZ93" s="397"/>
      <c r="DA93" s="397"/>
      <c r="DB93" s="397"/>
      <c r="DC93" s="397"/>
      <c r="DD93" s="397"/>
      <c r="DE93" s="397"/>
      <c r="DF93" s="397"/>
      <c r="DG93" s="397"/>
      <c r="DH93" s="397"/>
      <c r="DI93" s="397"/>
      <c r="DJ93" s="397"/>
      <c r="DK93" s="397"/>
      <c r="DL93" s="397"/>
      <c r="DM93" s="397"/>
      <c r="DN93" s="397"/>
      <c r="DO93" s="397"/>
      <c r="DP93" s="397"/>
      <c r="DQ93" s="397"/>
      <c r="DR93" s="397"/>
      <c r="DS93" s="397"/>
      <c r="DT93" s="397"/>
      <c r="DU93" s="397"/>
      <c r="DV93" s="397"/>
      <c r="DW93" s="397"/>
      <c r="DX93" s="397"/>
      <c r="DY93" s="397"/>
      <c r="DZ93" s="397"/>
      <c r="EA93" s="397"/>
      <c r="EB93" s="397"/>
      <c r="EC93" s="397"/>
      <c r="ED93" s="397"/>
      <c r="EE93" s="397"/>
      <c r="EF93" s="397"/>
      <c r="EG93" s="397"/>
      <c r="EH93" s="397"/>
      <c r="EI93" s="397"/>
      <c r="EJ93" s="397"/>
      <c r="EK93" s="397"/>
      <c r="EL93" s="397"/>
      <c r="EM93" s="397"/>
      <c r="EN93" s="397"/>
      <c r="EO93" s="397"/>
      <c r="EP93" s="397"/>
      <c r="EQ93" s="397"/>
      <c r="ER93" s="397"/>
      <c r="ES93" s="397"/>
      <c r="ET93" s="397"/>
      <c r="EU93" s="397"/>
      <c r="EV93" s="397"/>
      <c r="EW93" s="397"/>
      <c r="EX93" s="397"/>
      <c r="EY93" s="397"/>
      <c r="EZ93" s="397"/>
      <c r="FA93" s="397"/>
      <c r="FB93" s="397"/>
      <c r="FC93" s="397"/>
      <c r="FD93" s="397"/>
      <c r="FE93" s="397"/>
      <c r="FF93" s="397"/>
      <c r="FG93" s="397"/>
      <c r="FH93" s="397"/>
      <c r="FI93" s="397"/>
      <c r="FJ93" s="397"/>
      <c r="FK93" s="397"/>
      <c r="FL93" s="397"/>
      <c r="FM93" s="397"/>
      <c r="FN93" s="397"/>
      <c r="FO93" s="397"/>
      <c r="FP93" s="397"/>
      <c r="FQ93" s="397"/>
      <c r="FR93" s="397"/>
      <c r="FS93" s="397"/>
      <c r="FT93" s="397"/>
      <c r="FU93" s="397"/>
      <c r="FV93" s="397"/>
      <c r="FW93" s="397"/>
      <c r="FX93" s="397"/>
      <c r="FY93" s="397"/>
      <c r="FZ93" s="397"/>
      <c r="GA93" s="397"/>
      <c r="GB93" s="397"/>
      <c r="GC93" s="397"/>
      <c r="GD93" s="397"/>
      <c r="GE93" s="397"/>
      <c r="GF93" s="397"/>
      <c r="GG93" s="397"/>
      <c r="GH93" s="397"/>
      <c r="GI93" s="397"/>
      <c r="GJ93" s="397"/>
      <c r="GK93" s="397"/>
      <c r="GL93" s="397"/>
      <c r="GM93" s="397"/>
      <c r="GN93" s="397"/>
      <c r="GO93" s="397"/>
      <c r="GP93" s="397"/>
      <c r="GQ93" s="397"/>
      <c r="GR93" s="397"/>
      <c r="GS93" s="397"/>
      <c r="GT93" s="397"/>
      <c r="GU93" s="397"/>
      <c r="GV93" s="397"/>
      <c r="GW93" s="397"/>
      <c r="GX93" s="397"/>
      <c r="GY93" s="397"/>
      <c r="GZ93" s="397"/>
      <c r="HA93" s="397"/>
      <c r="HB93" s="397"/>
      <c r="HC93" s="397"/>
      <c r="HD93" s="397"/>
      <c r="HE93" s="397"/>
      <c r="HF93" s="397"/>
      <c r="HG93" s="397"/>
      <c r="HH93" s="397"/>
      <c r="HI93" s="397"/>
      <c r="HJ93" s="397"/>
      <c r="HK93" s="397"/>
      <c r="HL93" s="397"/>
      <c r="HM93" s="397"/>
      <c r="HN93" s="397"/>
      <c r="HO93" s="397"/>
      <c r="HP93" s="397"/>
      <c r="HQ93" s="397"/>
      <c r="HR93" s="397"/>
      <c r="HS93" s="397"/>
      <c r="HT93" s="397"/>
      <c r="HU93" s="397"/>
      <c r="HV93" s="397"/>
      <c r="HW93" s="397"/>
      <c r="HX93" s="397"/>
      <c r="HY93" s="397"/>
      <c r="HZ93" s="397"/>
      <c r="IA93" s="397"/>
      <c r="IB93" s="397"/>
      <c r="IC93" s="397"/>
      <c r="ID93" s="397"/>
      <c r="IE93" s="397"/>
      <c r="IF93" s="397"/>
      <c r="IG93" s="397"/>
      <c r="IH93" s="397"/>
      <c r="II93" s="397"/>
      <c r="IJ93" s="397"/>
      <c r="IK93" s="397"/>
      <c r="IL93" s="397"/>
      <c r="IM93" s="397"/>
      <c r="IN93" s="397"/>
      <c r="IO93" s="397"/>
      <c r="IP93" s="397"/>
      <c r="IQ93" s="397"/>
      <c r="IR93" s="397"/>
    </row>
    <row r="94" spans="2:252" s="183" customFormat="1" ht="25.15" customHeight="1" x14ac:dyDescent="0.25">
      <c r="B94" s="85">
        <v>43466</v>
      </c>
      <c r="C94" s="184">
        <v>1041408.4902999999</v>
      </c>
      <c r="D94" s="184">
        <f>NetWorth[[#This Row],[Worth]]-C95</f>
        <v>-29412.957900000038</v>
      </c>
      <c r="E94" s="86" t="s">
        <v>168</v>
      </c>
      <c r="V94" s="397"/>
      <c r="W94" s="397"/>
      <c r="X94" s="397"/>
      <c r="Y94" s="397"/>
      <c r="Z94" s="397"/>
      <c r="AA94" s="397"/>
      <c r="AB94" s="397"/>
      <c r="AC94" s="397"/>
      <c r="AD94" s="397"/>
      <c r="AE94" s="397"/>
      <c r="AF94" s="397"/>
      <c r="AG94" s="397"/>
      <c r="AH94" s="397"/>
      <c r="AI94" s="397"/>
      <c r="AJ94" s="397"/>
      <c r="AK94" s="397"/>
      <c r="AL94" s="397"/>
      <c r="AM94" s="397"/>
      <c r="AN94" s="397"/>
      <c r="AO94" s="397"/>
      <c r="AP94" s="397"/>
      <c r="AQ94" s="397"/>
      <c r="AR94" s="397"/>
      <c r="AS94" s="397"/>
      <c r="AT94" s="397"/>
      <c r="AU94" s="397"/>
      <c r="AV94" s="397"/>
      <c r="AW94" s="397"/>
      <c r="AX94" s="397"/>
      <c r="AY94" s="397"/>
      <c r="AZ94" s="397"/>
      <c r="BA94" s="397"/>
      <c r="BB94" s="397"/>
      <c r="BC94" s="397"/>
      <c r="BD94" s="397"/>
      <c r="BE94" s="397"/>
      <c r="BF94" s="397"/>
      <c r="BG94" s="397"/>
      <c r="BH94" s="397"/>
      <c r="BI94" s="397"/>
      <c r="BJ94" s="397"/>
      <c r="BK94" s="397"/>
      <c r="BL94" s="397"/>
      <c r="BM94" s="397"/>
      <c r="BN94" s="397"/>
      <c r="BO94" s="397"/>
      <c r="BP94" s="397"/>
      <c r="BQ94" s="397"/>
      <c r="BR94" s="397"/>
      <c r="BS94" s="397"/>
      <c r="BT94" s="397"/>
      <c r="BU94" s="397"/>
      <c r="BV94" s="397"/>
      <c r="BW94" s="397"/>
      <c r="BX94" s="397"/>
      <c r="BY94" s="397"/>
      <c r="BZ94" s="397"/>
      <c r="CA94" s="397"/>
      <c r="CB94" s="397"/>
      <c r="CC94" s="397"/>
      <c r="CD94" s="397"/>
      <c r="CE94" s="397"/>
      <c r="CF94" s="397"/>
      <c r="CG94" s="397"/>
      <c r="CH94" s="397"/>
      <c r="CI94" s="397"/>
      <c r="CJ94" s="397"/>
      <c r="CK94" s="397"/>
      <c r="CL94" s="397"/>
      <c r="CM94" s="397"/>
      <c r="CN94" s="397"/>
      <c r="CO94" s="397"/>
      <c r="CP94" s="397"/>
      <c r="CQ94" s="397"/>
      <c r="CR94" s="397"/>
      <c r="CS94" s="397"/>
      <c r="CT94" s="397"/>
      <c r="CU94" s="397"/>
      <c r="CV94" s="397"/>
      <c r="CW94" s="397"/>
      <c r="CX94" s="397"/>
      <c r="CY94" s="397"/>
      <c r="CZ94" s="397"/>
      <c r="DA94" s="397"/>
      <c r="DB94" s="397"/>
      <c r="DC94" s="397"/>
      <c r="DD94" s="397"/>
      <c r="DE94" s="397"/>
      <c r="DF94" s="397"/>
      <c r="DG94" s="397"/>
      <c r="DH94" s="397"/>
      <c r="DI94" s="397"/>
      <c r="DJ94" s="397"/>
      <c r="DK94" s="397"/>
      <c r="DL94" s="397"/>
      <c r="DM94" s="397"/>
      <c r="DN94" s="397"/>
      <c r="DO94" s="397"/>
      <c r="DP94" s="397"/>
      <c r="DQ94" s="397"/>
      <c r="DR94" s="397"/>
      <c r="DS94" s="397"/>
      <c r="DT94" s="397"/>
      <c r="DU94" s="397"/>
      <c r="DV94" s="397"/>
      <c r="DW94" s="397"/>
      <c r="DX94" s="397"/>
      <c r="DY94" s="397"/>
      <c r="DZ94" s="397"/>
      <c r="EA94" s="397"/>
      <c r="EB94" s="397"/>
      <c r="EC94" s="397"/>
      <c r="ED94" s="397"/>
      <c r="EE94" s="397"/>
      <c r="EF94" s="397"/>
      <c r="EG94" s="397"/>
      <c r="EH94" s="397"/>
      <c r="EI94" s="397"/>
      <c r="EJ94" s="397"/>
      <c r="EK94" s="397"/>
      <c r="EL94" s="397"/>
      <c r="EM94" s="397"/>
      <c r="EN94" s="397"/>
      <c r="EO94" s="397"/>
      <c r="EP94" s="397"/>
      <c r="EQ94" s="397"/>
      <c r="ER94" s="397"/>
      <c r="ES94" s="397"/>
      <c r="ET94" s="397"/>
      <c r="EU94" s="397"/>
      <c r="EV94" s="397"/>
      <c r="EW94" s="397"/>
      <c r="EX94" s="397"/>
      <c r="EY94" s="397"/>
      <c r="EZ94" s="397"/>
      <c r="FA94" s="397"/>
      <c r="FB94" s="397"/>
      <c r="FC94" s="397"/>
      <c r="FD94" s="397"/>
      <c r="FE94" s="397"/>
      <c r="FF94" s="397"/>
      <c r="FG94" s="397"/>
      <c r="FH94" s="397"/>
      <c r="FI94" s="397"/>
      <c r="FJ94" s="397"/>
      <c r="FK94" s="397"/>
      <c r="FL94" s="397"/>
      <c r="FM94" s="397"/>
      <c r="FN94" s="397"/>
      <c r="FO94" s="397"/>
      <c r="FP94" s="397"/>
      <c r="FQ94" s="397"/>
      <c r="FR94" s="397"/>
      <c r="FS94" s="397"/>
      <c r="FT94" s="397"/>
      <c r="FU94" s="397"/>
      <c r="FV94" s="397"/>
      <c r="FW94" s="397"/>
      <c r="FX94" s="397"/>
      <c r="FY94" s="397"/>
      <c r="FZ94" s="397"/>
      <c r="GA94" s="397"/>
      <c r="GB94" s="397"/>
      <c r="GC94" s="397"/>
      <c r="GD94" s="397"/>
      <c r="GE94" s="397"/>
      <c r="GF94" s="397"/>
      <c r="GG94" s="397"/>
      <c r="GH94" s="397"/>
      <c r="GI94" s="397"/>
      <c r="GJ94" s="397"/>
      <c r="GK94" s="397"/>
      <c r="GL94" s="397"/>
      <c r="GM94" s="397"/>
      <c r="GN94" s="397"/>
      <c r="GO94" s="397"/>
      <c r="GP94" s="397"/>
      <c r="GQ94" s="397"/>
      <c r="GR94" s="397"/>
      <c r="GS94" s="397"/>
      <c r="GT94" s="397"/>
      <c r="GU94" s="397"/>
      <c r="GV94" s="397"/>
      <c r="GW94" s="397"/>
      <c r="GX94" s="397"/>
      <c r="GY94" s="397"/>
      <c r="GZ94" s="397"/>
      <c r="HA94" s="397"/>
      <c r="HB94" s="397"/>
      <c r="HC94" s="397"/>
      <c r="HD94" s="397"/>
      <c r="HE94" s="397"/>
      <c r="HF94" s="397"/>
      <c r="HG94" s="397"/>
      <c r="HH94" s="397"/>
      <c r="HI94" s="397"/>
      <c r="HJ94" s="397"/>
      <c r="HK94" s="397"/>
      <c r="HL94" s="397"/>
      <c r="HM94" s="397"/>
      <c r="HN94" s="397"/>
      <c r="HO94" s="397"/>
      <c r="HP94" s="397"/>
      <c r="HQ94" s="397"/>
      <c r="HR94" s="397"/>
      <c r="HS94" s="397"/>
      <c r="HT94" s="397"/>
      <c r="HU94" s="397"/>
      <c r="HV94" s="397"/>
      <c r="HW94" s="397"/>
      <c r="HX94" s="397"/>
      <c r="HY94" s="397"/>
      <c r="HZ94" s="397"/>
      <c r="IA94" s="397"/>
      <c r="IB94" s="397"/>
      <c r="IC94" s="397"/>
      <c r="ID94" s="397"/>
      <c r="IE94" s="397"/>
      <c r="IF94" s="397"/>
      <c r="IG94" s="397"/>
      <c r="IH94" s="397"/>
      <c r="II94" s="397"/>
      <c r="IJ94" s="397"/>
      <c r="IK94" s="397"/>
      <c r="IL94" s="397"/>
      <c r="IM94" s="397"/>
      <c r="IN94" s="397"/>
      <c r="IO94" s="397"/>
      <c r="IP94" s="397"/>
      <c r="IQ94" s="397"/>
      <c r="IR94" s="397"/>
    </row>
    <row r="95" spans="2:252" s="183" customFormat="1" ht="25.15" customHeight="1" x14ac:dyDescent="0.25">
      <c r="B95" s="85">
        <v>43435</v>
      </c>
      <c r="C95" s="184">
        <v>1070821.4482</v>
      </c>
      <c r="D95" s="184">
        <f>NetWorth[[#This Row],[Worth]]-C96</f>
        <v>9983.5174000000115</v>
      </c>
      <c r="E95" s="1"/>
      <c r="V95" s="397"/>
      <c r="W95" s="397"/>
      <c r="X95" s="397"/>
      <c r="Y95" s="397"/>
      <c r="Z95" s="397"/>
      <c r="AA95" s="397"/>
      <c r="AB95" s="397"/>
      <c r="AC95" s="397"/>
      <c r="AD95" s="397"/>
      <c r="AE95" s="397"/>
      <c r="AF95" s="397"/>
      <c r="AG95" s="397"/>
      <c r="AH95" s="397"/>
      <c r="AI95" s="397"/>
      <c r="AJ95" s="397"/>
      <c r="AK95" s="397"/>
      <c r="AL95" s="397"/>
      <c r="AM95" s="397"/>
      <c r="AN95" s="397"/>
      <c r="AO95" s="397"/>
      <c r="AP95" s="397"/>
      <c r="AQ95" s="397"/>
      <c r="AR95" s="397"/>
      <c r="AS95" s="397"/>
      <c r="AT95" s="397"/>
      <c r="AU95" s="397"/>
      <c r="AV95" s="397"/>
      <c r="AW95" s="397"/>
      <c r="AX95" s="397"/>
      <c r="AY95" s="397"/>
      <c r="AZ95" s="397"/>
      <c r="BA95" s="397"/>
      <c r="BB95" s="397"/>
      <c r="BC95" s="397"/>
      <c r="BD95" s="397"/>
      <c r="BE95" s="397"/>
      <c r="BF95" s="397"/>
      <c r="BG95" s="397"/>
      <c r="BH95" s="397"/>
      <c r="BI95" s="397"/>
      <c r="BJ95" s="397"/>
      <c r="BK95" s="397"/>
      <c r="BL95" s="397"/>
      <c r="BM95" s="397"/>
      <c r="BN95" s="397"/>
      <c r="BO95" s="397"/>
      <c r="BP95" s="397"/>
      <c r="BQ95" s="397"/>
      <c r="BR95" s="397"/>
      <c r="BS95" s="397"/>
      <c r="BT95" s="397"/>
      <c r="BU95" s="397"/>
      <c r="BV95" s="397"/>
      <c r="BW95" s="397"/>
      <c r="BX95" s="397"/>
      <c r="BY95" s="397"/>
      <c r="BZ95" s="397"/>
      <c r="CA95" s="397"/>
      <c r="CB95" s="397"/>
      <c r="CC95" s="397"/>
      <c r="CD95" s="397"/>
      <c r="CE95" s="397"/>
      <c r="CF95" s="397"/>
      <c r="CG95" s="397"/>
      <c r="CH95" s="397"/>
      <c r="CI95" s="397"/>
      <c r="CJ95" s="397"/>
      <c r="CK95" s="397"/>
      <c r="CL95" s="397"/>
      <c r="CM95" s="397"/>
      <c r="CN95" s="397"/>
      <c r="CO95" s="397"/>
      <c r="CP95" s="397"/>
      <c r="CQ95" s="397"/>
      <c r="CR95" s="397"/>
      <c r="CS95" s="397"/>
      <c r="CT95" s="397"/>
      <c r="CU95" s="397"/>
      <c r="CV95" s="397"/>
      <c r="CW95" s="397"/>
      <c r="CX95" s="397"/>
      <c r="CY95" s="397"/>
      <c r="CZ95" s="397"/>
      <c r="DA95" s="397"/>
      <c r="DB95" s="397"/>
      <c r="DC95" s="397"/>
      <c r="DD95" s="397"/>
      <c r="DE95" s="397"/>
      <c r="DF95" s="397"/>
      <c r="DG95" s="397"/>
      <c r="DH95" s="397"/>
      <c r="DI95" s="397"/>
      <c r="DJ95" s="397"/>
      <c r="DK95" s="397"/>
      <c r="DL95" s="397"/>
      <c r="DM95" s="397"/>
      <c r="DN95" s="397"/>
      <c r="DO95" s="397"/>
      <c r="DP95" s="397"/>
      <c r="DQ95" s="397"/>
      <c r="DR95" s="397"/>
      <c r="DS95" s="397"/>
      <c r="DT95" s="397"/>
      <c r="DU95" s="397"/>
      <c r="DV95" s="397"/>
      <c r="DW95" s="397"/>
      <c r="DX95" s="397"/>
      <c r="DY95" s="397"/>
      <c r="DZ95" s="397"/>
      <c r="EA95" s="397"/>
      <c r="EB95" s="397"/>
      <c r="EC95" s="397"/>
      <c r="ED95" s="397"/>
      <c r="EE95" s="397"/>
      <c r="EF95" s="397"/>
      <c r="EG95" s="397"/>
      <c r="EH95" s="397"/>
      <c r="EI95" s="397"/>
      <c r="EJ95" s="397"/>
      <c r="EK95" s="397"/>
      <c r="EL95" s="397"/>
      <c r="EM95" s="397"/>
      <c r="EN95" s="397"/>
      <c r="EO95" s="397"/>
      <c r="EP95" s="397"/>
      <c r="EQ95" s="397"/>
      <c r="ER95" s="397"/>
      <c r="ES95" s="397"/>
      <c r="ET95" s="397"/>
      <c r="EU95" s="397"/>
      <c r="EV95" s="397"/>
      <c r="EW95" s="397"/>
      <c r="EX95" s="397"/>
      <c r="EY95" s="397"/>
      <c r="EZ95" s="397"/>
      <c r="FA95" s="397"/>
      <c r="FB95" s="397"/>
      <c r="FC95" s="397"/>
      <c r="FD95" s="397"/>
      <c r="FE95" s="397"/>
      <c r="FF95" s="397"/>
      <c r="FG95" s="397"/>
      <c r="FH95" s="397"/>
      <c r="FI95" s="397"/>
      <c r="FJ95" s="397"/>
      <c r="FK95" s="397"/>
      <c r="FL95" s="397"/>
      <c r="FM95" s="397"/>
      <c r="FN95" s="397"/>
      <c r="FO95" s="397"/>
      <c r="FP95" s="397"/>
      <c r="FQ95" s="397"/>
      <c r="FR95" s="397"/>
      <c r="FS95" s="397"/>
      <c r="FT95" s="397"/>
      <c r="FU95" s="397"/>
      <c r="FV95" s="397"/>
      <c r="FW95" s="397"/>
      <c r="FX95" s="397"/>
      <c r="FY95" s="397"/>
      <c r="FZ95" s="397"/>
      <c r="GA95" s="397"/>
      <c r="GB95" s="397"/>
      <c r="GC95" s="397"/>
      <c r="GD95" s="397"/>
      <c r="GE95" s="397"/>
      <c r="GF95" s="397"/>
      <c r="GG95" s="397"/>
      <c r="GH95" s="397"/>
      <c r="GI95" s="397"/>
      <c r="GJ95" s="397"/>
      <c r="GK95" s="397"/>
      <c r="GL95" s="397"/>
      <c r="GM95" s="397"/>
      <c r="GN95" s="397"/>
      <c r="GO95" s="397"/>
      <c r="GP95" s="397"/>
      <c r="GQ95" s="397"/>
      <c r="GR95" s="397"/>
      <c r="GS95" s="397"/>
      <c r="GT95" s="397"/>
      <c r="GU95" s="397"/>
      <c r="GV95" s="397"/>
      <c r="GW95" s="397"/>
      <c r="GX95" s="397"/>
      <c r="GY95" s="397"/>
      <c r="GZ95" s="397"/>
      <c r="HA95" s="397"/>
      <c r="HB95" s="397"/>
      <c r="HC95" s="397"/>
      <c r="HD95" s="397"/>
      <c r="HE95" s="397"/>
      <c r="HF95" s="397"/>
      <c r="HG95" s="397"/>
      <c r="HH95" s="397"/>
      <c r="HI95" s="397"/>
      <c r="HJ95" s="397"/>
      <c r="HK95" s="397"/>
      <c r="HL95" s="397"/>
      <c r="HM95" s="397"/>
      <c r="HN95" s="397"/>
      <c r="HO95" s="397"/>
      <c r="HP95" s="397"/>
      <c r="HQ95" s="397"/>
      <c r="HR95" s="397"/>
      <c r="HS95" s="397"/>
      <c r="HT95" s="397"/>
      <c r="HU95" s="397"/>
      <c r="HV95" s="397"/>
      <c r="HW95" s="397"/>
      <c r="HX95" s="397"/>
      <c r="HY95" s="397"/>
      <c r="HZ95" s="397"/>
      <c r="IA95" s="397"/>
      <c r="IB95" s="397"/>
      <c r="IC95" s="397"/>
      <c r="ID95" s="397"/>
      <c r="IE95" s="397"/>
      <c r="IF95" s="397"/>
      <c r="IG95" s="397"/>
      <c r="IH95" s="397"/>
      <c r="II95" s="397"/>
      <c r="IJ95" s="397"/>
      <c r="IK95" s="397"/>
      <c r="IL95" s="397"/>
      <c r="IM95" s="397"/>
      <c r="IN95" s="397"/>
      <c r="IO95" s="397"/>
      <c r="IP95" s="397"/>
      <c r="IQ95" s="397"/>
      <c r="IR95" s="397"/>
    </row>
    <row r="96" spans="2:252" s="183" customFormat="1" ht="25.15" customHeight="1" x14ac:dyDescent="0.25">
      <c r="B96" s="85">
        <v>43405</v>
      </c>
      <c r="C96" s="184">
        <v>1060837.9308</v>
      </c>
      <c r="D96" s="184">
        <f>NetWorth[[#This Row],[Worth]]-C97</f>
        <v>-10202.904969600029</v>
      </c>
      <c r="E96" s="86" t="s">
        <v>168</v>
      </c>
      <c r="V96" s="397"/>
      <c r="W96" s="397"/>
      <c r="X96" s="397"/>
      <c r="Y96" s="397"/>
      <c r="Z96" s="397"/>
      <c r="AA96" s="397"/>
      <c r="AB96" s="397"/>
      <c r="AC96" s="397"/>
      <c r="AD96" s="397"/>
      <c r="AE96" s="397"/>
      <c r="AF96" s="397"/>
      <c r="AG96" s="397"/>
      <c r="AH96" s="397"/>
      <c r="AI96" s="397"/>
      <c r="AJ96" s="397"/>
      <c r="AK96" s="397"/>
      <c r="AL96" s="397"/>
      <c r="AM96" s="397"/>
      <c r="AN96" s="397"/>
      <c r="AO96" s="397"/>
      <c r="AP96" s="397"/>
      <c r="AQ96" s="397"/>
      <c r="AR96" s="397"/>
      <c r="AS96" s="397"/>
      <c r="AT96" s="397"/>
      <c r="AU96" s="397"/>
      <c r="AV96" s="397"/>
      <c r="AW96" s="397"/>
      <c r="AX96" s="397"/>
      <c r="AY96" s="397"/>
      <c r="AZ96" s="397"/>
      <c r="BA96" s="397"/>
      <c r="BB96" s="397"/>
      <c r="BC96" s="397"/>
      <c r="BD96" s="397"/>
      <c r="BE96" s="397"/>
      <c r="BF96" s="397"/>
      <c r="BG96" s="397"/>
      <c r="BH96" s="397"/>
      <c r="BI96" s="397"/>
      <c r="BJ96" s="397"/>
      <c r="BK96" s="397"/>
      <c r="BL96" s="397"/>
      <c r="BM96" s="397"/>
      <c r="BN96" s="397"/>
      <c r="BO96" s="397"/>
      <c r="BP96" s="397"/>
      <c r="BQ96" s="397"/>
      <c r="BR96" s="397"/>
      <c r="BS96" s="397"/>
      <c r="BT96" s="397"/>
      <c r="BU96" s="397"/>
      <c r="BV96" s="397"/>
      <c r="BW96" s="397"/>
      <c r="BX96" s="397"/>
      <c r="BY96" s="397"/>
      <c r="BZ96" s="397"/>
      <c r="CA96" s="397"/>
      <c r="CB96" s="397"/>
      <c r="CC96" s="397"/>
      <c r="CD96" s="397"/>
      <c r="CE96" s="397"/>
      <c r="CF96" s="397"/>
      <c r="CG96" s="397"/>
      <c r="CH96" s="397"/>
      <c r="CI96" s="397"/>
      <c r="CJ96" s="397"/>
      <c r="CK96" s="397"/>
      <c r="CL96" s="397"/>
      <c r="CM96" s="397"/>
      <c r="CN96" s="397"/>
      <c r="CO96" s="397"/>
      <c r="CP96" s="397"/>
      <c r="CQ96" s="397"/>
      <c r="CR96" s="397"/>
      <c r="CS96" s="397"/>
      <c r="CT96" s="397"/>
      <c r="CU96" s="397"/>
      <c r="CV96" s="397"/>
      <c r="CW96" s="397"/>
      <c r="CX96" s="397"/>
      <c r="CY96" s="397"/>
      <c r="CZ96" s="397"/>
      <c r="DA96" s="397"/>
      <c r="DB96" s="397"/>
      <c r="DC96" s="397"/>
      <c r="DD96" s="397"/>
      <c r="DE96" s="397"/>
      <c r="DF96" s="397"/>
      <c r="DG96" s="397"/>
      <c r="DH96" s="397"/>
      <c r="DI96" s="397"/>
      <c r="DJ96" s="397"/>
      <c r="DK96" s="397"/>
      <c r="DL96" s="397"/>
      <c r="DM96" s="397"/>
      <c r="DN96" s="397"/>
      <c r="DO96" s="397"/>
      <c r="DP96" s="397"/>
      <c r="DQ96" s="397"/>
      <c r="DR96" s="397"/>
      <c r="DS96" s="397"/>
      <c r="DT96" s="397"/>
      <c r="DU96" s="397"/>
      <c r="DV96" s="397"/>
      <c r="DW96" s="397"/>
      <c r="DX96" s="397"/>
      <c r="DY96" s="397"/>
      <c r="DZ96" s="397"/>
      <c r="EA96" s="397"/>
      <c r="EB96" s="397"/>
      <c r="EC96" s="397"/>
      <c r="ED96" s="397"/>
      <c r="EE96" s="397"/>
      <c r="EF96" s="397"/>
      <c r="EG96" s="397"/>
      <c r="EH96" s="397"/>
      <c r="EI96" s="397"/>
      <c r="EJ96" s="397"/>
      <c r="EK96" s="397"/>
      <c r="EL96" s="397"/>
      <c r="EM96" s="397"/>
      <c r="EN96" s="397"/>
      <c r="EO96" s="397"/>
      <c r="EP96" s="397"/>
      <c r="EQ96" s="397"/>
      <c r="ER96" s="397"/>
      <c r="ES96" s="397"/>
      <c r="ET96" s="397"/>
      <c r="EU96" s="397"/>
      <c r="EV96" s="397"/>
      <c r="EW96" s="397"/>
      <c r="EX96" s="397"/>
      <c r="EY96" s="397"/>
      <c r="EZ96" s="397"/>
      <c r="FA96" s="397"/>
      <c r="FB96" s="397"/>
      <c r="FC96" s="397"/>
      <c r="FD96" s="397"/>
      <c r="FE96" s="397"/>
      <c r="FF96" s="397"/>
      <c r="FG96" s="397"/>
      <c r="FH96" s="397"/>
      <c r="FI96" s="397"/>
      <c r="FJ96" s="397"/>
      <c r="FK96" s="397"/>
      <c r="FL96" s="397"/>
      <c r="FM96" s="397"/>
      <c r="FN96" s="397"/>
      <c r="FO96" s="397"/>
      <c r="FP96" s="397"/>
      <c r="FQ96" s="397"/>
      <c r="FR96" s="397"/>
      <c r="FS96" s="397"/>
      <c r="FT96" s="397"/>
      <c r="FU96" s="397"/>
      <c r="FV96" s="397"/>
      <c r="FW96" s="397"/>
      <c r="FX96" s="397"/>
      <c r="FY96" s="397"/>
      <c r="FZ96" s="397"/>
      <c r="GA96" s="397"/>
      <c r="GB96" s="397"/>
      <c r="GC96" s="397"/>
      <c r="GD96" s="397"/>
      <c r="GE96" s="397"/>
      <c r="GF96" s="397"/>
      <c r="GG96" s="397"/>
      <c r="GH96" s="397"/>
      <c r="GI96" s="397"/>
      <c r="GJ96" s="397"/>
      <c r="GK96" s="397"/>
      <c r="GL96" s="397"/>
      <c r="GM96" s="397"/>
      <c r="GN96" s="397"/>
      <c r="GO96" s="397"/>
      <c r="GP96" s="397"/>
      <c r="GQ96" s="397"/>
      <c r="GR96" s="397"/>
      <c r="GS96" s="397"/>
      <c r="GT96" s="397"/>
      <c r="GU96" s="397"/>
      <c r="GV96" s="397"/>
      <c r="GW96" s="397"/>
      <c r="GX96" s="397"/>
      <c r="GY96" s="397"/>
      <c r="GZ96" s="397"/>
      <c r="HA96" s="397"/>
      <c r="HB96" s="397"/>
      <c r="HC96" s="397"/>
      <c r="HD96" s="397"/>
      <c r="HE96" s="397"/>
      <c r="HF96" s="397"/>
      <c r="HG96" s="397"/>
      <c r="HH96" s="397"/>
      <c r="HI96" s="397"/>
      <c r="HJ96" s="397"/>
      <c r="HK96" s="397"/>
      <c r="HL96" s="397"/>
      <c r="HM96" s="397"/>
      <c r="HN96" s="397"/>
      <c r="HO96" s="397"/>
      <c r="HP96" s="397"/>
      <c r="HQ96" s="397"/>
      <c r="HR96" s="397"/>
      <c r="HS96" s="397"/>
      <c r="HT96" s="397"/>
      <c r="HU96" s="397"/>
      <c r="HV96" s="397"/>
      <c r="HW96" s="397"/>
      <c r="HX96" s="397"/>
      <c r="HY96" s="397"/>
      <c r="HZ96" s="397"/>
      <c r="IA96" s="397"/>
      <c r="IB96" s="397"/>
      <c r="IC96" s="397"/>
      <c r="ID96" s="397"/>
      <c r="IE96" s="397"/>
      <c r="IF96" s="397"/>
      <c r="IG96" s="397"/>
      <c r="IH96" s="397"/>
      <c r="II96" s="397"/>
      <c r="IJ96" s="397"/>
      <c r="IK96" s="397"/>
      <c r="IL96" s="397"/>
      <c r="IM96" s="397"/>
      <c r="IN96" s="397"/>
      <c r="IO96" s="397"/>
      <c r="IP96" s="397"/>
      <c r="IQ96" s="397"/>
      <c r="IR96" s="397"/>
    </row>
    <row r="97" spans="2:252" s="183" customFormat="1" ht="25.15" customHeight="1" x14ac:dyDescent="0.25">
      <c r="B97" s="85">
        <v>43374</v>
      </c>
      <c r="C97" s="184">
        <v>1071040.8357696</v>
      </c>
      <c r="D97" s="184">
        <f>NetWorth[[#This Row],[Worth]]-C98</f>
        <v>13852.835769600002</v>
      </c>
      <c r="E97" s="86" t="s">
        <v>146</v>
      </c>
      <c r="V97" s="397"/>
      <c r="W97" s="397"/>
      <c r="X97" s="397"/>
      <c r="Y97" s="397"/>
      <c r="Z97" s="397"/>
      <c r="AA97" s="397"/>
      <c r="AB97" s="397"/>
      <c r="AC97" s="397"/>
      <c r="AD97" s="397"/>
      <c r="AE97" s="397"/>
      <c r="AF97" s="397"/>
      <c r="AG97" s="397"/>
      <c r="AH97" s="397"/>
      <c r="AI97" s="397"/>
      <c r="AJ97" s="397"/>
      <c r="AK97" s="397"/>
      <c r="AL97" s="397"/>
      <c r="AM97" s="397"/>
      <c r="AN97" s="397"/>
      <c r="AO97" s="397"/>
      <c r="AP97" s="397"/>
      <c r="AQ97" s="397"/>
      <c r="AR97" s="397"/>
      <c r="AS97" s="397"/>
      <c r="AT97" s="397"/>
      <c r="AU97" s="397"/>
      <c r="AV97" s="397"/>
      <c r="AW97" s="397"/>
      <c r="AX97" s="397"/>
      <c r="AY97" s="397"/>
      <c r="AZ97" s="397"/>
      <c r="BA97" s="397"/>
      <c r="BB97" s="397"/>
      <c r="BC97" s="397"/>
      <c r="BD97" s="397"/>
      <c r="BE97" s="397"/>
      <c r="BF97" s="397"/>
      <c r="BG97" s="397"/>
      <c r="BH97" s="397"/>
      <c r="BI97" s="397"/>
      <c r="BJ97" s="397"/>
      <c r="BK97" s="397"/>
      <c r="BL97" s="397"/>
      <c r="BM97" s="397"/>
      <c r="BN97" s="397"/>
      <c r="BO97" s="397"/>
      <c r="BP97" s="397"/>
      <c r="BQ97" s="397"/>
      <c r="BR97" s="397"/>
      <c r="BS97" s="397"/>
      <c r="BT97" s="397"/>
      <c r="BU97" s="397"/>
      <c r="BV97" s="397"/>
      <c r="BW97" s="397"/>
      <c r="BX97" s="397"/>
      <c r="BY97" s="397"/>
      <c r="BZ97" s="397"/>
      <c r="CA97" s="397"/>
      <c r="CB97" s="397"/>
      <c r="CC97" s="397"/>
      <c r="CD97" s="397"/>
      <c r="CE97" s="397"/>
      <c r="CF97" s="397"/>
      <c r="CG97" s="397"/>
      <c r="CH97" s="397"/>
      <c r="CI97" s="397"/>
      <c r="CJ97" s="397"/>
      <c r="CK97" s="397"/>
      <c r="CL97" s="397"/>
      <c r="CM97" s="397"/>
      <c r="CN97" s="397"/>
      <c r="CO97" s="397"/>
      <c r="CP97" s="397"/>
      <c r="CQ97" s="397"/>
      <c r="CR97" s="397"/>
      <c r="CS97" s="397"/>
      <c r="CT97" s="397"/>
      <c r="CU97" s="397"/>
      <c r="CV97" s="397"/>
      <c r="CW97" s="397"/>
      <c r="CX97" s="397"/>
      <c r="CY97" s="397"/>
      <c r="CZ97" s="397"/>
      <c r="DA97" s="397"/>
      <c r="DB97" s="397"/>
      <c r="DC97" s="397"/>
      <c r="DD97" s="397"/>
      <c r="DE97" s="397"/>
      <c r="DF97" s="397"/>
      <c r="DG97" s="397"/>
      <c r="DH97" s="397"/>
      <c r="DI97" s="397"/>
      <c r="DJ97" s="397"/>
      <c r="DK97" s="397"/>
      <c r="DL97" s="397"/>
      <c r="DM97" s="397"/>
      <c r="DN97" s="397"/>
      <c r="DO97" s="397"/>
      <c r="DP97" s="397"/>
      <c r="DQ97" s="397"/>
      <c r="DR97" s="397"/>
      <c r="DS97" s="397"/>
      <c r="DT97" s="397"/>
      <c r="DU97" s="397"/>
      <c r="DV97" s="397"/>
      <c r="DW97" s="397"/>
      <c r="DX97" s="397"/>
      <c r="DY97" s="397"/>
      <c r="DZ97" s="397"/>
      <c r="EA97" s="397"/>
      <c r="EB97" s="397"/>
      <c r="EC97" s="397"/>
      <c r="ED97" s="397"/>
      <c r="EE97" s="397"/>
      <c r="EF97" s="397"/>
      <c r="EG97" s="397"/>
      <c r="EH97" s="397"/>
      <c r="EI97" s="397"/>
      <c r="EJ97" s="397"/>
      <c r="EK97" s="397"/>
      <c r="EL97" s="397"/>
      <c r="EM97" s="397"/>
      <c r="EN97" s="397"/>
      <c r="EO97" s="397"/>
      <c r="EP97" s="397"/>
      <c r="EQ97" s="397"/>
      <c r="ER97" s="397"/>
      <c r="ES97" s="397"/>
      <c r="ET97" s="397"/>
      <c r="EU97" s="397"/>
      <c r="EV97" s="397"/>
      <c r="EW97" s="397"/>
      <c r="EX97" s="397"/>
      <c r="EY97" s="397"/>
      <c r="EZ97" s="397"/>
      <c r="FA97" s="397"/>
      <c r="FB97" s="397"/>
      <c r="FC97" s="397"/>
      <c r="FD97" s="397"/>
      <c r="FE97" s="397"/>
      <c r="FF97" s="397"/>
      <c r="FG97" s="397"/>
      <c r="FH97" s="397"/>
      <c r="FI97" s="397"/>
      <c r="FJ97" s="397"/>
      <c r="FK97" s="397"/>
      <c r="FL97" s="397"/>
      <c r="FM97" s="397"/>
      <c r="FN97" s="397"/>
      <c r="FO97" s="397"/>
      <c r="FP97" s="397"/>
      <c r="FQ97" s="397"/>
      <c r="FR97" s="397"/>
      <c r="FS97" s="397"/>
      <c r="FT97" s="397"/>
      <c r="FU97" s="397"/>
      <c r="FV97" s="397"/>
      <c r="FW97" s="397"/>
      <c r="FX97" s="397"/>
      <c r="FY97" s="397"/>
      <c r="FZ97" s="397"/>
      <c r="GA97" s="397"/>
      <c r="GB97" s="397"/>
      <c r="GC97" s="397"/>
      <c r="GD97" s="397"/>
      <c r="GE97" s="397"/>
      <c r="GF97" s="397"/>
      <c r="GG97" s="397"/>
      <c r="GH97" s="397"/>
      <c r="GI97" s="397"/>
      <c r="GJ97" s="397"/>
      <c r="GK97" s="397"/>
      <c r="GL97" s="397"/>
      <c r="GM97" s="397"/>
      <c r="GN97" s="397"/>
      <c r="GO97" s="397"/>
      <c r="GP97" s="397"/>
      <c r="GQ97" s="397"/>
      <c r="GR97" s="397"/>
      <c r="GS97" s="397"/>
      <c r="GT97" s="397"/>
      <c r="GU97" s="397"/>
      <c r="GV97" s="397"/>
      <c r="GW97" s="397"/>
      <c r="GX97" s="397"/>
      <c r="GY97" s="397"/>
      <c r="GZ97" s="397"/>
      <c r="HA97" s="397"/>
      <c r="HB97" s="397"/>
      <c r="HC97" s="397"/>
      <c r="HD97" s="397"/>
      <c r="HE97" s="397"/>
      <c r="HF97" s="397"/>
      <c r="HG97" s="397"/>
      <c r="HH97" s="397"/>
      <c r="HI97" s="397"/>
      <c r="HJ97" s="397"/>
      <c r="HK97" s="397"/>
      <c r="HL97" s="397"/>
      <c r="HM97" s="397"/>
      <c r="HN97" s="397"/>
      <c r="HO97" s="397"/>
      <c r="HP97" s="397"/>
      <c r="HQ97" s="397"/>
      <c r="HR97" s="397"/>
      <c r="HS97" s="397"/>
      <c r="HT97" s="397"/>
      <c r="HU97" s="397"/>
      <c r="HV97" s="397"/>
      <c r="HW97" s="397"/>
      <c r="HX97" s="397"/>
      <c r="HY97" s="397"/>
      <c r="HZ97" s="397"/>
      <c r="IA97" s="397"/>
      <c r="IB97" s="397"/>
      <c r="IC97" s="397"/>
      <c r="ID97" s="397"/>
      <c r="IE97" s="397"/>
      <c r="IF97" s="397"/>
      <c r="IG97" s="397"/>
      <c r="IH97" s="397"/>
      <c r="II97" s="397"/>
      <c r="IJ97" s="397"/>
      <c r="IK97" s="397"/>
      <c r="IL97" s="397"/>
      <c r="IM97" s="397"/>
      <c r="IN97" s="397"/>
      <c r="IO97" s="397"/>
      <c r="IP97" s="397"/>
      <c r="IQ97" s="397"/>
      <c r="IR97" s="397"/>
    </row>
    <row r="98" spans="2:252" s="183" customFormat="1" ht="25.15" customHeight="1" x14ac:dyDescent="0.25">
      <c r="B98" s="85">
        <v>43344</v>
      </c>
      <c r="C98" s="184">
        <v>1057188</v>
      </c>
      <c r="D98" s="184">
        <f>NetWorth[[#This Row],[Worth]]-C99</f>
        <v>26188</v>
      </c>
      <c r="E98" s="86" t="s">
        <v>145</v>
      </c>
      <c r="V98" s="397"/>
      <c r="W98" s="397"/>
      <c r="X98" s="397"/>
      <c r="Y98" s="397"/>
      <c r="Z98" s="397"/>
      <c r="AA98" s="397"/>
      <c r="AB98" s="397"/>
      <c r="AC98" s="397"/>
      <c r="AD98" s="397"/>
      <c r="AE98" s="397"/>
      <c r="AF98" s="397"/>
      <c r="AG98" s="397"/>
      <c r="AH98" s="397"/>
      <c r="AI98" s="397"/>
      <c r="AJ98" s="397"/>
      <c r="AK98" s="397"/>
      <c r="AL98" s="397"/>
      <c r="AM98" s="397"/>
      <c r="AN98" s="397"/>
      <c r="AO98" s="397"/>
      <c r="AP98" s="397"/>
      <c r="AQ98" s="397"/>
      <c r="AR98" s="397"/>
      <c r="AS98" s="397"/>
      <c r="AT98" s="397"/>
      <c r="AU98" s="397"/>
      <c r="AV98" s="397"/>
      <c r="AW98" s="397"/>
      <c r="AX98" s="397"/>
      <c r="AY98" s="397"/>
      <c r="AZ98" s="397"/>
      <c r="BA98" s="397"/>
      <c r="BB98" s="397"/>
      <c r="BC98" s="397"/>
      <c r="BD98" s="397"/>
      <c r="BE98" s="397"/>
      <c r="BF98" s="397"/>
      <c r="BG98" s="397"/>
      <c r="BH98" s="397"/>
      <c r="BI98" s="397"/>
      <c r="BJ98" s="397"/>
      <c r="BK98" s="397"/>
      <c r="BL98" s="397"/>
      <c r="BM98" s="397"/>
      <c r="BN98" s="397"/>
      <c r="BO98" s="397"/>
      <c r="BP98" s="397"/>
      <c r="BQ98" s="397"/>
      <c r="BR98" s="397"/>
      <c r="BS98" s="397"/>
      <c r="BT98" s="397"/>
      <c r="BU98" s="397"/>
      <c r="BV98" s="397"/>
      <c r="BW98" s="397"/>
      <c r="BX98" s="397"/>
      <c r="BY98" s="397"/>
      <c r="BZ98" s="397"/>
      <c r="CA98" s="397"/>
      <c r="CB98" s="397"/>
      <c r="CC98" s="397"/>
      <c r="CD98" s="397"/>
      <c r="CE98" s="397"/>
      <c r="CF98" s="397"/>
      <c r="CG98" s="397"/>
      <c r="CH98" s="397"/>
      <c r="CI98" s="397"/>
      <c r="CJ98" s="397"/>
      <c r="CK98" s="397"/>
      <c r="CL98" s="397"/>
      <c r="CM98" s="397"/>
      <c r="CN98" s="397"/>
      <c r="CO98" s="397"/>
      <c r="CP98" s="397"/>
      <c r="CQ98" s="397"/>
      <c r="CR98" s="397"/>
      <c r="CS98" s="397"/>
      <c r="CT98" s="397"/>
      <c r="CU98" s="397"/>
      <c r="CV98" s="397"/>
      <c r="CW98" s="397"/>
      <c r="CX98" s="397"/>
      <c r="CY98" s="397"/>
      <c r="CZ98" s="397"/>
      <c r="DA98" s="397"/>
      <c r="DB98" s="397"/>
      <c r="DC98" s="397"/>
      <c r="DD98" s="397"/>
      <c r="DE98" s="397"/>
      <c r="DF98" s="397"/>
      <c r="DG98" s="397"/>
      <c r="DH98" s="397"/>
      <c r="DI98" s="397"/>
      <c r="DJ98" s="397"/>
      <c r="DK98" s="397"/>
      <c r="DL98" s="397"/>
      <c r="DM98" s="397"/>
      <c r="DN98" s="397"/>
      <c r="DO98" s="397"/>
      <c r="DP98" s="397"/>
      <c r="DQ98" s="397"/>
      <c r="DR98" s="397"/>
      <c r="DS98" s="397"/>
      <c r="DT98" s="397"/>
      <c r="DU98" s="397"/>
      <c r="DV98" s="397"/>
      <c r="DW98" s="397"/>
      <c r="DX98" s="397"/>
      <c r="DY98" s="397"/>
      <c r="DZ98" s="397"/>
      <c r="EA98" s="397"/>
      <c r="EB98" s="397"/>
      <c r="EC98" s="397"/>
      <c r="ED98" s="397"/>
      <c r="EE98" s="397"/>
      <c r="EF98" s="397"/>
      <c r="EG98" s="397"/>
      <c r="EH98" s="397"/>
      <c r="EI98" s="397"/>
      <c r="EJ98" s="397"/>
      <c r="EK98" s="397"/>
      <c r="EL98" s="397"/>
      <c r="EM98" s="397"/>
      <c r="EN98" s="397"/>
      <c r="EO98" s="397"/>
      <c r="EP98" s="397"/>
      <c r="EQ98" s="397"/>
      <c r="ER98" s="397"/>
      <c r="ES98" s="397"/>
      <c r="ET98" s="397"/>
      <c r="EU98" s="397"/>
      <c r="EV98" s="397"/>
      <c r="EW98" s="397"/>
      <c r="EX98" s="397"/>
      <c r="EY98" s="397"/>
      <c r="EZ98" s="397"/>
      <c r="FA98" s="397"/>
      <c r="FB98" s="397"/>
      <c r="FC98" s="397"/>
      <c r="FD98" s="397"/>
      <c r="FE98" s="397"/>
      <c r="FF98" s="397"/>
      <c r="FG98" s="397"/>
      <c r="FH98" s="397"/>
      <c r="FI98" s="397"/>
      <c r="FJ98" s="397"/>
      <c r="FK98" s="397"/>
      <c r="FL98" s="397"/>
      <c r="FM98" s="397"/>
      <c r="FN98" s="397"/>
      <c r="FO98" s="397"/>
      <c r="FP98" s="397"/>
      <c r="FQ98" s="397"/>
      <c r="FR98" s="397"/>
      <c r="FS98" s="397"/>
      <c r="FT98" s="397"/>
      <c r="FU98" s="397"/>
      <c r="FV98" s="397"/>
      <c r="FW98" s="397"/>
      <c r="FX98" s="397"/>
      <c r="FY98" s="397"/>
      <c r="FZ98" s="397"/>
      <c r="GA98" s="397"/>
      <c r="GB98" s="397"/>
      <c r="GC98" s="397"/>
      <c r="GD98" s="397"/>
      <c r="GE98" s="397"/>
      <c r="GF98" s="397"/>
      <c r="GG98" s="397"/>
      <c r="GH98" s="397"/>
      <c r="GI98" s="397"/>
      <c r="GJ98" s="397"/>
      <c r="GK98" s="397"/>
      <c r="GL98" s="397"/>
      <c r="GM98" s="397"/>
      <c r="GN98" s="397"/>
      <c r="GO98" s="397"/>
      <c r="GP98" s="397"/>
      <c r="GQ98" s="397"/>
      <c r="GR98" s="397"/>
      <c r="GS98" s="397"/>
      <c r="GT98" s="397"/>
      <c r="GU98" s="397"/>
      <c r="GV98" s="397"/>
      <c r="GW98" s="397"/>
      <c r="GX98" s="397"/>
      <c r="GY98" s="397"/>
      <c r="GZ98" s="397"/>
      <c r="HA98" s="397"/>
      <c r="HB98" s="397"/>
      <c r="HC98" s="397"/>
      <c r="HD98" s="397"/>
      <c r="HE98" s="397"/>
      <c r="HF98" s="397"/>
      <c r="HG98" s="397"/>
      <c r="HH98" s="397"/>
      <c r="HI98" s="397"/>
      <c r="HJ98" s="397"/>
      <c r="HK98" s="397"/>
      <c r="HL98" s="397"/>
      <c r="HM98" s="397"/>
      <c r="HN98" s="397"/>
      <c r="HO98" s="397"/>
      <c r="HP98" s="397"/>
      <c r="HQ98" s="397"/>
      <c r="HR98" s="397"/>
      <c r="HS98" s="397"/>
      <c r="HT98" s="397"/>
      <c r="HU98" s="397"/>
      <c r="HV98" s="397"/>
      <c r="HW98" s="397"/>
      <c r="HX98" s="397"/>
      <c r="HY98" s="397"/>
      <c r="HZ98" s="397"/>
      <c r="IA98" s="397"/>
      <c r="IB98" s="397"/>
      <c r="IC98" s="397"/>
      <c r="ID98" s="397"/>
      <c r="IE98" s="397"/>
      <c r="IF98" s="397"/>
      <c r="IG98" s="397"/>
      <c r="IH98" s="397"/>
      <c r="II98" s="397"/>
      <c r="IJ98" s="397"/>
      <c r="IK98" s="397"/>
      <c r="IL98" s="397"/>
      <c r="IM98" s="397"/>
      <c r="IN98" s="397"/>
      <c r="IO98" s="397"/>
      <c r="IP98" s="397"/>
      <c r="IQ98" s="397"/>
      <c r="IR98" s="397"/>
    </row>
    <row r="99" spans="2:252" s="183" customFormat="1" ht="25.15" customHeight="1" x14ac:dyDescent="0.25">
      <c r="B99" s="85">
        <v>43313</v>
      </c>
      <c r="C99" s="184">
        <v>1031000</v>
      </c>
      <c r="D99" s="184">
        <f>NetWorth[[#This Row],[Worth]]-C100</f>
        <v>3000</v>
      </c>
      <c r="E99" s="1"/>
      <c r="V99" s="397"/>
      <c r="W99" s="397"/>
      <c r="X99" s="397"/>
      <c r="Y99" s="397"/>
      <c r="Z99" s="397"/>
      <c r="AA99" s="397"/>
      <c r="AB99" s="397"/>
      <c r="AC99" s="397"/>
      <c r="AD99" s="397"/>
      <c r="AE99" s="397"/>
      <c r="AF99" s="397"/>
      <c r="AG99" s="397"/>
      <c r="AH99" s="397"/>
      <c r="AI99" s="397"/>
      <c r="AJ99" s="397"/>
      <c r="AK99" s="397"/>
      <c r="AL99" s="397"/>
      <c r="AM99" s="397"/>
      <c r="AN99" s="397"/>
      <c r="AO99" s="397"/>
      <c r="AP99" s="397"/>
      <c r="AQ99" s="397"/>
      <c r="AR99" s="397"/>
      <c r="AS99" s="397"/>
      <c r="AT99" s="397"/>
      <c r="AU99" s="397"/>
      <c r="AV99" s="397"/>
      <c r="AW99" s="397"/>
      <c r="AX99" s="397"/>
      <c r="AY99" s="397"/>
      <c r="AZ99" s="397"/>
      <c r="BA99" s="397"/>
      <c r="BB99" s="397"/>
      <c r="BC99" s="397"/>
      <c r="BD99" s="397"/>
      <c r="BE99" s="397"/>
      <c r="BF99" s="397"/>
      <c r="BG99" s="397"/>
      <c r="BH99" s="397"/>
      <c r="BI99" s="397"/>
      <c r="BJ99" s="397"/>
      <c r="BK99" s="397"/>
      <c r="BL99" s="397"/>
      <c r="BM99" s="397"/>
      <c r="BN99" s="397"/>
      <c r="BO99" s="397"/>
      <c r="BP99" s="397"/>
      <c r="BQ99" s="397"/>
      <c r="BR99" s="397"/>
      <c r="BS99" s="397"/>
      <c r="BT99" s="397"/>
      <c r="BU99" s="397"/>
      <c r="BV99" s="397"/>
      <c r="BW99" s="397"/>
      <c r="BX99" s="397"/>
      <c r="BY99" s="397"/>
      <c r="BZ99" s="397"/>
      <c r="CA99" s="397"/>
      <c r="CB99" s="397"/>
      <c r="CC99" s="397"/>
      <c r="CD99" s="397"/>
      <c r="CE99" s="397"/>
      <c r="CF99" s="397"/>
      <c r="CG99" s="397"/>
      <c r="CH99" s="397"/>
      <c r="CI99" s="397"/>
      <c r="CJ99" s="397"/>
      <c r="CK99" s="397"/>
      <c r="CL99" s="397"/>
      <c r="CM99" s="397"/>
      <c r="CN99" s="397"/>
      <c r="CO99" s="397"/>
      <c r="CP99" s="397"/>
      <c r="CQ99" s="397"/>
      <c r="CR99" s="397"/>
      <c r="CS99" s="397"/>
      <c r="CT99" s="397"/>
      <c r="CU99" s="397"/>
      <c r="CV99" s="397"/>
      <c r="CW99" s="397"/>
      <c r="CX99" s="397"/>
      <c r="CY99" s="397"/>
      <c r="CZ99" s="397"/>
      <c r="DA99" s="397"/>
      <c r="DB99" s="397"/>
      <c r="DC99" s="397"/>
      <c r="DD99" s="397"/>
      <c r="DE99" s="397"/>
      <c r="DF99" s="397"/>
      <c r="DG99" s="397"/>
      <c r="DH99" s="397"/>
      <c r="DI99" s="397"/>
      <c r="DJ99" s="397"/>
      <c r="DK99" s="397"/>
      <c r="DL99" s="397"/>
      <c r="DM99" s="397"/>
      <c r="DN99" s="397"/>
      <c r="DO99" s="397"/>
      <c r="DP99" s="397"/>
      <c r="DQ99" s="397"/>
      <c r="DR99" s="397"/>
      <c r="DS99" s="397"/>
      <c r="DT99" s="397"/>
      <c r="DU99" s="397"/>
      <c r="DV99" s="397"/>
      <c r="DW99" s="397"/>
      <c r="DX99" s="397"/>
      <c r="DY99" s="397"/>
      <c r="DZ99" s="397"/>
      <c r="EA99" s="397"/>
      <c r="EB99" s="397"/>
      <c r="EC99" s="397"/>
      <c r="ED99" s="397"/>
      <c r="EE99" s="397"/>
      <c r="EF99" s="397"/>
      <c r="EG99" s="397"/>
      <c r="EH99" s="397"/>
      <c r="EI99" s="397"/>
      <c r="EJ99" s="397"/>
      <c r="EK99" s="397"/>
      <c r="EL99" s="397"/>
      <c r="EM99" s="397"/>
      <c r="EN99" s="397"/>
      <c r="EO99" s="397"/>
      <c r="EP99" s="397"/>
      <c r="EQ99" s="397"/>
      <c r="ER99" s="397"/>
      <c r="ES99" s="397"/>
      <c r="ET99" s="397"/>
      <c r="EU99" s="397"/>
      <c r="EV99" s="397"/>
      <c r="EW99" s="397"/>
      <c r="EX99" s="397"/>
      <c r="EY99" s="397"/>
      <c r="EZ99" s="397"/>
      <c r="FA99" s="397"/>
      <c r="FB99" s="397"/>
      <c r="FC99" s="397"/>
      <c r="FD99" s="397"/>
      <c r="FE99" s="397"/>
      <c r="FF99" s="397"/>
      <c r="FG99" s="397"/>
      <c r="FH99" s="397"/>
      <c r="FI99" s="397"/>
      <c r="FJ99" s="397"/>
      <c r="FK99" s="397"/>
      <c r="FL99" s="397"/>
      <c r="FM99" s="397"/>
      <c r="FN99" s="397"/>
      <c r="FO99" s="397"/>
      <c r="FP99" s="397"/>
      <c r="FQ99" s="397"/>
      <c r="FR99" s="397"/>
      <c r="FS99" s="397"/>
      <c r="FT99" s="397"/>
      <c r="FU99" s="397"/>
      <c r="FV99" s="397"/>
      <c r="FW99" s="397"/>
      <c r="FX99" s="397"/>
      <c r="FY99" s="397"/>
      <c r="FZ99" s="397"/>
      <c r="GA99" s="397"/>
      <c r="GB99" s="397"/>
      <c r="GC99" s="397"/>
      <c r="GD99" s="397"/>
      <c r="GE99" s="397"/>
      <c r="GF99" s="397"/>
      <c r="GG99" s="397"/>
      <c r="GH99" s="397"/>
      <c r="GI99" s="397"/>
      <c r="GJ99" s="397"/>
      <c r="GK99" s="397"/>
      <c r="GL99" s="397"/>
      <c r="GM99" s="397"/>
      <c r="GN99" s="397"/>
      <c r="GO99" s="397"/>
      <c r="GP99" s="397"/>
      <c r="GQ99" s="397"/>
      <c r="GR99" s="397"/>
      <c r="GS99" s="397"/>
      <c r="GT99" s="397"/>
      <c r="GU99" s="397"/>
      <c r="GV99" s="397"/>
      <c r="GW99" s="397"/>
      <c r="GX99" s="397"/>
      <c r="GY99" s="397"/>
      <c r="GZ99" s="397"/>
      <c r="HA99" s="397"/>
      <c r="HB99" s="397"/>
      <c r="HC99" s="397"/>
      <c r="HD99" s="397"/>
      <c r="HE99" s="397"/>
      <c r="HF99" s="397"/>
      <c r="HG99" s="397"/>
      <c r="HH99" s="397"/>
      <c r="HI99" s="397"/>
      <c r="HJ99" s="397"/>
      <c r="HK99" s="397"/>
      <c r="HL99" s="397"/>
      <c r="HM99" s="397"/>
      <c r="HN99" s="397"/>
      <c r="HO99" s="397"/>
      <c r="HP99" s="397"/>
      <c r="HQ99" s="397"/>
      <c r="HR99" s="397"/>
      <c r="HS99" s="397"/>
      <c r="HT99" s="397"/>
      <c r="HU99" s="397"/>
      <c r="HV99" s="397"/>
      <c r="HW99" s="397"/>
      <c r="HX99" s="397"/>
      <c r="HY99" s="397"/>
      <c r="HZ99" s="397"/>
      <c r="IA99" s="397"/>
      <c r="IB99" s="397"/>
      <c r="IC99" s="397"/>
      <c r="ID99" s="397"/>
      <c r="IE99" s="397"/>
      <c r="IF99" s="397"/>
      <c r="IG99" s="397"/>
      <c r="IH99" s="397"/>
      <c r="II99" s="397"/>
      <c r="IJ99" s="397"/>
      <c r="IK99" s="397"/>
      <c r="IL99" s="397"/>
      <c r="IM99" s="397"/>
      <c r="IN99" s="397"/>
      <c r="IO99" s="397"/>
      <c r="IP99" s="397"/>
      <c r="IQ99" s="397"/>
      <c r="IR99" s="397"/>
    </row>
    <row r="100" spans="2:252" s="183" customFormat="1" ht="25.15" customHeight="1" x14ac:dyDescent="0.25">
      <c r="B100" s="85">
        <v>43282</v>
      </c>
      <c r="C100" s="184">
        <v>1028000</v>
      </c>
      <c r="D100" s="184">
        <f>NetWorth[[#This Row],[Worth]]-C101</f>
        <v>7469.9567076000385</v>
      </c>
      <c r="E100" s="1"/>
      <c r="V100" s="397"/>
      <c r="W100" s="397"/>
      <c r="X100" s="397"/>
      <c r="Y100" s="397"/>
      <c r="Z100" s="397"/>
      <c r="AA100" s="397"/>
      <c r="AB100" s="397"/>
      <c r="AC100" s="397"/>
      <c r="AD100" s="397"/>
      <c r="AE100" s="397"/>
      <c r="AF100" s="397"/>
      <c r="AG100" s="397"/>
      <c r="AH100" s="397"/>
      <c r="AI100" s="397"/>
      <c r="AJ100" s="397"/>
      <c r="AK100" s="397"/>
      <c r="AL100" s="397"/>
      <c r="AM100" s="397"/>
      <c r="AN100" s="397"/>
      <c r="AO100" s="397"/>
      <c r="AP100" s="397"/>
      <c r="AQ100" s="397"/>
      <c r="AR100" s="397"/>
      <c r="AS100" s="397"/>
      <c r="AT100" s="397"/>
      <c r="AU100" s="397"/>
      <c r="AV100" s="397"/>
      <c r="AW100" s="397"/>
      <c r="AX100" s="397"/>
      <c r="AY100" s="397"/>
      <c r="AZ100" s="397"/>
      <c r="BA100" s="397"/>
      <c r="BB100" s="397"/>
      <c r="BC100" s="397"/>
      <c r="BD100" s="397"/>
      <c r="BE100" s="397"/>
      <c r="BF100" s="397"/>
      <c r="BG100" s="397"/>
      <c r="BH100" s="397"/>
      <c r="BI100" s="397"/>
      <c r="BJ100" s="397"/>
      <c r="BK100" s="397"/>
      <c r="BL100" s="397"/>
      <c r="BM100" s="397"/>
      <c r="BN100" s="397"/>
      <c r="BO100" s="397"/>
      <c r="BP100" s="397"/>
      <c r="BQ100" s="397"/>
      <c r="BR100" s="397"/>
      <c r="BS100" s="397"/>
      <c r="BT100" s="397"/>
      <c r="BU100" s="397"/>
      <c r="BV100" s="397"/>
      <c r="BW100" s="397"/>
      <c r="BX100" s="397"/>
      <c r="BY100" s="397"/>
      <c r="BZ100" s="397"/>
      <c r="CA100" s="397"/>
      <c r="CB100" s="397"/>
      <c r="CC100" s="397"/>
      <c r="CD100" s="397"/>
      <c r="CE100" s="397"/>
      <c r="CF100" s="397"/>
      <c r="CG100" s="397"/>
      <c r="CH100" s="397"/>
      <c r="CI100" s="397"/>
      <c r="CJ100" s="397"/>
      <c r="CK100" s="397"/>
      <c r="CL100" s="397"/>
      <c r="CM100" s="397"/>
      <c r="CN100" s="397"/>
      <c r="CO100" s="397"/>
      <c r="CP100" s="397"/>
      <c r="CQ100" s="397"/>
      <c r="CR100" s="397"/>
      <c r="CS100" s="397"/>
      <c r="CT100" s="397"/>
      <c r="CU100" s="397"/>
      <c r="CV100" s="397"/>
      <c r="CW100" s="397"/>
      <c r="CX100" s="397"/>
      <c r="CY100" s="397"/>
      <c r="CZ100" s="397"/>
      <c r="DA100" s="397"/>
      <c r="DB100" s="397"/>
      <c r="DC100" s="397"/>
      <c r="DD100" s="397"/>
      <c r="DE100" s="397"/>
      <c r="DF100" s="397"/>
      <c r="DG100" s="397"/>
      <c r="DH100" s="397"/>
      <c r="DI100" s="397"/>
      <c r="DJ100" s="397"/>
      <c r="DK100" s="397"/>
      <c r="DL100" s="397"/>
      <c r="DM100" s="397"/>
      <c r="DN100" s="397"/>
      <c r="DO100" s="397"/>
      <c r="DP100" s="397"/>
      <c r="DQ100" s="397"/>
      <c r="DR100" s="397"/>
      <c r="DS100" s="397"/>
      <c r="DT100" s="397"/>
      <c r="DU100" s="397"/>
      <c r="DV100" s="397"/>
      <c r="DW100" s="397"/>
      <c r="DX100" s="397"/>
      <c r="DY100" s="397"/>
      <c r="DZ100" s="397"/>
      <c r="EA100" s="397"/>
      <c r="EB100" s="397"/>
      <c r="EC100" s="397"/>
      <c r="ED100" s="397"/>
      <c r="EE100" s="397"/>
      <c r="EF100" s="397"/>
      <c r="EG100" s="397"/>
      <c r="EH100" s="397"/>
      <c r="EI100" s="397"/>
      <c r="EJ100" s="397"/>
      <c r="EK100" s="397"/>
      <c r="EL100" s="397"/>
      <c r="EM100" s="397"/>
      <c r="EN100" s="397"/>
      <c r="EO100" s="397"/>
      <c r="EP100" s="397"/>
      <c r="EQ100" s="397"/>
      <c r="ER100" s="397"/>
      <c r="ES100" s="397"/>
      <c r="ET100" s="397"/>
      <c r="EU100" s="397"/>
      <c r="EV100" s="397"/>
      <c r="EW100" s="397"/>
      <c r="EX100" s="397"/>
      <c r="EY100" s="397"/>
      <c r="EZ100" s="397"/>
      <c r="FA100" s="397"/>
      <c r="FB100" s="397"/>
      <c r="FC100" s="397"/>
      <c r="FD100" s="397"/>
      <c r="FE100" s="397"/>
      <c r="FF100" s="397"/>
      <c r="FG100" s="397"/>
      <c r="FH100" s="397"/>
      <c r="FI100" s="397"/>
      <c r="FJ100" s="397"/>
      <c r="FK100" s="397"/>
      <c r="FL100" s="397"/>
      <c r="FM100" s="397"/>
      <c r="FN100" s="397"/>
      <c r="FO100" s="397"/>
      <c r="FP100" s="397"/>
      <c r="FQ100" s="397"/>
      <c r="FR100" s="397"/>
      <c r="FS100" s="397"/>
      <c r="FT100" s="397"/>
      <c r="FU100" s="397"/>
      <c r="FV100" s="397"/>
      <c r="FW100" s="397"/>
      <c r="FX100" s="397"/>
      <c r="FY100" s="397"/>
      <c r="FZ100" s="397"/>
      <c r="GA100" s="397"/>
      <c r="GB100" s="397"/>
      <c r="GC100" s="397"/>
      <c r="GD100" s="397"/>
      <c r="GE100" s="397"/>
      <c r="GF100" s="397"/>
      <c r="GG100" s="397"/>
      <c r="GH100" s="397"/>
      <c r="GI100" s="397"/>
      <c r="GJ100" s="397"/>
      <c r="GK100" s="397"/>
      <c r="GL100" s="397"/>
      <c r="GM100" s="397"/>
      <c r="GN100" s="397"/>
      <c r="GO100" s="397"/>
      <c r="GP100" s="397"/>
      <c r="GQ100" s="397"/>
      <c r="GR100" s="397"/>
      <c r="GS100" s="397"/>
      <c r="GT100" s="397"/>
      <c r="GU100" s="397"/>
      <c r="GV100" s="397"/>
      <c r="GW100" s="397"/>
      <c r="GX100" s="397"/>
      <c r="GY100" s="397"/>
      <c r="GZ100" s="397"/>
      <c r="HA100" s="397"/>
      <c r="HB100" s="397"/>
      <c r="HC100" s="397"/>
      <c r="HD100" s="397"/>
      <c r="HE100" s="397"/>
      <c r="HF100" s="397"/>
      <c r="HG100" s="397"/>
      <c r="HH100" s="397"/>
      <c r="HI100" s="397"/>
      <c r="HJ100" s="397"/>
      <c r="HK100" s="397"/>
      <c r="HL100" s="397"/>
      <c r="HM100" s="397"/>
      <c r="HN100" s="397"/>
      <c r="HO100" s="397"/>
      <c r="HP100" s="397"/>
      <c r="HQ100" s="397"/>
      <c r="HR100" s="397"/>
      <c r="HS100" s="397"/>
      <c r="HT100" s="397"/>
      <c r="HU100" s="397"/>
      <c r="HV100" s="397"/>
      <c r="HW100" s="397"/>
      <c r="HX100" s="397"/>
      <c r="HY100" s="397"/>
      <c r="HZ100" s="397"/>
      <c r="IA100" s="397"/>
      <c r="IB100" s="397"/>
      <c r="IC100" s="397"/>
      <c r="ID100" s="397"/>
      <c r="IE100" s="397"/>
      <c r="IF100" s="397"/>
      <c r="IG100" s="397"/>
      <c r="IH100" s="397"/>
      <c r="II100" s="397"/>
      <c r="IJ100" s="397"/>
      <c r="IK100" s="397"/>
      <c r="IL100" s="397"/>
      <c r="IM100" s="397"/>
      <c r="IN100" s="397"/>
      <c r="IO100" s="397"/>
      <c r="IP100" s="397"/>
      <c r="IQ100" s="397"/>
      <c r="IR100" s="397"/>
    </row>
    <row r="101" spans="2:252" s="183" customFormat="1" ht="25.15" customHeight="1" x14ac:dyDescent="0.25">
      <c r="B101" s="85">
        <v>43252</v>
      </c>
      <c r="C101" s="184">
        <v>1020530.0432924</v>
      </c>
      <c r="D101" s="184">
        <f>NetWorth[[#This Row],[Worth]]-C102</f>
        <v>8738.3544524000026</v>
      </c>
      <c r="E101" s="86" t="s">
        <v>132</v>
      </c>
      <c r="V101" s="397"/>
      <c r="W101" s="397"/>
      <c r="X101" s="397"/>
      <c r="Y101" s="397"/>
      <c r="Z101" s="397"/>
      <c r="AA101" s="397"/>
      <c r="AB101" s="397"/>
      <c r="AC101" s="397"/>
      <c r="AD101" s="397"/>
      <c r="AE101" s="397"/>
      <c r="AF101" s="397"/>
      <c r="AG101" s="397"/>
      <c r="AH101" s="397"/>
      <c r="AI101" s="397"/>
      <c r="AJ101" s="397"/>
      <c r="AK101" s="397"/>
      <c r="AL101" s="397"/>
      <c r="AM101" s="397"/>
      <c r="AN101" s="397"/>
      <c r="AO101" s="397"/>
      <c r="AP101" s="397"/>
      <c r="AQ101" s="397"/>
      <c r="AR101" s="397"/>
      <c r="AS101" s="397"/>
      <c r="AT101" s="397"/>
      <c r="AU101" s="397"/>
      <c r="AV101" s="397"/>
      <c r="AW101" s="397"/>
      <c r="AX101" s="397"/>
      <c r="AY101" s="397"/>
      <c r="AZ101" s="397"/>
      <c r="BA101" s="397"/>
      <c r="BB101" s="397"/>
      <c r="BC101" s="397"/>
      <c r="BD101" s="397"/>
      <c r="BE101" s="397"/>
      <c r="BF101" s="397"/>
      <c r="BG101" s="397"/>
      <c r="BH101" s="397"/>
      <c r="BI101" s="397"/>
      <c r="BJ101" s="397"/>
      <c r="BK101" s="397"/>
      <c r="BL101" s="397"/>
      <c r="BM101" s="397"/>
      <c r="BN101" s="397"/>
      <c r="BO101" s="397"/>
      <c r="BP101" s="397"/>
      <c r="BQ101" s="397"/>
      <c r="BR101" s="397"/>
      <c r="BS101" s="397"/>
      <c r="BT101" s="397"/>
      <c r="BU101" s="397"/>
      <c r="BV101" s="397"/>
      <c r="BW101" s="397"/>
      <c r="BX101" s="397"/>
      <c r="BY101" s="397"/>
      <c r="BZ101" s="397"/>
      <c r="CA101" s="397"/>
      <c r="CB101" s="397"/>
      <c r="CC101" s="397"/>
      <c r="CD101" s="397"/>
      <c r="CE101" s="397"/>
      <c r="CF101" s="397"/>
      <c r="CG101" s="397"/>
      <c r="CH101" s="397"/>
      <c r="CI101" s="397"/>
      <c r="CJ101" s="397"/>
      <c r="CK101" s="397"/>
      <c r="CL101" s="397"/>
      <c r="CM101" s="397"/>
      <c r="CN101" s="397"/>
      <c r="CO101" s="397"/>
      <c r="CP101" s="397"/>
      <c r="CQ101" s="397"/>
      <c r="CR101" s="397"/>
      <c r="CS101" s="397"/>
      <c r="CT101" s="397"/>
      <c r="CU101" s="397"/>
      <c r="CV101" s="397"/>
      <c r="CW101" s="397"/>
      <c r="CX101" s="397"/>
      <c r="CY101" s="397"/>
      <c r="CZ101" s="397"/>
      <c r="DA101" s="397"/>
      <c r="DB101" s="397"/>
      <c r="DC101" s="397"/>
      <c r="DD101" s="397"/>
      <c r="DE101" s="397"/>
      <c r="DF101" s="397"/>
      <c r="DG101" s="397"/>
      <c r="DH101" s="397"/>
      <c r="DI101" s="397"/>
      <c r="DJ101" s="397"/>
      <c r="DK101" s="397"/>
      <c r="DL101" s="397"/>
      <c r="DM101" s="397"/>
      <c r="DN101" s="397"/>
      <c r="DO101" s="397"/>
      <c r="DP101" s="397"/>
      <c r="DQ101" s="397"/>
      <c r="DR101" s="397"/>
      <c r="DS101" s="397"/>
      <c r="DT101" s="397"/>
      <c r="DU101" s="397"/>
      <c r="DV101" s="397"/>
      <c r="DW101" s="397"/>
      <c r="DX101" s="397"/>
      <c r="DY101" s="397"/>
      <c r="DZ101" s="397"/>
      <c r="EA101" s="397"/>
      <c r="EB101" s="397"/>
      <c r="EC101" s="397"/>
      <c r="ED101" s="397"/>
      <c r="EE101" s="397"/>
      <c r="EF101" s="397"/>
      <c r="EG101" s="397"/>
      <c r="EH101" s="397"/>
      <c r="EI101" s="397"/>
      <c r="EJ101" s="397"/>
      <c r="EK101" s="397"/>
      <c r="EL101" s="397"/>
      <c r="EM101" s="397"/>
      <c r="EN101" s="397"/>
      <c r="EO101" s="397"/>
      <c r="EP101" s="397"/>
      <c r="EQ101" s="397"/>
      <c r="ER101" s="397"/>
      <c r="ES101" s="397"/>
      <c r="ET101" s="397"/>
      <c r="EU101" s="397"/>
      <c r="EV101" s="397"/>
      <c r="EW101" s="397"/>
      <c r="EX101" s="397"/>
      <c r="EY101" s="397"/>
      <c r="EZ101" s="397"/>
      <c r="FA101" s="397"/>
      <c r="FB101" s="397"/>
      <c r="FC101" s="397"/>
      <c r="FD101" s="397"/>
      <c r="FE101" s="397"/>
      <c r="FF101" s="397"/>
      <c r="FG101" s="397"/>
      <c r="FH101" s="397"/>
      <c r="FI101" s="397"/>
      <c r="FJ101" s="397"/>
      <c r="FK101" s="397"/>
      <c r="FL101" s="397"/>
      <c r="FM101" s="397"/>
      <c r="FN101" s="397"/>
      <c r="FO101" s="397"/>
      <c r="FP101" s="397"/>
      <c r="FQ101" s="397"/>
      <c r="FR101" s="397"/>
      <c r="FS101" s="397"/>
      <c r="FT101" s="397"/>
      <c r="FU101" s="397"/>
      <c r="FV101" s="397"/>
      <c r="FW101" s="397"/>
      <c r="FX101" s="397"/>
      <c r="FY101" s="397"/>
      <c r="FZ101" s="397"/>
      <c r="GA101" s="397"/>
      <c r="GB101" s="397"/>
      <c r="GC101" s="397"/>
      <c r="GD101" s="397"/>
      <c r="GE101" s="397"/>
      <c r="GF101" s="397"/>
      <c r="GG101" s="397"/>
      <c r="GH101" s="397"/>
      <c r="GI101" s="397"/>
      <c r="GJ101" s="397"/>
      <c r="GK101" s="397"/>
      <c r="GL101" s="397"/>
      <c r="GM101" s="397"/>
      <c r="GN101" s="397"/>
      <c r="GO101" s="397"/>
      <c r="GP101" s="397"/>
      <c r="GQ101" s="397"/>
      <c r="GR101" s="397"/>
      <c r="GS101" s="397"/>
      <c r="GT101" s="397"/>
      <c r="GU101" s="397"/>
      <c r="GV101" s="397"/>
      <c r="GW101" s="397"/>
      <c r="GX101" s="397"/>
      <c r="GY101" s="397"/>
      <c r="GZ101" s="397"/>
      <c r="HA101" s="397"/>
      <c r="HB101" s="397"/>
      <c r="HC101" s="397"/>
      <c r="HD101" s="397"/>
      <c r="HE101" s="397"/>
      <c r="HF101" s="397"/>
      <c r="HG101" s="397"/>
      <c r="HH101" s="397"/>
      <c r="HI101" s="397"/>
      <c r="HJ101" s="397"/>
      <c r="HK101" s="397"/>
      <c r="HL101" s="397"/>
      <c r="HM101" s="397"/>
      <c r="HN101" s="397"/>
      <c r="HO101" s="397"/>
      <c r="HP101" s="397"/>
      <c r="HQ101" s="397"/>
      <c r="HR101" s="397"/>
      <c r="HS101" s="397"/>
      <c r="HT101" s="397"/>
      <c r="HU101" s="397"/>
      <c r="HV101" s="397"/>
      <c r="HW101" s="397"/>
      <c r="HX101" s="397"/>
      <c r="HY101" s="397"/>
      <c r="HZ101" s="397"/>
      <c r="IA101" s="397"/>
      <c r="IB101" s="397"/>
      <c r="IC101" s="397"/>
      <c r="ID101" s="397"/>
      <c r="IE101" s="397"/>
      <c r="IF101" s="397"/>
      <c r="IG101" s="397"/>
      <c r="IH101" s="397"/>
      <c r="II101" s="397"/>
      <c r="IJ101" s="397"/>
      <c r="IK101" s="397"/>
      <c r="IL101" s="397"/>
      <c r="IM101" s="397"/>
      <c r="IN101" s="397"/>
      <c r="IO101" s="397"/>
      <c r="IP101" s="397"/>
      <c r="IQ101" s="397"/>
      <c r="IR101" s="397"/>
    </row>
    <row r="102" spans="2:252" s="183" customFormat="1" ht="25.15" customHeight="1" x14ac:dyDescent="0.25">
      <c r="B102" s="85">
        <v>43221</v>
      </c>
      <c r="C102" s="184">
        <v>1011791.68884</v>
      </c>
      <c r="D102" s="184">
        <f>NetWorth[[#This Row],[Worth]]-C103</f>
        <v>12441.603250000044</v>
      </c>
      <c r="E102" s="1"/>
      <c r="V102" s="397"/>
      <c r="W102" s="397"/>
      <c r="X102" s="397"/>
      <c r="Y102" s="397"/>
      <c r="Z102" s="397"/>
      <c r="AA102" s="397"/>
      <c r="AB102" s="397"/>
      <c r="AC102" s="397"/>
      <c r="AD102" s="397"/>
      <c r="AE102" s="397"/>
      <c r="AF102" s="397"/>
      <c r="AG102" s="397"/>
      <c r="AH102" s="397"/>
      <c r="AI102" s="397"/>
      <c r="AJ102" s="397"/>
      <c r="AK102" s="397"/>
      <c r="AL102" s="397"/>
      <c r="AM102" s="397"/>
      <c r="AN102" s="397"/>
      <c r="AO102" s="397"/>
      <c r="AP102" s="397"/>
      <c r="AQ102" s="397"/>
      <c r="AR102" s="397"/>
      <c r="AS102" s="397"/>
      <c r="AT102" s="397"/>
      <c r="AU102" s="397"/>
      <c r="AV102" s="397"/>
      <c r="AW102" s="397"/>
      <c r="AX102" s="397"/>
      <c r="AY102" s="397"/>
      <c r="AZ102" s="397"/>
      <c r="BA102" s="397"/>
      <c r="BB102" s="397"/>
      <c r="BC102" s="397"/>
      <c r="BD102" s="397"/>
      <c r="BE102" s="397"/>
      <c r="BF102" s="397"/>
      <c r="BG102" s="397"/>
      <c r="BH102" s="397"/>
      <c r="BI102" s="397"/>
      <c r="BJ102" s="397"/>
      <c r="BK102" s="397"/>
      <c r="BL102" s="397"/>
      <c r="BM102" s="397"/>
      <c r="BN102" s="397"/>
      <c r="BO102" s="397"/>
      <c r="BP102" s="397"/>
      <c r="BQ102" s="397"/>
      <c r="BR102" s="397"/>
      <c r="BS102" s="397"/>
      <c r="BT102" s="397"/>
      <c r="BU102" s="397"/>
      <c r="BV102" s="397"/>
      <c r="BW102" s="397"/>
      <c r="BX102" s="397"/>
      <c r="BY102" s="397"/>
      <c r="BZ102" s="397"/>
      <c r="CA102" s="397"/>
      <c r="CB102" s="397"/>
      <c r="CC102" s="397"/>
      <c r="CD102" s="397"/>
      <c r="CE102" s="397"/>
      <c r="CF102" s="397"/>
      <c r="CG102" s="397"/>
      <c r="CH102" s="397"/>
      <c r="CI102" s="397"/>
      <c r="CJ102" s="397"/>
      <c r="CK102" s="397"/>
      <c r="CL102" s="397"/>
      <c r="CM102" s="397"/>
      <c r="CN102" s="397"/>
      <c r="CO102" s="397"/>
      <c r="CP102" s="397"/>
      <c r="CQ102" s="397"/>
      <c r="CR102" s="397"/>
      <c r="CS102" s="397"/>
      <c r="CT102" s="397"/>
      <c r="CU102" s="397"/>
      <c r="CV102" s="397"/>
      <c r="CW102" s="397"/>
      <c r="CX102" s="397"/>
      <c r="CY102" s="397"/>
      <c r="CZ102" s="397"/>
      <c r="DA102" s="397"/>
      <c r="DB102" s="397"/>
      <c r="DC102" s="397"/>
      <c r="DD102" s="397"/>
      <c r="DE102" s="397"/>
      <c r="DF102" s="397"/>
      <c r="DG102" s="397"/>
      <c r="DH102" s="397"/>
      <c r="DI102" s="397"/>
      <c r="DJ102" s="397"/>
      <c r="DK102" s="397"/>
      <c r="DL102" s="397"/>
      <c r="DM102" s="397"/>
      <c r="DN102" s="397"/>
      <c r="DO102" s="397"/>
      <c r="DP102" s="397"/>
      <c r="DQ102" s="397"/>
      <c r="DR102" s="397"/>
      <c r="DS102" s="397"/>
      <c r="DT102" s="397"/>
      <c r="DU102" s="397"/>
      <c r="DV102" s="397"/>
      <c r="DW102" s="397"/>
      <c r="DX102" s="397"/>
      <c r="DY102" s="397"/>
      <c r="DZ102" s="397"/>
      <c r="EA102" s="397"/>
      <c r="EB102" s="397"/>
      <c r="EC102" s="397"/>
      <c r="ED102" s="397"/>
      <c r="EE102" s="397"/>
      <c r="EF102" s="397"/>
      <c r="EG102" s="397"/>
      <c r="EH102" s="397"/>
      <c r="EI102" s="397"/>
      <c r="EJ102" s="397"/>
      <c r="EK102" s="397"/>
      <c r="EL102" s="397"/>
      <c r="EM102" s="397"/>
      <c r="EN102" s="397"/>
      <c r="EO102" s="397"/>
      <c r="EP102" s="397"/>
      <c r="EQ102" s="397"/>
      <c r="ER102" s="397"/>
      <c r="ES102" s="397"/>
      <c r="ET102" s="397"/>
      <c r="EU102" s="397"/>
      <c r="EV102" s="397"/>
      <c r="EW102" s="397"/>
      <c r="EX102" s="397"/>
      <c r="EY102" s="397"/>
      <c r="EZ102" s="397"/>
      <c r="FA102" s="397"/>
      <c r="FB102" s="397"/>
      <c r="FC102" s="397"/>
      <c r="FD102" s="397"/>
      <c r="FE102" s="397"/>
      <c r="FF102" s="397"/>
      <c r="FG102" s="397"/>
      <c r="FH102" s="397"/>
      <c r="FI102" s="397"/>
      <c r="FJ102" s="397"/>
      <c r="FK102" s="397"/>
      <c r="FL102" s="397"/>
      <c r="FM102" s="397"/>
      <c r="FN102" s="397"/>
      <c r="FO102" s="397"/>
      <c r="FP102" s="397"/>
      <c r="FQ102" s="397"/>
      <c r="FR102" s="397"/>
      <c r="FS102" s="397"/>
      <c r="FT102" s="397"/>
      <c r="FU102" s="397"/>
      <c r="FV102" s="397"/>
      <c r="FW102" s="397"/>
      <c r="FX102" s="397"/>
      <c r="FY102" s="397"/>
      <c r="FZ102" s="397"/>
      <c r="GA102" s="397"/>
      <c r="GB102" s="397"/>
      <c r="GC102" s="397"/>
      <c r="GD102" s="397"/>
      <c r="GE102" s="397"/>
      <c r="GF102" s="397"/>
      <c r="GG102" s="397"/>
      <c r="GH102" s="397"/>
      <c r="GI102" s="397"/>
      <c r="GJ102" s="397"/>
      <c r="GK102" s="397"/>
      <c r="GL102" s="397"/>
      <c r="GM102" s="397"/>
      <c r="GN102" s="397"/>
      <c r="GO102" s="397"/>
      <c r="GP102" s="397"/>
      <c r="GQ102" s="397"/>
      <c r="GR102" s="397"/>
      <c r="GS102" s="397"/>
      <c r="GT102" s="397"/>
      <c r="GU102" s="397"/>
      <c r="GV102" s="397"/>
      <c r="GW102" s="397"/>
      <c r="GX102" s="397"/>
      <c r="GY102" s="397"/>
      <c r="GZ102" s="397"/>
      <c r="HA102" s="397"/>
      <c r="HB102" s="397"/>
      <c r="HC102" s="397"/>
      <c r="HD102" s="397"/>
      <c r="HE102" s="397"/>
      <c r="HF102" s="397"/>
      <c r="HG102" s="397"/>
      <c r="HH102" s="397"/>
      <c r="HI102" s="397"/>
      <c r="HJ102" s="397"/>
      <c r="HK102" s="397"/>
      <c r="HL102" s="397"/>
      <c r="HM102" s="397"/>
      <c r="HN102" s="397"/>
      <c r="HO102" s="397"/>
      <c r="HP102" s="397"/>
      <c r="HQ102" s="397"/>
      <c r="HR102" s="397"/>
      <c r="HS102" s="397"/>
      <c r="HT102" s="397"/>
      <c r="HU102" s="397"/>
      <c r="HV102" s="397"/>
      <c r="HW102" s="397"/>
      <c r="HX102" s="397"/>
      <c r="HY102" s="397"/>
      <c r="HZ102" s="397"/>
      <c r="IA102" s="397"/>
      <c r="IB102" s="397"/>
      <c r="IC102" s="397"/>
      <c r="ID102" s="397"/>
      <c r="IE102" s="397"/>
      <c r="IF102" s="397"/>
      <c r="IG102" s="397"/>
      <c r="IH102" s="397"/>
      <c r="II102" s="397"/>
      <c r="IJ102" s="397"/>
      <c r="IK102" s="397"/>
      <c r="IL102" s="397"/>
      <c r="IM102" s="397"/>
      <c r="IN102" s="397"/>
      <c r="IO102" s="397"/>
      <c r="IP102" s="397"/>
      <c r="IQ102" s="397"/>
      <c r="IR102" s="397"/>
    </row>
    <row r="103" spans="2:252" s="183" customFormat="1" ht="25.15" customHeight="1" x14ac:dyDescent="0.25">
      <c r="B103" s="85">
        <v>43191</v>
      </c>
      <c r="C103" s="184">
        <v>999350.08558999992</v>
      </c>
      <c r="D103" s="184">
        <f>NetWorth[[#This Row],[Worth]]-C104</f>
        <v>1055.3290299997898</v>
      </c>
      <c r="E103" s="1"/>
      <c r="V103" s="397"/>
      <c r="W103" s="397"/>
      <c r="X103" s="397"/>
      <c r="Y103" s="397"/>
      <c r="Z103" s="397"/>
      <c r="AA103" s="397"/>
      <c r="AB103" s="397"/>
      <c r="AC103" s="397"/>
      <c r="AD103" s="397"/>
      <c r="AE103" s="397"/>
      <c r="AF103" s="397"/>
      <c r="AG103" s="397"/>
      <c r="AH103" s="397"/>
      <c r="AI103" s="397"/>
      <c r="AJ103" s="397"/>
      <c r="AK103" s="397"/>
      <c r="AL103" s="397"/>
      <c r="AM103" s="397"/>
      <c r="AN103" s="397"/>
      <c r="AO103" s="397"/>
      <c r="AP103" s="397"/>
      <c r="AQ103" s="397"/>
      <c r="AR103" s="397"/>
      <c r="AS103" s="397"/>
      <c r="AT103" s="397"/>
      <c r="AU103" s="397"/>
      <c r="AV103" s="397"/>
      <c r="AW103" s="397"/>
      <c r="AX103" s="397"/>
      <c r="AY103" s="397"/>
      <c r="AZ103" s="397"/>
      <c r="BA103" s="397"/>
      <c r="BB103" s="397"/>
      <c r="BC103" s="397"/>
      <c r="BD103" s="397"/>
      <c r="BE103" s="397"/>
      <c r="BF103" s="397"/>
      <c r="BG103" s="397"/>
      <c r="BH103" s="397"/>
      <c r="BI103" s="397"/>
      <c r="BJ103" s="397"/>
      <c r="BK103" s="397"/>
      <c r="BL103" s="397"/>
      <c r="BM103" s="397"/>
      <c r="BN103" s="397"/>
      <c r="BO103" s="397"/>
      <c r="BP103" s="397"/>
      <c r="BQ103" s="397"/>
      <c r="BR103" s="397"/>
      <c r="BS103" s="397"/>
      <c r="BT103" s="397"/>
      <c r="BU103" s="397"/>
      <c r="BV103" s="397"/>
      <c r="BW103" s="397"/>
      <c r="BX103" s="397"/>
      <c r="BY103" s="397"/>
      <c r="BZ103" s="397"/>
      <c r="CA103" s="397"/>
      <c r="CB103" s="397"/>
      <c r="CC103" s="397"/>
      <c r="CD103" s="397"/>
      <c r="CE103" s="397"/>
      <c r="CF103" s="397"/>
      <c r="CG103" s="397"/>
      <c r="CH103" s="397"/>
      <c r="CI103" s="397"/>
      <c r="CJ103" s="397"/>
      <c r="CK103" s="397"/>
      <c r="CL103" s="397"/>
      <c r="CM103" s="397"/>
      <c r="CN103" s="397"/>
      <c r="CO103" s="397"/>
      <c r="CP103" s="397"/>
      <c r="CQ103" s="397"/>
      <c r="CR103" s="397"/>
      <c r="CS103" s="397"/>
      <c r="CT103" s="397"/>
      <c r="CU103" s="397"/>
      <c r="CV103" s="397"/>
      <c r="CW103" s="397"/>
      <c r="CX103" s="397"/>
      <c r="CY103" s="397"/>
      <c r="CZ103" s="397"/>
      <c r="DA103" s="397"/>
      <c r="DB103" s="397"/>
      <c r="DC103" s="397"/>
      <c r="DD103" s="397"/>
      <c r="DE103" s="397"/>
      <c r="DF103" s="397"/>
      <c r="DG103" s="397"/>
      <c r="DH103" s="397"/>
      <c r="DI103" s="397"/>
      <c r="DJ103" s="397"/>
      <c r="DK103" s="397"/>
      <c r="DL103" s="397"/>
      <c r="DM103" s="397"/>
      <c r="DN103" s="397"/>
      <c r="DO103" s="397"/>
      <c r="DP103" s="397"/>
      <c r="DQ103" s="397"/>
      <c r="DR103" s="397"/>
      <c r="DS103" s="397"/>
      <c r="DT103" s="397"/>
      <c r="DU103" s="397"/>
      <c r="DV103" s="397"/>
      <c r="DW103" s="397"/>
      <c r="DX103" s="397"/>
      <c r="DY103" s="397"/>
      <c r="DZ103" s="397"/>
      <c r="EA103" s="397"/>
      <c r="EB103" s="397"/>
      <c r="EC103" s="397"/>
      <c r="ED103" s="397"/>
      <c r="EE103" s="397"/>
      <c r="EF103" s="397"/>
      <c r="EG103" s="397"/>
      <c r="EH103" s="397"/>
      <c r="EI103" s="397"/>
      <c r="EJ103" s="397"/>
      <c r="EK103" s="397"/>
      <c r="EL103" s="397"/>
      <c r="EM103" s="397"/>
      <c r="EN103" s="397"/>
      <c r="EO103" s="397"/>
      <c r="EP103" s="397"/>
      <c r="EQ103" s="397"/>
      <c r="ER103" s="397"/>
      <c r="ES103" s="397"/>
      <c r="ET103" s="397"/>
      <c r="EU103" s="397"/>
      <c r="EV103" s="397"/>
      <c r="EW103" s="397"/>
      <c r="EX103" s="397"/>
      <c r="EY103" s="397"/>
      <c r="EZ103" s="397"/>
      <c r="FA103" s="397"/>
      <c r="FB103" s="397"/>
      <c r="FC103" s="397"/>
      <c r="FD103" s="397"/>
      <c r="FE103" s="397"/>
      <c r="FF103" s="397"/>
      <c r="FG103" s="397"/>
      <c r="FH103" s="397"/>
      <c r="FI103" s="397"/>
      <c r="FJ103" s="397"/>
      <c r="FK103" s="397"/>
      <c r="FL103" s="397"/>
      <c r="FM103" s="397"/>
      <c r="FN103" s="397"/>
      <c r="FO103" s="397"/>
      <c r="FP103" s="397"/>
      <c r="FQ103" s="397"/>
      <c r="FR103" s="397"/>
      <c r="FS103" s="397"/>
      <c r="FT103" s="397"/>
      <c r="FU103" s="397"/>
      <c r="FV103" s="397"/>
      <c r="FW103" s="397"/>
      <c r="FX103" s="397"/>
      <c r="FY103" s="397"/>
      <c r="FZ103" s="397"/>
      <c r="GA103" s="397"/>
      <c r="GB103" s="397"/>
      <c r="GC103" s="397"/>
      <c r="GD103" s="397"/>
      <c r="GE103" s="397"/>
      <c r="GF103" s="397"/>
      <c r="GG103" s="397"/>
      <c r="GH103" s="397"/>
      <c r="GI103" s="397"/>
      <c r="GJ103" s="397"/>
      <c r="GK103" s="397"/>
      <c r="GL103" s="397"/>
      <c r="GM103" s="397"/>
      <c r="GN103" s="397"/>
      <c r="GO103" s="397"/>
      <c r="GP103" s="397"/>
      <c r="GQ103" s="397"/>
      <c r="GR103" s="397"/>
      <c r="GS103" s="397"/>
      <c r="GT103" s="397"/>
      <c r="GU103" s="397"/>
      <c r="GV103" s="397"/>
      <c r="GW103" s="397"/>
      <c r="GX103" s="397"/>
      <c r="GY103" s="397"/>
      <c r="GZ103" s="397"/>
      <c r="HA103" s="397"/>
      <c r="HB103" s="397"/>
      <c r="HC103" s="397"/>
      <c r="HD103" s="397"/>
      <c r="HE103" s="397"/>
      <c r="HF103" s="397"/>
      <c r="HG103" s="397"/>
      <c r="HH103" s="397"/>
      <c r="HI103" s="397"/>
      <c r="HJ103" s="397"/>
      <c r="HK103" s="397"/>
      <c r="HL103" s="397"/>
      <c r="HM103" s="397"/>
      <c r="HN103" s="397"/>
      <c r="HO103" s="397"/>
      <c r="HP103" s="397"/>
      <c r="HQ103" s="397"/>
      <c r="HR103" s="397"/>
      <c r="HS103" s="397"/>
      <c r="HT103" s="397"/>
      <c r="HU103" s="397"/>
      <c r="HV103" s="397"/>
      <c r="HW103" s="397"/>
      <c r="HX103" s="397"/>
      <c r="HY103" s="397"/>
      <c r="HZ103" s="397"/>
      <c r="IA103" s="397"/>
      <c r="IB103" s="397"/>
      <c r="IC103" s="397"/>
      <c r="ID103" s="397"/>
      <c r="IE103" s="397"/>
      <c r="IF103" s="397"/>
      <c r="IG103" s="397"/>
      <c r="IH103" s="397"/>
      <c r="II103" s="397"/>
      <c r="IJ103" s="397"/>
      <c r="IK103" s="397"/>
      <c r="IL103" s="397"/>
      <c r="IM103" s="397"/>
      <c r="IN103" s="397"/>
      <c r="IO103" s="397"/>
      <c r="IP103" s="397"/>
      <c r="IQ103" s="397"/>
      <c r="IR103" s="397"/>
    </row>
    <row r="104" spans="2:252" s="183" customFormat="1" ht="25.15" customHeight="1" x14ac:dyDescent="0.25">
      <c r="B104" s="85">
        <v>43160</v>
      </c>
      <c r="C104" s="184">
        <v>998294.75656000013</v>
      </c>
      <c r="D104" s="184">
        <f>NetWorth[[#This Row],[Worth]]-C105</f>
        <v>-12174.243439999875</v>
      </c>
      <c r="E104" s="86" t="s">
        <v>130</v>
      </c>
      <c r="V104" s="397"/>
      <c r="W104" s="397"/>
      <c r="X104" s="397"/>
      <c r="Y104" s="397"/>
      <c r="Z104" s="397"/>
      <c r="AA104" s="397"/>
      <c r="AB104" s="397"/>
      <c r="AC104" s="397"/>
      <c r="AD104" s="397"/>
      <c r="AE104" s="397"/>
      <c r="AF104" s="397"/>
      <c r="AG104" s="397"/>
      <c r="AH104" s="397"/>
      <c r="AI104" s="397"/>
      <c r="AJ104" s="397"/>
      <c r="AK104" s="397"/>
      <c r="AL104" s="397"/>
      <c r="AM104" s="397"/>
      <c r="AN104" s="397"/>
      <c r="AO104" s="397"/>
      <c r="AP104" s="397"/>
      <c r="AQ104" s="397"/>
      <c r="AR104" s="397"/>
      <c r="AS104" s="397"/>
      <c r="AT104" s="397"/>
      <c r="AU104" s="397"/>
      <c r="AV104" s="397"/>
      <c r="AW104" s="397"/>
      <c r="AX104" s="397"/>
      <c r="AY104" s="397"/>
      <c r="AZ104" s="397"/>
      <c r="BA104" s="397"/>
      <c r="BB104" s="397"/>
      <c r="BC104" s="397"/>
      <c r="BD104" s="397"/>
      <c r="BE104" s="397"/>
      <c r="BF104" s="397"/>
      <c r="BG104" s="397"/>
      <c r="BH104" s="397"/>
      <c r="BI104" s="397"/>
      <c r="BJ104" s="397"/>
      <c r="BK104" s="397"/>
      <c r="BL104" s="397"/>
      <c r="BM104" s="397"/>
      <c r="BN104" s="397"/>
      <c r="BO104" s="397"/>
      <c r="BP104" s="397"/>
      <c r="BQ104" s="397"/>
      <c r="BR104" s="397"/>
      <c r="BS104" s="397"/>
      <c r="BT104" s="397"/>
      <c r="BU104" s="397"/>
      <c r="BV104" s="397"/>
      <c r="BW104" s="397"/>
      <c r="BX104" s="397"/>
      <c r="BY104" s="397"/>
      <c r="BZ104" s="397"/>
      <c r="CA104" s="397"/>
      <c r="CB104" s="397"/>
      <c r="CC104" s="397"/>
      <c r="CD104" s="397"/>
      <c r="CE104" s="397"/>
      <c r="CF104" s="397"/>
      <c r="CG104" s="397"/>
      <c r="CH104" s="397"/>
      <c r="CI104" s="397"/>
      <c r="CJ104" s="397"/>
      <c r="CK104" s="397"/>
      <c r="CL104" s="397"/>
      <c r="CM104" s="397"/>
      <c r="CN104" s="397"/>
      <c r="CO104" s="397"/>
      <c r="CP104" s="397"/>
      <c r="CQ104" s="397"/>
      <c r="CR104" s="397"/>
      <c r="CS104" s="397"/>
      <c r="CT104" s="397"/>
      <c r="CU104" s="397"/>
      <c r="CV104" s="397"/>
      <c r="CW104" s="397"/>
      <c r="CX104" s="397"/>
      <c r="CY104" s="397"/>
      <c r="CZ104" s="397"/>
      <c r="DA104" s="397"/>
      <c r="DB104" s="397"/>
      <c r="DC104" s="397"/>
      <c r="DD104" s="397"/>
      <c r="DE104" s="397"/>
      <c r="DF104" s="397"/>
      <c r="DG104" s="397"/>
      <c r="DH104" s="397"/>
      <c r="DI104" s="397"/>
      <c r="DJ104" s="397"/>
      <c r="DK104" s="397"/>
      <c r="DL104" s="397"/>
      <c r="DM104" s="397"/>
      <c r="DN104" s="397"/>
      <c r="DO104" s="397"/>
      <c r="DP104" s="397"/>
      <c r="DQ104" s="397"/>
      <c r="DR104" s="397"/>
      <c r="DS104" s="397"/>
      <c r="DT104" s="397"/>
      <c r="DU104" s="397"/>
      <c r="DV104" s="397"/>
      <c r="DW104" s="397"/>
      <c r="DX104" s="397"/>
      <c r="DY104" s="397"/>
      <c r="DZ104" s="397"/>
      <c r="EA104" s="397"/>
      <c r="EB104" s="397"/>
      <c r="EC104" s="397"/>
      <c r="ED104" s="397"/>
      <c r="EE104" s="397"/>
      <c r="EF104" s="397"/>
      <c r="EG104" s="397"/>
      <c r="EH104" s="397"/>
      <c r="EI104" s="397"/>
      <c r="EJ104" s="397"/>
      <c r="EK104" s="397"/>
      <c r="EL104" s="397"/>
      <c r="EM104" s="397"/>
      <c r="EN104" s="397"/>
      <c r="EO104" s="397"/>
      <c r="EP104" s="397"/>
      <c r="EQ104" s="397"/>
      <c r="ER104" s="397"/>
      <c r="ES104" s="397"/>
      <c r="ET104" s="397"/>
      <c r="EU104" s="397"/>
      <c r="EV104" s="397"/>
      <c r="EW104" s="397"/>
      <c r="EX104" s="397"/>
      <c r="EY104" s="397"/>
      <c r="EZ104" s="397"/>
      <c r="FA104" s="397"/>
      <c r="FB104" s="397"/>
      <c r="FC104" s="397"/>
      <c r="FD104" s="397"/>
      <c r="FE104" s="397"/>
      <c r="FF104" s="397"/>
      <c r="FG104" s="397"/>
      <c r="FH104" s="397"/>
      <c r="FI104" s="397"/>
      <c r="FJ104" s="397"/>
      <c r="FK104" s="397"/>
      <c r="FL104" s="397"/>
      <c r="FM104" s="397"/>
      <c r="FN104" s="397"/>
      <c r="FO104" s="397"/>
      <c r="FP104" s="397"/>
      <c r="FQ104" s="397"/>
      <c r="FR104" s="397"/>
      <c r="FS104" s="397"/>
      <c r="FT104" s="397"/>
      <c r="FU104" s="397"/>
      <c r="FV104" s="397"/>
      <c r="FW104" s="397"/>
      <c r="FX104" s="397"/>
      <c r="FY104" s="397"/>
      <c r="FZ104" s="397"/>
      <c r="GA104" s="397"/>
      <c r="GB104" s="397"/>
      <c r="GC104" s="397"/>
      <c r="GD104" s="397"/>
      <c r="GE104" s="397"/>
      <c r="GF104" s="397"/>
      <c r="GG104" s="397"/>
      <c r="GH104" s="397"/>
      <c r="GI104" s="397"/>
      <c r="GJ104" s="397"/>
      <c r="GK104" s="397"/>
      <c r="GL104" s="397"/>
      <c r="GM104" s="397"/>
      <c r="GN104" s="397"/>
      <c r="GO104" s="397"/>
      <c r="GP104" s="397"/>
      <c r="GQ104" s="397"/>
      <c r="GR104" s="397"/>
      <c r="GS104" s="397"/>
      <c r="GT104" s="397"/>
      <c r="GU104" s="397"/>
      <c r="GV104" s="397"/>
      <c r="GW104" s="397"/>
      <c r="GX104" s="397"/>
      <c r="GY104" s="397"/>
      <c r="GZ104" s="397"/>
      <c r="HA104" s="397"/>
      <c r="HB104" s="397"/>
      <c r="HC104" s="397"/>
      <c r="HD104" s="397"/>
      <c r="HE104" s="397"/>
      <c r="HF104" s="397"/>
      <c r="HG104" s="397"/>
      <c r="HH104" s="397"/>
      <c r="HI104" s="397"/>
      <c r="HJ104" s="397"/>
      <c r="HK104" s="397"/>
      <c r="HL104" s="397"/>
      <c r="HM104" s="397"/>
      <c r="HN104" s="397"/>
      <c r="HO104" s="397"/>
      <c r="HP104" s="397"/>
      <c r="HQ104" s="397"/>
      <c r="HR104" s="397"/>
      <c r="HS104" s="397"/>
      <c r="HT104" s="397"/>
      <c r="HU104" s="397"/>
      <c r="HV104" s="397"/>
      <c r="HW104" s="397"/>
      <c r="HX104" s="397"/>
      <c r="HY104" s="397"/>
      <c r="HZ104" s="397"/>
      <c r="IA104" s="397"/>
      <c r="IB104" s="397"/>
      <c r="IC104" s="397"/>
      <c r="ID104" s="397"/>
      <c r="IE104" s="397"/>
      <c r="IF104" s="397"/>
      <c r="IG104" s="397"/>
      <c r="IH104" s="397"/>
      <c r="II104" s="397"/>
      <c r="IJ104" s="397"/>
      <c r="IK104" s="397"/>
      <c r="IL104" s="397"/>
      <c r="IM104" s="397"/>
      <c r="IN104" s="397"/>
      <c r="IO104" s="397"/>
      <c r="IP104" s="397"/>
      <c r="IQ104" s="397"/>
      <c r="IR104" s="397"/>
    </row>
    <row r="105" spans="2:252" s="183" customFormat="1" ht="25.15" customHeight="1" x14ac:dyDescent="0.25">
      <c r="B105" s="85">
        <v>43132</v>
      </c>
      <c r="C105" s="184">
        <v>1010469</v>
      </c>
      <c r="D105" s="184">
        <f>NetWorth[[#This Row],[Worth]]-C106</f>
        <v>7245</v>
      </c>
      <c r="E105" s="1"/>
      <c r="V105" s="397"/>
      <c r="W105" s="397"/>
      <c r="X105" s="397"/>
      <c r="Y105" s="397"/>
      <c r="Z105" s="397"/>
      <c r="AA105" s="397"/>
      <c r="AB105" s="397"/>
      <c r="AC105" s="397"/>
      <c r="AD105" s="397"/>
      <c r="AE105" s="397"/>
      <c r="AF105" s="397"/>
      <c r="AG105" s="397"/>
      <c r="AH105" s="397"/>
      <c r="AI105" s="397"/>
      <c r="AJ105" s="397"/>
      <c r="AK105" s="397"/>
      <c r="AL105" s="397"/>
      <c r="AM105" s="397"/>
      <c r="AN105" s="397"/>
      <c r="AO105" s="397"/>
      <c r="AP105" s="397"/>
      <c r="AQ105" s="397"/>
      <c r="AR105" s="397"/>
      <c r="AS105" s="397"/>
      <c r="AT105" s="397"/>
      <c r="AU105" s="397"/>
      <c r="AV105" s="397"/>
      <c r="AW105" s="397"/>
      <c r="AX105" s="397"/>
      <c r="AY105" s="397"/>
      <c r="AZ105" s="397"/>
      <c r="BA105" s="397"/>
      <c r="BB105" s="397"/>
      <c r="BC105" s="397"/>
      <c r="BD105" s="397"/>
      <c r="BE105" s="397"/>
      <c r="BF105" s="397"/>
      <c r="BG105" s="397"/>
      <c r="BH105" s="397"/>
      <c r="BI105" s="397"/>
      <c r="BJ105" s="397"/>
      <c r="BK105" s="397"/>
      <c r="BL105" s="397"/>
      <c r="BM105" s="397"/>
      <c r="BN105" s="397"/>
      <c r="BO105" s="397"/>
      <c r="BP105" s="397"/>
      <c r="BQ105" s="397"/>
      <c r="BR105" s="397"/>
      <c r="BS105" s="397"/>
      <c r="BT105" s="397"/>
      <c r="BU105" s="397"/>
      <c r="BV105" s="397"/>
      <c r="BW105" s="397"/>
      <c r="BX105" s="397"/>
      <c r="BY105" s="397"/>
      <c r="BZ105" s="397"/>
      <c r="CA105" s="397"/>
      <c r="CB105" s="397"/>
      <c r="CC105" s="397"/>
      <c r="CD105" s="397"/>
      <c r="CE105" s="397"/>
      <c r="CF105" s="397"/>
      <c r="CG105" s="397"/>
      <c r="CH105" s="397"/>
      <c r="CI105" s="397"/>
      <c r="CJ105" s="397"/>
      <c r="CK105" s="397"/>
      <c r="CL105" s="397"/>
      <c r="CM105" s="397"/>
      <c r="CN105" s="397"/>
      <c r="CO105" s="397"/>
      <c r="CP105" s="397"/>
      <c r="CQ105" s="397"/>
      <c r="CR105" s="397"/>
      <c r="CS105" s="397"/>
      <c r="CT105" s="397"/>
      <c r="CU105" s="397"/>
      <c r="CV105" s="397"/>
      <c r="CW105" s="397"/>
      <c r="CX105" s="397"/>
      <c r="CY105" s="397"/>
      <c r="CZ105" s="397"/>
      <c r="DA105" s="397"/>
      <c r="DB105" s="397"/>
      <c r="DC105" s="397"/>
      <c r="DD105" s="397"/>
      <c r="DE105" s="397"/>
      <c r="DF105" s="397"/>
      <c r="DG105" s="397"/>
      <c r="DH105" s="397"/>
      <c r="DI105" s="397"/>
      <c r="DJ105" s="397"/>
      <c r="DK105" s="397"/>
      <c r="DL105" s="397"/>
      <c r="DM105" s="397"/>
      <c r="DN105" s="397"/>
      <c r="DO105" s="397"/>
      <c r="DP105" s="397"/>
      <c r="DQ105" s="397"/>
      <c r="DR105" s="397"/>
      <c r="DS105" s="397"/>
      <c r="DT105" s="397"/>
      <c r="DU105" s="397"/>
      <c r="DV105" s="397"/>
      <c r="DW105" s="397"/>
      <c r="DX105" s="397"/>
      <c r="DY105" s="397"/>
      <c r="DZ105" s="397"/>
      <c r="EA105" s="397"/>
      <c r="EB105" s="397"/>
      <c r="EC105" s="397"/>
      <c r="ED105" s="397"/>
      <c r="EE105" s="397"/>
      <c r="EF105" s="397"/>
      <c r="EG105" s="397"/>
      <c r="EH105" s="397"/>
      <c r="EI105" s="397"/>
      <c r="EJ105" s="397"/>
      <c r="EK105" s="397"/>
      <c r="EL105" s="397"/>
      <c r="EM105" s="397"/>
      <c r="EN105" s="397"/>
      <c r="EO105" s="397"/>
      <c r="EP105" s="397"/>
      <c r="EQ105" s="397"/>
      <c r="ER105" s="397"/>
      <c r="ES105" s="397"/>
      <c r="ET105" s="397"/>
      <c r="EU105" s="397"/>
      <c r="EV105" s="397"/>
      <c r="EW105" s="397"/>
      <c r="EX105" s="397"/>
      <c r="EY105" s="397"/>
      <c r="EZ105" s="397"/>
      <c r="FA105" s="397"/>
      <c r="FB105" s="397"/>
      <c r="FC105" s="397"/>
      <c r="FD105" s="397"/>
      <c r="FE105" s="397"/>
      <c r="FF105" s="397"/>
      <c r="FG105" s="397"/>
      <c r="FH105" s="397"/>
      <c r="FI105" s="397"/>
      <c r="FJ105" s="397"/>
      <c r="FK105" s="397"/>
      <c r="FL105" s="397"/>
      <c r="FM105" s="397"/>
      <c r="FN105" s="397"/>
      <c r="FO105" s="397"/>
      <c r="FP105" s="397"/>
      <c r="FQ105" s="397"/>
      <c r="FR105" s="397"/>
      <c r="FS105" s="397"/>
      <c r="FT105" s="397"/>
      <c r="FU105" s="397"/>
      <c r="FV105" s="397"/>
      <c r="FW105" s="397"/>
      <c r="FX105" s="397"/>
      <c r="FY105" s="397"/>
      <c r="FZ105" s="397"/>
      <c r="GA105" s="397"/>
      <c r="GB105" s="397"/>
      <c r="GC105" s="397"/>
      <c r="GD105" s="397"/>
      <c r="GE105" s="397"/>
      <c r="GF105" s="397"/>
      <c r="GG105" s="397"/>
      <c r="GH105" s="397"/>
      <c r="GI105" s="397"/>
      <c r="GJ105" s="397"/>
      <c r="GK105" s="397"/>
      <c r="GL105" s="397"/>
      <c r="GM105" s="397"/>
      <c r="GN105" s="397"/>
      <c r="GO105" s="397"/>
      <c r="GP105" s="397"/>
      <c r="GQ105" s="397"/>
      <c r="GR105" s="397"/>
      <c r="GS105" s="397"/>
      <c r="GT105" s="397"/>
      <c r="GU105" s="397"/>
      <c r="GV105" s="397"/>
      <c r="GW105" s="397"/>
      <c r="GX105" s="397"/>
      <c r="GY105" s="397"/>
      <c r="GZ105" s="397"/>
      <c r="HA105" s="397"/>
      <c r="HB105" s="397"/>
      <c r="HC105" s="397"/>
      <c r="HD105" s="397"/>
      <c r="HE105" s="397"/>
      <c r="HF105" s="397"/>
      <c r="HG105" s="397"/>
      <c r="HH105" s="397"/>
      <c r="HI105" s="397"/>
      <c r="HJ105" s="397"/>
      <c r="HK105" s="397"/>
      <c r="HL105" s="397"/>
      <c r="HM105" s="397"/>
      <c r="HN105" s="397"/>
      <c r="HO105" s="397"/>
      <c r="HP105" s="397"/>
      <c r="HQ105" s="397"/>
      <c r="HR105" s="397"/>
      <c r="HS105" s="397"/>
      <c r="HT105" s="397"/>
      <c r="HU105" s="397"/>
      <c r="HV105" s="397"/>
      <c r="HW105" s="397"/>
      <c r="HX105" s="397"/>
      <c r="HY105" s="397"/>
      <c r="HZ105" s="397"/>
      <c r="IA105" s="397"/>
      <c r="IB105" s="397"/>
      <c r="IC105" s="397"/>
      <c r="ID105" s="397"/>
      <c r="IE105" s="397"/>
      <c r="IF105" s="397"/>
      <c r="IG105" s="397"/>
      <c r="IH105" s="397"/>
      <c r="II105" s="397"/>
      <c r="IJ105" s="397"/>
      <c r="IK105" s="397"/>
      <c r="IL105" s="397"/>
      <c r="IM105" s="397"/>
      <c r="IN105" s="397"/>
      <c r="IO105" s="397"/>
      <c r="IP105" s="397"/>
      <c r="IQ105" s="397"/>
      <c r="IR105" s="397"/>
    </row>
    <row r="106" spans="2:252" s="183" customFormat="1" ht="25.15" customHeight="1" x14ac:dyDescent="0.25">
      <c r="B106" s="85">
        <v>43101</v>
      </c>
      <c r="C106" s="184">
        <v>1003224</v>
      </c>
      <c r="D106" s="184">
        <f>NetWorth[[#This Row],[Worth]]-C107</f>
        <v>13227.525980000035</v>
      </c>
      <c r="E106" s="1"/>
      <c r="V106" s="397"/>
      <c r="W106" s="397"/>
      <c r="X106" s="397"/>
      <c r="Y106" s="397"/>
      <c r="Z106" s="397"/>
      <c r="AA106" s="397"/>
      <c r="AB106" s="397"/>
      <c r="AC106" s="397"/>
      <c r="AD106" s="397"/>
      <c r="AE106" s="397"/>
      <c r="AF106" s="397"/>
      <c r="AG106" s="397"/>
      <c r="AH106" s="397"/>
      <c r="AI106" s="397"/>
      <c r="AJ106" s="397"/>
      <c r="AK106" s="397"/>
      <c r="AL106" s="397"/>
      <c r="AM106" s="397"/>
      <c r="AN106" s="397"/>
      <c r="AO106" s="397"/>
      <c r="AP106" s="397"/>
      <c r="AQ106" s="397"/>
      <c r="AR106" s="397"/>
      <c r="AS106" s="397"/>
      <c r="AT106" s="397"/>
      <c r="AU106" s="397"/>
      <c r="AV106" s="397"/>
      <c r="AW106" s="397"/>
      <c r="AX106" s="397"/>
      <c r="AY106" s="397"/>
      <c r="AZ106" s="397"/>
      <c r="BA106" s="397"/>
      <c r="BB106" s="397"/>
      <c r="BC106" s="397"/>
      <c r="BD106" s="397"/>
      <c r="BE106" s="397"/>
      <c r="BF106" s="397"/>
      <c r="BG106" s="397"/>
      <c r="BH106" s="397"/>
      <c r="BI106" s="397"/>
      <c r="BJ106" s="397"/>
      <c r="BK106" s="397"/>
      <c r="BL106" s="397"/>
      <c r="BM106" s="397"/>
      <c r="BN106" s="397"/>
      <c r="BO106" s="397"/>
      <c r="BP106" s="397"/>
      <c r="BQ106" s="397"/>
      <c r="BR106" s="397"/>
      <c r="BS106" s="397"/>
      <c r="BT106" s="397"/>
      <c r="BU106" s="397"/>
      <c r="BV106" s="397"/>
      <c r="BW106" s="397"/>
      <c r="BX106" s="397"/>
      <c r="BY106" s="397"/>
      <c r="BZ106" s="397"/>
      <c r="CA106" s="397"/>
      <c r="CB106" s="397"/>
      <c r="CC106" s="397"/>
      <c r="CD106" s="397"/>
      <c r="CE106" s="397"/>
      <c r="CF106" s="397"/>
      <c r="CG106" s="397"/>
      <c r="CH106" s="397"/>
      <c r="CI106" s="397"/>
      <c r="CJ106" s="397"/>
      <c r="CK106" s="397"/>
      <c r="CL106" s="397"/>
      <c r="CM106" s="397"/>
      <c r="CN106" s="397"/>
      <c r="CO106" s="397"/>
      <c r="CP106" s="397"/>
      <c r="CQ106" s="397"/>
      <c r="CR106" s="397"/>
      <c r="CS106" s="397"/>
      <c r="CT106" s="397"/>
      <c r="CU106" s="397"/>
      <c r="CV106" s="397"/>
      <c r="CW106" s="397"/>
      <c r="CX106" s="397"/>
      <c r="CY106" s="397"/>
      <c r="CZ106" s="397"/>
      <c r="DA106" s="397"/>
      <c r="DB106" s="397"/>
      <c r="DC106" s="397"/>
      <c r="DD106" s="397"/>
      <c r="DE106" s="397"/>
      <c r="DF106" s="397"/>
      <c r="DG106" s="397"/>
      <c r="DH106" s="397"/>
      <c r="DI106" s="397"/>
      <c r="DJ106" s="397"/>
      <c r="DK106" s="397"/>
      <c r="DL106" s="397"/>
      <c r="DM106" s="397"/>
      <c r="DN106" s="397"/>
      <c r="DO106" s="397"/>
      <c r="DP106" s="397"/>
      <c r="DQ106" s="397"/>
      <c r="DR106" s="397"/>
      <c r="DS106" s="397"/>
      <c r="DT106" s="397"/>
      <c r="DU106" s="397"/>
      <c r="DV106" s="397"/>
      <c r="DW106" s="397"/>
      <c r="DX106" s="397"/>
      <c r="DY106" s="397"/>
      <c r="DZ106" s="397"/>
      <c r="EA106" s="397"/>
      <c r="EB106" s="397"/>
      <c r="EC106" s="397"/>
      <c r="ED106" s="397"/>
      <c r="EE106" s="397"/>
      <c r="EF106" s="397"/>
      <c r="EG106" s="397"/>
      <c r="EH106" s="397"/>
      <c r="EI106" s="397"/>
      <c r="EJ106" s="397"/>
      <c r="EK106" s="397"/>
      <c r="EL106" s="397"/>
      <c r="EM106" s="397"/>
      <c r="EN106" s="397"/>
      <c r="EO106" s="397"/>
      <c r="EP106" s="397"/>
      <c r="EQ106" s="397"/>
      <c r="ER106" s="397"/>
      <c r="ES106" s="397"/>
      <c r="ET106" s="397"/>
      <c r="EU106" s="397"/>
      <c r="EV106" s="397"/>
      <c r="EW106" s="397"/>
      <c r="EX106" s="397"/>
      <c r="EY106" s="397"/>
      <c r="EZ106" s="397"/>
      <c r="FA106" s="397"/>
      <c r="FB106" s="397"/>
      <c r="FC106" s="397"/>
      <c r="FD106" s="397"/>
      <c r="FE106" s="397"/>
      <c r="FF106" s="397"/>
      <c r="FG106" s="397"/>
      <c r="FH106" s="397"/>
      <c r="FI106" s="397"/>
      <c r="FJ106" s="397"/>
      <c r="FK106" s="397"/>
      <c r="FL106" s="397"/>
      <c r="FM106" s="397"/>
      <c r="FN106" s="397"/>
      <c r="FO106" s="397"/>
      <c r="FP106" s="397"/>
      <c r="FQ106" s="397"/>
      <c r="FR106" s="397"/>
      <c r="FS106" s="397"/>
      <c r="FT106" s="397"/>
      <c r="FU106" s="397"/>
      <c r="FV106" s="397"/>
      <c r="FW106" s="397"/>
      <c r="FX106" s="397"/>
      <c r="FY106" s="397"/>
      <c r="FZ106" s="397"/>
      <c r="GA106" s="397"/>
      <c r="GB106" s="397"/>
      <c r="GC106" s="397"/>
      <c r="GD106" s="397"/>
      <c r="GE106" s="397"/>
      <c r="GF106" s="397"/>
      <c r="GG106" s="397"/>
      <c r="GH106" s="397"/>
      <c r="GI106" s="397"/>
      <c r="GJ106" s="397"/>
      <c r="GK106" s="397"/>
      <c r="GL106" s="397"/>
      <c r="GM106" s="397"/>
      <c r="GN106" s="397"/>
      <c r="GO106" s="397"/>
      <c r="GP106" s="397"/>
      <c r="GQ106" s="397"/>
      <c r="GR106" s="397"/>
      <c r="GS106" s="397"/>
      <c r="GT106" s="397"/>
      <c r="GU106" s="397"/>
      <c r="GV106" s="397"/>
      <c r="GW106" s="397"/>
      <c r="GX106" s="397"/>
      <c r="GY106" s="397"/>
      <c r="GZ106" s="397"/>
      <c r="HA106" s="397"/>
      <c r="HB106" s="397"/>
      <c r="HC106" s="397"/>
      <c r="HD106" s="397"/>
      <c r="HE106" s="397"/>
      <c r="HF106" s="397"/>
      <c r="HG106" s="397"/>
      <c r="HH106" s="397"/>
      <c r="HI106" s="397"/>
      <c r="HJ106" s="397"/>
      <c r="HK106" s="397"/>
      <c r="HL106" s="397"/>
      <c r="HM106" s="397"/>
      <c r="HN106" s="397"/>
      <c r="HO106" s="397"/>
      <c r="HP106" s="397"/>
      <c r="HQ106" s="397"/>
      <c r="HR106" s="397"/>
      <c r="HS106" s="397"/>
      <c r="HT106" s="397"/>
      <c r="HU106" s="397"/>
      <c r="HV106" s="397"/>
      <c r="HW106" s="397"/>
      <c r="HX106" s="397"/>
      <c r="HY106" s="397"/>
      <c r="HZ106" s="397"/>
      <c r="IA106" s="397"/>
      <c r="IB106" s="397"/>
      <c r="IC106" s="397"/>
      <c r="ID106" s="397"/>
      <c r="IE106" s="397"/>
      <c r="IF106" s="397"/>
      <c r="IG106" s="397"/>
      <c r="IH106" s="397"/>
      <c r="II106" s="397"/>
      <c r="IJ106" s="397"/>
      <c r="IK106" s="397"/>
      <c r="IL106" s="397"/>
      <c r="IM106" s="397"/>
      <c r="IN106" s="397"/>
      <c r="IO106" s="397"/>
      <c r="IP106" s="397"/>
      <c r="IQ106" s="397"/>
      <c r="IR106" s="397"/>
    </row>
    <row r="107" spans="2:252" s="183" customFormat="1" ht="25.15" customHeight="1" x14ac:dyDescent="0.25">
      <c r="B107" s="85">
        <v>43070</v>
      </c>
      <c r="C107" s="184">
        <v>989996.47401999997</v>
      </c>
      <c r="D107" s="184">
        <f>NetWorth[[#This Row],[Worth]]-C108</f>
        <v>1646.4740199999651</v>
      </c>
      <c r="E107" s="1"/>
      <c r="V107" s="397"/>
      <c r="W107" s="397"/>
      <c r="X107" s="397"/>
      <c r="Y107" s="397"/>
      <c r="Z107" s="397"/>
      <c r="AA107" s="397"/>
      <c r="AB107" s="397"/>
      <c r="AC107" s="397"/>
      <c r="AD107" s="397"/>
      <c r="AE107" s="397"/>
      <c r="AF107" s="397"/>
      <c r="AG107" s="397"/>
      <c r="AH107" s="397"/>
      <c r="AI107" s="397"/>
      <c r="AJ107" s="397"/>
      <c r="AK107" s="397"/>
      <c r="AL107" s="397"/>
      <c r="AM107" s="397"/>
      <c r="AN107" s="397"/>
      <c r="AO107" s="397"/>
      <c r="AP107" s="397"/>
      <c r="AQ107" s="397"/>
      <c r="AR107" s="397"/>
      <c r="AS107" s="397"/>
      <c r="AT107" s="397"/>
      <c r="AU107" s="397"/>
      <c r="AV107" s="397"/>
      <c r="AW107" s="397"/>
      <c r="AX107" s="397"/>
      <c r="AY107" s="397"/>
      <c r="AZ107" s="397"/>
      <c r="BA107" s="397"/>
      <c r="BB107" s="397"/>
      <c r="BC107" s="397"/>
      <c r="BD107" s="397"/>
      <c r="BE107" s="397"/>
      <c r="BF107" s="397"/>
      <c r="BG107" s="397"/>
      <c r="BH107" s="397"/>
      <c r="BI107" s="397"/>
      <c r="BJ107" s="397"/>
      <c r="BK107" s="397"/>
      <c r="BL107" s="397"/>
      <c r="BM107" s="397"/>
      <c r="BN107" s="397"/>
      <c r="BO107" s="397"/>
      <c r="BP107" s="397"/>
      <c r="BQ107" s="397"/>
      <c r="BR107" s="397"/>
      <c r="BS107" s="397"/>
      <c r="BT107" s="397"/>
      <c r="BU107" s="397"/>
      <c r="BV107" s="397"/>
      <c r="BW107" s="397"/>
      <c r="BX107" s="397"/>
      <c r="BY107" s="397"/>
      <c r="BZ107" s="397"/>
      <c r="CA107" s="397"/>
      <c r="CB107" s="397"/>
      <c r="CC107" s="397"/>
      <c r="CD107" s="397"/>
      <c r="CE107" s="397"/>
      <c r="CF107" s="397"/>
      <c r="CG107" s="397"/>
      <c r="CH107" s="397"/>
      <c r="CI107" s="397"/>
      <c r="CJ107" s="397"/>
      <c r="CK107" s="397"/>
      <c r="CL107" s="397"/>
      <c r="CM107" s="397"/>
      <c r="CN107" s="397"/>
      <c r="CO107" s="397"/>
      <c r="CP107" s="397"/>
      <c r="CQ107" s="397"/>
      <c r="CR107" s="397"/>
      <c r="CS107" s="397"/>
      <c r="CT107" s="397"/>
      <c r="CU107" s="397"/>
      <c r="CV107" s="397"/>
      <c r="CW107" s="397"/>
      <c r="CX107" s="397"/>
      <c r="CY107" s="397"/>
      <c r="CZ107" s="397"/>
      <c r="DA107" s="397"/>
      <c r="DB107" s="397"/>
      <c r="DC107" s="397"/>
      <c r="DD107" s="397"/>
      <c r="DE107" s="397"/>
      <c r="DF107" s="397"/>
      <c r="DG107" s="397"/>
      <c r="DH107" s="397"/>
      <c r="DI107" s="397"/>
      <c r="DJ107" s="397"/>
      <c r="DK107" s="397"/>
      <c r="DL107" s="397"/>
      <c r="DM107" s="397"/>
      <c r="DN107" s="397"/>
      <c r="DO107" s="397"/>
      <c r="DP107" s="397"/>
      <c r="DQ107" s="397"/>
      <c r="DR107" s="397"/>
      <c r="DS107" s="397"/>
      <c r="DT107" s="397"/>
      <c r="DU107" s="397"/>
      <c r="DV107" s="397"/>
      <c r="DW107" s="397"/>
      <c r="DX107" s="397"/>
      <c r="DY107" s="397"/>
      <c r="DZ107" s="397"/>
      <c r="EA107" s="397"/>
      <c r="EB107" s="397"/>
      <c r="EC107" s="397"/>
      <c r="ED107" s="397"/>
      <c r="EE107" s="397"/>
      <c r="EF107" s="397"/>
      <c r="EG107" s="397"/>
      <c r="EH107" s="397"/>
      <c r="EI107" s="397"/>
      <c r="EJ107" s="397"/>
      <c r="EK107" s="397"/>
      <c r="EL107" s="397"/>
      <c r="EM107" s="397"/>
      <c r="EN107" s="397"/>
      <c r="EO107" s="397"/>
      <c r="EP107" s="397"/>
      <c r="EQ107" s="397"/>
      <c r="ER107" s="397"/>
      <c r="ES107" s="397"/>
      <c r="ET107" s="397"/>
      <c r="EU107" s="397"/>
      <c r="EV107" s="397"/>
      <c r="EW107" s="397"/>
      <c r="EX107" s="397"/>
      <c r="EY107" s="397"/>
      <c r="EZ107" s="397"/>
      <c r="FA107" s="397"/>
      <c r="FB107" s="397"/>
      <c r="FC107" s="397"/>
      <c r="FD107" s="397"/>
      <c r="FE107" s="397"/>
      <c r="FF107" s="397"/>
      <c r="FG107" s="397"/>
      <c r="FH107" s="397"/>
      <c r="FI107" s="397"/>
      <c r="FJ107" s="397"/>
      <c r="FK107" s="397"/>
      <c r="FL107" s="397"/>
      <c r="FM107" s="397"/>
      <c r="FN107" s="397"/>
      <c r="FO107" s="397"/>
      <c r="FP107" s="397"/>
      <c r="FQ107" s="397"/>
      <c r="FR107" s="397"/>
      <c r="FS107" s="397"/>
      <c r="FT107" s="397"/>
      <c r="FU107" s="397"/>
      <c r="FV107" s="397"/>
      <c r="FW107" s="397"/>
      <c r="FX107" s="397"/>
      <c r="FY107" s="397"/>
      <c r="FZ107" s="397"/>
      <c r="GA107" s="397"/>
      <c r="GB107" s="397"/>
      <c r="GC107" s="397"/>
      <c r="GD107" s="397"/>
      <c r="GE107" s="397"/>
      <c r="GF107" s="397"/>
      <c r="GG107" s="397"/>
      <c r="GH107" s="397"/>
      <c r="GI107" s="397"/>
      <c r="GJ107" s="397"/>
      <c r="GK107" s="397"/>
      <c r="GL107" s="397"/>
      <c r="GM107" s="397"/>
      <c r="GN107" s="397"/>
      <c r="GO107" s="397"/>
      <c r="GP107" s="397"/>
      <c r="GQ107" s="397"/>
      <c r="GR107" s="397"/>
      <c r="GS107" s="397"/>
      <c r="GT107" s="397"/>
      <c r="GU107" s="397"/>
      <c r="GV107" s="397"/>
      <c r="GW107" s="397"/>
      <c r="GX107" s="397"/>
      <c r="GY107" s="397"/>
      <c r="GZ107" s="397"/>
      <c r="HA107" s="397"/>
      <c r="HB107" s="397"/>
      <c r="HC107" s="397"/>
      <c r="HD107" s="397"/>
      <c r="HE107" s="397"/>
      <c r="HF107" s="397"/>
      <c r="HG107" s="397"/>
      <c r="HH107" s="397"/>
      <c r="HI107" s="397"/>
      <c r="HJ107" s="397"/>
      <c r="HK107" s="397"/>
      <c r="HL107" s="397"/>
      <c r="HM107" s="397"/>
      <c r="HN107" s="397"/>
      <c r="HO107" s="397"/>
      <c r="HP107" s="397"/>
      <c r="HQ107" s="397"/>
      <c r="HR107" s="397"/>
      <c r="HS107" s="397"/>
      <c r="HT107" s="397"/>
      <c r="HU107" s="397"/>
      <c r="HV107" s="397"/>
      <c r="HW107" s="397"/>
      <c r="HX107" s="397"/>
      <c r="HY107" s="397"/>
      <c r="HZ107" s="397"/>
      <c r="IA107" s="397"/>
      <c r="IB107" s="397"/>
      <c r="IC107" s="397"/>
      <c r="ID107" s="397"/>
      <c r="IE107" s="397"/>
      <c r="IF107" s="397"/>
      <c r="IG107" s="397"/>
      <c r="IH107" s="397"/>
      <c r="II107" s="397"/>
      <c r="IJ107" s="397"/>
      <c r="IK107" s="397"/>
      <c r="IL107" s="397"/>
      <c r="IM107" s="397"/>
      <c r="IN107" s="397"/>
      <c r="IO107" s="397"/>
      <c r="IP107" s="397"/>
      <c r="IQ107" s="397"/>
      <c r="IR107" s="397"/>
    </row>
    <row r="108" spans="2:252" s="183" customFormat="1" ht="25.15" customHeight="1" x14ac:dyDescent="0.25">
      <c r="B108" s="85">
        <v>43040</v>
      </c>
      <c r="C108" s="184">
        <v>988350</v>
      </c>
      <c r="D108" s="184">
        <f>NetWorth[[#This Row],[Worth]]-C109</f>
        <v>-5513</v>
      </c>
      <c r="E108" s="1"/>
      <c r="V108" s="397"/>
      <c r="W108" s="397"/>
      <c r="X108" s="397"/>
      <c r="Y108" s="397"/>
      <c r="Z108" s="397"/>
      <c r="AA108" s="397"/>
      <c r="AB108" s="397"/>
      <c r="AC108" s="397"/>
      <c r="AD108" s="397"/>
      <c r="AE108" s="397"/>
      <c r="AF108" s="397"/>
      <c r="AG108" s="397"/>
      <c r="AH108" s="397"/>
      <c r="AI108" s="397"/>
      <c r="AJ108" s="397"/>
      <c r="AK108" s="397"/>
      <c r="AL108" s="397"/>
      <c r="AM108" s="397"/>
      <c r="AN108" s="397"/>
      <c r="AO108" s="397"/>
      <c r="AP108" s="397"/>
      <c r="AQ108" s="397"/>
      <c r="AR108" s="397"/>
      <c r="AS108" s="397"/>
      <c r="AT108" s="397"/>
      <c r="AU108" s="397"/>
      <c r="AV108" s="397"/>
      <c r="AW108" s="397"/>
      <c r="AX108" s="397"/>
      <c r="AY108" s="397"/>
      <c r="AZ108" s="397"/>
      <c r="BA108" s="397"/>
      <c r="BB108" s="397"/>
      <c r="BC108" s="397"/>
      <c r="BD108" s="397"/>
      <c r="BE108" s="397"/>
      <c r="BF108" s="397"/>
      <c r="BG108" s="397"/>
      <c r="BH108" s="397"/>
      <c r="BI108" s="397"/>
      <c r="BJ108" s="397"/>
      <c r="BK108" s="397"/>
      <c r="BL108" s="397"/>
      <c r="BM108" s="397"/>
      <c r="BN108" s="397"/>
      <c r="BO108" s="397"/>
      <c r="BP108" s="397"/>
      <c r="BQ108" s="397"/>
      <c r="BR108" s="397"/>
      <c r="BS108" s="397"/>
      <c r="BT108" s="397"/>
      <c r="BU108" s="397"/>
      <c r="BV108" s="397"/>
      <c r="BW108" s="397"/>
      <c r="BX108" s="397"/>
      <c r="BY108" s="397"/>
      <c r="BZ108" s="397"/>
      <c r="CA108" s="397"/>
      <c r="CB108" s="397"/>
      <c r="CC108" s="397"/>
      <c r="CD108" s="397"/>
      <c r="CE108" s="397"/>
      <c r="CF108" s="397"/>
      <c r="CG108" s="397"/>
      <c r="CH108" s="397"/>
      <c r="CI108" s="397"/>
      <c r="CJ108" s="397"/>
      <c r="CK108" s="397"/>
      <c r="CL108" s="397"/>
      <c r="CM108" s="397"/>
      <c r="CN108" s="397"/>
      <c r="CO108" s="397"/>
      <c r="CP108" s="397"/>
      <c r="CQ108" s="397"/>
      <c r="CR108" s="397"/>
      <c r="CS108" s="397"/>
      <c r="CT108" s="397"/>
      <c r="CU108" s="397"/>
      <c r="CV108" s="397"/>
      <c r="CW108" s="397"/>
      <c r="CX108" s="397"/>
      <c r="CY108" s="397"/>
      <c r="CZ108" s="397"/>
      <c r="DA108" s="397"/>
      <c r="DB108" s="397"/>
      <c r="DC108" s="397"/>
      <c r="DD108" s="397"/>
      <c r="DE108" s="397"/>
      <c r="DF108" s="397"/>
      <c r="DG108" s="397"/>
      <c r="DH108" s="397"/>
      <c r="DI108" s="397"/>
      <c r="DJ108" s="397"/>
      <c r="DK108" s="397"/>
      <c r="DL108" s="397"/>
      <c r="DM108" s="397"/>
      <c r="DN108" s="397"/>
      <c r="DO108" s="397"/>
      <c r="DP108" s="397"/>
      <c r="DQ108" s="397"/>
      <c r="DR108" s="397"/>
      <c r="DS108" s="397"/>
      <c r="DT108" s="397"/>
      <c r="DU108" s="397"/>
      <c r="DV108" s="397"/>
      <c r="DW108" s="397"/>
      <c r="DX108" s="397"/>
      <c r="DY108" s="397"/>
      <c r="DZ108" s="397"/>
      <c r="EA108" s="397"/>
      <c r="EB108" s="397"/>
      <c r="EC108" s="397"/>
      <c r="ED108" s="397"/>
      <c r="EE108" s="397"/>
      <c r="EF108" s="397"/>
      <c r="EG108" s="397"/>
      <c r="EH108" s="397"/>
      <c r="EI108" s="397"/>
      <c r="EJ108" s="397"/>
      <c r="EK108" s="397"/>
      <c r="EL108" s="397"/>
      <c r="EM108" s="397"/>
      <c r="EN108" s="397"/>
      <c r="EO108" s="397"/>
      <c r="EP108" s="397"/>
      <c r="EQ108" s="397"/>
      <c r="ER108" s="397"/>
      <c r="ES108" s="397"/>
      <c r="ET108" s="397"/>
      <c r="EU108" s="397"/>
      <c r="EV108" s="397"/>
      <c r="EW108" s="397"/>
      <c r="EX108" s="397"/>
      <c r="EY108" s="397"/>
      <c r="EZ108" s="397"/>
      <c r="FA108" s="397"/>
      <c r="FB108" s="397"/>
      <c r="FC108" s="397"/>
      <c r="FD108" s="397"/>
      <c r="FE108" s="397"/>
      <c r="FF108" s="397"/>
      <c r="FG108" s="397"/>
      <c r="FH108" s="397"/>
      <c r="FI108" s="397"/>
      <c r="FJ108" s="397"/>
      <c r="FK108" s="397"/>
      <c r="FL108" s="397"/>
      <c r="FM108" s="397"/>
      <c r="FN108" s="397"/>
      <c r="FO108" s="397"/>
      <c r="FP108" s="397"/>
      <c r="FQ108" s="397"/>
      <c r="FR108" s="397"/>
      <c r="FS108" s="397"/>
      <c r="FT108" s="397"/>
      <c r="FU108" s="397"/>
      <c r="FV108" s="397"/>
      <c r="FW108" s="397"/>
      <c r="FX108" s="397"/>
      <c r="FY108" s="397"/>
      <c r="FZ108" s="397"/>
      <c r="GA108" s="397"/>
      <c r="GB108" s="397"/>
      <c r="GC108" s="397"/>
      <c r="GD108" s="397"/>
      <c r="GE108" s="397"/>
      <c r="GF108" s="397"/>
      <c r="GG108" s="397"/>
      <c r="GH108" s="397"/>
      <c r="GI108" s="397"/>
      <c r="GJ108" s="397"/>
      <c r="GK108" s="397"/>
      <c r="GL108" s="397"/>
      <c r="GM108" s="397"/>
      <c r="GN108" s="397"/>
      <c r="GO108" s="397"/>
      <c r="GP108" s="397"/>
      <c r="GQ108" s="397"/>
      <c r="GR108" s="397"/>
      <c r="GS108" s="397"/>
      <c r="GT108" s="397"/>
      <c r="GU108" s="397"/>
      <c r="GV108" s="397"/>
      <c r="GW108" s="397"/>
      <c r="GX108" s="397"/>
      <c r="GY108" s="397"/>
      <c r="GZ108" s="397"/>
      <c r="HA108" s="397"/>
      <c r="HB108" s="397"/>
      <c r="HC108" s="397"/>
      <c r="HD108" s="397"/>
      <c r="HE108" s="397"/>
      <c r="HF108" s="397"/>
      <c r="HG108" s="397"/>
      <c r="HH108" s="397"/>
      <c r="HI108" s="397"/>
      <c r="HJ108" s="397"/>
      <c r="HK108" s="397"/>
      <c r="HL108" s="397"/>
      <c r="HM108" s="397"/>
      <c r="HN108" s="397"/>
      <c r="HO108" s="397"/>
      <c r="HP108" s="397"/>
      <c r="HQ108" s="397"/>
      <c r="HR108" s="397"/>
      <c r="HS108" s="397"/>
      <c r="HT108" s="397"/>
      <c r="HU108" s="397"/>
      <c r="HV108" s="397"/>
      <c r="HW108" s="397"/>
      <c r="HX108" s="397"/>
      <c r="HY108" s="397"/>
      <c r="HZ108" s="397"/>
      <c r="IA108" s="397"/>
      <c r="IB108" s="397"/>
      <c r="IC108" s="397"/>
      <c r="ID108" s="397"/>
      <c r="IE108" s="397"/>
      <c r="IF108" s="397"/>
      <c r="IG108" s="397"/>
      <c r="IH108" s="397"/>
      <c r="II108" s="397"/>
      <c r="IJ108" s="397"/>
      <c r="IK108" s="397"/>
      <c r="IL108" s="397"/>
      <c r="IM108" s="397"/>
      <c r="IN108" s="397"/>
      <c r="IO108" s="397"/>
      <c r="IP108" s="397"/>
      <c r="IQ108" s="397"/>
      <c r="IR108" s="397"/>
    </row>
    <row r="109" spans="2:252" s="183" customFormat="1" ht="25.15" customHeight="1" x14ac:dyDescent="0.25">
      <c r="B109" s="85">
        <v>43009</v>
      </c>
      <c r="C109" s="184">
        <v>993863</v>
      </c>
      <c r="D109" s="184">
        <f>NetWorth[[#This Row],[Worth]]-C110</f>
        <v>162008.34476000001</v>
      </c>
      <c r="E109" s="1" t="s">
        <v>64</v>
      </c>
      <c r="G109" s="185" t="s">
        <v>65</v>
      </c>
      <c r="V109" s="397"/>
      <c r="W109" s="397"/>
      <c r="X109" s="397"/>
      <c r="Y109" s="397"/>
      <c r="Z109" s="397"/>
      <c r="AA109" s="397"/>
      <c r="AB109" s="397"/>
      <c r="AC109" s="397"/>
      <c r="AD109" s="397"/>
      <c r="AE109" s="397"/>
      <c r="AF109" s="397"/>
      <c r="AG109" s="397"/>
      <c r="AH109" s="397"/>
      <c r="AI109" s="397"/>
      <c r="AJ109" s="397"/>
      <c r="AK109" s="397"/>
      <c r="AL109" s="397"/>
      <c r="AM109" s="397"/>
      <c r="AN109" s="397"/>
      <c r="AO109" s="397"/>
      <c r="AP109" s="397"/>
      <c r="AQ109" s="397"/>
      <c r="AR109" s="397"/>
      <c r="AS109" s="397"/>
      <c r="AT109" s="397"/>
      <c r="AU109" s="397"/>
      <c r="AV109" s="397"/>
      <c r="AW109" s="397"/>
      <c r="AX109" s="397"/>
      <c r="AY109" s="397"/>
      <c r="AZ109" s="397"/>
      <c r="BA109" s="397"/>
      <c r="BB109" s="397"/>
      <c r="BC109" s="397"/>
      <c r="BD109" s="397"/>
      <c r="BE109" s="397"/>
      <c r="BF109" s="397"/>
      <c r="BG109" s="397"/>
      <c r="BH109" s="397"/>
      <c r="BI109" s="397"/>
      <c r="BJ109" s="397"/>
      <c r="BK109" s="397"/>
      <c r="BL109" s="397"/>
      <c r="BM109" s="397"/>
      <c r="BN109" s="397"/>
      <c r="BO109" s="397"/>
      <c r="BP109" s="397"/>
      <c r="BQ109" s="397"/>
      <c r="BR109" s="397"/>
      <c r="BS109" s="397"/>
      <c r="BT109" s="397"/>
      <c r="BU109" s="397"/>
      <c r="BV109" s="397"/>
      <c r="BW109" s="397"/>
      <c r="BX109" s="397"/>
      <c r="BY109" s="397"/>
      <c r="BZ109" s="397"/>
      <c r="CA109" s="397"/>
      <c r="CB109" s="397"/>
      <c r="CC109" s="397"/>
      <c r="CD109" s="397"/>
      <c r="CE109" s="397"/>
      <c r="CF109" s="397"/>
      <c r="CG109" s="397"/>
      <c r="CH109" s="397"/>
      <c r="CI109" s="397"/>
      <c r="CJ109" s="397"/>
      <c r="CK109" s="397"/>
      <c r="CL109" s="397"/>
      <c r="CM109" s="397"/>
      <c r="CN109" s="397"/>
      <c r="CO109" s="397"/>
      <c r="CP109" s="397"/>
      <c r="CQ109" s="397"/>
      <c r="CR109" s="397"/>
      <c r="CS109" s="397"/>
      <c r="CT109" s="397"/>
      <c r="CU109" s="397"/>
      <c r="CV109" s="397"/>
      <c r="CW109" s="397"/>
      <c r="CX109" s="397"/>
      <c r="CY109" s="397"/>
      <c r="CZ109" s="397"/>
      <c r="DA109" s="397"/>
      <c r="DB109" s="397"/>
      <c r="DC109" s="397"/>
      <c r="DD109" s="397"/>
      <c r="DE109" s="397"/>
      <c r="DF109" s="397"/>
      <c r="DG109" s="397"/>
      <c r="DH109" s="397"/>
      <c r="DI109" s="397"/>
      <c r="DJ109" s="397"/>
      <c r="DK109" s="397"/>
      <c r="DL109" s="397"/>
      <c r="DM109" s="397"/>
      <c r="DN109" s="397"/>
      <c r="DO109" s="397"/>
      <c r="DP109" s="397"/>
      <c r="DQ109" s="397"/>
      <c r="DR109" s="397"/>
      <c r="DS109" s="397"/>
      <c r="DT109" s="397"/>
      <c r="DU109" s="397"/>
      <c r="DV109" s="397"/>
      <c r="DW109" s="397"/>
      <c r="DX109" s="397"/>
      <c r="DY109" s="397"/>
      <c r="DZ109" s="397"/>
      <c r="EA109" s="397"/>
      <c r="EB109" s="397"/>
      <c r="EC109" s="397"/>
      <c r="ED109" s="397"/>
      <c r="EE109" s="397"/>
      <c r="EF109" s="397"/>
      <c r="EG109" s="397"/>
      <c r="EH109" s="397"/>
      <c r="EI109" s="397"/>
      <c r="EJ109" s="397"/>
      <c r="EK109" s="397"/>
      <c r="EL109" s="397"/>
      <c r="EM109" s="397"/>
      <c r="EN109" s="397"/>
      <c r="EO109" s="397"/>
      <c r="EP109" s="397"/>
      <c r="EQ109" s="397"/>
      <c r="ER109" s="397"/>
      <c r="ES109" s="397"/>
      <c r="ET109" s="397"/>
      <c r="EU109" s="397"/>
      <c r="EV109" s="397"/>
      <c r="EW109" s="397"/>
      <c r="EX109" s="397"/>
      <c r="EY109" s="397"/>
      <c r="EZ109" s="397"/>
      <c r="FA109" s="397"/>
      <c r="FB109" s="397"/>
      <c r="FC109" s="397"/>
      <c r="FD109" s="397"/>
      <c r="FE109" s="397"/>
      <c r="FF109" s="397"/>
      <c r="FG109" s="397"/>
      <c r="FH109" s="397"/>
      <c r="FI109" s="397"/>
      <c r="FJ109" s="397"/>
      <c r="FK109" s="397"/>
      <c r="FL109" s="397"/>
      <c r="FM109" s="397"/>
      <c r="FN109" s="397"/>
      <c r="FO109" s="397"/>
      <c r="FP109" s="397"/>
      <c r="FQ109" s="397"/>
      <c r="FR109" s="397"/>
      <c r="FS109" s="397"/>
      <c r="FT109" s="397"/>
      <c r="FU109" s="397"/>
      <c r="FV109" s="397"/>
      <c r="FW109" s="397"/>
      <c r="FX109" s="397"/>
      <c r="FY109" s="397"/>
      <c r="FZ109" s="397"/>
      <c r="GA109" s="397"/>
      <c r="GB109" s="397"/>
      <c r="GC109" s="397"/>
      <c r="GD109" s="397"/>
      <c r="GE109" s="397"/>
      <c r="GF109" s="397"/>
      <c r="GG109" s="397"/>
      <c r="GH109" s="397"/>
      <c r="GI109" s="397"/>
      <c r="GJ109" s="397"/>
      <c r="GK109" s="397"/>
      <c r="GL109" s="397"/>
      <c r="GM109" s="397"/>
      <c r="GN109" s="397"/>
      <c r="GO109" s="397"/>
      <c r="GP109" s="397"/>
      <c r="GQ109" s="397"/>
      <c r="GR109" s="397"/>
      <c r="GS109" s="397"/>
      <c r="GT109" s="397"/>
      <c r="GU109" s="397"/>
      <c r="GV109" s="397"/>
      <c r="GW109" s="397"/>
      <c r="GX109" s="397"/>
      <c r="GY109" s="397"/>
      <c r="GZ109" s="397"/>
      <c r="HA109" s="397"/>
      <c r="HB109" s="397"/>
      <c r="HC109" s="397"/>
      <c r="HD109" s="397"/>
      <c r="HE109" s="397"/>
      <c r="HF109" s="397"/>
      <c r="HG109" s="397"/>
      <c r="HH109" s="397"/>
      <c r="HI109" s="397"/>
      <c r="HJ109" s="397"/>
      <c r="HK109" s="397"/>
      <c r="HL109" s="397"/>
      <c r="HM109" s="397"/>
      <c r="HN109" s="397"/>
      <c r="HO109" s="397"/>
      <c r="HP109" s="397"/>
      <c r="HQ109" s="397"/>
      <c r="HR109" s="397"/>
      <c r="HS109" s="397"/>
      <c r="HT109" s="397"/>
      <c r="HU109" s="397"/>
      <c r="HV109" s="397"/>
      <c r="HW109" s="397"/>
      <c r="HX109" s="397"/>
      <c r="HY109" s="397"/>
      <c r="HZ109" s="397"/>
      <c r="IA109" s="397"/>
      <c r="IB109" s="397"/>
      <c r="IC109" s="397"/>
      <c r="ID109" s="397"/>
      <c r="IE109" s="397"/>
      <c r="IF109" s="397"/>
      <c r="IG109" s="397"/>
      <c r="IH109" s="397"/>
      <c r="II109" s="397"/>
      <c r="IJ109" s="397"/>
      <c r="IK109" s="397"/>
      <c r="IL109" s="397"/>
      <c r="IM109" s="397"/>
      <c r="IN109" s="397"/>
      <c r="IO109" s="397"/>
      <c r="IP109" s="397"/>
      <c r="IQ109" s="397"/>
      <c r="IR109" s="397"/>
    </row>
    <row r="110" spans="2:252" s="183" customFormat="1" ht="25.15" customHeight="1" x14ac:dyDescent="0.25">
      <c r="B110" s="85">
        <v>42979</v>
      </c>
      <c r="C110" s="184">
        <v>831854.65523999999</v>
      </c>
      <c r="D110" s="184">
        <f>NetWorth[[#This Row],[Worth]]-C111</f>
        <v>13527.655239999993</v>
      </c>
      <c r="E110" s="1" t="s">
        <v>66</v>
      </c>
      <c r="V110" s="397"/>
      <c r="W110" s="397"/>
      <c r="X110" s="397"/>
      <c r="Y110" s="397"/>
      <c r="Z110" s="397"/>
      <c r="AA110" s="397"/>
      <c r="AB110" s="397"/>
      <c r="AC110" s="397"/>
      <c r="AD110" s="397"/>
      <c r="AE110" s="397"/>
      <c r="AF110" s="397"/>
      <c r="AG110" s="397"/>
      <c r="AH110" s="397"/>
      <c r="AI110" s="397"/>
      <c r="AJ110" s="397"/>
      <c r="AK110" s="397"/>
      <c r="AL110" s="397"/>
      <c r="AM110" s="397"/>
      <c r="AN110" s="397"/>
      <c r="AO110" s="397"/>
      <c r="AP110" s="397"/>
      <c r="AQ110" s="397"/>
      <c r="AR110" s="397"/>
      <c r="AS110" s="397"/>
      <c r="AT110" s="397"/>
      <c r="AU110" s="397"/>
      <c r="AV110" s="397"/>
      <c r="AW110" s="397"/>
      <c r="AX110" s="397"/>
      <c r="AY110" s="397"/>
      <c r="AZ110" s="397"/>
      <c r="BA110" s="397"/>
      <c r="BB110" s="397"/>
      <c r="BC110" s="397"/>
      <c r="BD110" s="397"/>
      <c r="BE110" s="397"/>
      <c r="BF110" s="397"/>
      <c r="BG110" s="397"/>
      <c r="BH110" s="397"/>
      <c r="BI110" s="397"/>
      <c r="BJ110" s="397"/>
      <c r="BK110" s="397"/>
      <c r="BL110" s="397"/>
      <c r="BM110" s="397"/>
      <c r="BN110" s="397"/>
      <c r="BO110" s="397"/>
      <c r="BP110" s="397"/>
      <c r="BQ110" s="397"/>
      <c r="BR110" s="397"/>
      <c r="BS110" s="397"/>
      <c r="BT110" s="397"/>
      <c r="BU110" s="397"/>
      <c r="BV110" s="397"/>
      <c r="BW110" s="397"/>
      <c r="BX110" s="397"/>
      <c r="BY110" s="397"/>
      <c r="BZ110" s="397"/>
      <c r="CA110" s="397"/>
      <c r="CB110" s="397"/>
      <c r="CC110" s="397"/>
      <c r="CD110" s="397"/>
      <c r="CE110" s="397"/>
      <c r="CF110" s="397"/>
      <c r="CG110" s="397"/>
      <c r="CH110" s="397"/>
      <c r="CI110" s="397"/>
      <c r="CJ110" s="397"/>
      <c r="CK110" s="397"/>
      <c r="CL110" s="397"/>
      <c r="CM110" s="397"/>
      <c r="CN110" s="397"/>
      <c r="CO110" s="397"/>
      <c r="CP110" s="397"/>
      <c r="CQ110" s="397"/>
      <c r="CR110" s="397"/>
      <c r="CS110" s="397"/>
      <c r="CT110" s="397"/>
      <c r="CU110" s="397"/>
      <c r="CV110" s="397"/>
      <c r="CW110" s="397"/>
      <c r="CX110" s="397"/>
      <c r="CY110" s="397"/>
      <c r="CZ110" s="397"/>
      <c r="DA110" s="397"/>
      <c r="DB110" s="397"/>
      <c r="DC110" s="397"/>
      <c r="DD110" s="397"/>
      <c r="DE110" s="397"/>
      <c r="DF110" s="397"/>
      <c r="DG110" s="397"/>
      <c r="DH110" s="397"/>
      <c r="DI110" s="397"/>
      <c r="DJ110" s="397"/>
      <c r="DK110" s="397"/>
      <c r="DL110" s="397"/>
      <c r="DM110" s="397"/>
      <c r="DN110" s="397"/>
      <c r="DO110" s="397"/>
      <c r="DP110" s="397"/>
      <c r="DQ110" s="397"/>
      <c r="DR110" s="397"/>
      <c r="DS110" s="397"/>
      <c r="DT110" s="397"/>
      <c r="DU110" s="397"/>
      <c r="DV110" s="397"/>
      <c r="DW110" s="397"/>
      <c r="DX110" s="397"/>
      <c r="DY110" s="397"/>
      <c r="DZ110" s="397"/>
      <c r="EA110" s="397"/>
      <c r="EB110" s="397"/>
      <c r="EC110" s="397"/>
      <c r="ED110" s="397"/>
      <c r="EE110" s="397"/>
      <c r="EF110" s="397"/>
      <c r="EG110" s="397"/>
      <c r="EH110" s="397"/>
      <c r="EI110" s="397"/>
      <c r="EJ110" s="397"/>
      <c r="EK110" s="397"/>
      <c r="EL110" s="397"/>
      <c r="EM110" s="397"/>
      <c r="EN110" s="397"/>
      <c r="EO110" s="397"/>
      <c r="EP110" s="397"/>
      <c r="EQ110" s="397"/>
      <c r="ER110" s="397"/>
      <c r="ES110" s="397"/>
      <c r="ET110" s="397"/>
      <c r="EU110" s="397"/>
      <c r="EV110" s="397"/>
      <c r="EW110" s="397"/>
      <c r="EX110" s="397"/>
      <c r="EY110" s="397"/>
      <c r="EZ110" s="397"/>
      <c r="FA110" s="397"/>
      <c r="FB110" s="397"/>
      <c r="FC110" s="397"/>
      <c r="FD110" s="397"/>
      <c r="FE110" s="397"/>
      <c r="FF110" s="397"/>
      <c r="FG110" s="397"/>
      <c r="FH110" s="397"/>
      <c r="FI110" s="397"/>
      <c r="FJ110" s="397"/>
      <c r="FK110" s="397"/>
      <c r="FL110" s="397"/>
      <c r="FM110" s="397"/>
      <c r="FN110" s="397"/>
      <c r="FO110" s="397"/>
      <c r="FP110" s="397"/>
      <c r="FQ110" s="397"/>
      <c r="FR110" s="397"/>
      <c r="FS110" s="397"/>
      <c r="FT110" s="397"/>
      <c r="FU110" s="397"/>
      <c r="FV110" s="397"/>
      <c r="FW110" s="397"/>
      <c r="FX110" s="397"/>
      <c r="FY110" s="397"/>
      <c r="FZ110" s="397"/>
      <c r="GA110" s="397"/>
      <c r="GB110" s="397"/>
      <c r="GC110" s="397"/>
      <c r="GD110" s="397"/>
      <c r="GE110" s="397"/>
      <c r="GF110" s="397"/>
      <c r="GG110" s="397"/>
      <c r="GH110" s="397"/>
      <c r="GI110" s="397"/>
      <c r="GJ110" s="397"/>
      <c r="GK110" s="397"/>
      <c r="GL110" s="397"/>
      <c r="GM110" s="397"/>
      <c r="GN110" s="397"/>
      <c r="GO110" s="397"/>
      <c r="GP110" s="397"/>
      <c r="GQ110" s="397"/>
      <c r="GR110" s="397"/>
      <c r="GS110" s="397"/>
      <c r="GT110" s="397"/>
      <c r="GU110" s="397"/>
      <c r="GV110" s="397"/>
      <c r="GW110" s="397"/>
      <c r="GX110" s="397"/>
      <c r="GY110" s="397"/>
      <c r="GZ110" s="397"/>
      <c r="HA110" s="397"/>
      <c r="HB110" s="397"/>
      <c r="HC110" s="397"/>
      <c r="HD110" s="397"/>
      <c r="HE110" s="397"/>
      <c r="HF110" s="397"/>
      <c r="HG110" s="397"/>
      <c r="HH110" s="397"/>
      <c r="HI110" s="397"/>
      <c r="HJ110" s="397"/>
      <c r="HK110" s="397"/>
      <c r="HL110" s="397"/>
      <c r="HM110" s="397"/>
      <c r="HN110" s="397"/>
      <c r="HO110" s="397"/>
      <c r="HP110" s="397"/>
      <c r="HQ110" s="397"/>
      <c r="HR110" s="397"/>
      <c r="HS110" s="397"/>
      <c r="HT110" s="397"/>
      <c r="HU110" s="397"/>
      <c r="HV110" s="397"/>
      <c r="HW110" s="397"/>
      <c r="HX110" s="397"/>
      <c r="HY110" s="397"/>
      <c r="HZ110" s="397"/>
      <c r="IA110" s="397"/>
      <c r="IB110" s="397"/>
      <c r="IC110" s="397"/>
      <c r="ID110" s="397"/>
      <c r="IE110" s="397"/>
      <c r="IF110" s="397"/>
      <c r="IG110" s="397"/>
      <c r="IH110" s="397"/>
      <c r="II110" s="397"/>
      <c r="IJ110" s="397"/>
      <c r="IK110" s="397"/>
      <c r="IL110" s="397"/>
      <c r="IM110" s="397"/>
      <c r="IN110" s="397"/>
      <c r="IO110" s="397"/>
      <c r="IP110" s="397"/>
      <c r="IQ110" s="397"/>
      <c r="IR110" s="397"/>
    </row>
    <row r="111" spans="2:252" s="183" customFormat="1" ht="25.15" customHeight="1" x14ac:dyDescent="0.25">
      <c r="B111" s="85">
        <v>42948</v>
      </c>
      <c r="C111" s="184">
        <v>818327</v>
      </c>
      <c r="D111" s="184">
        <f>NetWorth[[#This Row],[Worth]]-C112</f>
        <v>14198</v>
      </c>
      <c r="E111" s="1" t="s">
        <v>67</v>
      </c>
      <c r="F111" s="183" t="s">
        <v>65</v>
      </c>
      <c r="V111" s="397"/>
      <c r="W111" s="397"/>
      <c r="X111" s="397"/>
      <c r="Y111" s="397"/>
      <c r="Z111" s="397"/>
      <c r="AA111" s="397"/>
      <c r="AB111" s="397"/>
      <c r="AC111" s="397"/>
      <c r="AD111" s="397"/>
      <c r="AE111" s="397"/>
      <c r="AF111" s="397"/>
      <c r="AG111" s="397"/>
      <c r="AH111" s="397"/>
      <c r="AI111" s="397"/>
      <c r="AJ111" s="397"/>
      <c r="AK111" s="397"/>
      <c r="AL111" s="397"/>
      <c r="AM111" s="397"/>
      <c r="AN111" s="397"/>
      <c r="AO111" s="397"/>
      <c r="AP111" s="397"/>
      <c r="AQ111" s="397"/>
      <c r="AR111" s="397"/>
      <c r="AS111" s="397"/>
      <c r="AT111" s="397"/>
      <c r="AU111" s="397"/>
      <c r="AV111" s="397"/>
      <c r="AW111" s="397"/>
      <c r="AX111" s="397"/>
      <c r="AY111" s="397"/>
      <c r="AZ111" s="397"/>
      <c r="BA111" s="397"/>
      <c r="BB111" s="397"/>
      <c r="BC111" s="397"/>
      <c r="BD111" s="397"/>
      <c r="BE111" s="397"/>
      <c r="BF111" s="397"/>
      <c r="BG111" s="397"/>
      <c r="BH111" s="397"/>
      <c r="BI111" s="397"/>
      <c r="BJ111" s="397"/>
      <c r="BK111" s="397"/>
      <c r="BL111" s="397"/>
      <c r="BM111" s="397"/>
      <c r="BN111" s="397"/>
      <c r="BO111" s="397"/>
      <c r="BP111" s="397"/>
      <c r="BQ111" s="397"/>
      <c r="BR111" s="397"/>
      <c r="BS111" s="397"/>
      <c r="BT111" s="397"/>
      <c r="BU111" s="397"/>
      <c r="BV111" s="397"/>
      <c r="BW111" s="397"/>
      <c r="BX111" s="397"/>
      <c r="BY111" s="397"/>
      <c r="BZ111" s="397"/>
      <c r="CA111" s="397"/>
      <c r="CB111" s="397"/>
      <c r="CC111" s="397"/>
      <c r="CD111" s="397"/>
      <c r="CE111" s="397"/>
      <c r="CF111" s="397"/>
      <c r="CG111" s="397"/>
      <c r="CH111" s="397"/>
      <c r="CI111" s="397"/>
      <c r="CJ111" s="397"/>
      <c r="CK111" s="397"/>
      <c r="CL111" s="397"/>
      <c r="CM111" s="397"/>
      <c r="CN111" s="397"/>
      <c r="CO111" s="397"/>
      <c r="CP111" s="397"/>
      <c r="CQ111" s="397"/>
      <c r="CR111" s="397"/>
      <c r="CS111" s="397"/>
      <c r="CT111" s="397"/>
      <c r="CU111" s="397"/>
      <c r="CV111" s="397"/>
      <c r="CW111" s="397"/>
      <c r="CX111" s="397"/>
      <c r="CY111" s="397"/>
      <c r="CZ111" s="397"/>
      <c r="DA111" s="397"/>
      <c r="DB111" s="397"/>
      <c r="DC111" s="397"/>
      <c r="DD111" s="397"/>
      <c r="DE111" s="397"/>
      <c r="DF111" s="397"/>
      <c r="DG111" s="397"/>
      <c r="DH111" s="397"/>
      <c r="DI111" s="397"/>
      <c r="DJ111" s="397"/>
      <c r="DK111" s="397"/>
      <c r="DL111" s="397"/>
      <c r="DM111" s="397"/>
      <c r="DN111" s="397"/>
      <c r="DO111" s="397"/>
      <c r="DP111" s="397"/>
      <c r="DQ111" s="397"/>
      <c r="DR111" s="397"/>
      <c r="DS111" s="397"/>
      <c r="DT111" s="397"/>
      <c r="DU111" s="397"/>
      <c r="DV111" s="397"/>
      <c r="DW111" s="397"/>
      <c r="DX111" s="397"/>
      <c r="DY111" s="397"/>
      <c r="DZ111" s="397"/>
      <c r="EA111" s="397"/>
      <c r="EB111" s="397"/>
      <c r="EC111" s="397"/>
      <c r="ED111" s="397"/>
      <c r="EE111" s="397"/>
      <c r="EF111" s="397"/>
      <c r="EG111" s="397"/>
      <c r="EH111" s="397"/>
      <c r="EI111" s="397"/>
      <c r="EJ111" s="397"/>
      <c r="EK111" s="397"/>
      <c r="EL111" s="397"/>
      <c r="EM111" s="397"/>
      <c r="EN111" s="397"/>
      <c r="EO111" s="397"/>
      <c r="EP111" s="397"/>
      <c r="EQ111" s="397"/>
      <c r="ER111" s="397"/>
      <c r="ES111" s="397"/>
      <c r="ET111" s="397"/>
      <c r="EU111" s="397"/>
      <c r="EV111" s="397"/>
      <c r="EW111" s="397"/>
      <c r="EX111" s="397"/>
      <c r="EY111" s="397"/>
      <c r="EZ111" s="397"/>
      <c r="FA111" s="397"/>
      <c r="FB111" s="397"/>
      <c r="FC111" s="397"/>
      <c r="FD111" s="397"/>
      <c r="FE111" s="397"/>
      <c r="FF111" s="397"/>
      <c r="FG111" s="397"/>
      <c r="FH111" s="397"/>
      <c r="FI111" s="397"/>
      <c r="FJ111" s="397"/>
      <c r="FK111" s="397"/>
      <c r="FL111" s="397"/>
      <c r="FM111" s="397"/>
      <c r="FN111" s="397"/>
      <c r="FO111" s="397"/>
      <c r="FP111" s="397"/>
      <c r="FQ111" s="397"/>
      <c r="FR111" s="397"/>
      <c r="FS111" s="397"/>
      <c r="FT111" s="397"/>
      <c r="FU111" s="397"/>
      <c r="FV111" s="397"/>
      <c r="FW111" s="397"/>
      <c r="FX111" s="397"/>
      <c r="FY111" s="397"/>
      <c r="FZ111" s="397"/>
      <c r="GA111" s="397"/>
      <c r="GB111" s="397"/>
      <c r="GC111" s="397"/>
      <c r="GD111" s="397"/>
      <c r="GE111" s="397"/>
      <c r="GF111" s="397"/>
      <c r="GG111" s="397"/>
      <c r="GH111" s="397"/>
      <c r="GI111" s="397"/>
      <c r="GJ111" s="397"/>
      <c r="GK111" s="397"/>
      <c r="GL111" s="397"/>
      <c r="GM111" s="397"/>
      <c r="GN111" s="397"/>
      <c r="GO111" s="397"/>
      <c r="GP111" s="397"/>
      <c r="GQ111" s="397"/>
      <c r="GR111" s="397"/>
      <c r="GS111" s="397"/>
      <c r="GT111" s="397"/>
      <c r="GU111" s="397"/>
      <c r="GV111" s="397"/>
      <c r="GW111" s="397"/>
      <c r="GX111" s="397"/>
      <c r="GY111" s="397"/>
      <c r="GZ111" s="397"/>
      <c r="HA111" s="397"/>
      <c r="HB111" s="397"/>
      <c r="HC111" s="397"/>
      <c r="HD111" s="397"/>
      <c r="HE111" s="397"/>
      <c r="HF111" s="397"/>
      <c r="HG111" s="397"/>
      <c r="HH111" s="397"/>
      <c r="HI111" s="397"/>
      <c r="HJ111" s="397"/>
      <c r="HK111" s="397"/>
      <c r="HL111" s="397"/>
      <c r="HM111" s="397"/>
      <c r="HN111" s="397"/>
      <c r="HO111" s="397"/>
      <c r="HP111" s="397"/>
      <c r="HQ111" s="397"/>
      <c r="HR111" s="397"/>
      <c r="HS111" s="397"/>
      <c r="HT111" s="397"/>
      <c r="HU111" s="397"/>
      <c r="HV111" s="397"/>
      <c r="HW111" s="397"/>
      <c r="HX111" s="397"/>
      <c r="HY111" s="397"/>
      <c r="HZ111" s="397"/>
      <c r="IA111" s="397"/>
      <c r="IB111" s="397"/>
      <c r="IC111" s="397"/>
      <c r="ID111" s="397"/>
      <c r="IE111" s="397"/>
      <c r="IF111" s="397"/>
      <c r="IG111" s="397"/>
      <c r="IH111" s="397"/>
      <c r="II111" s="397"/>
      <c r="IJ111" s="397"/>
      <c r="IK111" s="397"/>
      <c r="IL111" s="397"/>
      <c r="IM111" s="397"/>
      <c r="IN111" s="397"/>
      <c r="IO111" s="397"/>
      <c r="IP111" s="397"/>
      <c r="IQ111" s="397"/>
      <c r="IR111" s="397"/>
    </row>
    <row r="112" spans="2:252" s="183" customFormat="1" ht="25.15" customHeight="1" x14ac:dyDescent="0.25">
      <c r="B112" s="85">
        <v>42917</v>
      </c>
      <c r="C112" s="184">
        <v>804129</v>
      </c>
      <c r="D112" s="184">
        <f>NetWorth[[#This Row],[Worth]]-C113</f>
        <v>-6724</v>
      </c>
      <c r="E112" s="1" t="s">
        <v>68</v>
      </c>
      <c r="V112" s="397"/>
      <c r="W112" s="397"/>
      <c r="X112" s="397"/>
      <c r="Y112" s="397"/>
      <c r="Z112" s="397"/>
      <c r="AA112" s="397"/>
      <c r="AB112" s="397"/>
      <c r="AC112" s="397"/>
      <c r="AD112" s="397"/>
      <c r="AE112" s="397"/>
      <c r="AF112" s="397"/>
      <c r="AG112" s="397"/>
      <c r="AH112" s="397"/>
      <c r="AI112" s="397"/>
      <c r="AJ112" s="397"/>
      <c r="AK112" s="397"/>
      <c r="AL112" s="397"/>
      <c r="AM112" s="397"/>
      <c r="AN112" s="397"/>
      <c r="AO112" s="397"/>
      <c r="AP112" s="397"/>
      <c r="AQ112" s="397"/>
      <c r="AR112" s="397"/>
      <c r="AS112" s="397"/>
      <c r="AT112" s="397"/>
      <c r="AU112" s="397"/>
      <c r="AV112" s="397"/>
      <c r="AW112" s="397"/>
      <c r="AX112" s="397"/>
      <c r="AY112" s="397"/>
      <c r="AZ112" s="397"/>
      <c r="BA112" s="397"/>
      <c r="BB112" s="397"/>
      <c r="BC112" s="397"/>
      <c r="BD112" s="397"/>
      <c r="BE112" s="397"/>
      <c r="BF112" s="397"/>
      <c r="BG112" s="397"/>
      <c r="BH112" s="397"/>
      <c r="BI112" s="397"/>
      <c r="BJ112" s="397"/>
      <c r="BK112" s="397"/>
      <c r="BL112" s="397"/>
      <c r="BM112" s="397"/>
      <c r="BN112" s="397"/>
      <c r="BO112" s="397"/>
      <c r="BP112" s="397"/>
      <c r="BQ112" s="397"/>
      <c r="BR112" s="397"/>
      <c r="BS112" s="397"/>
      <c r="BT112" s="397"/>
      <c r="BU112" s="397"/>
      <c r="BV112" s="397"/>
      <c r="BW112" s="397"/>
      <c r="BX112" s="397"/>
      <c r="BY112" s="397"/>
      <c r="BZ112" s="397"/>
      <c r="CA112" s="397"/>
      <c r="CB112" s="397"/>
      <c r="CC112" s="397"/>
      <c r="CD112" s="397"/>
      <c r="CE112" s="397"/>
      <c r="CF112" s="397"/>
      <c r="CG112" s="397"/>
      <c r="CH112" s="397"/>
      <c r="CI112" s="397"/>
      <c r="CJ112" s="397"/>
      <c r="CK112" s="397"/>
      <c r="CL112" s="397"/>
      <c r="CM112" s="397"/>
      <c r="CN112" s="397"/>
      <c r="CO112" s="397"/>
      <c r="CP112" s="397"/>
      <c r="CQ112" s="397"/>
      <c r="CR112" s="397"/>
      <c r="CS112" s="397"/>
      <c r="CT112" s="397"/>
      <c r="CU112" s="397"/>
      <c r="CV112" s="397"/>
      <c r="CW112" s="397"/>
      <c r="CX112" s="397"/>
      <c r="CY112" s="397"/>
      <c r="CZ112" s="397"/>
      <c r="DA112" s="397"/>
      <c r="DB112" s="397"/>
      <c r="DC112" s="397"/>
      <c r="DD112" s="397"/>
      <c r="DE112" s="397"/>
      <c r="DF112" s="397"/>
      <c r="DG112" s="397"/>
      <c r="DH112" s="397"/>
      <c r="DI112" s="397"/>
      <c r="DJ112" s="397"/>
      <c r="DK112" s="397"/>
      <c r="DL112" s="397"/>
      <c r="DM112" s="397"/>
      <c r="DN112" s="397"/>
      <c r="DO112" s="397"/>
      <c r="DP112" s="397"/>
      <c r="DQ112" s="397"/>
      <c r="DR112" s="397"/>
      <c r="DS112" s="397"/>
      <c r="DT112" s="397"/>
      <c r="DU112" s="397"/>
      <c r="DV112" s="397"/>
      <c r="DW112" s="397"/>
      <c r="DX112" s="397"/>
      <c r="DY112" s="397"/>
      <c r="DZ112" s="397"/>
      <c r="EA112" s="397"/>
      <c r="EB112" s="397"/>
      <c r="EC112" s="397"/>
      <c r="ED112" s="397"/>
      <c r="EE112" s="397"/>
      <c r="EF112" s="397"/>
      <c r="EG112" s="397"/>
      <c r="EH112" s="397"/>
      <c r="EI112" s="397"/>
      <c r="EJ112" s="397"/>
      <c r="EK112" s="397"/>
      <c r="EL112" s="397"/>
      <c r="EM112" s="397"/>
      <c r="EN112" s="397"/>
      <c r="EO112" s="397"/>
      <c r="EP112" s="397"/>
      <c r="EQ112" s="397"/>
      <c r="ER112" s="397"/>
      <c r="ES112" s="397"/>
      <c r="ET112" s="397"/>
      <c r="EU112" s="397"/>
      <c r="EV112" s="397"/>
      <c r="EW112" s="397"/>
      <c r="EX112" s="397"/>
      <c r="EY112" s="397"/>
      <c r="EZ112" s="397"/>
      <c r="FA112" s="397"/>
      <c r="FB112" s="397"/>
      <c r="FC112" s="397"/>
      <c r="FD112" s="397"/>
      <c r="FE112" s="397"/>
      <c r="FF112" s="397"/>
      <c r="FG112" s="397"/>
      <c r="FH112" s="397"/>
      <c r="FI112" s="397"/>
      <c r="FJ112" s="397"/>
      <c r="FK112" s="397"/>
      <c r="FL112" s="397"/>
      <c r="FM112" s="397"/>
      <c r="FN112" s="397"/>
      <c r="FO112" s="397"/>
      <c r="FP112" s="397"/>
      <c r="FQ112" s="397"/>
      <c r="FR112" s="397"/>
      <c r="FS112" s="397"/>
      <c r="FT112" s="397"/>
      <c r="FU112" s="397"/>
      <c r="FV112" s="397"/>
      <c r="FW112" s="397"/>
      <c r="FX112" s="397"/>
      <c r="FY112" s="397"/>
      <c r="FZ112" s="397"/>
      <c r="GA112" s="397"/>
      <c r="GB112" s="397"/>
      <c r="GC112" s="397"/>
      <c r="GD112" s="397"/>
      <c r="GE112" s="397"/>
      <c r="GF112" s="397"/>
      <c r="GG112" s="397"/>
      <c r="GH112" s="397"/>
      <c r="GI112" s="397"/>
      <c r="GJ112" s="397"/>
      <c r="GK112" s="397"/>
      <c r="GL112" s="397"/>
      <c r="GM112" s="397"/>
      <c r="GN112" s="397"/>
      <c r="GO112" s="397"/>
      <c r="GP112" s="397"/>
      <c r="GQ112" s="397"/>
      <c r="GR112" s="397"/>
      <c r="GS112" s="397"/>
      <c r="GT112" s="397"/>
      <c r="GU112" s="397"/>
      <c r="GV112" s="397"/>
      <c r="GW112" s="397"/>
      <c r="GX112" s="397"/>
      <c r="GY112" s="397"/>
      <c r="GZ112" s="397"/>
      <c r="HA112" s="397"/>
      <c r="HB112" s="397"/>
      <c r="HC112" s="397"/>
      <c r="HD112" s="397"/>
      <c r="HE112" s="397"/>
      <c r="HF112" s="397"/>
      <c r="HG112" s="397"/>
      <c r="HH112" s="397"/>
      <c r="HI112" s="397"/>
      <c r="HJ112" s="397"/>
      <c r="HK112" s="397"/>
      <c r="HL112" s="397"/>
      <c r="HM112" s="397"/>
      <c r="HN112" s="397"/>
      <c r="HO112" s="397"/>
      <c r="HP112" s="397"/>
      <c r="HQ112" s="397"/>
      <c r="HR112" s="397"/>
      <c r="HS112" s="397"/>
      <c r="HT112" s="397"/>
      <c r="HU112" s="397"/>
      <c r="HV112" s="397"/>
      <c r="HW112" s="397"/>
      <c r="HX112" s="397"/>
      <c r="HY112" s="397"/>
      <c r="HZ112" s="397"/>
      <c r="IA112" s="397"/>
      <c r="IB112" s="397"/>
      <c r="IC112" s="397"/>
      <c r="ID112" s="397"/>
      <c r="IE112" s="397"/>
      <c r="IF112" s="397"/>
      <c r="IG112" s="397"/>
      <c r="IH112" s="397"/>
      <c r="II112" s="397"/>
      <c r="IJ112" s="397"/>
      <c r="IK112" s="397"/>
      <c r="IL112" s="397"/>
      <c r="IM112" s="397"/>
      <c r="IN112" s="397"/>
      <c r="IO112" s="397"/>
      <c r="IP112" s="397"/>
      <c r="IQ112" s="397"/>
      <c r="IR112" s="397"/>
    </row>
    <row r="113" spans="2:252" s="183" customFormat="1" ht="25.15" customHeight="1" x14ac:dyDescent="0.25">
      <c r="B113" s="85">
        <v>42887</v>
      </c>
      <c r="C113" s="184">
        <v>810853</v>
      </c>
      <c r="D113" s="184">
        <f>NetWorth[[#This Row],[Worth]]-C114</f>
        <v>-9824</v>
      </c>
      <c r="E113" s="1" t="s">
        <v>69</v>
      </c>
      <c r="V113" s="397"/>
      <c r="W113" s="397"/>
      <c r="X113" s="397"/>
      <c r="Y113" s="397"/>
      <c r="Z113" s="397"/>
      <c r="AA113" s="397"/>
      <c r="AB113" s="397"/>
      <c r="AC113" s="397"/>
      <c r="AD113" s="397"/>
      <c r="AE113" s="397"/>
      <c r="AF113" s="397"/>
      <c r="AG113" s="397"/>
      <c r="AH113" s="397"/>
      <c r="AI113" s="397"/>
      <c r="AJ113" s="397"/>
      <c r="AK113" s="397"/>
      <c r="AL113" s="397"/>
      <c r="AM113" s="397"/>
      <c r="AN113" s="397"/>
      <c r="AO113" s="397"/>
      <c r="AP113" s="397"/>
      <c r="AQ113" s="397"/>
      <c r="AR113" s="397"/>
      <c r="AS113" s="397"/>
      <c r="AT113" s="397"/>
      <c r="AU113" s="397"/>
      <c r="AV113" s="397"/>
      <c r="AW113" s="397"/>
      <c r="AX113" s="397"/>
      <c r="AY113" s="397"/>
      <c r="AZ113" s="397"/>
      <c r="BA113" s="397"/>
      <c r="BB113" s="397"/>
      <c r="BC113" s="397"/>
      <c r="BD113" s="397"/>
      <c r="BE113" s="397"/>
      <c r="BF113" s="397"/>
      <c r="BG113" s="397"/>
      <c r="BH113" s="397"/>
      <c r="BI113" s="397"/>
      <c r="BJ113" s="397"/>
      <c r="BK113" s="397"/>
      <c r="BL113" s="397"/>
      <c r="BM113" s="397"/>
      <c r="BN113" s="397"/>
      <c r="BO113" s="397"/>
      <c r="BP113" s="397"/>
      <c r="BQ113" s="397"/>
      <c r="BR113" s="397"/>
      <c r="BS113" s="397"/>
      <c r="BT113" s="397"/>
      <c r="BU113" s="397"/>
      <c r="BV113" s="397"/>
      <c r="BW113" s="397"/>
      <c r="BX113" s="397"/>
      <c r="BY113" s="397"/>
      <c r="BZ113" s="397"/>
      <c r="CA113" s="397"/>
      <c r="CB113" s="397"/>
      <c r="CC113" s="397"/>
      <c r="CD113" s="397"/>
      <c r="CE113" s="397"/>
      <c r="CF113" s="397"/>
      <c r="CG113" s="397"/>
      <c r="CH113" s="397"/>
      <c r="CI113" s="397"/>
      <c r="CJ113" s="397"/>
      <c r="CK113" s="397"/>
      <c r="CL113" s="397"/>
      <c r="CM113" s="397"/>
      <c r="CN113" s="397"/>
      <c r="CO113" s="397"/>
      <c r="CP113" s="397"/>
      <c r="CQ113" s="397"/>
      <c r="CR113" s="397"/>
      <c r="CS113" s="397"/>
      <c r="CT113" s="397"/>
      <c r="CU113" s="397"/>
      <c r="CV113" s="397"/>
      <c r="CW113" s="397"/>
      <c r="CX113" s="397"/>
      <c r="CY113" s="397"/>
      <c r="CZ113" s="397"/>
      <c r="DA113" s="397"/>
      <c r="DB113" s="397"/>
      <c r="DC113" s="397"/>
      <c r="DD113" s="397"/>
      <c r="DE113" s="397"/>
      <c r="DF113" s="397"/>
      <c r="DG113" s="397"/>
      <c r="DH113" s="397"/>
      <c r="DI113" s="397"/>
      <c r="DJ113" s="397"/>
      <c r="DK113" s="397"/>
      <c r="DL113" s="397"/>
      <c r="DM113" s="397"/>
      <c r="DN113" s="397"/>
      <c r="DO113" s="397"/>
      <c r="DP113" s="397"/>
      <c r="DQ113" s="397"/>
      <c r="DR113" s="397"/>
      <c r="DS113" s="397"/>
      <c r="DT113" s="397"/>
      <c r="DU113" s="397"/>
      <c r="DV113" s="397"/>
      <c r="DW113" s="397"/>
      <c r="DX113" s="397"/>
      <c r="DY113" s="397"/>
      <c r="DZ113" s="397"/>
      <c r="EA113" s="397"/>
      <c r="EB113" s="397"/>
      <c r="EC113" s="397"/>
      <c r="ED113" s="397"/>
      <c r="EE113" s="397"/>
      <c r="EF113" s="397"/>
      <c r="EG113" s="397"/>
      <c r="EH113" s="397"/>
      <c r="EI113" s="397"/>
      <c r="EJ113" s="397"/>
      <c r="EK113" s="397"/>
      <c r="EL113" s="397"/>
      <c r="EM113" s="397"/>
      <c r="EN113" s="397"/>
      <c r="EO113" s="397"/>
      <c r="EP113" s="397"/>
      <c r="EQ113" s="397"/>
      <c r="ER113" s="397"/>
      <c r="ES113" s="397"/>
      <c r="ET113" s="397"/>
      <c r="EU113" s="397"/>
      <c r="EV113" s="397"/>
      <c r="EW113" s="397"/>
      <c r="EX113" s="397"/>
      <c r="EY113" s="397"/>
      <c r="EZ113" s="397"/>
      <c r="FA113" s="397"/>
      <c r="FB113" s="397"/>
      <c r="FC113" s="397"/>
      <c r="FD113" s="397"/>
      <c r="FE113" s="397"/>
      <c r="FF113" s="397"/>
      <c r="FG113" s="397"/>
      <c r="FH113" s="397"/>
      <c r="FI113" s="397"/>
      <c r="FJ113" s="397"/>
      <c r="FK113" s="397"/>
      <c r="FL113" s="397"/>
      <c r="FM113" s="397"/>
      <c r="FN113" s="397"/>
      <c r="FO113" s="397"/>
      <c r="FP113" s="397"/>
      <c r="FQ113" s="397"/>
      <c r="FR113" s="397"/>
      <c r="FS113" s="397"/>
      <c r="FT113" s="397"/>
      <c r="FU113" s="397"/>
      <c r="FV113" s="397"/>
      <c r="FW113" s="397"/>
      <c r="FX113" s="397"/>
      <c r="FY113" s="397"/>
      <c r="FZ113" s="397"/>
      <c r="GA113" s="397"/>
      <c r="GB113" s="397"/>
      <c r="GC113" s="397"/>
      <c r="GD113" s="397"/>
      <c r="GE113" s="397"/>
      <c r="GF113" s="397"/>
      <c r="GG113" s="397"/>
      <c r="GH113" s="397"/>
      <c r="GI113" s="397"/>
      <c r="GJ113" s="397"/>
      <c r="GK113" s="397"/>
      <c r="GL113" s="397"/>
      <c r="GM113" s="397"/>
      <c r="GN113" s="397"/>
      <c r="GO113" s="397"/>
      <c r="GP113" s="397"/>
      <c r="GQ113" s="397"/>
      <c r="GR113" s="397"/>
      <c r="GS113" s="397"/>
      <c r="GT113" s="397"/>
      <c r="GU113" s="397"/>
      <c r="GV113" s="397"/>
      <c r="GW113" s="397"/>
      <c r="GX113" s="397"/>
      <c r="GY113" s="397"/>
      <c r="GZ113" s="397"/>
      <c r="HA113" s="397"/>
      <c r="HB113" s="397"/>
      <c r="HC113" s="397"/>
      <c r="HD113" s="397"/>
      <c r="HE113" s="397"/>
      <c r="HF113" s="397"/>
      <c r="HG113" s="397"/>
      <c r="HH113" s="397"/>
      <c r="HI113" s="397"/>
      <c r="HJ113" s="397"/>
      <c r="HK113" s="397"/>
      <c r="HL113" s="397"/>
      <c r="HM113" s="397"/>
      <c r="HN113" s="397"/>
      <c r="HO113" s="397"/>
      <c r="HP113" s="397"/>
      <c r="HQ113" s="397"/>
      <c r="HR113" s="397"/>
      <c r="HS113" s="397"/>
      <c r="HT113" s="397"/>
      <c r="HU113" s="397"/>
      <c r="HV113" s="397"/>
      <c r="HW113" s="397"/>
      <c r="HX113" s="397"/>
      <c r="HY113" s="397"/>
      <c r="HZ113" s="397"/>
      <c r="IA113" s="397"/>
      <c r="IB113" s="397"/>
      <c r="IC113" s="397"/>
      <c r="ID113" s="397"/>
      <c r="IE113" s="397"/>
      <c r="IF113" s="397"/>
      <c r="IG113" s="397"/>
      <c r="IH113" s="397"/>
      <c r="II113" s="397"/>
      <c r="IJ113" s="397"/>
      <c r="IK113" s="397"/>
      <c r="IL113" s="397"/>
      <c r="IM113" s="397"/>
      <c r="IN113" s="397"/>
      <c r="IO113" s="397"/>
      <c r="IP113" s="397"/>
      <c r="IQ113" s="397"/>
      <c r="IR113" s="397"/>
    </row>
    <row r="114" spans="2:252" s="183" customFormat="1" ht="25.15" customHeight="1" x14ac:dyDescent="0.25">
      <c r="B114" s="85">
        <v>42856</v>
      </c>
      <c r="C114" s="184">
        <v>820677</v>
      </c>
      <c r="D114" s="184">
        <f>NetWorth[[#This Row],[Worth]]-C115</f>
        <v>1663</v>
      </c>
      <c r="E114" s="1"/>
      <c r="V114" s="397"/>
      <c r="W114" s="397"/>
      <c r="X114" s="397"/>
      <c r="Y114" s="397"/>
      <c r="Z114" s="397"/>
      <c r="AA114" s="397"/>
      <c r="AB114" s="397"/>
      <c r="AC114" s="397"/>
      <c r="AD114" s="397"/>
      <c r="AE114" s="397"/>
      <c r="AF114" s="397"/>
      <c r="AG114" s="397"/>
      <c r="AH114" s="397"/>
      <c r="AI114" s="397"/>
      <c r="AJ114" s="397"/>
      <c r="AK114" s="397"/>
      <c r="AL114" s="397"/>
      <c r="AM114" s="397"/>
      <c r="AN114" s="397"/>
      <c r="AO114" s="397"/>
      <c r="AP114" s="397"/>
      <c r="AQ114" s="397"/>
      <c r="AR114" s="397"/>
      <c r="AS114" s="397"/>
      <c r="AT114" s="397"/>
      <c r="AU114" s="397"/>
      <c r="AV114" s="397"/>
      <c r="AW114" s="397"/>
      <c r="AX114" s="397"/>
      <c r="AY114" s="397"/>
      <c r="AZ114" s="397"/>
      <c r="BA114" s="397"/>
      <c r="BB114" s="397"/>
      <c r="BC114" s="397"/>
      <c r="BD114" s="397"/>
      <c r="BE114" s="397"/>
      <c r="BF114" s="397"/>
      <c r="BG114" s="397"/>
      <c r="BH114" s="397"/>
      <c r="BI114" s="397"/>
      <c r="BJ114" s="397"/>
      <c r="BK114" s="397"/>
      <c r="BL114" s="397"/>
      <c r="BM114" s="397"/>
      <c r="BN114" s="397"/>
      <c r="BO114" s="397"/>
      <c r="BP114" s="397"/>
      <c r="BQ114" s="397"/>
      <c r="BR114" s="397"/>
      <c r="BS114" s="397"/>
      <c r="BT114" s="397"/>
      <c r="BU114" s="397"/>
      <c r="BV114" s="397"/>
      <c r="BW114" s="397"/>
      <c r="BX114" s="397"/>
      <c r="BY114" s="397"/>
      <c r="BZ114" s="397"/>
      <c r="CA114" s="397"/>
      <c r="CB114" s="397"/>
      <c r="CC114" s="397"/>
      <c r="CD114" s="397"/>
      <c r="CE114" s="397"/>
      <c r="CF114" s="397"/>
      <c r="CG114" s="397"/>
      <c r="CH114" s="397"/>
      <c r="CI114" s="397"/>
      <c r="CJ114" s="397"/>
      <c r="CK114" s="397"/>
      <c r="CL114" s="397"/>
      <c r="CM114" s="397"/>
      <c r="CN114" s="397"/>
      <c r="CO114" s="397"/>
      <c r="CP114" s="397"/>
      <c r="CQ114" s="397"/>
      <c r="CR114" s="397"/>
      <c r="CS114" s="397"/>
      <c r="CT114" s="397"/>
      <c r="CU114" s="397"/>
      <c r="CV114" s="397"/>
      <c r="CW114" s="397"/>
      <c r="CX114" s="397"/>
      <c r="CY114" s="397"/>
      <c r="CZ114" s="397"/>
      <c r="DA114" s="397"/>
      <c r="DB114" s="397"/>
      <c r="DC114" s="397"/>
      <c r="DD114" s="397"/>
      <c r="DE114" s="397"/>
      <c r="DF114" s="397"/>
      <c r="DG114" s="397"/>
      <c r="DH114" s="397"/>
      <c r="DI114" s="397"/>
      <c r="DJ114" s="397"/>
      <c r="DK114" s="397"/>
      <c r="DL114" s="397"/>
      <c r="DM114" s="397"/>
      <c r="DN114" s="397"/>
      <c r="DO114" s="397"/>
      <c r="DP114" s="397"/>
      <c r="DQ114" s="397"/>
      <c r="DR114" s="397"/>
      <c r="DS114" s="397"/>
      <c r="DT114" s="397"/>
      <c r="DU114" s="397"/>
      <c r="DV114" s="397"/>
      <c r="DW114" s="397"/>
      <c r="DX114" s="397"/>
      <c r="DY114" s="397"/>
      <c r="DZ114" s="397"/>
      <c r="EA114" s="397"/>
      <c r="EB114" s="397"/>
      <c r="EC114" s="397"/>
      <c r="ED114" s="397"/>
      <c r="EE114" s="397"/>
      <c r="EF114" s="397"/>
      <c r="EG114" s="397"/>
      <c r="EH114" s="397"/>
      <c r="EI114" s="397"/>
      <c r="EJ114" s="397"/>
      <c r="EK114" s="397"/>
      <c r="EL114" s="397"/>
      <c r="EM114" s="397"/>
      <c r="EN114" s="397"/>
      <c r="EO114" s="397"/>
      <c r="EP114" s="397"/>
      <c r="EQ114" s="397"/>
      <c r="ER114" s="397"/>
      <c r="ES114" s="397"/>
      <c r="ET114" s="397"/>
      <c r="EU114" s="397"/>
      <c r="EV114" s="397"/>
      <c r="EW114" s="397"/>
      <c r="EX114" s="397"/>
      <c r="EY114" s="397"/>
      <c r="EZ114" s="397"/>
      <c r="FA114" s="397"/>
      <c r="FB114" s="397"/>
      <c r="FC114" s="397"/>
      <c r="FD114" s="397"/>
      <c r="FE114" s="397"/>
      <c r="FF114" s="397"/>
      <c r="FG114" s="397"/>
      <c r="FH114" s="397"/>
      <c r="FI114" s="397"/>
      <c r="FJ114" s="397"/>
      <c r="FK114" s="397"/>
      <c r="FL114" s="397"/>
      <c r="FM114" s="397"/>
      <c r="FN114" s="397"/>
      <c r="FO114" s="397"/>
      <c r="FP114" s="397"/>
      <c r="FQ114" s="397"/>
      <c r="FR114" s="397"/>
      <c r="FS114" s="397"/>
      <c r="FT114" s="397"/>
      <c r="FU114" s="397"/>
      <c r="FV114" s="397"/>
      <c r="FW114" s="397"/>
      <c r="FX114" s="397"/>
      <c r="FY114" s="397"/>
      <c r="FZ114" s="397"/>
      <c r="GA114" s="397"/>
      <c r="GB114" s="397"/>
      <c r="GC114" s="397"/>
      <c r="GD114" s="397"/>
      <c r="GE114" s="397"/>
      <c r="GF114" s="397"/>
      <c r="GG114" s="397"/>
      <c r="GH114" s="397"/>
      <c r="GI114" s="397"/>
      <c r="GJ114" s="397"/>
      <c r="GK114" s="397"/>
      <c r="GL114" s="397"/>
      <c r="GM114" s="397"/>
      <c r="GN114" s="397"/>
      <c r="GO114" s="397"/>
      <c r="GP114" s="397"/>
      <c r="GQ114" s="397"/>
      <c r="GR114" s="397"/>
      <c r="GS114" s="397"/>
      <c r="GT114" s="397"/>
      <c r="GU114" s="397"/>
      <c r="GV114" s="397"/>
      <c r="GW114" s="397"/>
      <c r="GX114" s="397"/>
      <c r="GY114" s="397"/>
      <c r="GZ114" s="397"/>
      <c r="HA114" s="397"/>
      <c r="HB114" s="397"/>
      <c r="HC114" s="397"/>
      <c r="HD114" s="397"/>
      <c r="HE114" s="397"/>
      <c r="HF114" s="397"/>
      <c r="HG114" s="397"/>
      <c r="HH114" s="397"/>
      <c r="HI114" s="397"/>
      <c r="HJ114" s="397"/>
      <c r="HK114" s="397"/>
      <c r="HL114" s="397"/>
      <c r="HM114" s="397"/>
      <c r="HN114" s="397"/>
      <c r="HO114" s="397"/>
      <c r="HP114" s="397"/>
      <c r="HQ114" s="397"/>
      <c r="HR114" s="397"/>
      <c r="HS114" s="397"/>
      <c r="HT114" s="397"/>
      <c r="HU114" s="397"/>
      <c r="HV114" s="397"/>
      <c r="HW114" s="397"/>
      <c r="HX114" s="397"/>
      <c r="HY114" s="397"/>
      <c r="HZ114" s="397"/>
      <c r="IA114" s="397"/>
      <c r="IB114" s="397"/>
      <c r="IC114" s="397"/>
      <c r="ID114" s="397"/>
      <c r="IE114" s="397"/>
      <c r="IF114" s="397"/>
      <c r="IG114" s="397"/>
      <c r="IH114" s="397"/>
      <c r="II114" s="397"/>
      <c r="IJ114" s="397"/>
      <c r="IK114" s="397"/>
      <c r="IL114" s="397"/>
      <c r="IM114" s="397"/>
      <c r="IN114" s="397"/>
      <c r="IO114" s="397"/>
      <c r="IP114" s="397"/>
      <c r="IQ114" s="397"/>
      <c r="IR114" s="397"/>
    </row>
    <row r="115" spans="2:252" s="183" customFormat="1" ht="25.15" customHeight="1" x14ac:dyDescent="0.25">
      <c r="B115" s="85">
        <v>42826</v>
      </c>
      <c r="C115" s="184">
        <v>819014</v>
      </c>
      <c r="D115" s="184">
        <f>NetWorth[[#This Row],[Worth]]-C116</f>
        <v>88093</v>
      </c>
      <c r="E115" s="1" t="s">
        <v>70</v>
      </c>
      <c r="V115" s="397"/>
      <c r="W115" s="397"/>
      <c r="X115" s="397"/>
      <c r="Y115" s="397"/>
      <c r="Z115" s="397"/>
      <c r="AA115" s="397"/>
      <c r="AB115" s="397"/>
      <c r="AC115" s="397"/>
      <c r="AD115" s="397"/>
      <c r="AE115" s="397"/>
      <c r="AF115" s="397"/>
      <c r="AG115" s="397"/>
      <c r="AH115" s="397"/>
      <c r="AI115" s="397"/>
      <c r="AJ115" s="397"/>
      <c r="AK115" s="397"/>
      <c r="AL115" s="397"/>
      <c r="AM115" s="397"/>
      <c r="AN115" s="397"/>
      <c r="AO115" s="397"/>
      <c r="AP115" s="397"/>
      <c r="AQ115" s="397"/>
      <c r="AR115" s="397"/>
      <c r="AS115" s="397"/>
      <c r="AT115" s="397"/>
      <c r="AU115" s="397"/>
      <c r="AV115" s="397"/>
      <c r="AW115" s="397"/>
      <c r="AX115" s="397"/>
      <c r="AY115" s="397"/>
      <c r="AZ115" s="397"/>
      <c r="BA115" s="397"/>
      <c r="BB115" s="397"/>
      <c r="BC115" s="397"/>
      <c r="BD115" s="397"/>
      <c r="BE115" s="397"/>
      <c r="BF115" s="397"/>
      <c r="BG115" s="397"/>
      <c r="BH115" s="397"/>
      <c r="BI115" s="397"/>
      <c r="BJ115" s="397"/>
      <c r="BK115" s="397"/>
      <c r="BL115" s="397"/>
      <c r="BM115" s="397"/>
      <c r="BN115" s="397"/>
      <c r="BO115" s="397"/>
      <c r="BP115" s="397"/>
      <c r="BQ115" s="397"/>
      <c r="BR115" s="397"/>
      <c r="BS115" s="397"/>
      <c r="BT115" s="397"/>
      <c r="BU115" s="397"/>
      <c r="BV115" s="397"/>
      <c r="BW115" s="397"/>
      <c r="BX115" s="397"/>
      <c r="BY115" s="397"/>
      <c r="BZ115" s="397"/>
      <c r="CA115" s="397"/>
      <c r="CB115" s="397"/>
      <c r="CC115" s="397"/>
      <c r="CD115" s="397"/>
      <c r="CE115" s="397"/>
      <c r="CF115" s="397"/>
      <c r="CG115" s="397"/>
      <c r="CH115" s="397"/>
      <c r="CI115" s="397"/>
      <c r="CJ115" s="397"/>
      <c r="CK115" s="397"/>
      <c r="CL115" s="397"/>
      <c r="CM115" s="397"/>
      <c r="CN115" s="397"/>
      <c r="CO115" s="397"/>
      <c r="CP115" s="397"/>
      <c r="CQ115" s="397"/>
      <c r="CR115" s="397"/>
      <c r="CS115" s="397"/>
      <c r="CT115" s="397"/>
      <c r="CU115" s="397"/>
      <c r="CV115" s="397"/>
      <c r="CW115" s="397"/>
      <c r="CX115" s="397"/>
      <c r="CY115" s="397"/>
      <c r="CZ115" s="397"/>
      <c r="DA115" s="397"/>
      <c r="DB115" s="397"/>
      <c r="DC115" s="397"/>
      <c r="DD115" s="397"/>
      <c r="DE115" s="397"/>
      <c r="DF115" s="397"/>
      <c r="DG115" s="397"/>
      <c r="DH115" s="397"/>
      <c r="DI115" s="397"/>
      <c r="DJ115" s="397"/>
      <c r="DK115" s="397"/>
      <c r="DL115" s="397"/>
      <c r="DM115" s="397"/>
      <c r="DN115" s="397"/>
      <c r="DO115" s="397"/>
      <c r="DP115" s="397"/>
      <c r="DQ115" s="397"/>
      <c r="DR115" s="397"/>
      <c r="DS115" s="397"/>
      <c r="DT115" s="397"/>
      <c r="DU115" s="397"/>
      <c r="DV115" s="397"/>
      <c r="DW115" s="397"/>
      <c r="DX115" s="397"/>
      <c r="DY115" s="397"/>
      <c r="DZ115" s="397"/>
      <c r="EA115" s="397"/>
      <c r="EB115" s="397"/>
      <c r="EC115" s="397"/>
      <c r="ED115" s="397"/>
      <c r="EE115" s="397"/>
      <c r="EF115" s="397"/>
      <c r="EG115" s="397"/>
      <c r="EH115" s="397"/>
      <c r="EI115" s="397"/>
      <c r="EJ115" s="397"/>
      <c r="EK115" s="397"/>
      <c r="EL115" s="397"/>
      <c r="EM115" s="397"/>
      <c r="EN115" s="397"/>
      <c r="EO115" s="397"/>
      <c r="EP115" s="397"/>
      <c r="EQ115" s="397"/>
      <c r="ER115" s="397"/>
      <c r="ES115" s="397"/>
      <c r="ET115" s="397"/>
      <c r="EU115" s="397"/>
      <c r="EV115" s="397"/>
      <c r="EW115" s="397"/>
      <c r="EX115" s="397"/>
      <c r="EY115" s="397"/>
      <c r="EZ115" s="397"/>
      <c r="FA115" s="397"/>
      <c r="FB115" s="397"/>
      <c r="FC115" s="397"/>
      <c r="FD115" s="397"/>
      <c r="FE115" s="397"/>
      <c r="FF115" s="397"/>
      <c r="FG115" s="397"/>
      <c r="FH115" s="397"/>
      <c r="FI115" s="397"/>
      <c r="FJ115" s="397"/>
      <c r="FK115" s="397"/>
      <c r="FL115" s="397"/>
      <c r="FM115" s="397"/>
      <c r="FN115" s="397"/>
      <c r="FO115" s="397"/>
      <c r="FP115" s="397"/>
      <c r="FQ115" s="397"/>
      <c r="FR115" s="397"/>
      <c r="FS115" s="397"/>
      <c r="FT115" s="397"/>
      <c r="FU115" s="397"/>
      <c r="FV115" s="397"/>
      <c r="FW115" s="397"/>
      <c r="FX115" s="397"/>
      <c r="FY115" s="397"/>
      <c r="FZ115" s="397"/>
      <c r="GA115" s="397"/>
      <c r="GB115" s="397"/>
      <c r="GC115" s="397"/>
      <c r="GD115" s="397"/>
      <c r="GE115" s="397"/>
      <c r="GF115" s="397"/>
      <c r="GG115" s="397"/>
      <c r="GH115" s="397"/>
      <c r="GI115" s="397"/>
      <c r="GJ115" s="397"/>
      <c r="GK115" s="397"/>
      <c r="GL115" s="397"/>
      <c r="GM115" s="397"/>
      <c r="GN115" s="397"/>
      <c r="GO115" s="397"/>
      <c r="GP115" s="397"/>
      <c r="GQ115" s="397"/>
      <c r="GR115" s="397"/>
      <c r="GS115" s="397"/>
      <c r="GT115" s="397"/>
      <c r="GU115" s="397"/>
      <c r="GV115" s="397"/>
      <c r="GW115" s="397"/>
      <c r="GX115" s="397"/>
      <c r="GY115" s="397"/>
      <c r="GZ115" s="397"/>
      <c r="HA115" s="397"/>
      <c r="HB115" s="397"/>
      <c r="HC115" s="397"/>
      <c r="HD115" s="397"/>
      <c r="HE115" s="397"/>
      <c r="HF115" s="397"/>
      <c r="HG115" s="397"/>
      <c r="HH115" s="397"/>
      <c r="HI115" s="397"/>
      <c r="HJ115" s="397"/>
      <c r="HK115" s="397"/>
      <c r="HL115" s="397"/>
      <c r="HM115" s="397"/>
      <c r="HN115" s="397"/>
      <c r="HO115" s="397"/>
      <c r="HP115" s="397"/>
      <c r="HQ115" s="397"/>
      <c r="HR115" s="397"/>
      <c r="HS115" s="397"/>
      <c r="HT115" s="397"/>
      <c r="HU115" s="397"/>
      <c r="HV115" s="397"/>
      <c r="HW115" s="397"/>
      <c r="HX115" s="397"/>
      <c r="HY115" s="397"/>
      <c r="HZ115" s="397"/>
      <c r="IA115" s="397"/>
      <c r="IB115" s="397"/>
      <c r="IC115" s="397"/>
      <c r="ID115" s="397"/>
      <c r="IE115" s="397"/>
      <c r="IF115" s="397"/>
      <c r="IG115" s="397"/>
      <c r="IH115" s="397"/>
      <c r="II115" s="397"/>
      <c r="IJ115" s="397"/>
      <c r="IK115" s="397"/>
      <c r="IL115" s="397"/>
      <c r="IM115" s="397"/>
      <c r="IN115" s="397"/>
      <c r="IO115" s="397"/>
      <c r="IP115" s="397"/>
      <c r="IQ115" s="397"/>
      <c r="IR115" s="397"/>
    </row>
    <row r="116" spans="2:252" s="183" customFormat="1" ht="25.15" customHeight="1" x14ac:dyDescent="0.25">
      <c r="B116" s="85">
        <v>42795</v>
      </c>
      <c r="C116" s="184">
        <v>730921</v>
      </c>
      <c r="D116" s="184">
        <f>NetWorth[[#This Row],[Worth]]-C117</f>
        <v>463</v>
      </c>
      <c r="E116" s="1" t="s">
        <v>71</v>
      </c>
      <c r="V116" s="397"/>
      <c r="W116" s="397"/>
      <c r="X116" s="397"/>
      <c r="Y116" s="397"/>
      <c r="Z116" s="397"/>
      <c r="AA116" s="397"/>
      <c r="AB116" s="397"/>
      <c r="AC116" s="397"/>
      <c r="AD116" s="397"/>
      <c r="AE116" s="397"/>
      <c r="AF116" s="397"/>
      <c r="AG116" s="397"/>
      <c r="AH116" s="397"/>
      <c r="AI116" s="397"/>
      <c r="AJ116" s="397"/>
      <c r="AK116" s="397"/>
      <c r="AL116" s="397"/>
      <c r="AM116" s="397"/>
      <c r="AN116" s="397"/>
      <c r="AO116" s="397"/>
      <c r="AP116" s="397"/>
      <c r="AQ116" s="397"/>
      <c r="AR116" s="397"/>
      <c r="AS116" s="397"/>
      <c r="AT116" s="397"/>
      <c r="AU116" s="397"/>
      <c r="AV116" s="397"/>
      <c r="AW116" s="397"/>
      <c r="AX116" s="397"/>
      <c r="AY116" s="397"/>
      <c r="AZ116" s="397"/>
      <c r="BA116" s="397"/>
      <c r="BB116" s="397"/>
      <c r="BC116" s="397"/>
      <c r="BD116" s="397"/>
      <c r="BE116" s="397"/>
      <c r="BF116" s="397"/>
      <c r="BG116" s="397"/>
      <c r="BH116" s="397"/>
      <c r="BI116" s="397"/>
      <c r="BJ116" s="397"/>
      <c r="BK116" s="397"/>
      <c r="BL116" s="397"/>
      <c r="BM116" s="397"/>
      <c r="BN116" s="397"/>
      <c r="BO116" s="397"/>
      <c r="BP116" s="397"/>
      <c r="BQ116" s="397"/>
      <c r="BR116" s="397"/>
      <c r="BS116" s="397"/>
      <c r="BT116" s="397"/>
      <c r="BU116" s="397"/>
      <c r="BV116" s="397"/>
      <c r="BW116" s="397"/>
      <c r="BX116" s="397"/>
      <c r="BY116" s="397"/>
      <c r="BZ116" s="397"/>
      <c r="CA116" s="397"/>
      <c r="CB116" s="397"/>
      <c r="CC116" s="397"/>
      <c r="CD116" s="397"/>
      <c r="CE116" s="397"/>
      <c r="CF116" s="397"/>
      <c r="CG116" s="397"/>
      <c r="CH116" s="397"/>
      <c r="CI116" s="397"/>
      <c r="CJ116" s="397"/>
      <c r="CK116" s="397"/>
      <c r="CL116" s="397"/>
      <c r="CM116" s="397"/>
      <c r="CN116" s="397"/>
      <c r="CO116" s="397"/>
      <c r="CP116" s="397"/>
      <c r="CQ116" s="397"/>
      <c r="CR116" s="397"/>
      <c r="CS116" s="397"/>
      <c r="CT116" s="397"/>
      <c r="CU116" s="397"/>
      <c r="CV116" s="397"/>
      <c r="CW116" s="397"/>
      <c r="CX116" s="397"/>
      <c r="CY116" s="397"/>
      <c r="CZ116" s="397"/>
      <c r="DA116" s="397"/>
      <c r="DB116" s="397"/>
      <c r="DC116" s="397"/>
      <c r="DD116" s="397"/>
      <c r="DE116" s="397"/>
      <c r="DF116" s="397"/>
      <c r="DG116" s="397"/>
      <c r="DH116" s="397"/>
      <c r="DI116" s="397"/>
      <c r="DJ116" s="397"/>
      <c r="DK116" s="397"/>
      <c r="DL116" s="397"/>
      <c r="DM116" s="397"/>
      <c r="DN116" s="397"/>
      <c r="DO116" s="397"/>
      <c r="DP116" s="397"/>
      <c r="DQ116" s="397"/>
      <c r="DR116" s="397"/>
      <c r="DS116" s="397"/>
      <c r="DT116" s="397"/>
      <c r="DU116" s="397"/>
      <c r="DV116" s="397"/>
      <c r="DW116" s="397"/>
      <c r="DX116" s="397"/>
      <c r="DY116" s="397"/>
      <c r="DZ116" s="397"/>
      <c r="EA116" s="397"/>
      <c r="EB116" s="397"/>
      <c r="EC116" s="397"/>
      <c r="ED116" s="397"/>
      <c r="EE116" s="397"/>
      <c r="EF116" s="397"/>
      <c r="EG116" s="397"/>
      <c r="EH116" s="397"/>
      <c r="EI116" s="397"/>
      <c r="EJ116" s="397"/>
      <c r="EK116" s="397"/>
      <c r="EL116" s="397"/>
      <c r="EM116" s="397"/>
      <c r="EN116" s="397"/>
      <c r="EO116" s="397"/>
      <c r="EP116" s="397"/>
      <c r="EQ116" s="397"/>
      <c r="ER116" s="397"/>
      <c r="ES116" s="397"/>
      <c r="ET116" s="397"/>
      <c r="EU116" s="397"/>
      <c r="EV116" s="397"/>
      <c r="EW116" s="397"/>
      <c r="EX116" s="397"/>
      <c r="EY116" s="397"/>
      <c r="EZ116" s="397"/>
      <c r="FA116" s="397"/>
      <c r="FB116" s="397"/>
      <c r="FC116" s="397"/>
      <c r="FD116" s="397"/>
      <c r="FE116" s="397"/>
      <c r="FF116" s="397"/>
      <c r="FG116" s="397"/>
      <c r="FH116" s="397"/>
      <c r="FI116" s="397"/>
      <c r="FJ116" s="397"/>
      <c r="FK116" s="397"/>
      <c r="FL116" s="397"/>
      <c r="FM116" s="397"/>
      <c r="FN116" s="397"/>
      <c r="FO116" s="397"/>
      <c r="FP116" s="397"/>
      <c r="FQ116" s="397"/>
      <c r="FR116" s="397"/>
      <c r="FS116" s="397"/>
      <c r="FT116" s="397"/>
      <c r="FU116" s="397"/>
      <c r="FV116" s="397"/>
      <c r="FW116" s="397"/>
      <c r="FX116" s="397"/>
      <c r="FY116" s="397"/>
      <c r="FZ116" s="397"/>
      <c r="GA116" s="397"/>
      <c r="GB116" s="397"/>
      <c r="GC116" s="397"/>
      <c r="GD116" s="397"/>
      <c r="GE116" s="397"/>
      <c r="GF116" s="397"/>
      <c r="GG116" s="397"/>
      <c r="GH116" s="397"/>
      <c r="GI116" s="397"/>
      <c r="GJ116" s="397"/>
      <c r="GK116" s="397"/>
      <c r="GL116" s="397"/>
      <c r="GM116" s="397"/>
      <c r="GN116" s="397"/>
      <c r="GO116" s="397"/>
      <c r="GP116" s="397"/>
      <c r="GQ116" s="397"/>
      <c r="GR116" s="397"/>
      <c r="GS116" s="397"/>
      <c r="GT116" s="397"/>
      <c r="GU116" s="397"/>
      <c r="GV116" s="397"/>
      <c r="GW116" s="397"/>
      <c r="GX116" s="397"/>
      <c r="GY116" s="397"/>
      <c r="GZ116" s="397"/>
      <c r="HA116" s="397"/>
      <c r="HB116" s="397"/>
      <c r="HC116" s="397"/>
      <c r="HD116" s="397"/>
      <c r="HE116" s="397"/>
      <c r="HF116" s="397"/>
      <c r="HG116" s="397"/>
      <c r="HH116" s="397"/>
      <c r="HI116" s="397"/>
      <c r="HJ116" s="397"/>
      <c r="HK116" s="397"/>
      <c r="HL116" s="397"/>
      <c r="HM116" s="397"/>
      <c r="HN116" s="397"/>
      <c r="HO116" s="397"/>
      <c r="HP116" s="397"/>
      <c r="HQ116" s="397"/>
      <c r="HR116" s="397"/>
      <c r="HS116" s="397"/>
      <c r="HT116" s="397"/>
      <c r="HU116" s="397"/>
      <c r="HV116" s="397"/>
      <c r="HW116" s="397"/>
      <c r="HX116" s="397"/>
      <c r="HY116" s="397"/>
      <c r="HZ116" s="397"/>
      <c r="IA116" s="397"/>
      <c r="IB116" s="397"/>
      <c r="IC116" s="397"/>
      <c r="ID116" s="397"/>
      <c r="IE116" s="397"/>
      <c r="IF116" s="397"/>
      <c r="IG116" s="397"/>
      <c r="IH116" s="397"/>
      <c r="II116" s="397"/>
      <c r="IJ116" s="397"/>
      <c r="IK116" s="397"/>
      <c r="IL116" s="397"/>
      <c r="IM116" s="397"/>
      <c r="IN116" s="397"/>
      <c r="IO116" s="397"/>
      <c r="IP116" s="397"/>
      <c r="IQ116" s="397"/>
      <c r="IR116" s="397"/>
    </row>
    <row r="117" spans="2:252" s="183" customFormat="1" ht="25.15" customHeight="1" x14ac:dyDescent="0.25">
      <c r="B117" s="85">
        <v>42767</v>
      </c>
      <c r="C117" s="184">
        <v>730458</v>
      </c>
      <c r="D117" s="184">
        <f>NetWorth[[#This Row],[Worth]]-C118</f>
        <v>7746</v>
      </c>
      <c r="E117" s="1" t="s">
        <v>72</v>
      </c>
      <c r="V117" s="397"/>
      <c r="W117" s="397"/>
      <c r="X117" s="397"/>
      <c r="Y117" s="397"/>
      <c r="Z117" s="397"/>
      <c r="AA117" s="397"/>
      <c r="AB117" s="397"/>
      <c r="AC117" s="397"/>
      <c r="AD117" s="397"/>
      <c r="AE117" s="397"/>
      <c r="AF117" s="397"/>
      <c r="AG117" s="397"/>
      <c r="AH117" s="397"/>
      <c r="AI117" s="397"/>
      <c r="AJ117" s="397"/>
      <c r="AK117" s="397"/>
      <c r="AL117" s="397"/>
      <c r="AM117" s="397"/>
      <c r="AN117" s="397"/>
      <c r="AO117" s="397"/>
      <c r="AP117" s="397"/>
      <c r="AQ117" s="397"/>
      <c r="AR117" s="397"/>
      <c r="AS117" s="397"/>
      <c r="AT117" s="397"/>
      <c r="AU117" s="397"/>
      <c r="AV117" s="397"/>
      <c r="AW117" s="397"/>
      <c r="AX117" s="397"/>
      <c r="AY117" s="397"/>
      <c r="AZ117" s="397"/>
      <c r="BA117" s="397"/>
      <c r="BB117" s="397"/>
      <c r="BC117" s="397"/>
      <c r="BD117" s="397"/>
      <c r="BE117" s="397"/>
      <c r="BF117" s="397"/>
      <c r="BG117" s="397"/>
      <c r="BH117" s="397"/>
      <c r="BI117" s="397"/>
      <c r="BJ117" s="397"/>
      <c r="BK117" s="397"/>
      <c r="BL117" s="397"/>
      <c r="BM117" s="397"/>
      <c r="BN117" s="397"/>
      <c r="BO117" s="397"/>
      <c r="BP117" s="397"/>
      <c r="BQ117" s="397"/>
      <c r="BR117" s="397"/>
      <c r="BS117" s="397"/>
      <c r="BT117" s="397"/>
      <c r="BU117" s="397"/>
      <c r="BV117" s="397"/>
      <c r="BW117" s="397"/>
      <c r="BX117" s="397"/>
      <c r="BY117" s="397"/>
      <c r="BZ117" s="397"/>
      <c r="CA117" s="397"/>
      <c r="CB117" s="397"/>
      <c r="CC117" s="397"/>
      <c r="CD117" s="397"/>
      <c r="CE117" s="397"/>
      <c r="CF117" s="397"/>
      <c r="CG117" s="397"/>
      <c r="CH117" s="397"/>
      <c r="CI117" s="397"/>
      <c r="CJ117" s="397"/>
      <c r="CK117" s="397"/>
      <c r="CL117" s="397"/>
      <c r="CM117" s="397"/>
      <c r="CN117" s="397"/>
      <c r="CO117" s="397"/>
      <c r="CP117" s="397"/>
      <c r="CQ117" s="397"/>
      <c r="CR117" s="397"/>
      <c r="CS117" s="397"/>
      <c r="CT117" s="397"/>
      <c r="CU117" s="397"/>
      <c r="CV117" s="397"/>
      <c r="CW117" s="397"/>
      <c r="CX117" s="397"/>
      <c r="CY117" s="397"/>
      <c r="CZ117" s="397"/>
      <c r="DA117" s="397"/>
      <c r="DB117" s="397"/>
      <c r="DC117" s="397"/>
      <c r="DD117" s="397"/>
      <c r="DE117" s="397"/>
      <c r="DF117" s="397"/>
      <c r="DG117" s="397"/>
      <c r="DH117" s="397"/>
      <c r="DI117" s="397"/>
      <c r="DJ117" s="397"/>
      <c r="DK117" s="397"/>
      <c r="DL117" s="397"/>
      <c r="DM117" s="397"/>
      <c r="DN117" s="397"/>
      <c r="DO117" s="397"/>
      <c r="DP117" s="397"/>
      <c r="DQ117" s="397"/>
      <c r="DR117" s="397"/>
      <c r="DS117" s="397"/>
      <c r="DT117" s="397"/>
      <c r="DU117" s="397"/>
      <c r="DV117" s="397"/>
      <c r="DW117" s="397"/>
      <c r="DX117" s="397"/>
      <c r="DY117" s="397"/>
      <c r="DZ117" s="397"/>
      <c r="EA117" s="397"/>
      <c r="EB117" s="397"/>
      <c r="EC117" s="397"/>
      <c r="ED117" s="397"/>
      <c r="EE117" s="397"/>
      <c r="EF117" s="397"/>
      <c r="EG117" s="397"/>
      <c r="EH117" s="397"/>
      <c r="EI117" s="397"/>
      <c r="EJ117" s="397"/>
      <c r="EK117" s="397"/>
      <c r="EL117" s="397"/>
      <c r="EM117" s="397"/>
      <c r="EN117" s="397"/>
      <c r="EO117" s="397"/>
      <c r="EP117" s="397"/>
      <c r="EQ117" s="397"/>
      <c r="ER117" s="397"/>
      <c r="ES117" s="397"/>
      <c r="ET117" s="397"/>
      <c r="EU117" s="397"/>
      <c r="EV117" s="397"/>
      <c r="EW117" s="397"/>
      <c r="EX117" s="397"/>
      <c r="EY117" s="397"/>
      <c r="EZ117" s="397"/>
      <c r="FA117" s="397"/>
      <c r="FB117" s="397"/>
      <c r="FC117" s="397"/>
      <c r="FD117" s="397"/>
      <c r="FE117" s="397"/>
      <c r="FF117" s="397"/>
      <c r="FG117" s="397"/>
      <c r="FH117" s="397"/>
      <c r="FI117" s="397"/>
      <c r="FJ117" s="397"/>
      <c r="FK117" s="397"/>
      <c r="FL117" s="397"/>
      <c r="FM117" s="397"/>
      <c r="FN117" s="397"/>
      <c r="FO117" s="397"/>
      <c r="FP117" s="397"/>
      <c r="FQ117" s="397"/>
      <c r="FR117" s="397"/>
      <c r="FS117" s="397"/>
      <c r="FT117" s="397"/>
      <c r="FU117" s="397"/>
      <c r="FV117" s="397"/>
      <c r="FW117" s="397"/>
      <c r="FX117" s="397"/>
      <c r="FY117" s="397"/>
      <c r="FZ117" s="397"/>
      <c r="GA117" s="397"/>
      <c r="GB117" s="397"/>
      <c r="GC117" s="397"/>
      <c r="GD117" s="397"/>
      <c r="GE117" s="397"/>
      <c r="GF117" s="397"/>
      <c r="GG117" s="397"/>
      <c r="GH117" s="397"/>
      <c r="GI117" s="397"/>
      <c r="GJ117" s="397"/>
      <c r="GK117" s="397"/>
      <c r="GL117" s="397"/>
      <c r="GM117" s="397"/>
      <c r="GN117" s="397"/>
      <c r="GO117" s="397"/>
      <c r="GP117" s="397"/>
      <c r="GQ117" s="397"/>
      <c r="GR117" s="397"/>
      <c r="GS117" s="397"/>
      <c r="GT117" s="397"/>
      <c r="GU117" s="397"/>
      <c r="GV117" s="397"/>
      <c r="GW117" s="397"/>
      <c r="GX117" s="397"/>
      <c r="GY117" s="397"/>
      <c r="GZ117" s="397"/>
      <c r="HA117" s="397"/>
      <c r="HB117" s="397"/>
      <c r="HC117" s="397"/>
      <c r="HD117" s="397"/>
      <c r="HE117" s="397"/>
      <c r="HF117" s="397"/>
      <c r="HG117" s="397"/>
      <c r="HH117" s="397"/>
      <c r="HI117" s="397"/>
      <c r="HJ117" s="397"/>
      <c r="HK117" s="397"/>
      <c r="HL117" s="397"/>
      <c r="HM117" s="397"/>
      <c r="HN117" s="397"/>
      <c r="HO117" s="397"/>
      <c r="HP117" s="397"/>
      <c r="HQ117" s="397"/>
      <c r="HR117" s="397"/>
      <c r="HS117" s="397"/>
      <c r="HT117" s="397"/>
      <c r="HU117" s="397"/>
      <c r="HV117" s="397"/>
      <c r="HW117" s="397"/>
      <c r="HX117" s="397"/>
      <c r="HY117" s="397"/>
      <c r="HZ117" s="397"/>
      <c r="IA117" s="397"/>
      <c r="IB117" s="397"/>
      <c r="IC117" s="397"/>
      <c r="ID117" s="397"/>
      <c r="IE117" s="397"/>
      <c r="IF117" s="397"/>
      <c r="IG117" s="397"/>
      <c r="IH117" s="397"/>
      <c r="II117" s="397"/>
      <c r="IJ117" s="397"/>
      <c r="IK117" s="397"/>
      <c r="IL117" s="397"/>
      <c r="IM117" s="397"/>
      <c r="IN117" s="397"/>
      <c r="IO117" s="397"/>
      <c r="IP117" s="397"/>
      <c r="IQ117" s="397"/>
      <c r="IR117" s="397"/>
    </row>
    <row r="118" spans="2:252" s="183" customFormat="1" ht="25.15" customHeight="1" x14ac:dyDescent="0.25">
      <c r="B118" s="85">
        <v>42736</v>
      </c>
      <c r="C118" s="184">
        <v>722712</v>
      </c>
      <c r="D118" s="184">
        <f>NetWorth[[#This Row],[Worth]]-C119</f>
        <v>2059</v>
      </c>
      <c r="E118" s="1"/>
      <c r="V118" s="397"/>
      <c r="W118" s="397"/>
      <c r="X118" s="397"/>
      <c r="Y118" s="397"/>
      <c r="Z118" s="397"/>
      <c r="AA118" s="397"/>
      <c r="AB118" s="397"/>
      <c r="AC118" s="397"/>
      <c r="AD118" s="397"/>
      <c r="AE118" s="397"/>
      <c r="AF118" s="397"/>
      <c r="AG118" s="397"/>
      <c r="AH118" s="397"/>
      <c r="AI118" s="397"/>
      <c r="AJ118" s="397"/>
      <c r="AK118" s="397"/>
      <c r="AL118" s="397"/>
      <c r="AM118" s="397"/>
      <c r="AN118" s="397"/>
      <c r="AO118" s="397"/>
      <c r="AP118" s="397"/>
      <c r="AQ118" s="397"/>
      <c r="AR118" s="397"/>
      <c r="AS118" s="397"/>
      <c r="AT118" s="397"/>
      <c r="AU118" s="397"/>
      <c r="AV118" s="397"/>
      <c r="AW118" s="397"/>
      <c r="AX118" s="397"/>
      <c r="AY118" s="397"/>
      <c r="AZ118" s="397"/>
      <c r="BA118" s="397"/>
      <c r="BB118" s="397"/>
      <c r="BC118" s="397"/>
      <c r="BD118" s="397"/>
      <c r="BE118" s="397"/>
      <c r="BF118" s="397"/>
      <c r="BG118" s="397"/>
      <c r="BH118" s="397"/>
      <c r="BI118" s="397"/>
      <c r="BJ118" s="397"/>
      <c r="BK118" s="397"/>
      <c r="BL118" s="397"/>
      <c r="BM118" s="397"/>
      <c r="BN118" s="397"/>
      <c r="BO118" s="397"/>
      <c r="BP118" s="397"/>
      <c r="BQ118" s="397"/>
      <c r="BR118" s="397"/>
      <c r="BS118" s="397"/>
      <c r="BT118" s="397"/>
      <c r="BU118" s="397"/>
      <c r="BV118" s="397"/>
      <c r="BW118" s="397"/>
      <c r="BX118" s="397"/>
      <c r="BY118" s="397"/>
      <c r="BZ118" s="397"/>
      <c r="CA118" s="397"/>
      <c r="CB118" s="397"/>
      <c r="CC118" s="397"/>
      <c r="CD118" s="397"/>
      <c r="CE118" s="397"/>
      <c r="CF118" s="397"/>
      <c r="CG118" s="397"/>
      <c r="CH118" s="397"/>
      <c r="CI118" s="397"/>
      <c r="CJ118" s="397"/>
      <c r="CK118" s="397"/>
      <c r="CL118" s="397"/>
      <c r="CM118" s="397"/>
      <c r="CN118" s="397"/>
      <c r="CO118" s="397"/>
      <c r="CP118" s="397"/>
      <c r="CQ118" s="397"/>
      <c r="CR118" s="397"/>
      <c r="CS118" s="397"/>
      <c r="CT118" s="397"/>
      <c r="CU118" s="397"/>
      <c r="CV118" s="397"/>
      <c r="CW118" s="397"/>
      <c r="CX118" s="397"/>
      <c r="CY118" s="397"/>
      <c r="CZ118" s="397"/>
      <c r="DA118" s="397"/>
      <c r="DB118" s="397"/>
      <c r="DC118" s="397"/>
      <c r="DD118" s="397"/>
      <c r="DE118" s="397"/>
      <c r="DF118" s="397"/>
      <c r="DG118" s="397"/>
      <c r="DH118" s="397"/>
      <c r="DI118" s="397"/>
      <c r="DJ118" s="397"/>
      <c r="DK118" s="397"/>
      <c r="DL118" s="397"/>
      <c r="DM118" s="397"/>
      <c r="DN118" s="397"/>
      <c r="DO118" s="397"/>
      <c r="DP118" s="397"/>
      <c r="DQ118" s="397"/>
      <c r="DR118" s="397"/>
      <c r="DS118" s="397"/>
      <c r="DT118" s="397"/>
      <c r="DU118" s="397"/>
      <c r="DV118" s="397"/>
      <c r="DW118" s="397"/>
      <c r="DX118" s="397"/>
      <c r="DY118" s="397"/>
      <c r="DZ118" s="397"/>
      <c r="EA118" s="397"/>
      <c r="EB118" s="397"/>
      <c r="EC118" s="397"/>
      <c r="ED118" s="397"/>
      <c r="EE118" s="397"/>
      <c r="EF118" s="397"/>
      <c r="EG118" s="397"/>
      <c r="EH118" s="397"/>
      <c r="EI118" s="397"/>
      <c r="EJ118" s="397"/>
      <c r="EK118" s="397"/>
      <c r="EL118" s="397"/>
      <c r="EM118" s="397"/>
      <c r="EN118" s="397"/>
      <c r="EO118" s="397"/>
      <c r="EP118" s="397"/>
      <c r="EQ118" s="397"/>
      <c r="ER118" s="397"/>
      <c r="ES118" s="397"/>
      <c r="ET118" s="397"/>
      <c r="EU118" s="397"/>
      <c r="EV118" s="397"/>
      <c r="EW118" s="397"/>
      <c r="EX118" s="397"/>
      <c r="EY118" s="397"/>
      <c r="EZ118" s="397"/>
      <c r="FA118" s="397"/>
      <c r="FB118" s="397"/>
      <c r="FC118" s="397"/>
      <c r="FD118" s="397"/>
      <c r="FE118" s="397"/>
      <c r="FF118" s="397"/>
      <c r="FG118" s="397"/>
      <c r="FH118" s="397"/>
      <c r="FI118" s="397"/>
      <c r="FJ118" s="397"/>
      <c r="FK118" s="397"/>
      <c r="FL118" s="397"/>
      <c r="FM118" s="397"/>
      <c r="FN118" s="397"/>
      <c r="FO118" s="397"/>
      <c r="FP118" s="397"/>
      <c r="FQ118" s="397"/>
      <c r="FR118" s="397"/>
      <c r="FS118" s="397"/>
      <c r="FT118" s="397"/>
      <c r="FU118" s="397"/>
      <c r="FV118" s="397"/>
      <c r="FW118" s="397"/>
      <c r="FX118" s="397"/>
      <c r="FY118" s="397"/>
      <c r="FZ118" s="397"/>
      <c r="GA118" s="397"/>
      <c r="GB118" s="397"/>
      <c r="GC118" s="397"/>
      <c r="GD118" s="397"/>
      <c r="GE118" s="397"/>
      <c r="GF118" s="397"/>
      <c r="GG118" s="397"/>
      <c r="GH118" s="397"/>
      <c r="GI118" s="397"/>
      <c r="GJ118" s="397"/>
      <c r="GK118" s="397"/>
      <c r="GL118" s="397"/>
      <c r="GM118" s="397"/>
      <c r="GN118" s="397"/>
      <c r="GO118" s="397"/>
      <c r="GP118" s="397"/>
      <c r="GQ118" s="397"/>
      <c r="GR118" s="397"/>
      <c r="GS118" s="397"/>
      <c r="GT118" s="397"/>
      <c r="GU118" s="397"/>
      <c r="GV118" s="397"/>
      <c r="GW118" s="397"/>
      <c r="GX118" s="397"/>
      <c r="GY118" s="397"/>
      <c r="GZ118" s="397"/>
      <c r="HA118" s="397"/>
      <c r="HB118" s="397"/>
      <c r="HC118" s="397"/>
      <c r="HD118" s="397"/>
      <c r="HE118" s="397"/>
      <c r="HF118" s="397"/>
      <c r="HG118" s="397"/>
      <c r="HH118" s="397"/>
      <c r="HI118" s="397"/>
      <c r="HJ118" s="397"/>
      <c r="HK118" s="397"/>
      <c r="HL118" s="397"/>
      <c r="HM118" s="397"/>
      <c r="HN118" s="397"/>
      <c r="HO118" s="397"/>
      <c r="HP118" s="397"/>
      <c r="HQ118" s="397"/>
      <c r="HR118" s="397"/>
      <c r="HS118" s="397"/>
      <c r="HT118" s="397"/>
      <c r="HU118" s="397"/>
      <c r="HV118" s="397"/>
      <c r="HW118" s="397"/>
      <c r="HX118" s="397"/>
      <c r="HY118" s="397"/>
      <c r="HZ118" s="397"/>
      <c r="IA118" s="397"/>
      <c r="IB118" s="397"/>
      <c r="IC118" s="397"/>
      <c r="ID118" s="397"/>
      <c r="IE118" s="397"/>
      <c r="IF118" s="397"/>
      <c r="IG118" s="397"/>
      <c r="IH118" s="397"/>
      <c r="II118" s="397"/>
      <c r="IJ118" s="397"/>
      <c r="IK118" s="397"/>
      <c r="IL118" s="397"/>
      <c r="IM118" s="397"/>
      <c r="IN118" s="397"/>
      <c r="IO118" s="397"/>
      <c r="IP118" s="397"/>
      <c r="IQ118" s="397"/>
      <c r="IR118" s="397"/>
    </row>
    <row r="119" spans="2:252" s="183" customFormat="1" ht="25.15" customHeight="1" x14ac:dyDescent="0.25">
      <c r="B119" s="85">
        <v>42705</v>
      </c>
      <c r="C119" s="184">
        <v>720653</v>
      </c>
      <c r="D119" s="184">
        <f>NetWorth[[#This Row],[Worth]]-C120</f>
        <v>7043</v>
      </c>
      <c r="E119" s="1"/>
      <c r="V119" s="397"/>
      <c r="W119" s="397"/>
      <c r="X119" s="397"/>
      <c r="Y119" s="397"/>
      <c r="Z119" s="397"/>
      <c r="AA119" s="397"/>
      <c r="AB119" s="397"/>
      <c r="AC119" s="397"/>
      <c r="AD119" s="397"/>
      <c r="AE119" s="397"/>
      <c r="AF119" s="397"/>
      <c r="AG119" s="397"/>
      <c r="AH119" s="397"/>
      <c r="AI119" s="397"/>
      <c r="AJ119" s="397"/>
      <c r="AK119" s="397"/>
      <c r="AL119" s="397"/>
      <c r="AM119" s="397"/>
      <c r="AN119" s="397"/>
      <c r="AO119" s="397"/>
      <c r="AP119" s="397"/>
      <c r="AQ119" s="397"/>
      <c r="AR119" s="397"/>
      <c r="AS119" s="397"/>
      <c r="AT119" s="397"/>
      <c r="AU119" s="397"/>
      <c r="AV119" s="397"/>
      <c r="AW119" s="397"/>
      <c r="AX119" s="397"/>
      <c r="AY119" s="397"/>
      <c r="AZ119" s="397"/>
      <c r="BA119" s="397"/>
      <c r="BB119" s="397"/>
      <c r="BC119" s="397"/>
      <c r="BD119" s="397"/>
      <c r="BE119" s="397"/>
      <c r="BF119" s="397"/>
      <c r="BG119" s="397"/>
      <c r="BH119" s="397"/>
      <c r="BI119" s="397"/>
      <c r="BJ119" s="397"/>
      <c r="BK119" s="397"/>
      <c r="BL119" s="397"/>
      <c r="BM119" s="397"/>
      <c r="BN119" s="397"/>
      <c r="BO119" s="397"/>
      <c r="BP119" s="397"/>
      <c r="BQ119" s="397"/>
      <c r="BR119" s="397"/>
      <c r="BS119" s="397"/>
      <c r="BT119" s="397"/>
      <c r="BU119" s="397"/>
      <c r="BV119" s="397"/>
      <c r="BW119" s="397"/>
      <c r="BX119" s="397"/>
      <c r="BY119" s="397"/>
      <c r="BZ119" s="397"/>
      <c r="CA119" s="397"/>
      <c r="CB119" s="397"/>
      <c r="CC119" s="397"/>
      <c r="CD119" s="397"/>
      <c r="CE119" s="397"/>
      <c r="CF119" s="397"/>
      <c r="CG119" s="397"/>
      <c r="CH119" s="397"/>
      <c r="CI119" s="397"/>
      <c r="CJ119" s="397"/>
      <c r="CK119" s="397"/>
      <c r="CL119" s="397"/>
      <c r="CM119" s="397"/>
      <c r="CN119" s="397"/>
      <c r="CO119" s="397"/>
      <c r="CP119" s="397"/>
      <c r="CQ119" s="397"/>
      <c r="CR119" s="397"/>
      <c r="CS119" s="397"/>
      <c r="CT119" s="397"/>
      <c r="CU119" s="397"/>
      <c r="CV119" s="397"/>
      <c r="CW119" s="397"/>
      <c r="CX119" s="397"/>
      <c r="CY119" s="397"/>
      <c r="CZ119" s="397"/>
      <c r="DA119" s="397"/>
      <c r="DB119" s="397"/>
      <c r="DC119" s="397"/>
      <c r="DD119" s="397"/>
      <c r="DE119" s="397"/>
      <c r="DF119" s="397"/>
      <c r="DG119" s="397"/>
      <c r="DH119" s="397"/>
      <c r="DI119" s="397"/>
      <c r="DJ119" s="397"/>
      <c r="DK119" s="397"/>
      <c r="DL119" s="397"/>
      <c r="DM119" s="397"/>
      <c r="DN119" s="397"/>
      <c r="DO119" s="397"/>
      <c r="DP119" s="397"/>
      <c r="DQ119" s="397"/>
      <c r="DR119" s="397"/>
      <c r="DS119" s="397"/>
      <c r="DT119" s="397"/>
      <c r="DU119" s="397"/>
      <c r="DV119" s="397"/>
      <c r="DW119" s="397"/>
      <c r="DX119" s="397"/>
      <c r="DY119" s="397"/>
      <c r="DZ119" s="397"/>
      <c r="EA119" s="397"/>
      <c r="EB119" s="397"/>
      <c r="EC119" s="397"/>
      <c r="ED119" s="397"/>
      <c r="EE119" s="397"/>
      <c r="EF119" s="397"/>
      <c r="EG119" s="397"/>
      <c r="EH119" s="397"/>
      <c r="EI119" s="397"/>
      <c r="EJ119" s="397"/>
      <c r="EK119" s="397"/>
      <c r="EL119" s="397"/>
      <c r="EM119" s="397"/>
      <c r="EN119" s="397"/>
      <c r="EO119" s="397"/>
      <c r="EP119" s="397"/>
      <c r="EQ119" s="397"/>
      <c r="ER119" s="397"/>
      <c r="ES119" s="397"/>
      <c r="ET119" s="397"/>
      <c r="EU119" s="397"/>
      <c r="EV119" s="397"/>
      <c r="EW119" s="397"/>
      <c r="EX119" s="397"/>
      <c r="EY119" s="397"/>
      <c r="EZ119" s="397"/>
      <c r="FA119" s="397"/>
      <c r="FB119" s="397"/>
      <c r="FC119" s="397"/>
      <c r="FD119" s="397"/>
      <c r="FE119" s="397"/>
      <c r="FF119" s="397"/>
      <c r="FG119" s="397"/>
      <c r="FH119" s="397"/>
      <c r="FI119" s="397"/>
      <c r="FJ119" s="397"/>
      <c r="FK119" s="397"/>
      <c r="FL119" s="397"/>
      <c r="FM119" s="397"/>
      <c r="FN119" s="397"/>
      <c r="FO119" s="397"/>
      <c r="FP119" s="397"/>
      <c r="FQ119" s="397"/>
      <c r="FR119" s="397"/>
      <c r="FS119" s="397"/>
      <c r="FT119" s="397"/>
      <c r="FU119" s="397"/>
      <c r="FV119" s="397"/>
      <c r="FW119" s="397"/>
      <c r="FX119" s="397"/>
      <c r="FY119" s="397"/>
      <c r="FZ119" s="397"/>
      <c r="GA119" s="397"/>
      <c r="GB119" s="397"/>
      <c r="GC119" s="397"/>
      <c r="GD119" s="397"/>
      <c r="GE119" s="397"/>
      <c r="GF119" s="397"/>
      <c r="GG119" s="397"/>
      <c r="GH119" s="397"/>
      <c r="GI119" s="397"/>
      <c r="GJ119" s="397"/>
      <c r="GK119" s="397"/>
      <c r="GL119" s="397"/>
      <c r="GM119" s="397"/>
      <c r="GN119" s="397"/>
      <c r="GO119" s="397"/>
      <c r="GP119" s="397"/>
      <c r="GQ119" s="397"/>
      <c r="GR119" s="397"/>
      <c r="GS119" s="397"/>
      <c r="GT119" s="397"/>
      <c r="GU119" s="397"/>
      <c r="GV119" s="397"/>
      <c r="GW119" s="397"/>
      <c r="GX119" s="397"/>
      <c r="GY119" s="397"/>
      <c r="GZ119" s="397"/>
      <c r="HA119" s="397"/>
      <c r="HB119" s="397"/>
      <c r="HC119" s="397"/>
      <c r="HD119" s="397"/>
      <c r="HE119" s="397"/>
      <c r="HF119" s="397"/>
      <c r="HG119" s="397"/>
      <c r="HH119" s="397"/>
      <c r="HI119" s="397"/>
      <c r="HJ119" s="397"/>
      <c r="HK119" s="397"/>
      <c r="HL119" s="397"/>
      <c r="HM119" s="397"/>
      <c r="HN119" s="397"/>
      <c r="HO119" s="397"/>
      <c r="HP119" s="397"/>
      <c r="HQ119" s="397"/>
      <c r="HR119" s="397"/>
      <c r="HS119" s="397"/>
      <c r="HT119" s="397"/>
      <c r="HU119" s="397"/>
      <c r="HV119" s="397"/>
      <c r="HW119" s="397"/>
      <c r="HX119" s="397"/>
      <c r="HY119" s="397"/>
      <c r="HZ119" s="397"/>
      <c r="IA119" s="397"/>
      <c r="IB119" s="397"/>
      <c r="IC119" s="397"/>
      <c r="ID119" s="397"/>
      <c r="IE119" s="397"/>
      <c r="IF119" s="397"/>
      <c r="IG119" s="397"/>
      <c r="IH119" s="397"/>
      <c r="II119" s="397"/>
      <c r="IJ119" s="397"/>
      <c r="IK119" s="397"/>
      <c r="IL119" s="397"/>
      <c r="IM119" s="397"/>
      <c r="IN119" s="397"/>
      <c r="IO119" s="397"/>
      <c r="IP119" s="397"/>
      <c r="IQ119" s="397"/>
      <c r="IR119" s="397"/>
    </row>
    <row r="120" spans="2:252" s="183" customFormat="1" ht="25.15" customHeight="1" x14ac:dyDescent="0.25">
      <c r="B120" s="85">
        <v>42675</v>
      </c>
      <c r="C120" s="184">
        <v>713610</v>
      </c>
      <c r="D120" s="184">
        <f>NetWorth[[#This Row],[Worth]]-C121</f>
        <v>6030</v>
      </c>
      <c r="E120" s="1"/>
      <c r="V120" s="397"/>
      <c r="W120" s="397"/>
      <c r="X120" s="397"/>
      <c r="Y120" s="397"/>
      <c r="Z120" s="397"/>
      <c r="AA120" s="397"/>
      <c r="AB120" s="397"/>
      <c r="AC120" s="397"/>
      <c r="AD120" s="397"/>
      <c r="AE120" s="397"/>
      <c r="AF120" s="397"/>
      <c r="AG120" s="397"/>
      <c r="AH120" s="397"/>
      <c r="AI120" s="397"/>
      <c r="AJ120" s="397"/>
      <c r="AK120" s="397"/>
      <c r="AL120" s="397"/>
      <c r="AM120" s="397"/>
      <c r="AN120" s="397"/>
      <c r="AO120" s="397"/>
      <c r="AP120" s="397"/>
      <c r="AQ120" s="397"/>
      <c r="AR120" s="397"/>
      <c r="AS120" s="397"/>
      <c r="AT120" s="397"/>
      <c r="AU120" s="397"/>
      <c r="AV120" s="397"/>
      <c r="AW120" s="397"/>
      <c r="AX120" s="397"/>
      <c r="AY120" s="397"/>
      <c r="AZ120" s="397"/>
      <c r="BA120" s="397"/>
      <c r="BB120" s="397"/>
      <c r="BC120" s="397"/>
      <c r="BD120" s="397"/>
      <c r="BE120" s="397"/>
      <c r="BF120" s="397"/>
      <c r="BG120" s="397"/>
      <c r="BH120" s="397"/>
      <c r="BI120" s="397"/>
      <c r="BJ120" s="397"/>
      <c r="BK120" s="397"/>
      <c r="BL120" s="397"/>
      <c r="BM120" s="397"/>
      <c r="BN120" s="397"/>
      <c r="BO120" s="397"/>
      <c r="BP120" s="397"/>
      <c r="BQ120" s="397"/>
      <c r="BR120" s="397"/>
      <c r="BS120" s="397"/>
      <c r="BT120" s="397"/>
      <c r="BU120" s="397"/>
      <c r="BV120" s="397"/>
      <c r="BW120" s="397"/>
      <c r="BX120" s="397"/>
      <c r="BY120" s="397"/>
      <c r="BZ120" s="397"/>
      <c r="CA120" s="397"/>
      <c r="CB120" s="397"/>
      <c r="CC120" s="397"/>
      <c r="CD120" s="397"/>
      <c r="CE120" s="397"/>
      <c r="CF120" s="397"/>
      <c r="CG120" s="397"/>
      <c r="CH120" s="397"/>
      <c r="CI120" s="397"/>
      <c r="CJ120" s="397"/>
      <c r="CK120" s="397"/>
      <c r="CL120" s="397"/>
      <c r="CM120" s="397"/>
      <c r="CN120" s="397"/>
      <c r="CO120" s="397"/>
      <c r="CP120" s="397"/>
      <c r="CQ120" s="397"/>
      <c r="CR120" s="397"/>
      <c r="CS120" s="397"/>
      <c r="CT120" s="397"/>
      <c r="CU120" s="397"/>
      <c r="CV120" s="397"/>
      <c r="CW120" s="397"/>
      <c r="CX120" s="397"/>
      <c r="CY120" s="397"/>
      <c r="CZ120" s="397"/>
      <c r="DA120" s="397"/>
      <c r="DB120" s="397"/>
      <c r="DC120" s="397"/>
      <c r="DD120" s="397"/>
      <c r="DE120" s="397"/>
      <c r="DF120" s="397"/>
      <c r="DG120" s="397"/>
      <c r="DH120" s="397"/>
      <c r="DI120" s="397"/>
      <c r="DJ120" s="397"/>
      <c r="DK120" s="397"/>
      <c r="DL120" s="397"/>
      <c r="DM120" s="397"/>
      <c r="DN120" s="397"/>
      <c r="DO120" s="397"/>
      <c r="DP120" s="397"/>
      <c r="DQ120" s="397"/>
      <c r="DR120" s="397"/>
      <c r="DS120" s="397"/>
      <c r="DT120" s="397"/>
      <c r="DU120" s="397"/>
      <c r="DV120" s="397"/>
      <c r="DW120" s="397"/>
      <c r="DX120" s="397"/>
      <c r="DY120" s="397"/>
      <c r="DZ120" s="397"/>
      <c r="EA120" s="397"/>
      <c r="EB120" s="397"/>
      <c r="EC120" s="397"/>
      <c r="ED120" s="397"/>
      <c r="EE120" s="397"/>
      <c r="EF120" s="397"/>
      <c r="EG120" s="397"/>
      <c r="EH120" s="397"/>
      <c r="EI120" s="397"/>
      <c r="EJ120" s="397"/>
      <c r="EK120" s="397"/>
      <c r="EL120" s="397"/>
      <c r="EM120" s="397"/>
      <c r="EN120" s="397"/>
      <c r="EO120" s="397"/>
      <c r="EP120" s="397"/>
      <c r="EQ120" s="397"/>
      <c r="ER120" s="397"/>
      <c r="ES120" s="397"/>
      <c r="ET120" s="397"/>
      <c r="EU120" s="397"/>
      <c r="EV120" s="397"/>
      <c r="EW120" s="397"/>
      <c r="EX120" s="397"/>
      <c r="EY120" s="397"/>
      <c r="EZ120" s="397"/>
      <c r="FA120" s="397"/>
      <c r="FB120" s="397"/>
      <c r="FC120" s="397"/>
      <c r="FD120" s="397"/>
      <c r="FE120" s="397"/>
      <c r="FF120" s="397"/>
      <c r="FG120" s="397"/>
      <c r="FH120" s="397"/>
      <c r="FI120" s="397"/>
      <c r="FJ120" s="397"/>
      <c r="FK120" s="397"/>
      <c r="FL120" s="397"/>
      <c r="FM120" s="397"/>
      <c r="FN120" s="397"/>
      <c r="FO120" s="397"/>
      <c r="FP120" s="397"/>
      <c r="FQ120" s="397"/>
      <c r="FR120" s="397"/>
      <c r="FS120" s="397"/>
      <c r="FT120" s="397"/>
      <c r="FU120" s="397"/>
      <c r="FV120" s="397"/>
      <c r="FW120" s="397"/>
      <c r="FX120" s="397"/>
      <c r="FY120" s="397"/>
      <c r="FZ120" s="397"/>
      <c r="GA120" s="397"/>
      <c r="GB120" s="397"/>
      <c r="GC120" s="397"/>
      <c r="GD120" s="397"/>
      <c r="GE120" s="397"/>
      <c r="GF120" s="397"/>
      <c r="GG120" s="397"/>
      <c r="GH120" s="397"/>
      <c r="GI120" s="397"/>
      <c r="GJ120" s="397"/>
      <c r="GK120" s="397"/>
      <c r="GL120" s="397"/>
      <c r="GM120" s="397"/>
      <c r="GN120" s="397"/>
      <c r="GO120" s="397"/>
      <c r="GP120" s="397"/>
      <c r="GQ120" s="397"/>
      <c r="GR120" s="397"/>
      <c r="GS120" s="397"/>
      <c r="GT120" s="397"/>
      <c r="GU120" s="397"/>
      <c r="GV120" s="397"/>
      <c r="GW120" s="397"/>
      <c r="GX120" s="397"/>
      <c r="GY120" s="397"/>
      <c r="GZ120" s="397"/>
      <c r="HA120" s="397"/>
      <c r="HB120" s="397"/>
      <c r="HC120" s="397"/>
      <c r="HD120" s="397"/>
      <c r="HE120" s="397"/>
      <c r="HF120" s="397"/>
      <c r="HG120" s="397"/>
      <c r="HH120" s="397"/>
      <c r="HI120" s="397"/>
      <c r="HJ120" s="397"/>
      <c r="HK120" s="397"/>
      <c r="HL120" s="397"/>
      <c r="HM120" s="397"/>
      <c r="HN120" s="397"/>
      <c r="HO120" s="397"/>
      <c r="HP120" s="397"/>
      <c r="HQ120" s="397"/>
      <c r="HR120" s="397"/>
      <c r="HS120" s="397"/>
      <c r="HT120" s="397"/>
      <c r="HU120" s="397"/>
      <c r="HV120" s="397"/>
      <c r="HW120" s="397"/>
      <c r="HX120" s="397"/>
      <c r="HY120" s="397"/>
      <c r="HZ120" s="397"/>
      <c r="IA120" s="397"/>
      <c r="IB120" s="397"/>
      <c r="IC120" s="397"/>
      <c r="ID120" s="397"/>
      <c r="IE120" s="397"/>
      <c r="IF120" s="397"/>
      <c r="IG120" s="397"/>
      <c r="IH120" s="397"/>
      <c r="II120" s="397"/>
      <c r="IJ120" s="397"/>
      <c r="IK120" s="397"/>
      <c r="IL120" s="397"/>
      <c r="IM120" s="397"/>
      <c r="IN120" s="397"/>
      <c r="IO120" s="397"/>
      <c r="IP120" s="397"/>
      <c r="IQ120" s="397"/>
      <c r="IR120" s="397"/>
    </row>
    <row r="121" spans="2:252" s="183" customFormat="1" ht="25.15" customHeight="1" x14ac:dyDescent="0.25">
      <c r="B121" s="85">
        <v>42644</v>
      </c>
      <c r="C121" s="184">
        <v>707580</v>
      </c>
      <c r="D121" s="184">
        <f>NetWorth[[#This Row],[Worth]]-C122</f>
        <v>6015</v>
      </c>
      <c r="E121" s="1"/>
      <c r="V121" s="397"/>
      <c r="W121" s="397"/>
      <c r="X121" s="397"/>
      <c r="Y121" s="397"/>
      <c r="Z121" s="397"/>
      <c r="AA121" s="397"/>
      <c r="AB121" s="397"/>
      <c r="AC121" s="397"/>
      <c r="AD121" s="397"/>
      <c r="AE121" s="397"/>
      <c r="AF121" s="397"/>
      <c r="AG121" s="397"/>
      <c r="AH121" s="397"/>
      <c r="AI121" s="397"/>
      <c r="AJ121" s="397"/>
      <c r="AK121" s="397"/>
      <c r="AL121" s="397"/>
      <c r="AM121" s="397"/>
      <c r="AN121" s="397"/>
      <c r="AO121" s="397"/>
      <c r="AP121" s="397"/>
      <c r="AQ121" s="397"/>
      <c r="AR121" s="397"/>
      <c r="AS121" s="397"/>
      <c r="AT121" s="397"/>
      <c r="AU121" s="397"/>
      <c r="AV121" s="397"/>
      <c r="AW121" s="397"/>
      <c r="AX121" s="397"/>
      <c r="AY121" s="397"/>
      <c r="AZ121" s="397"/>
      <c r="BA121" s="397"/>
      <c r="BB121" s="397"/>
      <c r="BC121" s="397"/>
      <c r="BD121" s="397"/>
      <c r="BE121" s="397"/>
      <c r="BF121" s="397"/>
      <c r="BG121" s="397"/>
      <c r="BH121" s="397"/>
      <c r="BI121" s="397"/>
      <c r="BJ121" s="397"/>
      <c r="BK121" s="397"/>
      <c r="BL121" s="397"/>
      <c r="BM121" s="397"/>
      <c r="BN121" s="397"/>
      <c r="BO121" s="397"/>
      <c r="BP121" s="397"/>
      <c r="BQ121" s="397"/>
      <c r="BR121" s="397"/>
      <c r="BS121" s="397"/>
      <c r="BT121" s="397"/>
      <c r="BU121" s="397"/>
      <c r="BV121" s="397"/>
      <c r="BW121" s="397"/>
      <c r="BX121" s="397"/>
      <c r="BY121" s="397"/>
      <c r="BZ121" s="397"/>
      <c r="CA121" s="397"/>
      <c r="CB121" s="397"/>
      <c r="CC121" s="397"/>
      <c r="CD121" s="397"/>
      <c r="CE121" s="397"/>
      <c r="CF121" s="397"/>
      <c r="CG121" s="397"/>
      <c r="CH121" s="397"/>
      <c r="CI121" s="397"/>
      <c r="CJ121" s="397"/>
      <c r="CK121" s="397"/>
      <c r="CL121" s="397"/>
      <c r="CM121" s="397"/>
      <c r="CN121" s="397"/>
      <c r="CO121" s="397"/>
      <c r="CP121" s="397"/>
      <c r="CQ121" s="397"/>
      <c r="CR121" s="397"/>
      <c r="CS121" s="397"/>
      <c r="CT121" s="397"/>
      <c r="CU121" s="397"/>
      <c r="CV121" s="397"/>
      <c r="CW121" s="397"/>
      <c r="CX121" s="397"/>
      <c r="CY121" s="397"/>
      <c r="CZ121" s="397"/>
      <c r="DA121" s="397"/>
      <c r="DB121" s="397"/>
      <c r="DC121" s="397"/>
      <c r="DD121" s="397"/>
      <c r="DE121" s="397"/>
      <c r="DF121" s="397"/>
      <c r="DG121" s="397"/>
      <c r="DH121" s="397"/>
      <c r="DI121" s="397"/>
      <c r="DJ121" s="397"/>
      <c r="DK121" s="397"/>
      <c r="DL121" s="397"/>
      <c r="DM121" s="397"/>
      <c r="DN121" s="397"/>
      <c r="DO121" s="397"/>
      <c r="DP121" s="397"/>
      <c r="DQ121" s="397"/>
      <c r="DR121" s="397"/>
      <c r="DS121" s="397"/>
      <c r="DT121" s="397"/>
      <c r="DU121" s="397"/>
      <c r="DV121" s="397"/>
      <c r="DW121" s="397"/>
      <c r="DX121" s="397"/>
      <c r="DY121" s="397"/>
      <c r="DZ121" s="397"/>
      <c r="EA121" s="397"/>
      <c r="EB121" s="397"/>
      <c r="EC121" s="397"/>
      <c r="ED121" s="397"/>
      <c r="EE121" s="397"/>
      <c r="EF121" s="397"/>
      <c r="EG121" s="397"/>
      <c r="EH121" s="397"/>
      <c r="EI121" s="397"/>
      <c r="EJ121" s="397"/>
      <c r="EK121" s="397"/>
      <c r="EL121" s="397"/>
      <c r="EM121" s="397"/>
      <c r="EN121" s="397"/>
      <c r="EO121" s="397"/>
      <c r="EP121" s="397"/>
      <c r="EQ121" s="397"/>
      <c r="ER121" s="397"/>
      <c r="ES121" s="397"/>
      <c r="ET121" s="397"/>
      <c r="EU121" s="397"/>
      <c r="EV121" s="397"/>
      <c r="EW121" s="397"/>
      <c r="EX121" s="397"/>
      <c r="EY121" s="397"/>
      <c r="EZ121" s="397"/>
      <c r="FA121" s="397"/>
      <c r="FB121" s="397"/>
      <c r="FC121" s="397"/>
      <c r="FD121" s="397"/>
      <c r="FE121" s="397"/>
      <c r="FF121" s="397"/>
      <c r="FG121" s="397"/>
      <c r="FH121" s="397"/>
      <c r="FI121" s="397"/>
      <c r="FJ121" s="397"/>
      <c r="FK121" s="397"/>
      <c r="FL121" s="397"/>
      <c r="FM121" s="397"/>
      <c r="FN121" s="397"/>
      <c r="FO121" s="397"/>
      <c r="FP121" s="397"/>
      <c r="FQ121" s="397"/>
      <c r="FR121" s="397"/>
      <c r="FS121" s="397"/>
      <c r="FT121" s="397"/>
      <c r="FU121" s="397"/>
      <c r="FV121" s="397"/>
      <c r="FW121" s="397"/>
      <c r="FX121" s="397"/>
      <c r="FY121" s="397"/>
      <c r="FZ121" s="397"/>
      <c r="GA121" s="397"/>
      <c r="GB121" s="397"/>
      <c r="GC121" s="397"/>
      <c r="GD121" s="397"/>
      <c r="GE121" s="397"/>
      <c r="GF121" s="397"/>
      <c r="GG121" s="397"/>
      <c r="GH121" s="397"/>
      <c r="GI121" s="397"/>
      <c r="GJ121" s="397"/>
      <c r="GK121" s="397"/>
      <c r="GL121" s="397"/>
      <c r="GM121" s="397"/>
      <c r="GN121" s="397"/>
      <c r="GO121" s="397"/>
      <c r="GP121" s="397"/>
      <c r="GQ121" s="397"/>
      <c r="GR121" s="397"/>
      <c r="GS121" s="397"/>
      <c r="GT121" s="397"/>
      <c r="GU121" s="397"/>
      <c r="GV121" s="397"/>
      <c r="GW121" s="397"/>
      <c r="GX121" s="397"/>
      <c r="GY121" s="397"/>
      <c r="GZ121" s="397"/>
      <c r="HA121" s="397"/>
      <c r="HB121" s="397"/>
      <c r="HC121" s="397"/>
      <c r="HD121" s="397"/>
      <c r="HE121" s="397"/>
      <c r="HF121" s="397"/>
      <c r="HG121" s="397"/>
      <c r="HH121" s="397"/>
      <c r="HI121" s="397"/>
      <c r="HJ121" s="397"/>
      <c r="HK121" s="397"/>
      <c r="HL121" s="397"/>
      <c r="HM121" s="397"/>
      <c r="HN121" s="397"/>
      <c r="HO121" s="397"/>
      <c r="HP121" s="397"/>
      <c r="HQ121" s="397"/>
      <c r="HR121" s="397"/>
      <c r="HS121" s="397"/>
      <c r="HT121" s="397"/>
      <c r="HU121" s="397"/>
      <c r="HV121" s="397"/>
      <c r="HW121" s="397"/>
      <c r="HX121" s="397"/>
      <c r="HY121" s="397"/>
      <c r="HZ121" s="397"/>
      <c r="IA121" s="397"/>
      <c r="IB121" s="397"/>
      <c r="IC121" s="397"/>
      <c r="ID121" s="397"/>
      <c r="IE121" s="397"/>
      <c r="IF121" s="397"/>
      <c r="IG121" s="397"/>
      <c r="IH121" s="397"/>
      <c r="II121" s="397"/>
      <c r="IJ121" s="397"/>
      <c r="IK121" s="397"/>
      <c r="IL121" s="397"/>
      <c r="IM121" s="397"/>
      <c r="IN121" s="397"/>
      <c r="IO121" s="397"/>
      <c r="IP121" s="397"/>
      <c r="IQ121" s="397"/>
      <c r="IR121" s="397"/>
    </row>
    <row r="122" spans="2:252" s="183" customFormat="1" ht="25.15" customHeight="1" x14ac:dyDescent="0.25">
      <c r="B122" s="85">
        <v>42614</v>
      </c>
      <c r="C122" s="184">
        <v>701565</v>
      </c>
      <c r="D122" s="184">
        <f>NetWorth[[#This Row],[Worth]]-C123</f>
        <v>-258.17459120007697</v>
      </c>
      <c r="E122" s="1" t="s">
        <v>73</v>
      </c>
      <c r="V122" s="397"/>
      <c r="W122" s="397"/>
      <c r="X122" s="397"/>
      <c r="Y122" s="397"/>
      <c r="Z122" s="397"/>
      <c r="AA122" s="397"/>
      <c r="AB122" s="397"/>
      <c r="AC122" s="397"/>
      <c r="AD122" s="397"/>
      <c r="AE122" s="397"/>
      <c r="AF122" s="397"/>
      <c r="AG122" s="397"/>
      <c r="AH122" s="397"/>
      <c r="AI122" s="397"/>
      <c r="AJ122" s="397"/>
      <c r="AK122" s="397"/>
      <c r="AL122" s="397"/>
      <c r="AM122" s="397"/>
      <c r="AN122" s="397"/>
      <c r="AO122" s="397"/>
      <c r="AP122" s="397"/>
      <c r="AQ122" s="397"/>
      <c r="AR122" s="397"/>
      <c r="AS122" s="397"/>
      <c r="AT122" s="397"/>
      <c r="AU122" s="397"/>
      <c r="AV122" s="397"/>
      <c r="AW122" s="397"/>
      <c r="AX122" s="397"/>
      <c r="AY122" s="397"/>
      <c r="AZ122" s="397"/>
      <c r="BA122" s="397"/>
      <c r="BB122" s="397"/>
      <c r="BC122" s="397"/>
      <c r="BD122" s="397"/>
      <c r="BE122" s="397"/>
      <c r="BF122" s="397"/>
      <c r="BG122" s="397"/>
      <c r="BH122" s="397"/>
      <c r="BI122" s="397"/>
      <c r="BJ122" s="397"/>
      <c r="BK122" s="397"/>
      <c r="BL122" s="397"/>
      <c r="BM122" s="397"/>
      <c r="BN122" s="397"/>
      <c r="BO122" s="397"/>
      <c r="BP122" s="397"/>
      <c r="BQ122" s="397"/>
      <c r="BR122" s="397"/>
      <c r="BS122" s="397"/>
      <c r="BT122" s="397"/>
      <c r="BU122" s="397"/>
      <c r="BV122" s="397"/>
      <c r="BW122" s="397"/>
      <c r="BX122" s="397"/>
      <c r="BY122" s="397"/>
      <c r="BZ122" s="397"/>
      <c r="CA122" s="397"/>
      <c r="CB122" s="397"/>
      <c r="CC122" s="397"/>
      <c r="CD122" s="397"/>
      <c r="CE122" s="397"/>
      <c r="CF122" s="397"/>
      <c r="CG122" s="397"/>
      <c r="CH122" s="397"/>
      <c r="CI122" s="397"/>
      <c r="CJ122" s="397"/>
      <c r="CK122" s="397"/>
      <c r="CL122" s="397"/>
      <c r="CM122" s="397"/>
      <c r="CN122" s="397"/>
      <c r="CO122" s="397"/>
      <c r="CP122" s="397"/>
      <c r="CQ122" s="397"/>
      <c r="CR122" s="397"/>
      <c r="CS122" s="397"/>
      <c r="CT122" s="397"/>
      <c r="CU122" s="397"/>
      <c r="CV122" s="397"/>
      <c r="CW122" s="397"/>
      <c r="CX122" s="397"/>
      <c r="CY122" s="397"/>
      <c r="CZ122" s="397"/>
      <c r="DA122" s="397"/>
      <c r="DB122" s="397"/>
      <c r="DC122" s="397"/>
      <c r="DD122" s="397"/>
      <c r="DE122" s="397"/>
      <c r="DF122" s="397"/>
      <c r="DG122" s="397"/>
      <c r="DH122" s="397"/>
      <c r="DI122" s="397"/>
      <c r="DJ122" s="397"/>
      <c r="DK122" s="397"/>
      <c r="DL122" s="397"/>
      <c r="DM122" s="397"/>
      <c r="DN122" s="397"/>
      <c r="DO122" s="397"/>
      <c r="DP122" s="397"/>
      <c r="DQ122" s="397"/>
      <c r="DR122" s="397"/>
      <c r="DS122" s="397"/>
      <c r="DT122" s="397"/>
      <c r="DU122" s="397"/>
      <c r="DV122" s="397"/>
      <c r="DW122" s="397"/>
      <c r="DX122" s="397"/>
      <c r="DY122" s="397"/>
      <c r="DZ122" s="397"/>
      <c r="EA122" s="397"/>
      <c r="EB122" s="397"/>
      <c r="EC122" s="397"/>
      <c r="ED122" s="397"/>
      <c r="EE122" s="397"/>
      <c r="EF122" s="397"/>
      <c r="EG122" s="397"/>
      <c r="EH122" s="397"/>
      <c r="EI122" s="397"/>
      <c r="EJ122" s="397"/>
      <c r="EK122" s="397"/>
      <c r="EL122" s="397"/>
      <c r="EM122" s="397"/>
      <c r="EN122" s="397"/>
      <c r="EO122" s="397"/>
      <c r="EP122" s="397"/>
      <c r="EQ122" s="397"/>
      <c r="ER122" s="397"/>
      <c r="ES122" s="397"/>
      <c r="ET122" s="397"/>
      <c r="EU122" s="397"/>
      <c r="EV122" s="397"/>
      <c r="EW122" s="397"/>
      <c r="EX122" s="397"/>
      <c r="EY122" s="397"/>
      <c r="EZ122" s="397"/>
      <c r="FA122" s="397"/>
      <c r="FB122" s="397"/>
      <c r="FC122" s="397"/>
      <c r="FD122" s="397"/>
      <c r="FE122" s="397"/>
      <c r="FF122" s="397"/>
      <c r="FG122" s="397"/>
      <c r="FH122" s="397"/>
      <c r="FI122" s="397"/>
      <c r="FJ122" s="397"/>
      <c r="FK122" s="397"/>
      <c r="FL122" s="397"/>
      <c r="FM122" s="397"/>
      <c r="FN122" s="397"/>
      <c r="FO122" s="397"/>
      <c r="FP122" s="397"/>
      <c r="FQ122" s="397"/>
      <c r="FR122" s="397"/>
      <c r="FS122" s="397"/>
      <c r="FT122" s="397"/>
      <c r="FU122" s="397"/>
      <c r="FV122" s="397"/>
      <c r="FW122" s="397"/>
      <c r="FX122" s="397"/>
      <c r="FY122" s="397"/>
      <c r="FZ122" s="397"/>
      <c r="GA122" s="397"/>
      <c r="GB122" s="397"/>
      <c r="GC122" s="397"/>
      <c r="GD122" s="397"/>
      <c r="GE122" s="397"/>
      <c r="GF122" s="397"/>
      <c r="GG122" s="397"/>
      <c r="GH122" s="397"/>
      <c r="GI122" s="397"/>
      <c r="GJ122" s="397"/>
      <c r="GK122" s="397"/>
      <c r="GL122" s="397"/>
      <c r="GM122" s="397"/>
      <c r="GN122" s="397"/>
      <c r="GO122" s="397"/>
      <c r="GP122" s="397"/>
      <c r="GQ122" s="397"/>
      <c r="GR122" s="397"/>
      <c r="GS122" s="397"/>
      <c r="GT122" s="397"/>
      <c r="GU122" s="397"/>
      <c r="GV122" s="397"/>
      <c r="GW122" s="397"/>
      <c r="GX122" s="397"/>
      <c r="GY122" s="397"/>
      <c r="GZ122" s="397"/>
      <c r="HA122" s="397"/>
      <c r="HB122" s="397"/>
      <c r="HC122" s="397"/>
      <c r="HD122" s="397"/>
      <c r="HE122" s="397"/>
      <c r="HF122" s="397"/>
      <c r="HG122" s="397"/>
      <c r="HH122" s="397"/>
      <c r="HI122" s="397"/>
      <c r="HJ122" s="397"/>
      <c r="HK122" s="397"/>
      <c r="HL122" s="397"/>
      <c r="HM122" s="397"/>
      <c r="HN122" s="397"/>
      <c r="HO122" s="397"/>
      <c r="HP122" s="397"/>
      <c r="HQ122" s="397"/>
      <c r="HR122" s="397"/>
      <c r="HS122" s="397"/>
      <c r="HT122" s="397"/>
      <c r="HU122" s="397"/>
      <c r="HV122" s="397"/>
      <c r="HW122" s="397"/>
      <c r="HX122" s="397"/>
      <c r="HY122" s="397"/>
      <c r="HZ122" s="397"/>
      <c r="IA122" s="397"/>
      <c r="IB122" s="397"/>
      <c r="IC122" s="397"/>
      <c r="ID122" s="397"/>
      <c r="IE122" s="397"/>
      <c r="IF122" s="397"/>
      <c r="IG122" s="397"/>
      <c r="IH122" s="397"/>
      <c r="II122" s="397"/>
      <c r="IJ122" s="397"/>
      <c r="IK122" s="397"/>
      <c r="IL122" s="397"/>
      <c r="IM122" s="397"/>
      <c r="IN122" s="397"/>
      <c r="IO122" s="397"/>
      <c r="IP122" s="397"/>
      <c r="IQ122" s="397"/>
      <c r="IR122" s="397"/>
    </row>
    <row r="123" spans="2:252" s="183" customFormat="1" ht="25.15" customHeight="1" x14ac:dyDescent="0.25">
      <c r="B123" s="85">
        <v>42583</v>
      </c>
      <c r="C123" s="184">
        <v>701823.17459120008</v>
      </c>
      <c r="D123" s="184">
        <f>NetWorth[[#This Row],[Worth]]-C124</f>
        <v>3350.9753700000001</v>
      </c>
      <c r="E123" s="1"/>
      <c r="V123" s="397"/>
      <c r="W123" s="397"/>
      <c r="X123" s="397"/>
      <c r="Y123" s="397"/>
      <c r="Z123" s="397"/>
      <c r="AA123" s="397"/>
      <c r="AB123" s="397"/>
      <c r="AC123" s="397"/>
      <c r="AD123" s="397"/>
      <c r="AE123" s="397"/>
      <c r="AF123" s="397"/>
      <c r="AG123" s="397"/>
      <c r="AH123" s="397"/>
      <c r="AI123" s="397"/>
      <c r="AJ123" s="397"/>
      <c r="AK123" s="397"/>
      <c r="AL123" s="397"/>
      <c r="AM123" s="397"/>
      <c r="AN123" s="397"/>
      <c r="AO123" s="397"/>
      <c r="AP123" s="397"/>
      <c r="AQ123" s="397"/>
      <c r="AR123" s="397"/>
      <c r="AS123" s="397"/>
      <c r="AT123" s="397"/>
      <c r="AU123" s="397"/>
      <c r="AV123" s="397"/>
      <c r="AW123" s="397"/>
      <c r="AX123" s="397"/>
      <c r="AY123" s="397"/>
      <c r="AZ123" s="397"/>
      <c r="BA123" s="397"/>
      <c r="BB123" s="397"/>
      <c r="BC123" s="397"/>
      <c r="BD123" s="397"/>
      <c r="BE123" s="397"/>
      <c r="BF123" s="397"/>
      <c r="BG123" s="397"/>
      <c r="BH123" s="397"/>
      <c r="BI123" s="397"/>
      <c r="BJ123" s="397"/>
      <c r="BK123" s="397"/>
      <c r="BL123" s="397"/>
      <c r="BM123" s="397"/>
      <c r="BN123" s="397"/>
      <c r="BO123" s="397"/>
      <c r="BP123" s="397"/>
      <c r="BQ123" s="397"/>
      <c r="BR123" s="397"/>
      <c r="BS123" s="397"/>
      <c r="BT123" s="397"/>
      <c r="BU123" s="397"/>
      <c r="BV123" s="397"/>
      <c r="BW123" s="397"/>
      <c r="BX123" s="397"/>
      <c r="BY123" s="397"/>
      <c r="BZ123" s="397"/>
      <c r="CA123" s="397"/>
      <c r="CB123" s="397"/>
      <c r="CC123" s="397"/>
      <c r="CD123" s="397"/>
      <c r="CE123" s="397"/>
      <c r="CF123" s="397"/>
      <c r="CG123" s="397"/>
      <c r="CH123" s="397"/>
      <c r="CI123" s="397"/>
      <c r="CJ123" s="397"/>
      <c r="CK123" s="397"/>
      <c r="CL123" s="397"/>
      <c r="CM123" s="397"/>
      <c r="CN123" s="397"/>
      <c r="CO123" s="397"/>
      <c r="CP123" s="397"/>
      <c r="CQ123" s="397"/>
      <c r="CR123" s="397"/>
      <c r="CS123" s="397"/>
      <c r="CT123" s="397"/>
      <c r="CU123" s="397"/>
      <c r="CV123" s="397"/>
      <c r="CW123" s="397"/>
      <c r="CX123" s="397"/>
      <c r="CY123" s="397"/>
      <c r="CZ123" s="397"/>
      <c r="DA123" s="397"/>
      <c r="DB123" s="397"/>
      <c r="DC123" s="397"/>
      <c r="DD123" s="397"/>
      <c r="DE123" s="397"/>
      <c r="DF123" s="397"/>
      <c r="DG123" s="397"/>
      <c r="DH123" s="397"/>
      <c r="DI123" s="397"/>
      <c r="DJ123" s="397"/>
      <c r="DK123" s="397"/>
      <c r="DL123" s="397"/>
      <c r="DM123" s="397"/>
      <c r="DN123" s="397"/>
      <c r="DO123" s="397"/>
      <c r="DP123" s="397"/>
      <c r="DQ123" s="397"/>
      <c r="DR123" s="397"/>
      <c r="DS123" s="397"/>
      <c r="DT123" s="397"/>
      <c r="DU123" s="397"/>
      <c r="DV123" s="397"/>
      <c r="DW123" s="397"/>
      <c r="DX123" s="397"/>
      <c r="DY123" s="397"/>
      <c r="DZ123" s="397"/>
      <c r="EA123" s="397"/>
      <c r="EB123" s="397"/>
      <c r="EC123" s="397"/>
      <c r="ED123" s="397"/>
      <c r="EE123" s="397"/>
      <c r="EF123" s="397"/>
      <c r="EG123" s="397"/>
      <c r="EH123" s="397"/>
      <c r="EI123" s="397"/>
      <c r="EJ123" s="397"/>
      <c r="EK123" s="397"/>
      <c r="EL123" s="397"/>
      <c r="EM123" s="397"/>
      <c r="EN123" s="397"/>
      <c r="EO123" s="397"/>
      <c r="EP123" s="397"/>
      <c r="EQ123" s="397"/>
      <c r="ER123" s="397"/>
      <c r="ES123" s="397"/>
      <c r="ET123" s="397"/>
      <c r="EU123" s="397"/>
      <c r="EV123" s="397"/>
      <c r="EW123" s="397"/>
      <c r="EX123" s="397"/>
      <c r="EY123" s="397"/>
      <c r="EZ123" s="397"/>
      <c r="FA123" s="397"/>
      <c r="FB123" s="397"/>
      <c r="FC123" s="397"/>
      <c r="FD123" s="397"/>
      <c r="FE123" s="397"/>
      <c r="FF123" s="397"/>
      <c r="FG123" s="397"/>
      <c r="FH123" s="397"/>
      <c r="FI123" s="397"/>
      <c r="FJ123" s="397"/>
      <c r="FK123" s="397"/>
      <c r="FL123" s="397"/>
      <c r="FM123" s="397"/>
      <c r="FN123" s="397"/>
      <c r="FO123" s="397"/>
      <c r="FP123" s="397"/>
      <c r="FQ123" s="397"/>
      <c r="FR123" s="397"/>
      <c r="FS123" s="397"/>
      <c r="FT123" s="397"/>
      <c r="FU123" s="397"/>
      <c r="FV123" s="397"/>
      <c r="FW123" s="397"/>
      <c r="FX123" s="397"/>
      <c r="FY123" s="397"/>
      <c r="FZ123" s="397"/>
      <c r="GA123" s="397"/>
      <c r="GB123" s="397"/>
      <c r="GC123" s="397"/>
      <c r="GD123" s="397"/>
      <c r="GE123" s="397"/>
      <c r="GF123" s="397"/>
      <c r="GG123" s="397"/>
      <c r="GH123" s="397"/>
      <c r="GI123" s="397"/>
      <c r="GJ123" s="397"/>
      <c r="GK123" s="397"/>
      <c r="GL123" s="397"/>
      <c r="GM123" s="397"/>
      <c r="GN123" s="397"/>
      <c r="GO123" s="397"/>
      <c r="GP123" s="397"/>
      <c r="GQ123" s="397"/>
      <c r="GR123" s="397"/>
      <c r="GS123" s="397"/>
      <c r="GT123" s="397"/>
      <c r="GU123" s="397"/>
      <c r="GV123" s="397"/>
      <c r="GW123" s="397"/>
      <c r="GX123" s="397"/>
      <c r="GY123" s="397"/>
      <c r="GZ123" s="397"/>
      <c r="HA123" s="397"/>
      <c r="HB123" s="397"/>
      <c r="HC123" s="397"/>
      <c r="HD123" s="397"/>
      <c r="HE123" s="397"/>
      <c r="HF123" s="397"/>
      <c r="HG123" s="397"/>
      <c r="HH123" s="397"/>
      <c r="HI123" s="397"/>
      <c r="HJ123" s="397"/>
      <c r="HK123" s="397"/>
      <c r="HL123" s="397"/>
      <c r="HM123" s="397"/>
      <c r="HN123" s="397"/>
      <c r="HO123" s="397"/>
      <c r="HP123" s="397"/>
      <c r="HQ123" s="397"/>
      <c r="HR123" s="397"/>
      <c r="HS123" s="397"/>
      <c r="HT123" s="397"/>
      <c r="HU123" s="397"/>
      <c r="HV123" s="397"/>
      <c r="HW123" s="397"/>
      <c r="HX123" s="397"/>
      <c r="HY123" s="397"/>
      <c r="HZ123" s="397"/>
      <c r="IA123" s="397"/>
      <c r="IB123" s="397"/>
      <c r="IC123" s="397"/>
      <c r="ID123" s="397"/>
      <c r="IE123" s="397"/>
      <c r="IF123" s="397"/>
      <c r="IG123" s="397"/>
      <c r="IH123" s="397"/>
      <c r="II123" s="397"/>
      <c r="IJ123" s="397"/>
      <c r="IK123" s="397"/>
      <c r="IL123" s="397"/>
      <c r="IM123" s="397"/>
      <c r="IN123" s="397"/>
      <c r="IO123" s="397"/>
      <c r="IP123" s="397"/>
      <c r="IQ123" s="397"/>
      <c r="IR123" s="397"/>
    </row>
    <row r="124" spans="2:252" s="183" customFormat="1" ht="25.15" customHeight="1" x14ac:dyDescent="0.25">
      <c r="B124" s="85">
        <v>42552</v>
      </c>
      <c r="C124" s="184">
        <v>698472.19922120008</v>
      </c>
      <c r="D124" s="184">
        <f>NetWorth[[#This Row],[Worth]]-C125</f>
        <v>31995.75939120003</v>
      </c>
      <c r="E124" s="1" t="s">
        <v>74</v>
      </c>
      <c r="V124" s="397"/>
      <c r="W124" s="397"/>
      <c r="X124" s="397"/>
      <c r="Y124" s="397"/>
      <c r="Z124" s="397"/>
      <c r="AA124" s="397"/>
      <c r="AB124" s="397"/>
      <c r="AC124" s="397"/>
      <c r="AD124" s="397"/>
      <c r="AE124" s="397"/>
      <c r="AF124" s="397"/>
      <c r="AG124" s="397"/>
      <c r="AH124" s="397"/>
      <c r="AI124" s="397"/>
      <c r="AJ124" s="397"/>
      <c r="AK124" s="397"/>
      <c r="AL124" s="397"/>
      <c r="AM124" s="397"/>
      <c r="AN124" s="397"/>
      <c r="AO124" s="397"/>
      <c r="AP124" s="397"/>
      <c r="AQ124" s="397"/>
      <c r="AR124" s="397"/>
      <c r="AS124" s="397"/>
      <c r="AT124" s="397"/>
      <c r="AU124" s="397"/>
      <c r="AV124" s="397"/>
      <c r="AW124" s="397"/>
      <c r="AX124" s="397"/>
      <c r="AY124" s="397"/>
      <c r="AZ124" s="397"/>
      <c r="BA124" s="397"/>
      <c r="BB124" s="397"/>
      <c r="BC124" s="397"/>
      <c r="BD124" s="397"/>
      <c r="BE124" s="397"/>
      <c r="BF124" s="397"/>
      <c r="BG124" s="397"/>
      <c r="BH124" s="397"/>
      <c r="BI124" s="397"/>
      <c r="BJ124" s="397"/>
      <c r="BK124" s="397"/>
      <c r="BL124" s="397"/>
      <c r="BM124" s="397"/>
      <c r="BN124" s="397"/>
      <c r="BO124" s="397"/>
      <c r="BP124" s="397"/>
      <c r="BQ124" s="397"/>
      <c r="BR124" s="397"/>
      <c r="BS124" s="397"/>
      <c r="BT124" s="397"/>
      <c r="BU124" s="397"/>
      <c r="BV124" s="397"/>
      <c r="BW124" s="397"/>
      <c r="BX124" s="397"/>
      <c r="BY124" s="397"/>
      <c r="BZ124" s="397"/>
      <c r="CA124" s="397"/>
      <c r="CB124" s="397"/>
      <c r="CC124" s="397"/>
      <c r="CD124" s="397"/>
      <c r="CE124" s="397"/>
      <c r="CF124" s="397"/>
      <c r="CG124" s="397"/>
      <c r="CH124" s="397"/>
      <c r="CI124" s="397"/>
      <c r="CJ124" s="397"/>
      <c r="CK124" s="397"/>
      <c r="CL124" s="397"/>
      <c r="CM124" s="397"/>
      <c r="CN124" s="397"/>
      <c r="CO124" s="397"/>
      <c r="CP124" s="397"/>
      <c r="CQ124" s="397"/>
      <c r="CR124" s="397"/>
      <c r="CS124" s="397"/>
      <c r="CT124" s="397"/>
      <c r="CU124" s="397"/>
      <c r="CV124" s="397"/>
      <c r="CW124" s="397"/>
      <c r="CX124" s="397"/>
      <c r="CY124" s="397"/>
      <c r="CZ124" s="397"/>
      <c r="DA124" s="397"/>
      <c r="DB124" s="397"/>
      <c r="DC124" s="397"/>
      <c r="DD124" s="397"/>
      <c r="DE124" s="397"/>
      <c r="DF124" s="397"/>
      <c r="DG124" s="397"/>
      <c r="DH124" s="397"/>
      <c r="DI124" s="397"/>
      <c r="DJ124" s="397"/>
      <c r="DK124" s="397"/>
      <c r="DL124" s="397"/>
      <c r="DM124" s="397"/>
      <c r="DN124" s="397"/>
      <c r="DO124" s="397"/>
      <c r="DP124" s="397"/>
      <c r="DQ124" s="397"/>
      <c r="DR124" s="397"/>
      <c r="DS124" s="397"/>
      <c r="DT124" s="397"/>
      <c r="DU124" s="397"/>
      <c r="DV124" s="397"/>
      <c r="DW124" s="397"/>
      <c r="DX124" s="397"/>
      <c r="DY124" s="397"/>
      <c r="DZ124" s="397"/>
      <c r="EA124" s="397"/>
      <c r="EB124" s="397"/>
      <c r="EC124" s="397"/>
      <c r="ED124" s="397"/>
      <c r="EE124" s="397"/>
      <c r="EF124" s="397"/>
      <c r="EG124" s="397"/>
      <c r="EH124" s="397"/>
      <c r="EI124" s="397"/>
      <c r="EJ124" s="397"/>
      <c r="EK124" s="397"/>
      <c r="EL124" s="397"/>
      <c r="EM124" s="397"/>
      <c r="EN124" s="397"/>
      <c r="EO124" s="397"/>
      <c r="EP124" s="397"/>
      <c r="EQ124" s="397"/>
      <c r="ER124" s="397"/>
      <c r="ES124" s="397"/>
      <c r="ET124" s="397"/>
      <c r="EU124" s="397"/>
      <c r="EV124" s="397"/>
      <c r="EW124" s="397"/>
      <c r="EX124" s="397"/>
      <c r="EY124" s="397"/>
      <c r="EZ124" s="397"/>
      <c r="FA124" s="397"/>
      <c r="FB124" s="397"/>
      <c r="FC124" s="397"/>
      <c r="FD124" s="397"/>
      <c r="FE124" s="397"/>
      <c r="FF124" s="397"/>
      <c r="FG124" s="397"/>
      <c r="FH124" s="397"/>
      <c r="FI124" s="397"/>
      <c r="FJ124" s="397"/>
      <c r="FK124" s="397"/>
      <c r="FL124" s="397"/>
      <c r="FM124" s="397"/>
      <c r="FN124" s="397"/>
      <c r="FO124" s="397"/>
      <c r="FP124" s="397"/>
      <c r="FQ124" s="397"/>
      <c r="FR124" s="397"/>
      <c r="FS124" s="397"/>
      <c r="FT124" s="397"/>
      <c r="FU124" s="397"/>
      <c r="FV124" s="397"/>
      <c r="FW124" s="397"/>
      <c r="FX124" s="397"/>
      <c r="FY124" s="397"/>
      <c r="FZ124" s="397"/>
      <c r="GA124" s="397"/>
      <c r="GB124" s="397"/>
      <c r="GC124" s="397"/>
      <c r="GD124" s="397"/>
      <c r="GE124" s="397"/>
      <c r="GF124" s="397"/>
      <c r="GG124" s="397"/>
      <c r="GH124" s="397"/>
      <c r="GI124" s="397"/>
      <c r="GJ124" s="397"/>
      <c r="GK124" s="397"/>
      <c r="GL124" s="397"/>
      <c r="GM124" s="397"/>
      <c r="GN124" s="397"/>
      <c r="GO124" s="397"/>
      <c r="GP124" s="397"/>
      <c r="GQ124" s="397"/>
      <c r="GR124" s="397"/>
      <c r="GS124" s="397"/>
      <c r="GT124" s="397"/>
      <c r="GU124" s="397"/>
      <c r="GV124" s="397"/>
      <c r="GW124" s="397"/>
      <c r="GX124" s="397"/>
      <c r="GY124" s="397"/>
      <c r="GZ124" s="397"/>
      <c r="HA124" s="397"/>
      <c r="HB124" s="397"/>
      <c r="HC124" s="397"/>
      <c r="HD124" s="397"/>
      <c r="HE124" s="397"/>
      <c r="HF124" s="397"/>
      <c r="HG124" s="397"/>
      <c r="HH124" s="397"/>
      <c r="HI124" s="397"/>
      <c r="HJ124" s="397"/>
      <c r="HK124" s="397"/>
      <c r="HL124" s="397"/>
      <c r="HM124" s="397"/>
      <c r="HN124" s="397"/>
      <c r="HO124" s="397"/>
      <c r="HP124" s="397"/>
      <c r="HQ124" s="397"/>
      <c r="HR124" s="397"/>
      <c r="HS124" s="397"/>
      <c r="HT124" s="397"/>
      <c r="HU124" s="397"/>
      <c r="HV124" s="397"/>
      <c r="HW124" s="397"/>
      <c r="HX124" s="397"/>
      <c r="HY124" s="397"/>
      <c r="HZ124" s="397"/>
      <c r="IA124" s="397"/>
      <c r="IB124" s="397"/>
      <c r="IC124" s="397"/>
      <c r="ID124" s="397"/>
      <c r="IE124" s="397"/>
      <c r="IF124" s="397"/>
      <c r="IG124" s="397"/>
      <c r="IH124" s="397"/>
      <c r="II124" s="397"/>
      <c r="IJ124" s="397"/>
      <c r="IK124" s="397"/>
      <c r="IL124" s="397"/>
      <c r="IM124" s="397"/>
      <c r="IN124" s="397"/>
      <c r="IO124" s="397"/>
      <c r="IP124" s="397"/>
      <c r="IQ124" s="397"/>
      <c r="IR124" s="397"/>
    </row>
    <row r="125" spans="2:252" s="183" customFormat="1" ht="25.15" customHeight="1" x14ac:dyDescent="0.25">
      <c r="B125" s="85">
        <v>42522</v>
      </c>
      <c r="C125" s="184">
        <v>666476.43983000005</v>
      </c>
      <c r="D125" s="184">
        <f>NetWorth[[#This Row],[Worth]]-C126</f>
        <v>-3726.4090800000122</v>
      </c>
      <c r="E125" s="1" t="s">
        <v>75</v>
      </c>
      <c r="V125" s="397"/>
      <c r="W125" s="397"/>
      <c r="X125" s="397"/>
      <c r="Y125" s="397"/>
      <c r="Z125" s="397"/>
      <c r="AA125" s="397"/>
      <c r="AB125" s="397"/>
      <c r="AC125" s="397"/>
      <c r="AD125" s="397"/>
      <c r="AE125" s="397"/>
      <c r="AF125" s="397"/>
      <c r="AG125" s="397"/>
      <c r="AH125" s="397"/>
      <c r="AI125" s="397"/>
      <c r="AJ125" s="397"/>
      <c r="AK125" s="397"/>
      <c r="AL125" s="397"/>
      <c r="AM125" s="397"/>
      <c r="AN125" s="397"/>
      <c r="AO125" s="397"/>
      <c r="AP125" s="397"/>
      <c r="AQ125" s="397"/>
      <c r="AR125" s="397"/>
      <c r="AS125" s="397"/>
      <c r="AT125" s="397"/>
      <c r="AU125" s="397"/>
      <c r="AV125" s="397"/>
      <c r="AW125" s="397"/>
      <c r="AX125" s="397"/>
      <c r="AY125" s="397"/>
      <c r="AZ125" s="397"/>
      <c r="BA125" s="397"/>
      <c r="BB125" s="397"/>
      <c r="BC125" s="397"/>
      <c r="BD125" s="397"/>
      <c r="BE125" s="397"/>
      <c r="BF125" s="397"/>
      <c r="BG125" s="397"/>
      <c r="BH125" s="397"/>
      <c r="BI125" s="397"/>
      <c r="BJ125" s="397"/>
      <c r="BK125" s="397"/>
      <c r="BL125" s="397"/>
      <c r="BM125" s="397"/>
      <c r="BN125" s="397"/>
      <c r="BO125" s="397"/>
      <c r="BP125" s="397"/>
      <c r="BQ125" s="397"/>
      <c r="BR125" s="397"/>
      <c r="BS125" s="397"/>
      <c r="BT125" s="397"/>
      <c r="BU125" s="397"/>
      <c r="BV125" s="397"/>
      <c r="BW125" s="397"/>
      <c r="BX125" s="397"/>
      <c r="BY125" s="397"/>
      <c r="BZ125" s="397"/>
      <c r="CA125" s="397"/>
      <c r="CB125" s="397"/>
      <c r="CC125" s="397"/>
      <c r="CD125" s="397"/>
      <c r="CE125" s="397"/>
      <c r="CF125" s="397"/>
      <c r="CG125" s="397"/>
      <c r="CH125" s="397"/>
      <c r="CI125" s="397"/>
      <c r="CJ125" s="397"/>
      <c r="CK125" s="397"/>
      <c r="CL125" s="397"/>
      <c r="CM125" s="397"/>
      <c r="CN125" s="397"/>
      <c r="CO125" s="397"/>
      <c r="CP125" s="397"/>
      <c r="CQ125" s="397"/>
      <c r="CR125" s="397"/>
      <c r="CS125" s="397"/>
      <c r="CT125" s="397"/>
      <c r="CU125" s="397"/>
      <c r="CV125" s="397"/>
      <c r="CW125" s="397"/>
      <c r="CX125" s="397"/>
      <c r="CY125" s="397"/>
      <c r="CZ125" s="397"/>
      <c r="DA125" s="397"/>
      <c r="DB125" s="397"/>
      <c r="DC125" s="397"/>
      <c r="DD125" s="397"/>
      <c r="DE125" s="397"/>
      <c r="DF125" s="397"/>
      <c r="DG125" s="397"/>
      <c r="DH125" s="397"/>
      <c r="DI125" s="397"/>
      <c r="DJ125" s="397"/>
      <c r="DK125" s="397"/>
      <c r="DL125" s="397"/>
      <c r="DM125" s="397"/>
      <c r="DN125" s="397"/>
      <c r="DO125" s="397"/>
      <c r="DP125" s="397"/>
      <c r="DQ125" s="397"/>
      <c r="DR125" s="397"/>
      <c r="DS125" s="397"/>
      <c r="DT125" s="397"/>
      <c r="DU125" s="397"/>
      <c r="DV125" s="397"/>
      <c r="DW125" s="397"/>
      <c r="DX125" s="397"/>
      <c r="DY125" s="397"/>
      <c r="DZ125" s="397"/>
      <c r="EA125" s="397"/>
      <c r="EB125" s="397"/>
      <c r="EC125" s="397"/>
      <c r="ED125" s="397"/>
      <c r="EE125" s="397"/>
      <c r="EF125" s="397"/>
      <c r="EG125" s="397"/>
      <c r="EH125" s="397"/>
      <c r="EI125" s="397"/>
      <c r="EJ125" s="397"/>
      <c r="EK125" s="397"/>
      <c r="EL125" s="397"/>
      <c r="EM125" s="397"/>
      <c r="EN125" s="397"/>
      <c r="EO125" s="397"/>
      <c r="EP125" s="397"/>
      <c r="EQ125" s="397"/>
      <c r="ER125" s="397"/>
      <c r="ES125" s="397"/>
      <c r="ET125" s="397"/>
      <c r="EU125" s="397"/>
      <c r="EV125" s="397"/>
      <c r="EW125" s="397"/>
      <c r="EX125" s="397"/>
      <c r="EY125" s="397"/>
      <c r="EZ125" s="397"/>
      <c r="FA125" s="397"/>
      <c r="FB125" s="397"/>
      <c r="FC125" s="397"/>
      <c r="FD125" s="397"/>
      <c r="FE125" s="397"/>
      <c r="FF125" s="397"/>
      <c r="FG125" s="397"/>
      <c r="FH125" s="397"/>
      <c r="FI125" s="397"/>
      <c r="FJ125" s="397"/>
      <c r="FK125" s="397"/>
      <c r="FL125" s="397"/>
      <c r="FM125" s="397"/>
      <c r="FN125" s="397"/>
      <c r="FO125" s="397"/>
      <c r="FP125" s="397"/>
      <c r="FQ125" s="397"/>
      <c r="FR125" s="397"/>
      <c r="FS125" s="397"/>
      <c r="FT125" s="397"/>
      <c r="FU125" s="397"/>
      <c r="FV125" s="397"/>
      <c r="FW125" s="397"/>
      <c r="FX125" s="397"/>
      <c r="FY125" s="397"/>
      <c r="FZ125" s="397"/>
      <c r="GA125" s="397"/>
      <c r="GB125" s="397"/>
      <c r="GC125" s="397"/>
      <c r="GD125" s="397"/>
      <c r="GE125" s="397"/>
      <c r="GF125" s="397"/>
      <c r="GG125" s="397"/>
      <c r="GH125" s="397"/>
      <c r="GI125" s="397"/>
      <c r="GJ125" s="397"/>
      <c r="GK125" s="397"/>
      <c r="GL125" s="397"/>
      <c r="GM125" s="397"/>
      <c r="GN125" s="397"/>
      <c r="GO125" s="397"/>
      <c r="GP125" s="397"/>
      <c r="GQ125" s="397"/>
      <c r="GR125" s="397"/>
      <c r="GS125" s="397"/>
      <c r="GT125" s="397"/>
      <c r="GU125" s="397"/>
      <c r="GV125" s="397"/>
      <c r="GW125" s="397"/>
      <c r="GX125" s="397"/>
      <c r="GY125" s="397"/>
      <c r="GZ125" s="397"/>
      <c r="HA125" s="397"/>
      <c r="HB125" s="397"/>
      <c r="HC125" s="397"/>
      <c r="HD125" s="397"/>
      <c r="HE125" s="397"/>
      <c r="HF125" s="397"/>
      <c r="HG125" s="397"/>
      <c r="HH125" s="397"/>
      <c r="HI125" s="397"/>
      <c r="HJ125" s="397"/>
      <c r="HK125" s="397"/>
      <c r="HL125" s="397"/>
      <c r="HM125" s="397"/>
      <c r="HN125" s="397"/>
      <c r="HO125" s="397"/>
      <c r="HP125" s="397"/>
      <c r="HQ125" s="397"/>
      <c r="HR125" s="397"/>
      <c r="HS125" s="397"/>
      <c r="HT125" s="397"/>
      <c r="HU125" s="397"/>
      <c r="HV125" s="397"/>
      <c r="HW125" s="397"/>
      <c r="HX125" s="397"/>
      <c r="HY125" s="397"/>
      <c r="HZ125" s="397"/>
      <c r="IA125" s="397"/>
      <c r="IB125" s="397"/>
      <c r="IC125" s="397"/>
      <c r="ID125" s="397"/>
      <c r="IE125" s="397"/>
      <c r="IF125" s="397"/>
      <c r="IG125" s="397"/>
      <c r="IH125" s="397"/>
      <c r="II125" s="397"/>
      <c r="IJ125" s="397"/>
      <c r="IK125" s="397"/>
      <c r="IL125" s="397"/>
      <c r="IM125" s="397"/>
      <c r="IN125" s="397"/>
      <c r="IO125" s="397"/>
      <c r="IP125" s="397"/>
      <c r="IQ125" s="397"/>
      <c r="IR125" s="397"/>
    </row>
    <row r="126" spans="2:252" s="183" customFormat="1" ht="25.15" customHeight="1" x14ac:dyDescent="0.25">
      <c r="B126" s="85">
        <v>42491</v>
      </c>
      <c r="C126" s="184">
        <v>670202.84891000006</v>
      </c>
      <c r="D126" s="184">
        <f>NetWorth[[#This Row],[Worth]]-C127</f>
        <v>6519.8489100000588</v>
      </c>
      <c r="E126" s="1"/>
      <c r="V126" s="397"/>
      <c r="W126" s="397"/>
      <c r="X126" s="397"/>
      <c r="Y126" s="397"/>
      <c r="Z126" s="397"/>
      <c r="AA126" s="397"/>
      <c r="AB126" s="397"/>
      <c r="AC126" s="397"/>
      <c r="AD126" s="397"/>
      <c r="AE126" s="397"/>
      <c r="AF126" s="397"/>
      <c r="AG126" s="397"/>
      <c r="AH126" s="397"/>
      <c r="AI126" s="397"/>
      <c r="AJ126" s="397"/>
      <c r="AK126" s="397"/>
      <c r="AL126" s="397"/>
      <c r="AM126" s="397"/>
      <c r="AN126" s="397"/>
      <c r="AO126" s="397"/>
      <c r="AP126" s="397"/>
      <c r="AQ126" s="397"/>
      <c r="AR126" s="397"/>
      <c r="AS126" s="397"/>
      <c r="AT126" s="397"/>
      <c r="AU126" s="397"/>
      <c r="AV126" s="397"/>
      <c r="AW126" s="397"/>
      <c r="AX126" s="397"/>
      <c r="AY126" s="397"/>
      <c r="AZ126" s="397"/>
      <c r="BA126" s="397"/>
      <c r="BB126" s="397"/>
      <c r="BC126" s="397"/>
      <c r="BD126" s="397"/>
      <c r="BE126" s="397"/>
      <c r="BF126" s="397"/>
      <c r="BG126" s="397"/>
      <c r="BH126" s="397"/>
      <c r="BI126" s="397"/>
      <c r="BJ126" s="397"/>
      <c r="BK126" s="397"/>
      <c r="BL126" s="397"/>
      <c r="BM126" s="397"/>
      <c r="BN126" s="397"/>
      <c r="BO126" s="397"/>
      <c r="BP126" s="397"/>
      <c r="BQ126" s="397"/>
      <c r="BR126" s="397"/>
      <c r="BS126" s="397"/>
      <c r="BT126" s="397"/>
      <c r="BU126" s="397"/>
      <c r="BV126" s="397"/>
      <c r="BW126" s="397"/>
      <c r="BX126" s="397"/>
      <c r="BY126" s="397"/>
      <c r="BZ126" s="397"/>
      <c r="CA126" s="397"/>
      <c r="CB126" s="397"/>
      <c r="CC126" s="397"/>
      <c r="CD126" s="397"/>
      <c r="CE126" s="397"/>
      <c r="CF126" s="397"/>
      <c r="CG126" s="397"/>
      <c r="CH126" s="397"/>
      <c r="CI126" s="397"/>
      <c r="CJ126" s="397"/>
      <c r="CK126" s="397"/>
      <c r="CL126" s="397"/>
      <c r="CM126" s="397"/>
      <c r="CN126" s="397"/>
      <c r="CO126" s="397"/>
      <c r="CP126" s="397"/>
      <c r="CQ126" s="397"/>
      <c r="CR126" s="397"/>
      <c r="CS126" s="397"/>
      <c r="CT126" s="397"/>
      <c r="CU126" s="397"/>
      <c r="CV126" s="397"/>
      <c r="CW126" s="397"/>
      <c r="CX126" s="397"/>
      <c r="CY126" s="397"/>
      <c r="CZ126" s="397"/>
      <c r="DA126" s="397"/>
      <c r="DB126" s="397"/>
      <c r="DC126" s="397"/>
      <c r="DD126" s="397"/>
      <c r="DE126" s="397"/>
      <c r="DF126" s="397"/>
      <c r="DG126" s="397"/>
      <c r="DH126" s="397"/>
      <c r="DI126" s="397"/>
      <c r="DJ126" s="397"/>
      <c r="DK126" s="397"/>
      <c r="DL126" s="397"/>
      <c r="DM126" s="397"/>
      <c r="DN126" s="397"/>
      <c r="DO126" s="397"/>
      <c r="DP126" s="397"/>
      <c r="DQ126" s="397"/>
      <c r="DR126" s="397"/>
      <c r="DS126" s="397"/>
      <c r="DT126" s="397"/>
      <c r="DU126" s="397"/>
      <c r="DV126" s="397"/>
      <c r="DW126" s="397"/>
      <c r="DX126" s="397"/>
      <c r="DY126" s="397"/>
      <c r="DZ126" s="397"/>
      <c r="EA126" s="397"/>
      <c r="EB126" s="397"/>
      <c r="EC126" s="397"/>
      <c r="ED126" s="397"/>
      <c r="EE126" s="397"/>
      <c r="EF126" s="397"/>
      <c r="EG126" s="397"/>
      <c r="EH126" s="397"/>
      <c r="EI126" s="397"/>
      <c r="EJ126" s="397"/>
      <c r="EK126" s="397"/>
      <c r="EL126" s="397"/>
      <c r="EM126" s="397"/>
      <c r="EN126" s="397"/>
      <c r="EO126" s="397"/>
      <c r="EP126" s="397"/>
      <c r="EQ126" s="397"/>
      <c r="ER126" s="397"/>
      <c r="ES126" s="397"/>
      <c r="ET126" s="397"/>
      <c r="EU126" s="397"/>
      <c r="EV126" s="397"/>
      <c r="EW126" s="397"/>
      <c r="EX126" s="397"/>
      <c r="EY126" s="397"/>
      <c r="EZ126" s="397"/>
      <c r="FA126" s="397"/>
      <c r="FB126" s="397"/>
      <c r="FC126" s="397"/>
      <c r="FD126" s="397"/>
      <c r="FE126" s="397"/>
      <c r="FF126" s="397"/>
      <c r="FG126" s="397"/>
      <c r="FH126" s="397"/>
      <c r="FI126" s="397"/>
      <c r="FJ126" s="397"/>
      <c r="FK126" s="397"/>
      <c r="FL126" s="397"/>
      <c r="FM126" s="397"/>
      <c r="FN126" s="397"/>
      <c r="FO126" s="397"/>
      <c r="FP126" s="397"/>
      <c r="FQ126" s="397"/>
      <c r="FR126" s="397"/>
      <c r="FS126" s="397"/>
      <c r="FT126" s="397"/>
      <c r="FU126" s="397"/>
      <c r="FV126" s="397"/>
      <c r="FW126" s="397"/>
      <c r="FX126" s="397"/>
      <c r="FY126" s="397"/>
      <c r="FZ126" s="397"/>
      <c r="GA126" s="397"/>
      <c r="GB126" s="397"/>
      <c r="GC126" s="397"/>
      <c r="GD126" s="397"/>
      <c r="GE126" s="397"/>
      <c r="GF126" s="397"/>
      <c r="GG126" s="397"/>
      <c r="GH126" s="397"/>
      <c r="GI126" s="397"/>
      <c r="GJ126" s="397"/>
      <c r="GK126" s="397"/>
      <c r="GL126" s="397"/>
      <c r="GM126" s="397"/>
      <c r="GN126" s="397"/>
      <c r="GO126" s="397"/>
      <c r="GP126" s="397"/>
      <c r="GQ126" s="397"/>
      <c r="GR126" s="397"/>
      <c r="GS126" s="397"/>
      <c r="GT126" s="397"/>
      <c r="GU126" s="397"/>
      <c r="GV126" s="397"/>
      <c r="GW126" s="397"/>
      <c r="GX126" s="397"/>
      <c r="GY126" s="397"/>
      <c r="GZ126" s="397"/>
      <c r="HA126" s="397"/>
      <c r="HB126" s="397"/>
      <c r="HC126" s="397"/>
      <c r="HD126" s="397"/>
      <c r="HE126" s="397"/>
      <c r="HF126" s="397"/>
      <c r="HG126" s="397"/>
      <c r="HH126" s="397"/>
      <c r="HI126" s="397"/>
      <c r="HJ126" s="397"/>
      <c r="HK126" s="397"/>
      <c r="HL126" s="397"/>
      <c r="HM126" s="397"/>
      <c r="HN126" s="397"/>
      <c r="HO126" s="397"/>
      <c r="HP126" s="397"/>
      <c r="HQ126" s="397"/>
      <c r="HR126" s="397"/>
      <c r="HS126" s="397"/>
      <c r="HT126" s="397"/>
      <c r="HU126" s="397"/>
      <c r="HV126" s="397"/>
      <c r="HW126" s="397"/>
      <c r="HX126" s="397"/>
      <c r="HY126" s="397"/>
      <c r="HZ126" s="397"/>
      <c r="IA126" s="397"/>
      <c r="IB126" s="397"/>
      <c r="IC126" s="397"/>
      <c r="ID126" s="397"/>
      <c r="IE126" s="397"/>
      <c r="IF126" s="397"/>
      <c r="IG126" s="397"/>
      <c r="IH126" s="397"/>
      <c r="II126" s="397"/>
      <c r="IJ126" s="397"/>
      <c r="IK126" s="397"/>
      <c r="IL126" s="397"/>
      <c r="IM126" s="397"/>
      <c r="IN126" s="397"/>
      <c r="IO126" s="397"/>
      <c r="IP126" s="397"/>
      <c r="IQ126" s="397"/>
      <c r="IR126" s="397"/>
    </row>
    <row r="127" spans="2:252" s="183" customFormat="1" ht="25.15" customHeight="1" x14ac:dyDescent="0.25">
      <c r="B127" s="85">
        <v>42461</v>
      </c>
      <c r="C127" s="184">
        <v>663683</v>
      </c>
      <c r="D127" s="184">
        <f>NetWorth[[#This Row],[Worth]]-C128</f>
        <v>-0.1346309999935329</v>
      </c>
      <c r="E127" s="1"/>
      <c r="V127" s="397"/>
      <c r="W127" s="397"/>
      <c r="X127" s="397"/>
      <c r="Y127" s="397"/>
      <c r="Z127" s="397"/>
      <c r="AA127" s="397"/>
      <c r="AB127" s="397"/>
      <c r="AC127" s="397"/>
      <c r="AD127" s="397"/>
      <c r="AE127" s="397"/>
      <c r="AF127" s="397"/>
      <c r="AG127" s="397"/>
      <c r="AH127" s="397"/>
      <c r="AI127" s="397"/>
      <c r="AJ127" s="397"/>
      <c r="AK127" s="397"/>
      <c r="AL127" s="397"/>
      <c r="AM127" s="397"/>
      <c r="AN127" s="397"/>
      <c r="AO127" s="397"/>
      <c r="AP127" s="397"/>
      <c r="AQ127" s="397"/>
      <c r="AR127" s="397"/>
      <c r="AS127" s="397"/>
      <c r="AT127" s="397"/>
      <c r="AU127" s="397"/>
      <c r="AV127" s="397"/>
      <c r="AW127" s="397"/>
      <c r="AX127" s="397"/>
      <c r="AY127" s="397"/>
      <c r="AZ127" s="397"/>
      <c r="BA127" s="397"/>
      <c r="BB127" s="397"/>
      <c r="BC127" s="397"/>
      <c r="BD127" s="397"/>
      <c r="BE127" s="397"/>
      <c r="BF127" s="397"/>
      <c r="BG127" s="397"/>
      <c r="BH127" s="397"/>
      <c r="BI127" s="397"/>
      <c r="BJ127" s="397"/>
      <c r="BK127" s="397"/>
      <c r="BL127" s="397"/>
      <c r="BM127" s="397"/>
      <c r="BN127" s="397"/>
      <c r="BO127" s="397"/>
      <c r="BP127" s="397"/>
      <c r="BQ127" s="397"/>
      <c r="BR127" s="397"/>
      <c r="BS127" s="397"/>
      <c r="BT127" s="397"/>
      <c r="BU127" s="397"/>
      <c r="BV127" s="397"/>
      <c r="BW127" s="397"/>
      <c r="BX127" s="397"/>
      <c r="BY127" s="397"/>
      <c r="BZ127" s="397"/>
      <c r="CA127" s="397"/>
      <c r="CB127" s="397"/>
      <c r="CC127" s="397"/>
      <c r="CD127" s="397"/>
      <c r="CE127" s="397"/>
      <c r="CF127" s="397"/>
      <c r="CG127" s="397"/>
      <c r="CH127" s="397"/>
      <c r="CI127" s="397"/>
      <c r="CJ127" s="397"/>
      <c r="CK127" s="397"/>
      <c r="CL127" s="397"/>
      <c r="CM127" s="397"/>
      <c r="CN127" s="397"/>
      <c r="CO127" s="397"/>
      <c r="CP127" s="397"/>
      <c r="CQ127" s="397"/>
      <c r="CR127" s="397"/>
      <c r="CS127" s="397"/>
      <c r="CT127" s="397"/>
      <c r="CU127" s="397"/>
      <c r="CV127" s="397"/>
      <c r="CW127" s="397"/>
      <c r="CX127" s="397"/>
      <c r="CY127" s="397"/>
      <c r="CZ127" s="397"/>
      <c r="DA127" s="397"/>
      <c r="DB127" s="397"/>
      <c r="DC127" s="397"/>
      <c r="DD127" s="397"/>
      <c r="DE127" s="397"/>
      <c r="DF127" s="397"/>
      <c r="DG127" s="397"/>
      <c r="DH127" s="397"/>
      <c r="DI127" s="397"/>
      <c r="DJ127" s="397"/>
      <c r="DK127" s="397"/>
      <c r="DL127" s="397"/>
      <c r="DM127" s="397"/>
      <c r="DN127" s="397"/>
      <c r="DO127" s="397"/>
      <c r="DP127" s="397"/>
      <c r="DQ127" s="397"/>
      <c r="DR127" s="397"/>
      <c r="DS127" s="397"/>
      <c r="DT127" s="397"/>
      <c r="DU127" s="397"/>
      <c r="DV127" s="397"/>
      <c r="DW127" s="397"/>
      <c r="DX127" s="397"/>
      <c r="DY127" s="397"/>
      <c r="DZ127" s="397"/>
      <c r="EA127" s="397"/>
      <c r="EB127" s="397"/>
      <c r="EC127" s="397"/>
      <c r="ED127" s="397"/>
      <c r="EE127" s="397"/>
      <c r="EF127" s="397"/>
      <c r="EG127" s="397"/>
      <c r="EH127" s="397"/>
      <c r="EI127" s="397"/>
      <c r="EJ127" s="397"/>
      <c r="EK127" s="397"/>
      <c r="EL127" s="397"/>
      <c r="EM127" s="397"/>
      <c r="EN127" s="397"/>
      <c r="EO127" s="397"/>
      <c r="EP127" s="397"/>
      <c r="EQ127" s="397"/>
      <c r="ER127" s="397"/>
      <c r="ES127" s="397"/>
      <c r="ET127" s="397"/>
      <c r="EU127" s="397"/>
      <c r="EV127" s="397"/>
      <c r="EW127" s="397"/>
      <c r="EX127" s="397"/>
      <c r="EY127" s="397"/>
      <c r="EZ127" s="397"/>
      <c r="FA127" s="397"/>
      <c r="FB127" s="397"/>
      <c r="FC127" s="397"/>
      <c r="FD127" s="397"/>
      <c r="FE127" s="397"/>
      <c r="FF127" s="397"/>
      <c r="FG127" s="397"/>
      <c r="FH127" s="397"/>
      <c r="FI127" s="397"/>
      <c r="FJ127" s="397"/>
      <c r="FK127" s="397"/>
      <c r="FL127" s="397"/>
      <c r="FM127" s="397"/>
      <c r="FN127" s="397"/>
      <c r="FO127" s="397"/>
      <c r="FP127" s="397"/>
      <c r="FQ127" s="397"/>
      <c r="FR127" s="397"/>
      <c r="FS127" s="397"/>
      <c r="FT127" s="397"/>
      <c r="FU127" s="397"/>
      <c r="FV127" s="397"/>
      <c r="FW127" s="397"/>
      <c r="FX127" s="397"/>
      <c r="FY127" s="397"/>
      <c r="FZ127" s="397"/>
      <c r="GA127" s="397"/>
      <c r="GB127" s="397"/>
      <c r="GC127" s="397"/>
      <c r="GD127" s="397"/>
      <c r="GE127" s="397"/>
      <c r="GF127" s="397"/>
      <c r="GG127" s="397"/>
      <c r="GH127" s="397"/>
      <c r="GI127" s="397"/>
      <c r="GJ127" s="397"/>
      <c r="GK127" s="397"/>
      <c r="GL127" s="397"/>
      <c r="GM127" s="397"/>
      <c r="GN127" s="397"/>
      <c r="GO127" s="397"/>
      <c r="GP127" s="397"/>
      <c r="GQ127" s="397"/>
      <c r="GR127" s="397"/>
      <c r="GS127" s="397"/>
      <c r="GT127" s="397"/>
      <c r="GU127" s="397"/>
      <c r="GV127" s="397"/>
      <c r="GW127" s="397"/>
      <c r="GX127" s="397"/>
      <c r="GY127" s="397"/>
      <c r="GZ127" s="397"/>
      <c r="HA127" s="397"/>
      <c r="HB127" s="397"/>
      <c r="HC127" s="397"/>
      <c r="HD127" s="397"/>
      <c r="HE127" s="397"/>
      <c r="HF127" s="397"/>
      <c r="HG127" s="397"/>
      <c r="HH127" s="397"/>
      <c r="HI127" s="397"/>
      <c r="HJ127" s="397"/>
      <c r="HK127" s="397"/>
      <c r="HL127" s="397"/>
      <c r="HM127" s="397"/>
      <c r="HN127" s="397"/>
      <c r="HO127" s="397"/>
      <c r="HP127" s="397"/>
      <c r="HQ127" s="397"/>
      <c r="HR127" s="397"/>
      <c r="HS127" s="397"/>
      <c r="HT127" s="397"/>
      <c r="HU127" s="397"/>
      <c r="HV127" s="397"/>
      <c r="HW127" s="397"/>
      <c r="HX127" s="397"/>
      <c r="HY127" s="397"/>
      <c r="HZ127" s="397"/>
      <c r="IA127" s="397"/>
      <c r="IB127" s="397"/>
      <c r="IC127" s="397"/>
      <c r="ID127" s="397"/>
      <c r="IE127" s="397"/>
      <c r="IF127" s="397"/>
      <c r="IG127" s="397"/>
      <c r="IH127" s="397"/>
      <c r="II127" s="397"/>
      <c r="IJ127" s="397"/>
      <c r="IK127" s="397"/>
      <c r="IL127" s="397"/>
      <c r="IM127" s="397"/>
      <c r="IN127" s="397"/>
      <c r="IO127" s="397"/>
      <c r="IP127" s="397"/>
      <c r="IQ127" s="397"/>
      <c r="IR127" s="397"/>
    </row>
    <row r="128" spans="2:252" s="183" customFormat="1" ht="25.15" customHeight="1" x14ac:dyDescent="0.25">
      <c r="B128" s="85">
        <v>42430</v>
      </c>
      <c r="C128" s="184">
        <v>663683.13463099999</v>
      </c>
      <c r="D128" s="184">
        <f>NetWorth[[#This Row],[Worth]]-C129</f>
        <v>4514.6776537999976</v>
      </c>
      <c r="E128" s="1"/>
      <c r="V128" s="397"/>
      <c r="W128" s="397"/>
      <c r="X128" s="397"/>
      <c r="Y128" s="397"/>
      <c r="Z128" s="397"/>
      <c r="AA128" s="397"/>
      <c r="AB128" s="397"/>
      <c r="AC128" s="397"/>
      <c r="AD128" s="397"/>
      <c r="AE128" s="397"/>
      <c r="AF128" s="397"/>
      <c r="AG128" s="397"/>
      <c r="AH128" s="397"/>
      <c r="AI128" s="397"/>
      <c r="AJ128" s="397"/>
      <c r="AK128" s="397"/>
      <c r="AL128" s="397"/>
      <c r="AM128" s="397"/>
      <c r="AN128" s="397"/>
      <c r="AO128" s="397"/>
      <c r="AP128" s="397"/>
      <c r="AQ128" s="397"/>
      <c r="AR128" s="397"/>
      <c r="AS128" s="397"/>
      <c r="AT128" s="397"/>
      <c r="AU128" s="397"/>
      <c r="AV128" s="397"/>
      <c r="AW128" s="397"/>
      <c r="AX128" s="397"/>
      <c r="AY128" s="397"/>
      <c r="AZ128" s="397"/>
      <c r="BA128" s="397"/>
      <c r="BB128" s="397"/>
      <c r="BC128" s="397"/>
      <c r="BD128" s="397"/>
      <c r="BE128" s="397"/>
      <c r="BF128" s="397"/>
      <c r="BG128" s="397"/>
      <c r="BH128" s="397"/>
      <c r="BI128" s="397"/>
      <c r="BJ128" s="397"/>
      <c r="BK128" s="397"/>
      <c r="BL128" s="397"/>
      <c r="BM128" s="397"/>
      <c r="BN128" s="397"/>
      <c r="BO128" s="397"/>
      <c r="BP128" s="397"/>
      <c r="BQ128" s="397"/>
      <c r="BR128" s="397"/>
      <c r="BS128" s="397"/>
      <c r="BT128" s="397"/>
      <c r="BU128" s="397"/>
      <c r="BV128" s="397"/>
      <c r="BW128" s="397"/>
      <c r="BX128" s="397"/>
      <c r="BY128" s="397"/>
      <c r="BZ128" s="397"/>
      <c r="CA128" s="397"/>
      <c r="CB128" s="397"/>
      <c r="CC128" s="397"/>
      <c r="CD128" s="397"/>
      <c r="CE128" s="397"/>
      <c r="CF128" s="397"/>
      <c r="CG128" s="397"/>
      <c r="CH128" s="397"/>
      <c r="CI128" s="397"/>
      <c r="CJ128" s="397"/>
      <c r="CK128" s="397"/>
      <c r="CL128" s="397"/>
      <c r="CM128" s="397"/>
      <c r="CN128" s="397"/>
      <c r="CO128" s="397"/>
      <c r="CP128" s="397"/>
      <c r="CQ128" s="397"/>
      <c r="CR128" s="397"/>
      <c r="CS128" s="397"/>
      <c r="CT128" s="397"/>
      <c r="CU128" s="397"/>
      <c r="CV128" s="397"/>
      <c r="CW128" s="397"/>
      <c r="CX128" s="397"/>
      <c r="CY128" s="397"/>
      <c r="CZ128" s="397"/>
      <c r="DA128" s="397"/>
      <c r="DB128" s="397"/>
      <c r="DC128" s="397"/>
      <c r="DD128" s="397"/>
      <c r="DE128" s="397"/>
      <c r="DF128" s="397"/>
      <c r="DG128" s="397"/>
      <c r="DH128" s="397"/>
      <c r="DI128" s="397"/>
      <c r="DJ128" s="397"/>
      <c r="DK128" s="397"/>
      <c r="DL128" s="397"/>
      <c r="DM128" s="397"/>
      <c r="DN128" s="397"/>
      <c r="DO128" s="397"/>
      <c r="DP128" s="397"/>
      <c r="DQ128" s="397"/>
      <c r="DR128" s="397"/>
      <c r="DS128" s="397"/>
      <c r="DT128" s="397"/>
      <c r="DU128" s="397"/>
      <c r="DV128" s="397"/>
      <c r="DW128" s="397"/>
      <c r="DX128" s="397"/>
      <c r="DY128" s="397"/>
      <c r="DZ128" s="397"/>
      <c r="EA128" s="397"/>
      <c r="EB128" s="397"/>
      <c r="EC128" s="397"/>
      <c r="ED128" s="397"/>
      <c r="EE128" s="397"/>
      <c r="EF128" s="397"/>
      <c r="EG128" s="397"/>
      <c r="EH128" s="397"/>
      <c r="EI128" s="397"/>
      <c r="EJ128" s="397"/>
      <c r="EK128" s="397"/>
      <c r="EL128" s="397"/>
      <c r="EM128" s="397"/>
      <c r="EN128" s="397"/>
      <c r="EO128" s="397"/>
      <c r="EP128" s="397"/>
      <c r="EQ128" s="397"/>
      <c r="ER128" s="397"/>
      <c r="ES128" s="397"/>
      <c r="ET128" s="397"/>
      <c r="EU128" s="397"/>
      <c r="EV128" s="397"/>
      <c r="EW128" s="397"/>
      <c r="EX128" s="397"/>
      <c r="EY128" s="397"/>
      <c r="EZ128" s="397"/>
      <c r="FA128" s="397"/>
      <c r="FB128" s="397"/>
      <c r="FC128" s="397"/>
      <c r="FD128" s="397"/>
      <c r="FE128" s="397"/>
      <c r="FF128" s="397"/>
      <c r="FG128" s="397"/>
      <c r="FH128" s="397"/>
      <c r="FI128" s="397"/>
      <c r="FJ128" s="397"/>
      <c r="FK128" s="397"/>
      <c r="FL128" s="397"/>
      <c r="FM128" s="397"/>
      <c r="FN128" s="397"/>
      <c r="FO128" s="397"/>
      <c r="FP128" s="397"/>
      <c r="FQ128" s="397"/>
      <c r="FR128" s="397"/>
      <c r="FS128" s="397"/>
      <c r="FT128" s="397"/>
      <c r="FU128" s="397"/>
      <c r="FV128" s="397"/>
      <c r="FW128" s="397"/>
      <c r="FX128" s="397"/>
      <c r="FY128" s="397"/>
      <c r="FZ128" s="397"/>
      <c r="GA128" s="397"/>
      <c r="GB128" s="397"/>
      <c r="GC128" s="397"/>
      <c r="GD128" s="397"/>
      <c r="GE128" s="397"/>
      <c r="GF128" s="397"/>
      <c r="GG128" s="397"/>
      <c r="GH128" s="397"/>
      <c r="GI128" s="397"/>
      <c r="GJ128" s="397"/>
      <c r="GK128" s="397"/>
      <c r="GL128" s="397"/>
      <c r="GM128" s="397"/>
      <c r="GN128" s="397"/>
      <c r="GO128" s="397"/>
      <c r="GP128" s="397"/>
      <c r="GQ128" s="397"/>
      <c r="GR128" s="397"/>
      <c r="GS128" s="397"/>
      <c r="GT128" s="397"/>
      <c r="GU128" s="397"/>
      <c r="GV128" s="397"/>
      <c r="GW128" s="397"/>
      <c r="GX128" s="397"/>
      <c r="GY128" s="397"/>
      <c r="GZ128" s="397"/>
      <c r="HA128" s="397"/>
      <c r="HB128" s="397"/>
      <c r="HC128" s="397"/>
      <c r="HD128" s="397"/>
      <c r="HE128" s="397"/>
      <c r="HF128" s="397"/>
      <c r="HG128" s="397"/>
      <c r="HH128" s="397"/>
      <c r="HI128" s="397"/>
      <c r="HJ128" s="397"/>
      <c r="HK128" s="397"/>
      <c r="HL128" s="397"/>
      <c r="HM128" s="397"/>
      <c r="HN128" s="397"/>
      <c r="HO128" s="397"/>
      <c r="HP128" s="397"/>
      <c r="HQ128" s="397"/>
      <c r="HR128" s="397"/>
      <c r="HS128" s="397"/>
      <c r="HT128" s="397"/>
      <c r="HU128" s="397"/>
      <c r="HV128" s="397"/>
      <c r="HW128" s="397"/>
      <c r="HX128" s="397"/>
      <c r="HY128" s="397"/>
      <c r="HZ128" s="397"/>
      <c r="IA128" s="397"/>
      <c r="IB128" s="397"/>
      <c r="IC128" s="397"/>
      <c r="ID128" s="397"/>
      <c r="IE128" s="397"/>
      <c r="IF128" s="397"/>
      <c r="IG128" s="397"/>
      <c r="IH128" s="397"/>
      <c r="II128" s="397"/>
      <c r="IJ128" s="397"/>
      <c r="IK128" s="397"/>
      <c r="IL128" s="397"/>
      <c r="IM128" s="397"/>
      <c r="IN128" s="397"/>
      <c r="IO128" s="397"/>
      <c r="IP128" s="397"/>
      <c r="IQ128" s="397"/>
      <c r="IR128" s="397"/>
    </row>
    <row r="129" spans="2:252" s="183" customFormat="1" ht="25.15" customHeight="1" x14ac:dyDescent="0.25">
      <c r="B129" s="85">
        <v>42401</v>
      </c>
      <c r="C129" s="184">
        <v>659168.4569772</v>
      </c>
      <c r="D129" s="184">
        <f>NetWorth[[#This Row],[Worth]]-C130</f>
        <v>4533.4618472000584</v>
      </c>
      <c r="E129" s="1" t="s">
        <v>76</v>
      </c>
      <c r="V129" s="397"/>
      <c r="W129" s="397"/>
      <c r="X129" s="397"/>
      <c r="Y129" s="397"/>
      <c r="Z129" s="397"/>
      <c r="AA129" s="397"/>
      <c r="AB129" s="397"/>
      <c r="AC129" s="397"/>
      <c r="AD129" s="397"/>
      <c r="AE129" s="397"/>
      <c r="AF129" s="397"/>
      <c r="AG129" s="397"/>
      <c r="AH129" s="397"/>
      <c r="AI129" s="397"/>
      <c r="AJ129" s="397"/>
      <c r="AK129" s="397"/>
      <c r="AL129" s="397"/>
      <c r="AM129" s="397"/>
      <c r="AN129" s="397"/>
      <c r="AO129" s="397"/>
      <c r="AP129" s="397"/>
      <c r="AQ129" s="397"/>
      <c r="AR129" s="397"/>
      <c r="AS129" s="397"/>
      <c r="AT129" s="397"/>
      <c r="AU129" s="397"/>
      <c r="AV129" s="397"/>
      <c r="AW129" s="397"/>
      <c r="AX129" s="397"/>
      <c r="AY129" s="397"/>
      <c r="AZ129" s="397"/>
      <c r="BA129" s="397"/>
      <c r="BB129" s="397"/>
      <c r="BC129" s="397"/>
      <c r="BD129" s="397"/>
      <c r="BE129" s="397"/>
      <c r="BF129" s="397"/>
      <c r="BG129" s="397"/>
      <c r="BH129" s="397"/>
      <c r="BI129" s="397"/>
      <c r="BJ129" s="397"/>
      <c r="BK129" s="397"/>
      <c r="BL129" s="397"/>
      <c r="BM129" s="397"/>
      <c r="BN129" s="397"/>
      <c r="BO129" s="397"/>
      <c r="BP129" s="397"/>
      <c r="BQ129" s="397"/>
      <c r="BR129" s="397"/>
      <c r="BS129" s="397"/>
      <c r="BT129" s="397"/>
      <c r="BU129" s="397"/>
      <c r="BV129" s="397"/>
      <c r="BW129" s="397"/>
      <c r="BX129" s="397"/>
      <c r="BY129" s="397"/>
      <c r="BZ129" s="397"/>
      <c r="CA129" s="397"/>
      <c r="CB129" s="397"/>
      <c r="CC129" s="397"/>
      <c r="CD129" s="397"/>
      <c r="CE129" s="397"/>
      <c r="CF129" s="397"/>
      <c r="CG129" s="397"/>
      <c r="CH129" s="397"/>
      <c r="CI129" s="397"/>
      <c r="CJ129" s="397"/>
      <c r="CK129" s="397"/>
      <c r="CL129" s="397"/>
      <c r="CM129" s="397"/>
      <c r="CN129" s="397"/>
      <c r="CO129" s="397"/>
      <c r="CP129" s="397"/>
      <c r="CQ129" s="397"/>
      <c r="CR129" s="397"/>
      <c r="CS129" s="397"/>
      <c r="CT129" s="397"/>
      <c r="CU129" s="397"/>
      <c r="CV129" s="397"/>
      <c r="CW129" s="397"/>
      <c r="CX129" s="397"/>
      <c r="CY129" s="397"/>
      <c r="CZ129" s="397"/>
      <c r="DA129" s="397"/>
      <c r="DB129" s="397"/>
      <c r="DC129" s="397"/>
      <c r="DD129" s="397"/>
      <c r="DE129" s="397"/>
      <c r="DF129" s="397"/>
      <c r="DG129" s="397"/>
      <c r="DH129" s="397"/>
      <c r="DI129" s="397"/>
      <c r="DJ129" s="397"/>
      <c r="DK129" s="397"/>
      <c r="DL129" s="397"/>
      <c r="DM129" s="397"/>
      <c r="DN129" s="397"/>
      <c r="DO129" s="397"/>
      <c r="DP129" s="397"/>
      <c r="DQ129" s="397"/>
      <c r="DR129" s="397"/>
      <c r="DS129" s="397"/>
      <c r="DT129" s="397"/>
      <c r="DU129" s="397"/>
      <c r="DV129" s="397"/>
      <c r="DW129" s="397"/>
      <c r="DX129" s="397"/>
      <c r="DY129" s="397"/>
      <c r="DZ129" s="397"/>
      <c r="EA129" s="397"/>
      <c r="EB129" s="397"/>
      <c r="EC129" s="397"/>
      <c r="ED129" s="397"/>
      <c r="EE129" s="397"/>
      <c r="EF129" s="397"/>
      <c r="EG129" s="397"/>
      <c r="EH129" s="397"/>
      <c r="EI129" s="397"/>
      <c r="EJ129" s="397"/>
      <c r="EK129" s="397"/>
      <c r="EL129" s="397"/>
      <c r="EM129" s="397"/>
      <c r="EN129" s="397"/>
      <c r="EO129" s="397"/>
      <c r="EP129" s="397"/>
      <c r="EQ129" s="397"/>
      <c r="ER129" s="397"/>
      <c r="ES129" s="397"/>
      <c r="ET129" s="397"/>
      <c r="EU129" s="397"/>
      <c r="EV129" s="397"/>
      <c r="EW129" s="397"/>
      <c r="EX129" s="397"/>
      <c r="EY129" s="397"/>
      <c r="EZ129" s="397"/>
      <c r="FA129" s="397"/>
      <c r="FB129" s="397"/>
      <c r="FC129" s="397"/>
      <c r="FD129" s="397"/>
      <c r="FE129" s="397"/>
      <c r="FF129" s="397"/>
      <c r="FG129" s="397"/>
      <c r="FH129" s="397"/>
      <c r="FI129" s="397"/>
      <c r="FJ129" s="397"/>
      <c r="FK129" s="397"/>
      <c r="FL129" s="397"/>
      <c r="FM129" s="397"/>
      <c r="FN129" s="397"/>
      <c r="FO129" s="397"/>
      <c r="FP129" s="397"/>
      <c r="FQ129" s="397"/>
      <c r="FR129" s="397"/>
      <c r="FS129" s="397"/>
      <c r="FT129" s="397"/>
      <c r="FU129" s="397"/>
      <c r="FV129" s="397"/>
      <c r="FW129" s="397"/>
      <c r="FX129" s="397"/>
      <c r="FY129" s="397"/>
      <c r="FZ129" s="397"/>
      <c r="GA129" s="397"/>
      <c r="GB129" s="397"/>
      <c r="GC129" s="397"/>
      <c r="GD129" s="397"/>
      <c r="GE129" s="397"/>
      <c r="GF129" s="397"/>
      <c r="GG129" s="397"/>
      <c r="GH129" s="397"/>
      <c r="GI129" s="397"/>
      <c r="GJ129" s="397"/>
      <c r="GK129" s="397"/>
      <c r="GL129" s="397"/>
      <c r="GM129" s="397"/>
      <c r="GN129" s="397"/>
      <c r="GO129" s="397"/>
      <c r="GP129" s="397"/>
      <c r="GQ129" s="397"/>
      <c r="GR129" s="397"/>
      <c r="GS129" s="397"/>
      <c r="GT129" s="397"/>
      <c r="GU129" s="397"/>
      <c r="GV129" s="397"/>
      <c r="GW129" s="397"/>
      <c r="GX129" s="397"/>
      <c r="GY129" s="397"/>
      <c r="GZ129" s="397"/>
      <c r="HA129" s="397"/>
      <c r="HB129" s="397"/>
      <c r="HC129" s="397"/>
      <c r="HD129" s="397"/>
      <c r="HE129" s="397"/>
      <c r="HF129" s="397"/>
      <c r="HG129" s="397"/>
      <c r="HH129" s="397"/>
      <c r="HI129" s="397"/>
      <c r="HJ129" s="397"/>
      <c r="HK129" s="397"/>
      <c r="HL129" s="397"/>
      <c r="HM129" s="397"/>
      <c r="HN129" s="397"/>
      <c r="HO129" s="397"/>
      <c r="HP129" s="397"/>
      <c r="HQ129" s="397"/>
      <c r="HR129" s="397"/>
      <c r="HS129" s="397"/>
      <c r="HT129" s="397"/>
      <c r="HU129" s="397"/>
      <c r="HV129" s="397"/>
      <c r="HW129" s="397"/>
      <c r="HX129" s="397"/>
      <c r="HY129" s="397"/>
      <c r="HZ129" s="397"/>
      <c r="IA129" s="397"/>
      <c r="IB129" s="397"/>
      <c r="IC129" s="397"/>
      <c r="ID129" s="397"/>
      <c r="IE129" s="397"/>
      <c r="IF129" s="397"/>
      <c r="IG129" s="397"/>
      <c r="IH129" s="397"/>
      <c r="II129" s="397"/>
      <c r="IJ129" s="397"/>
      <c r="IK129" s="397"/>
      <c r="IL129" s="397"/>
      <c r="IM129" s="397"/>
      <c r="IN129" s="397"/>
      <c r="IO129" s="397"/>
      <c r="IP129" s="397"/>
      <c r="IQ129" s="397"/>
      <c r="IR129" s="397"/>
    </row>
    <row r="130" spans="2:252" s="183" customFormat="1" ht="25.15" customHeight="1" x14ac:dyDescent="0.25">
      <c r="B130" s="85">
        <v>42370</v>
      </c>
      <c r="C130" s="184">
        <v>654634.99512999994</v>
      </c>
      <c r="D130" s="184">
        <f>NetWorth[[#This Row],[Worth]]-C131</f>
        <v>57117.161939999904</v>
      </c>
      <c r="E130" s="1" t="s">
        <v>77</v>
      </c>
      <c r="V130" s="397"/>
      <c r="W130" s="397"/>
      <c r="X130" s="397"/>
      <c r="Y130" s="397"/>
      <c r="Z130" s="397"/>
      <c r="AA130" s="397"/>
      <c r="AB130" s="397"/>
      <c r="AC130" s="397"/>
      <c r="AD130" s="397"/>
      <c r="AE130" s="397"/>
      <c r="AF130" s="397"/>
      <c r="AG130" s="397"/>
      <c r="AH130" s="397"/>
      <c r="AI130" s="397"/>
      <c r="AJ130" s="397"/>
      <c r="AK130" s="397"/>
      <c r="AL130" s="397"/>
      <c r="AM130" s="397"/>
      <c r="AN130" s="397"/>
      <c r="AO130" s="397"/>
      <c r="AP130" s="397"/>
      <c r="AQ130" s="397"/>
      <c r="AR130" s="397"/>
      <c r="AS130" s="397"/>
      <c r="AT130" s="397"/>
      <c r="AU130" s="397"/>
      <c r="AV130" s="397"/>
      <c r="AW130" s="397"/>
      <c r="AX130" s="397"/>
      <c r="AY130" s="397"/>
      <c r="AZ130" s="397"/>
      <c r="BA130" s="397"/>
      <c r="BB130" s="397"/>
      <c r="BC130" s="397"/>
      <c r="BD130" s="397"/>
      <c r="BE130" s="397"/>
      <c r="BF130" s="397"/>
      <c r="BG130" s="397"/>
      <c r="BH130" s="397"/>
      <c r="BI130" s="397"/>
      <c r="BJ130" s="397"/>
      <c r="BK130" s="397"/>
      <c r="BL130" s="397"/>
      <c r="BM130" s="397"/>
      <c r="BN130" s="397"/>
      <c r="BO130" s="397"/>
      <c r="BP130" s="397"/>
      <c r="BQ130" s="397"/>
      <c r="BR130" s="397"/>
      <c r="BS130" s="397"/>
      <c r="BT130" s="397"/>
      <c r="BU130" s="397"/>
      <c r="BV130" s="397"/>
      <c r="BW130" s="397"/>
      <c r="BX130" s="397"/>
      <c r="BY130" s="397"/>
      <c r="BZ130" s="397"/>
      <c r="CA130" s="397"/>
      <c r="CB130" s="397"/>
      <c r="CC130" s="397"/>
      <c r="CD130" s="397"/>
      <c r="CE130" s="397"/>
      <c r="CF130" s="397"/>
      <c r="CG130" s="397"/>
      <c r="CH130" s="397"/>
      <c r="CI130" s="397"/>
      <c r="CJ130" s="397"/>
      <c r="CK130" s="397"/>
      <c r="CL130" s="397"/>
      <c r="CM130" s="397"/>
      <c r="CN130" s="397"/>
      <c r="CO130" s="397"/>
      <c r="CP130" s="397"/>
      <c r="CQ130" s="397"/>
      <c r="CR130" s="397"/>
      <c r="CS130" s="397"/>
      <c r="CT130" s="397"/>
      <c r="CU130" s="397"/>
      <c r="CV130" s="397"/>
      <c r="CW130" s="397"/>
      <c r="CX130" s="397"/>
      <c r="CY130" s="397"/>
      <c r="CZ130" s="397"/>
      <c r="DA130" s="397"/>
      <c r="DB130" s="397"/>
      <c r="DC130" s="397"/>
      <c r="DD130" s="397"/>
      <c r="DE130" s="397"/>
      <c r="DF130" s="397"/>
      <c r="DG130" s="397"/>
      <c r="DH130" s="397"/>
      <c r="DI130" s="397"/>
      <c r="DJ130" s="397"/>
      <c r="DK130" s="397"/>
      <c r="DL130" s="397"/>
      <c r="DM130" s="397"/>
      <c r="DN130" s="397"/>
      <c r="DO130" s="397"/>
      <c r="DP130" s="397"/>
      <c r="DQ130" s="397"/>
      <c r="DR130" s="397"/>
      <c r="DS130" s="397"/>
      <c r="DT130" s="397"/>
      <c r="DU130" s="397"/>
      <c r="DV130" s="397"/>
      <c r="DW130" s="397"/>
      <c r="DX130" s="397"/>
      <c r="DY130" s="397"/>
      <c r="DZ130" s="397"/>
      <c r="EA130" s="397"/>
      <c r="EB130" s="397"/>
      <c r="EC130" s="397"/>
      <c r="ED130" s="397"/>
      <c r="EE130" s="397"/>
      <c r="EF130" s="397"/>
      <c r="EG130" s="397"/>
      <c r="EH130" s="397"/>
      <c r="EI130" s="397"/>
      <c r="EJ130" s="397"/>
      <c r="EK130" s="397"/>
      <c r="EL130" s="397"/>
      <c r="EM130" s="397"/>
      <c r="EN130" s="397"/>
      <c r="EO130" s="397"/>
      <c r="EP130" s="397"/>
      <c r="EQ130" s="397"/>
      <c r="ER130" s="397"/>
      <c r="ES130" s="397"/>
      <c r="ET130" s="397"/>
      <c r="EU130" s="397"/>
      <c r="EV130" s="397"/>
      <c r="EW130" s="397"/>
      <c r="EX130" s="397"/>
      <c r="EY130" s="397"/>
      <c r="EZ130" s="397"/>
      <c r="FA130" s="397"/>
      <c r="FB130" s="397"/>
      <c r="FC130" s="397"/>
      <c r="FD130" s="397"/>
      <c r="FE130" s="397"/>
      <c r="FF130" s="397"/>
      <c r="FG130" s="397"/>
      <c r="FH130" s="397"/>
      <c r="FI130" s="397"/>
      <c r="FJ130" s="397"/>
      <c r="FK130" s="397"/>
      <c r="FL130" s="397"/>
      <c r="FM130" s="397"/>
      <c r="FN130" s="397"/>
      <c r="FO130" s="397"/>
      <c r="FP130" s="397"/>
      <c r="FQ130" s="397"/>
      <c r="FR130" s="397"/>
      <c r="FS130" s="397"/>
      <c r="FT130" s="397"/>
      <c r="FU130" s="397"/>
      <c r="FV130" s="397"/>
      <c r="FW130" s="397"/>
      <c r="FX130" s="397"/>
      <c r="FY130" s="397"/>
      <c r="FZ130" s="397"/>
      <c r="GA130" s="397"/>
      <c r="GB130" s="397"/>
      <c r="GC130" s="397"/>
      <c r="GD130" s="397"/>
      <c r="GE130" s="397"/>
      <c r="GF130" s="397"/>
      <c r="GG130" s="397"/>
      <c r="GH130" s="397"/>
      <c r="GI130" s="397"/>
      <c r="GJ130" s="397"/>
      <c r="GK130" s="397"/>
      <c r="GL130" s="397"/>
      <c r="GM130" s="397"/>
      <c r="GN130" s="397"/>
      <c r="GO130" s="397"/>
      <c r="GP130" s="397"/>
      <c r="GQ130" s="397"/>
      <c r="GR130" s="397"/>
      <c r="GS130" s="397"/>
      <c r="GT130" s="397"/>
      <c r="GU130" s="397"/>
      <c r="GV130" s="397"/>
      <c r="GW130" s="397"/>
      <c r="GX130" s="397"/>
      <c r="GY130" s="397"/>
      <c r="GZ130" s="397"/>
      <c r="HA130" s="397"/>
      <c r="HB130" s="397"/>
      <c r="HC130" s="397"/>
      <c r="HD130" s="397"/>
      <c r="HE130" s="397"/>
      <c r="HF130" s="397"/>
      <c r="HG130" s="397"/>
      <c r="HH130" s="397"/>
      <c r="HI130" s="397"/>
      <c r="HJ130" s="397"/>
      <c r="HK130" s="397"/>
      <c r="HL130" s="397"/>
      <c r="HM130" s="397"/>
      <c r="HN130" s="397"/>
      <c r="HO130" s="397"/>
      <c r="HP130" s="397"/>
      <c r="HQ130" s="397"/>
      <c r="HR130" s="397"/>
      <c r="HS130" s="397"/>
      <c r="HT130" s="397"/>
      <c r="HU130" s="397"/>
      <c r="HV130" s="397"/>
      <c r="HW130" s="397"/>
      <c r="HX130" s="397"/>
      <c r="HY130" s="397"/>
      <c r="HZ130" s="397"/>
      <c r="IA130" s="397"/>
      <c r="IB130" s="397"/>
      <c r="IC130" s="397"/>
      <c r="ID130" s="397"/>
      <c r="IE130" s="397"/>
      <c r="IF130" s="397"/>
      <c r="IG130" s="397"/>
      <c r="IH130" s="397"/>
      <c r="II130" s="397"/>
      <c r="IJ130" s="397"/>
      <c r="IK130" s="397"/>
      <c r="IL130" s="397"/>
      <c r="IM130" s="397"/>
      <c r="IN130" s="397"/>
      <c r="IO130" s="397"/>
      <c r="IP130" s="397"/>
      <c r="IQ130" s="397"/>
      <c r="IR130" s="397"/>
    </row>
    <row r="131" spans="2:252" s="183" customFormat="1" ht="25.15" customHeight="1" x14ac:dyDescent="0.25">
      <c r="B131" s="85">
        <v>42339</v>
      </c>
      <c r="C131" s="184">
        <v>597517.83319000003</v>
      </c>
      <c r="D131" s="184">
        <f>NetWorth[[#This Row],[Worth]]-C132</f>
        <v>-3657.7163500000024</v>
      </c>
      <c r="E131" s="1"/>
      <c r="V131" s="397"/>
      <c r="W131" s="397"/>
      <c r="X131" s="397"/>
      <c r="Y131" s="397"/>
      <c r="Z131" s="397"/>
      <c r="AA131" s="397"/>
      <c r="AB131" s="397"/>
      <c r="AC131" s="397"/>
      <c r="AD131" s="397"/>
      <c r="AE131" s="397"/>
      <c r="AF131" s="397"/>
      <c r="AG131" s="397"/>
      <c r="AH131" s="397"/>
      <c r="AI131" s="397"/>
      <c r="AJ131" s="397"/>
      <c r="AK131" s="397"/>
      <c r="AL131" s="397"/>
      <c r="AM131" s="397"/>
      <c r="AN131" s="397"/>
      <c r="AO131" s="397"/>
      <c r="AP131" s="397"/>
      <c r="AQ131" s="397"/>
      <c r="AR131" s="397"/>
      <c r="AS131" s="397"/>
      <c r="AT131" s="397"/>
      <c r="AU131" s="397"/>
      <c r="AV131" s="397"/>
      <c r="AW131" s="397"/>
      <c r="AX131" s="397"/>
      <c r="AY131" s="397"/>
      <c r="AZ131" s="397"/>
      <c r="BA131" s="397"/>
      <c r="BB131" s="397"/>
      <c r="BC131" s="397"/>
      <c r="BD131" s="397"/>
      <c r="BE131" s="397"/>
      <c r="BF131" s="397"/>
      <c r="BG131" s="397"/>
      <c r="BH131" s="397"/>
      <c r="BI131" s="397"/>
      <c r="BJ131" s="397"/>
      <c r="BK131" s="397"/>
      <c r="BL131" s="397"/>
      <c r="BM131" s="397"/>
      <c r="BN131" s="397"/>
      <c r="BO131" s="397"/>
      <c r="BP131" s="397"/>
      <c r="BQ131" s="397"/>
      <c r="BR131" s="397"/>
      <c r="BS131" s="397"/>
      <c r="BT131" s="397"/>
      <c r="BU131" s="397"/>
      <c r="BV131" s="397"/>
      <c r="BW131" s="397"/>
      <c r="BX131" s="397"/>
      <c r="BY131" s="397"/>
      <c r="BZ131" s="397"/>
      <c r="CA131" s="397"/>
      <c r="CB131" s="397"/>
      <c r="CC131" s="397"/>
      <c r="CD131" s="397"/>
      <c r="CE131" s="397"/>
      <c r="CF131" s="397"/>
      <c r="CG131" s="397"/>
      <c r="CH131" s="397"/>
      <c r="CI131" s="397"/>
      <c r="CJ131" s="397"/>
      <c r="CK131" s="397"/>
      <c r="CL131" s="397"/>
      <c r="CM131" s="397"/>
      <c r="CN131" s="397"/>
      <c r="CO131" s="397"/>
      <c r="CP131" s="397"/>
      <c r="CQ131" s="397"/>
      <c r="CR131" s="397"/>
      <c r="CS131" s="397"/>
      <c r="CT131" s="397"/>
      <c r="CU131" s="397"/>
      <c r="CV131" s="397"/>
      <c r="CW131" s="397"/>
      <c r="CX131" s="397"/>
      <c r="CY131" s="397"/>
      <c r="CZ131" s="397"/>
      <c r="DA131" s="397"/>
      <c r="DB131" s="397"/>
      <c r="DC131" s="397"/>
      <c r="DD131" s="397"/>
      <c r="DE131" s="397"/>
      <c r="DF131" s="397"/>
      <c r="DG131" s="397"/>
      <c r="DH131" s="397"/>
      <c r="DI131" s="397"/>
      <c r="DJ131" s="397"/>
      <c r="DK131" s="397"/>
      <c r="DL131" s="397"/>
      <c r="DM131" s="397"/>
      <c r="DN131" s="397"/>
      <c r="DO131" s="397"/>
      <c r="DP131" s="397"/>
      <c r="DQ131" s="397"/>
      <c r="DR131" s="397"/>
      <c r="DS131" s="397"/>
      <c r="DT131" s="397"/>
      <c r="DU131" s="397"/>
      <c r="DV131" s="397"/>
      <c r="DW131" s="397"/>
      <c r="DX131" s="397"/>
      <c r="DY131" s="397"/>
      <c r="DZ131" s="397"/>
      <c r="EA131" s="397"/>
      <c r="EB131" s="397"/>
      <c r="EC131" s="397"/>
      <c r="ED131" s="397"/>
      <c r="EE131" s="397"/>
      <c r="EF131" s="397"/>
      <c r="EG131" s="397"/>
      <c r="EH131" s="397"/>
      <c r="EI131" s="397"/>
      <c r="EJ131" s="397"/>
      <c r="EK131" s="397"/>
      <c r="EL131" s="397"/>
      <c r="EM131" s="397"/>
      <c r="EN131" s="397"/>
      <c r="EO131" s="397"/>
      <c r="EP131" s="397"/>
      <c r="EQ131" s="397"/>
      <c r="ER131" s="397"/>
      <c r="ES131" s="397"/>
      <c r="ET131" s="397"/>
      <c r="EU131" s="397"/>
      <c r="EV131" s="397"/>
      <c r="EW131" s="397"/>
      <c r="EX131" s="397"/>
      <c r="EY131" s="397"/>
      <c r="EZ131" s="397"/>
      <c r="FA131" s="397"/>
      <c r="FB131" s="397"/>
      <c r="FC131" s="397"/>
      <c r="FD131" s="397"/>
      <c r="FE131" s="397"/>
      <c r="FF131" s="397"/>
      <c r="FG131" s="397"/>
      <c r="FH131" s="397"/>
      <c r="FI131" s="397"/>
      <c r="FJ131" s="397"/>
      <c r="FK131" s="397"/>
      <c r="FL131" s="397"/>
      <c r="FM131" s="397"/>
      <c r="FN131" s="397"/>
      <c r="FO131" s="397"/>
      <c r="FP131" s="397"/>
      <c r="FQ131" s="397"/>
      <c r="FR131" s="397"/>
      <c r="FS131" s="397"/>
      <c r="FT131" s="397"/>
      <c r="FU131" s="397"/>
      <c r="FV131" s="397"/>
      <c r="FW131" s="397"/>
      <c r="FX131" s="397"/>
      <c r="FY131" s="397"/>
      <c r="FZ131" s="397"/>
      <c r="GA131" s="397"/>
      <c r="GB131" s="397"/>
      <c r="GC131" s="397"/>
      <c r="GD131" s="397"/>
      <c r="GE131" s="397"/>
      <c r="GF131" s="397"/>
      <c r="GG131" s="397"/>
      <c r="GH131" s="397"/>
      <c r="GI131" s="397"/>
      <c r="GJ131" s="397"/>
      <c r="GK131" s="397"/>
      <c r="GL131" s="397"/>
      <c r="GM131" s="397"/>
      <c r="GN131" s="397"/>
      <c r="GO131" s="397"/>
      <c r="GP131" s="397"/>
      <c r="GQ131" s="397"/>
      <c r="GR131" s="397"/>
      <c r="GS131" s="397"/>
      <c r="GT131" s="397"/>
      <c r="GU131" s="397"/>
      <c r="GV131" s="397"/>
      <c r="GW131" s="397"/>
      <c r="GX131" s="397"/>
      <c r="GY131" s="397"/>
      <c r="GZ131" s="397"/>
      <c r="HA131" s="397"/>
      <c r="HB131" s="397"/>
      <c r="HC131" s="397"/>
      <c r="HD131" s="397"/>
      <c r="HE131" s="397"/>
      <c r="HF131" s="397"/>
      <c r="HG131" s="397"/>
      <c r="HH131" s="397"/>
      <c r="HI131" s="397"/>
      <c r="HJ131" s="397"/>
      <c r="HK131" s="397"/>
      <c r="HL131" s="397"/>
      <c r="HM131" s="397"/>
      <c r="HN131" s="397"/>
      <c r="HO131" s="397"/>
      <c r="HP131" s="397"/>
      <c r="HQ131" s="397"/>
      <c r="HR131" s="397"/>
      <c r="HS131" s="397"/>
      <c r="HT131" s="397"/>
      <c r="HU131" s="397"/>
      <c r="HV131" s="397"/>
      <c r="HW131" s="397"/>
      <c r="HX131" s="397"/>
      <c r="HY131" s="397"/>
      <c r="HZ131" s="397"/>
      <c r="IA131" s="397"/>
      <c r="IB131" s="397"/>
      <c r="IC131" s="397"/>
      <c r="ID131" s="397"/>
      <c r="IE131" s="397"/>
      <c r="IF131" s="397"/>
      <c r="IG131" s="397"/>
      <c r="IH131" s="397"/>
      <c r="II131" s="397"/>
      <c r="IJ131" s="397"/>
      <c r="IK131" s="397"/>
      <c r="IL131" s="397"/>
      <c r="IM131" s="397"/>
      <c r="IN131" s="397"/>
      <c r="IO131" s="397"/>
      <c r="IP131" s="397"/>
      <c r="IQ131" s="397"/>
      <c r="IR131" s="397"/>
    </row>
    <row r="132" spans="2:252" s="183" customFormat="1" ht="25.15" customHeight="1" x14ac:dyDescent="0.25">
      <c r="B132" s="85">
        <v>42278</v>
      </c>
      <c r="C132" s="184">
        <v>601175.54954000004</v>
      </c>
      <c r="D132" s="184">
        <f>NetWorth[[#This Row],[Worth]]-C133</f>
        <v>14111.970260400092</v>
      </c>
      <c r="E132" s="1"/>
      <c r="V132" s="397"/>
      <c r="W132" s="397"/>
      <c r="X132" s="397"/>
      <c r="Y132" s="397"/>
      <c r="Z132" s="397"/>
      <c r="AA132" s="397"/>
      <c r="AB132" s="397"/>
      <c r="AC132" s="397"/>
      <c r="AD132" s="397"/>
      <c r="AE132" s="397"/>
      <c r="AF132" s="397"/>
      <c r="AG132" s="397"/>
      <c r="AH132" s="397"/>
      <c r="AI132" s="397"/>
      <c r="AJ132" s="397"/>
      <c r="AK132" s="397"/>
      <c r="AL132" s="397"/>
      <c r="AM132" s="397"/>
      <c r="AN132" s="397"/>
      <c r="AO132" s="397"/>
      <c r="AP132" s="397"/>
      <c r="AQ132" s="397"/>
      <c r="AR132" s="397"/>
      <c r="AS132" s="397"/>
      <c r="AT132" s="397"/>
      <c r="AU132" s="397"/>
      <c r="AV132" s="397"/>
      <c r="AW132" s="397"/>
      <c r="AX132" s="397"/>
      <c r="AY132" s="397"/>
      <c r="AZ132" s="397"/>
      <c r="BA132" s="397"/>
      <c r="BB132" s="397"/>
      <c r="BC132" s="397"/>
      <c r="BD132" s="397"/>
      <c r="BE132" s="397"/>
      <c r="BF132" s="397"/>
      <c r="BG132" s="397"/>
      <c r="BH132" s="397"/>
      <c r="BI132" s="397"/>
      <c r="BJ132" s="397"/>
      <c r="BK132" s="397"/>
      <c r="BL132" s="397"/>
      <c r="BM132" s="397"/>
      <c r="BN132" s="397"/>
      <c r="BO132" s="397"/>
      <c r="BP132" s="397"/>
      <c r="BQ132" s="397"/>
      <c r="BR132" s="397"/>
      <c r="BS132" s="397"/>
      <c r="BT132" s="397"/>
      <c r="BU132" s="397"/>
      <c r="BV132" s="397"/>
      <c r="BW132" s="397"/>
      <c r="BX132" s="397"/>
      <c r="BY132" s="397"/>
      <c r="BZ132" s="397"/>
      <c r="CA132" s="397"/>
      <c r="CB132" s="397"/>
      <c r="CC132" s="397"/>
      <c r="CD132" s="397"/>
      <c r="CE132" s="397"/>
      <c r="CF132" s="397"/>
      <c r="CG132" s="397"/>
      <c r="CH132" s="397"/>
      <c r="CI132" s="397"/>
      <c r="CJ132" s="397"/>
      <c r="CK132" s="397"/>
      <c r="CL132" s="397"/>
      <c r="CM132" s="397"/>
      <c r="CN132" s="397"/>
      <c r="CO132" s="397"/>
      <c r="CP132" s="397"/>
      <c r="CQ132" s="397"/>
      <c r="CR132" s="397"/>
      <c r="CS132" s="397"/>
      <c r="CT132" s="397"/>
      <c r="CU132" s="397"/>
      <c r="CV132" s="397"/>
      <c r="CW132" s="397"/>
      <c r="CX132" s="397"/>
      <c r="CY132" s="397"/>
      <c r="CZ132" s="397"/>
      <c r="DA132" s="397"/>
      <c r="DB132" s="397"/>
      <c r="DC132" s="397"/>
      <c r="DD132" s="397"/>
      <c r="DE132" s="397"/>
      <c r="DF132" s="397"/>
      <c r="DG132" s="397"/>
      <c r="DH132" s="397"/>
      <c r="DI132" s="397"/>
      <c r="DJ132" s="397"/>
      <c r="DK132" s="397"/>
      <c r="DL132" s="397"/>
      <c r="DM132" s="397"/>
      <c r="DN132" s="397"/>
      <c r="DO132" s="397"/>
      <c r="DP132" s="397"/>
      <c r="DQ132" s="397"/>
      <c r="DR132" s="397"/>
      <c r="DS132" s="397"/>
      <c r="DT132" s="397"/>
      <c r="DU132" s="397"/>
      <c r="DV132" s="397"/>
      <c r="DW132" s="397"/>
      <c r="DX132" s="397"/>
      <c r="DY132" s="397"/>
      <c r="DZ132" s="397"/>
      <c r="EA132" s="397"/>
      <c r="EB132" s="397"/>
      <c r="EC132" s="397"/>
      <c r="ED132" s="397"/>
      <c r="EE132" s="397"/>
      <c r="EF132" s="397"/>
      <c r="EG132" s="397"/>
      <c r="EH132" s="397"/>
      <c r="EI132" s="397"/>
      <c r="EJ132" s="397"/>
      <c r="EK132" s="397"/>
      <c r="EL132" s="397"/>
      <c r="EM132" s="397"/>
      <c r="EN132" s="397"/>
      <c r="EO132" s="397"/>
      <c r="EP132" s="397"/>
      <c r="EQ132" s="397"/>
      <c r="ER132" s="397"/>
      <c r="ES132" s="397"/>
      <c r="ET132" s="397"/>
      <c r="EU132" s="397"/>
      <c r="EV132" s="397"/>
      <c r="EW132" s="397"/>
      <c r="EX132" s="397"/>
      <c r="EY132" s="397"/>
      <c r="EZ132" s="397"/>
      <c r="FA132" s="397"/>
      <c r="FB132" s="397"/>
      <c r="FC132" s="397"/>
      <c r="FD132" s="397"/>
      <c r="FE132" s="397"/>
      <c r="FF132" s="397"/>
      <c r="FG132" s="397"/>
      <c r="FH132" s="397"/>
      <c r="FI132" s="397"/>
      <c r="FJ132" s="397"/>
      <c r="FK132" s="397"/>
      <c r="FL132" s="397"/>
      <c r="FM132" s="397"/>
      <c r="FN132" s="397"/>
      <c r="FO132" s="397"/>
      <c r="FP132" s="397"/>
      <c r="FQ132" s="397"/>
      <c r="FR132" s="397"/>
      <c r="FS132" s="397"/>
      <c r="FT132" s="397"/>
      <c r="FU132" s="397"/>
      <c r="FV132" s="397"/>
      <c r="FW132" s="397"/>
      <c r="FX132" s="397"/>
      <c r="FY132" s="397"/>
      <c r="FZ132" s="397"/>
      <c r="GA132" s="397"/>
      <c r="GB132" s="397"/>
      <c r="GC132" s="397"/>
      <c r="GD132" s="397"/>
      <c r="GE132" s="397"/>
      <c r="GF132" s="397"/>
      <c r="GG132" s="397"/>
      <c r="GH132" s="397"/>
      <c r="GI132" s="397"/>
      <c r="GJ132" s="397"/>
      <c r="GK132" s="397"/>
      <c r="GL132" s="397"/>
      <c r="GM132" s="397"/>
      <c r="GN132" s="397"/>
      <c r="GO132" s="397"/>
      <c r="GP132" s="397"/>
      <c r="GQ132" s="397"/>
      <c r="GR132" s="397"/>
      <c r="GS132" s="397"/>
      <c r="GT132" s="397"/>
      <c r="GU132" s="397"/>
      <c r="GV132" s="397"/>
      <c r="GW132" s="397"/>
      <c r="GX132" s="397"/>
      <c r="GY132" s="397"/>
      <c r="GZ132" s="397"/>
      <c r="HA132" s="397"/>
      <c r="HB132" s="397"/>
      <c r="HC132" s="397"/>
      <c r="HD132" s="397"/>
      <c r="HE132" s="397"/>
      <c r="HF132" s="397"/>
      <c r="HG132" s="397"/>
      <c r="HH132" s="397"/>
      <c r="HI132" s="397"/>
      <c r="HJ132" s="397"/>
      <c r="HK132" s="397"/>
      <c r="HL132" s="397"/>
      <c r="HM132" s="397"/>
      <c r="HN132" s="397"/>
      <c r="HO132" s="397"/>
      <c r="HP132" s="397"/>
      <c r="HQ132" s="397"/>
      <c r="HR132" s="397"/>
      <c r="HS132" s="397"/>
      <c r="HT132" s="397"/>
      <c r="HU132" s="397"/>
      <c r="HV132" s="397"/>
      <c r="HW132" s="397"/>
      <c r="HX132" s="397"/>
      <c r="HY132" s="397"/>
      <c r="HZ132" s="397"/>
      <c r="IA132" s="397"/>
      <c r="IB132" s="397"/>
      <c r="IC132" s="397"/>
      <c r="ID132" s="397"/>
      <c r="IE132" s="397"/>
      <c r="IF132" s="397"/>
      <c r="IG132" s="397"/>
      <c r="IH132" s="397"/>
      <c r="II132" s="397"/>
      <c r="IJ132" s="397"/>
      <c r="IK132" s="397"/>
      <c r="IL132" s="397"/>
      <c r="IM132" s="397"/>
      <c r="IN132" s="397"/>
      <c r="IO132" s="397"/>
      <c r="IP132" s="397"/>
      <c r="IQ132" s="397"/>
      <c r="IR132" s="397"/>
    </row>
    <row r="133" spans="2:252" s="183" customFormat="1" ht="25.15" customHeight="1" x14ac:dyDescent="0.25">
      <c r="B133" s="85">
        <v>42248</v>
      </c>
      <c r="C133" s="184">
        <v>587063.57927959994</v>
      </c>
      <c r="D133" s="184">
        <f>NetWorth[[#This Row],[Worth]]-C134</f>
        <v>-8322.5564300001133</v>
      </c>
      <c r="E133" s="1" t="s">
        <v>78</v>
      </c>
      <c r="V133" s="397"/>
      <c r="W133" s="397"/>
      <c r="X133" s="397"/>
      <c r="Y133" s="397"/>
      <c r="Z133" s="397"/>
      <c r="AA133" s="397"/>
      <c r="AB133" s="397"/>
      <c r="AC133" s="397"/>
      <c r="AD133" s="397"/>
      <c r="AE133" s="397"/>
      <c r="AF133" s="397"/>
      <c r="AG133" s="397"/>
      <c r="AH133" s="397"/>
      <c r="AI133" s="397"/>
      <c r="AJ133" s="397"/>
      <c r="AK133" s="397"/>
      <c r="AL133" s="397"/>
      <c r="AM133" s="397"/>
      <c r="AN133" s="397"/>
      <c r="AO133" s="397"/>
      <c r="AP133" s="397"/>
      <c r="AQ133" s="397"/>
      <c r="AR133" s="397"/>
      <c r="AS133" s="397"/>
      <c r="AT133" s="397"/>
      <c r="AU133" s="397"/>
      <c r="AV133" s="397"/>
      <c r="AW133" s="397"/>
      <c r="AX133" s="397"/>
      <c r="AY133" s="397"/>
      <c r="AZ133" s="397"/>
      <c r="BA133" s="397"/>
      <c r="BB133" s="397"/>
      <c r="BC133" s="397"/>
      <c r="BD133" s="397"/>
      <c r="BE133" s="397"/>
      <c r="BF133" s="397"/>
      <c r="BG133" s="397"/>
      <c r="BH133" s="397"/>
      <c r="BI133" s="397"/>
      <c r="BJ133" s="397"/>
      <c r="BK133" s="397"/>
      <c r="BL133" s="397"/>
      <c r="BM133" s="397"/>
      <c r="BN133" s="397"/>
      <c r="BO133" s="397"/>
      <c r="BP133" s="397"/>
      <c r="BQ133" s="397"/>
      <c r="BR133" s="397"/>
      <c r="BS133" s="397"/>
      <c r="BT133" s="397"/>
      <c r="BU133" s="397"/>
      <c r="BV133" s="397"/>
      <c r="BW133" s="397"/>
      <c r="BX133" s="397"/>
      <c r="BY133" s="397"/>
      <c r="BZ133" s="397"/>
      <c r="CA133" s="397"/>
      <c r="CB133" s="397"/>
      <c r="CC133" s="397"/>
      <c r="CD133" s="397"/>
      <c r="CE133" s="397"/>
      <c r="CF133" s="397"/>
      <c r="CG133" s="397"/>
      <c r="CH133" s="397"/>
      <c r="CI133" s="397"/>
      <c r="CJ133" s="397"/>
      <c r="CK133" s="397"/>
      <c r="CL133" s="397"/>
      <c r="CM133" s="397"/>
      <c r="CN133" s="397"/>
      <c r="CO133" s="397"/>
      <c r="CP133" s="397"/>
      <c r="CQ133" s="397"/>
      <c r="CR133" s="397"/>
      <c r="CS133" s="397"/>
      <c r="CT133" s="397"/>
      <c r="CU133" s="397"/>
      <c r="CV133" s="397"/>
      <c r="CW133" s="397"/>
      <c r="CX133" s="397"/>
      <c r="CY133" s="397"/>
      <c r="CZ133" s="397"/>
      <c r="DA133" s="397"/>
      <c r="DB133" s="397"/>
      <c r="DC133" s="397"/>
      <c r="DD133" s="397"/>
      <c r="DE133" s="397"/>
      <c r="DF133" s="397"/>
      <c r="DG133" s="397"/>
      <c r="DH133" s="397"/>
      <c r="DI133" s="397"/>
      <c r="DJ133" s="397"/>
      <c r="DK133" s="397"/>
      <c r="DL133" s="397"/>
      <c r="DM133" s="397"/>
      <c r="DN133" s="397"/>
      <c r="DO133" s="397"/>
      <c r="DP133" s="397"/>
      <c r="DQ133" s="397"/>
      <c r="DR133" s="397"/>
      <c r="DS133" s="397"/>
      <c r="DT133" s="397"/>
      <c r="DU133" s="397"/>
      <c r="DV133" s="397"/>
      <c r="DW133" s="397"/>
      <c r="DX133" s="397"/>
      <c r="DY133" s="397"/>
      <c r="DZ133" s="397"/>
      <c r="EA133" s="397"/>
      <c r="EB133" s="397"/>
      <c r="EC133" s="397"/>
      <c r="ED133" s="397"/>
      <c r="EE133" s="397"/>
      <c r="EF133" s="397"/>
      <c r="EG133" s="397"/>
      <c r="EH133" s="397"/>
      <c r="EI133" s="397"/>
      <c r="EJ133" s="397"/>
      <c r="EK133" s="397"/>
      <c r="EL133" s="397"/>
      <c r="EM133" s="397"/>
      <c r="EN133" s="397"/>
      <c r="EO133" s="397"/>
      <c r="EP133" s="397"/>
      <c r="EQ133" s="397"/>
      <c r="ER133" s="397"/>
      <c r="ES133" s="397"/>
      <c r="ET133" s="397"/>
      <c r="EU133" s="397"/>
      <c r="EV133" s="397"/>
      <c r="EW133" s="397"/>
      <c r="EX133" s="397"/>
      <c r="EY133" s="397"/>
      <c r="EZ133" s="397"/>
      <c r="FA133" s="397"/>
      <c r="FB133" s="397"/>
      <c r="FC133" s="397"/>
      <c r="FD133" s="397"/>
      <c r="FE133" s="397"/>
      <c r="FF133" s="397"/>
      <c r="FG133" s="397"/>
      <c r="FH133" s="397"/>
      <c r="FI133" s="397"/>
      <c r="FJ133" s="397"/>
      <c r="FK133" s="397"/>
      <c r="FL133" s="397"/>
      <c r="FM133" s="397"/>
      <c r="FN133" s="397"/>
      <c r="FO133" s="397"/>
      <c r="FP133" s="397"/>
      <c r="FQ133" s="397"/>
      <c r="FR133" s="397"/>
      <c r="FS133" s="397"/>
      <c r="FT133" s="397"/>
      <c r="FU133" s="397"/>
      <c r="FV133" s="397"/>
      <c r="FW133" s="397"/>
      <c r="FX133" s="397"/>
      <c r="FY133" s="397"/>
      <c r="FZ133" s="397"/>
      <c r="GA133" s="397"/>
      <c r="GB133" s="397"/>
      <c r="GC133" s="397"/>
      <c r="GD133" s="397"/>
      <c r="GE133" s="397"/>
      <c r="GF133" s="397"/>
      <c r="GG133" s="397"/>
      <c r="GH133" s="397"/>
      <c r="GI133" s="397"/>
      <c r="GJ133" s="397"/>
      <c r="GK133" s="397"/>
      <c r="GL133" s="397"/>
      <c r="GM133" s="397"/>
      <c r="GN133" s="397"/>
      <c r="GO133" s="397"/>
      <c r="GP133" s="397"/>
      <c r="GQ133" s="397"/>
      <c r="GR133" s="397"/>
      <c r="GS133" s="397"/>
      <c r="GT133" s="397"/>
      <c r="GU133" s="397"/>
      <c r="GV133" s="397"/>
      <c r="GW133" s="397"/>
      <c r="GX133" s="397"/>
      <c r="GY133" s="397"/>
      <c r="GZ133" s="397"/>
      <c r="HA133" s="397"/>
      <c r="HB133" s="397"/>
      <c r="HC133" s="397"/>
      <c r="HD133" s="397"/>
      <c r="HE133" s="397"/>
      <c r="HF133" s="397"/>
      <c r="HG133" s="397"/>
      <c r="HH133" s="397"/>
      <c r="HI133" s="397"/>
      <c r="HJ133" s="397"/>
      <c r="HK133" s="397"/>
      <c r="HL133" s="397"/>
      <c r="HM133" s="397"/>
      <c r="HN133" s="397"/>
      <c r="HO133" s="397"/>
      <c r="HP133" s="397"/>
      <c r="HQ133" s="397"/>
      <c r="HR133" s="397"/>
      <c r="HS133" s="397"/>
      <c r="HT133" s="397"/>
      <c r="HU133" s="397"/>
      <c r="HV133" s="397"/>
      <c r="HW133" s="397"/>
      <c r="HX133" s="397"/>
      <c r="HY133" s="397"/>
      <c r="HZ133" s="397"/>
      <c r="IA133" s="397"/>
      <c r="IB133" s="397"/>
      <c r="IC133" s="397"/>
      <c r="ID133" s="397"/>
      <c r="IE133" s="397"/>
      <c r="IF133" s="397"/>
      <c r="IG133" s="397"/>
      <c r="IH133" s="397"/>
      <c r="II133" s="397"/>
      <c r="IJ133" s="397"/>
      <c r="IK133" s="397"/>
      <c r="IL133" s="397"/>
      <c r="IM133" s="397"/>
      <c r="IN133" s="397"/>
      <c r="IO133" s="397"/>
      <c r="IP133" s="397"/>
      <c r="IQ133" s="397"/>
      <c r="IR133" s="397"/>
    </row>
    <row r="134" spans="2:252" s="183" customFormat="1" ht="25.15" customHeight="1" x14ac:dyDescent="0.25">
      <c r="B134" s="85">
        <v>42217</v>
      </c>
      <c r="C134" s="184">
        <v>595386.13570960006</v>
      </c>
      <c r="D134" s="184">
        <f>NetWorth[[#This Row],[Worth]]-C135</f>
        <v>14252.918100000126</v>
      </c>
      <c r="E134" s="1" t="s">
        <v>79</v>
      </c>
      <c r="V134" s="397"/>
      <c r="W134" s="397"/>
      <c r="X134" s="397"/>
      <c r="Y134" s="397"/>
      <c r="Z134" s="397"/>
      <c r="AA134" s="397"/>
      <c r="AB134" s="397"/>
      <c r="AC134" s="397"/>
      <c r="AD134" s="397"/>
      <c r="AE134" s="397"/>
      <c r="AF134" s="397"/>
      <c r="AG134" s="397"/>
      <c r="AH134" s="397"/>
      <c r="AI134" s="397"/>
      <c r="AJ134" s="397"/>
      <c r="AK134" s="397"/>
      <c r="AL134" s="397"/>
      <c r="AM134" s="397"/>
      <c r="AN134" s="397"/>
      <c r="AO134" s="397"/>
      <c r="AP134" s="397"/>
      <c r="AQ134" s="397"/>
      <c r="AR134" s="397"/>
      <c r="AS134" s="397"/>
      <c r="AT134" s="397"/>
      <c r="AU134" s="397"/>
      <c r="AV134" s="397"/>
      <c r="AW134" s="397"/>
      <c r="AX134" s="397"/>
      <c r="AY134" s="397"/>
      <c r="AZ134" s="397"/>
      <c r="BA134" s="397"/>
      <c r="BB134" s="397"/>
      <c r="BC134" s="397"/>
      <c r="BD134" s="397"/>
      <c r="BE134" s="397"/>
      <c r="BF134" s="397"/>
      <c r="BG134" s="397"/>
      <c r="BH134" s="397"/>
      <c r="BI134" s="397"/>
      <c r="BJ134" s="397"/>
      <c r="BK134" s="397"/>
      <c r="BL134" s="397"/>
      <c r="BM134" s="397"/>
      <c r="BN134" s="397"/>
      <c r="BO134" s="397"/>
      <c r="BP134" s="397"/>
      <c r="BQ134" s="397"/>
      <c r="BR134" s="397"/>
      <c r="BS134" s="397"/>
      <c r="BT134" s="397"/>
      <c r="BU134" s="397"/>
      <c r="BV134" s="397"/>
      <c r="BW134" s="397"/>
      <c r="BX134" s="397"/>
      <c r="BY134" s="397"/>
      <c r="BZ134" s="397"/>
      <c r="CA134" s="397"/>
      <c r="CB134" s="397"/>
      <c r="CC134" s="397"/>
      <c r="CD134" s="397"/>
      <c r="CE134" s="397"/>
      <c r="CF134" s="397"/>
      <c r="CG134" s="397"/>
      <c r="CH134" s="397"/>
      <c r="CI134" s="397"/>
      <c r="CJ134" s="397"/>
      <c r="CK134" s="397"/>
      <c r="CL134" s="397"/>
      <c r="CM134" s="397"/>
      <c r="CN134" s="397"/>
      <c r="CO134" s="397"/>
      <c r="CP134" s="397"/>
      <c r="CQ134" s="397"/>
      <c r="CR134" s="397"/>
      <c r="CS134" s="397"/>
      <c r="CT134" s="397"/>
      <c r="CU134" s="397"/>
      <c r="CV134" s="397"/>
      <c r="CW134" s="397"/>
      <c r="CX134" s="397"/>
      <c r="CY134" s="397"/>
      <c r="CZ134" s="397"/>
      <c r="DA134" s="397"/>
      <c r="DB134" s="397"/>
      <c r="DC134" s="397"/>
      <c r="DD134" s="397"/>
      <c r="DE134" s="397"/>
      <c r="DF134" s="397"/>
      <c r="DG134" s="397"/>
      <c r="DH134" s="397"/>
      <c r="DI134" s="397"/>
      <c r="DJ134" s="397"/>
      <c r="DK134" s="397"/>
      <c r="DL134" s="397"/>
      <c r="DM134" s="397"/>
      <c r="DN134" s="397"/>
      <c r="DO134" s="397"/>
      <c r="DP134" s="397"/>
      <c r="DQ134" s="397"/>
      <c r="DR134" s="397"/>
      <c r="DS134" s="397"/>
      <c r="DT134" s="397"/>
      <c r="DU134" s="397"/>
      <c r="DV134" s="397"/>
      <c r="DW134" s="397"/>
      <c r="DX134" s="397"/>
      <c r="DY134" s="397"/>
      <c r="DZ134" s="397"/>
      <c r="EA134" s="397"/>
      <c r="EB134" s="397"/>
      <c r="EC134" s="397"/>
      <c r="ED134" s="397"/>
      <c r="EE134" s="397"/>
      <c r="EF134" s="397"/>
      <c r="EG134" s="397"/>
      <c r="EH134" s="397"/>
      <c r="EI134" s="397"/>
      <c r="EJ134" s="397"/>
      <c r="EK134" s="397"/>
      <c r="EL134" s="397"/>
      <c r="EM134" s="397"/>
      <c r="EN134" s="397"/>
      <c r="EO134" s="397"/>
      <c r="EP134" s="397"/>
      <c r="EQ134" s="397"/>
      <c r="ER134" s="397"/>
      <c r="ES134" s="397"/>
      <c r="ET134" s="397"/>
      <c r="EU134" s="397"/>
      <c r="EV134" s="397"/>
      <c r="EW134" s="397"/>
      <c r="EX134" s="397"/>
      <c r="EY134" s="397"/>
      <c r="EZ134" s="397"/>
      <c r="FA134" s="397"/>
      <c r="FB134" s="397"/>
      <c r="FC134" s="397"/>
      <c r="FD134" s="397"/>
      <c r="FE134" s="397"/>
      <c r="FF134" s="397"/>
      <c r="FG134" s="397"/>
      <c r="FH134" s="397"/>
      <c r="FI134" s="397"/>
      <c r="FJ134" s="397"/>
      <c r="FK134" s="397"/>
      <c r="FL134" s="397"/>
      <c r="FM134" s="397"/>
      <c r="FN134" s="397"/>
      <c r="FO134" s="397"/>
      <c r="FP134" s="397"/>
      <c r="FQ134" s="397"/>
      <c r="FR134" s="397"/>
      <c r="FS134" s="397"/>
      <c r="FT134" s="397"/>
      <c r="FU134" s="397"/>
      <c r="FV134" s="397"/>
      <c r="FW134" s="397"/>
      <c r="FX134" s="397"/>
      <c r="FY134" s="397"/>
      <c r="FZ134" s="397"/>
      <c r="GA134" s="397"/>
      <c r="GB134" s="397"/>
      <c r="GC134" s="397"/>
      <c r="GD134" s="397"/>
      <c r="GE134" s="397"/>
      <c r="GF134" s="397"/>
      <c r="GG134" s="397"/>
      <c r="GH134" s="397"/>
      <c r="GI134" s="397"/>
      <c r="GJ134" s="397"/>
      <c r="GK134" s="397"/>
      <c r="GL134" s="397"/>
      <c r="GM134" s="397"/>
      <c r="GN134" s="397"/>
      <c r="GO134" s="397"/>
      <c r="GP134" s="397"/>
      <c r="GQ134" s="397"/>
      <c r="GR134" s="397"/>
      <c r="GS134" s="397"/>
      <c r="GT134" s="397"/>
      <c r="GU134" s="397"/>
      <c r="GV134" s="397"/>
      <c r="GW134" s="397"/>
      <c r="GX134" s="397"/>
      <c r="GY134" s="397"/>
      <c r="GZ134" s="397"/>
      <c r="HA134" s="397"/>
      <c r="HB134" s="397"/>
      <c r="HC134" s="397"/>
      <c r="HD134" s="397"/>
      <c r="HE134" s="397"/>
      <c r="HF134" s="397"/>
      <c r="HG134" s="397"/>
      <c r="HH134" s="397"/>
      <c r="HI134" s="397"/>
      <c r="HJ134" s="397"/>
      <c r="HK134" s="397"/>
      <c r="HL134" s="397"/>
      <c r="HM134" s="397"/>
      <c r="HN134" s="397"/>
      <c r="HO134" s="397"/>
      <c r="HP134" s="397"/>
      <c r="HQ134" s="397"/>
      <c r="HR134" s="397"/>
      <c r="HS134" s="397"/>
      <c r="HT134" s="397"/>
      <c r="HU134" s="397"/>
      <c r="HV134" s="397"/>
      <c r="HW134" s="397"/>
      <c r="HX134" s="397"/>
      <c r="HY134" s="397"/>
      <c r="HZ134" s="397"/>
      <c r="IA134" s="397"/>
      <c r="IB134" s="397"/>
      <c r="IC134" s="397"/>
      <c r="ID134" s="397"/>
      <c r="IE134" s="397"/>
      <c r="IF134" s="397"/>
      <c r="IG134" s="397"/>
      <c r="IH134" s="397"/>
      <c r="II134" s="397"/>
      <c r="IJ134" s="397"/>
      <c r="IK134" s="397"/>
      <c r="IL134" s="397"/>
      <c r="IM134" s="397"/>
      <c r="IN134" s="397"/>
      <c r="IO134" s="397"/>
      <c r="IP134" s="397"/>
      <c r="IQ134" s="397"/>
      <c r="IR134" s="397"/>
    </row>
    <row r="135" spans="2:252" s="183" customFormat="1" ht="25.15" customHeight="1" x14ac:dyDescent="0.25">
      <c r="B135" s="85">
        <v>42186</v>
      </c>
      <c r="C135" s="184">
        <v>581133.21760959993</v>
      </c>
      <c r="D135" s="184">
        <f>NetWorth[[#This Row],[Worth]]-C136</f>
        <v>4238.7328999999445</v>
      </c>
      <c r="E135" s="1"/>
      <c r="V135" s="397"/>
      <c r="W135" s="397"/>
      <c r="X135" s="397"/>
      <c r="Y135" s="397"/>
      <c r="Z135" s="397"/>
      <c r="AA135" s="397"/>
      <c r="AB135" s="397"/>
      <c r="AC135" s="397"/>
      <c r="AD135" s="397"/>
      <c r="AE135" s="397"/>
      <c r="AF135" s="397"/>
      <c r="AG135" s="397"/>
      <c r="AH135" s="397"/>
      <c r="AI135" s="397"/>
      <c r="AJ135" s="397"/>
      <c r="AK135" s="397"/>
      <c r="AL135" s="397"/>
      <c r="AM135" s="397"/>
      <c r="AN135" s="397"/>
      <c r="AO135" s="397"/>
      <c r="AP135" s="397"/>
      <c r="AQ135" s="397"/>
      <c r="AR135" s="397"/>
      <c r="AS135" s="397"/>
      <c r="AT135" s="397"/>
      <c r="AU135" s="397"/>
      <c r="AV135" s="397"/>
      <c r="AW135" s="397"/>
      <c r="AX135" s="397"/>
      <c r="AY135" s="397"/>
      <c r="AZ135" s="397"/>
      <c r="BA135" s="397"/>
      <c r="BB135" s="397"/>
      <c r="BC135" s="397"/>
      <c r="BD135" s="397"/>
      <c r="BE135" s="397"/>
      <c r="BF135" s="397"/>
      <c r="BG135" s="397"/>
      <c r="BH135" s="397"/>
      <c r="BI135" s="397"/>
      <c r="BJ135" s="397"/>
      <c r="BK135" s="397"/>
      <c r="BL135" s="397"/>
      <c r="BM135" s="397"/>
      <c r="BN135" s="397"/>
      <c r="BO135" s="397"/>
      <c r="BP135" s="397"/>
      <c r="BQ135" s="397"/>
      <c r="BR135" s="397"/>
      <c r="BS135" s="397"/>
      <c r="BT135" s="397"/>
      <c r="BU135" s="397"/>
      <c r="BV135" s="397"/>
      <c r="BW135" s="397"/>
      <c r="BX135" s="397"/>
      <c r="BY135" s="397"/>
      <c r="BZ135" s="397"/>
      <c r="CA135" s="397"/>
      <c r="CB135" s="397"/>
      <c r="CC135" s="397"/>
      <c r="CD135" s="397"/>
      <c r="CE135" s="397"/>
      <c r="CF135" s="397"/>
      <c r="CG135" s="397"/>
      <c r="CH135" s="397"/>
      <c r="CI135" s="397"/>
      <c r="CJ135" s="397"/>
      <c r="CK135" s="397"/>
      <c r="CL135" s="397"/>
      <c r="CM135" s="397"/>
      <c r="CN135" s="397"/>
      <c r="CO135" s="397"/>
      <c r="CP135" s="397"/>
      <c r="CQ135" s="397"/>
      <c r="CR135" s="397"/>
      <c r="CS135" s="397"/>
      <c r="CT135" s="397"/>
      <c r="CU135" s="397"/>
      <c r="CV135" s="397"/>
      <c r="CW135" s="397"/>
      <c r="CX135" s="397"/>
      <c r="CY135" s="397"/>
      <c r="CZ135" s="397"/>
      <c r="DA135" s="397"/>
      <c r="DB135" s="397"/>
      <c r="DC135" s="397"/>
      <c r="DD135" s="397"/>
      <c r="DE135" s="397"/>
      <c r="DF135" s="397"/>
      <c r="DG135" s="397"/>
      <c r="DH135" s="397"/>
      <c r="DI135" s="397"/>
      <c r="DJ135" s="397"/>
      <c r="DK135" s="397"/>
      <c r="DL135" s="397"/>
      <c r="DM135" s="397"/>
      <c r="DN135" s="397"/>
      <c r="DO135" s="397"/>
      <c r="DP135" s="397"/>
      <c r="DQ135" s="397"/>
      <c r="DR135" s="397"/>
      <c r="DS135" s="397"/>
      <c r="DT135" s="397"/>
      <c r="DU135" s="397"/>
      <c r="DV135" s="397"/>
      <c r="DW135" s="397"/>
      <c r="DX135" s="397"/>
      <c r="DY135" s="397"/>
      <c r="DZ135" s="397"/>
      <c r="EA135" s="397"/>
      <c r="EB135" s="397"/>
      <c r="EC135" s="397"/>
      <c r="ED135" s="397"/>
      <c r="EE135" s="397"/>
      <c r="EF135" s="397"/>
      <c r="EG135" s="397"/>
      <c r="EH135" s="397"/>
      <c r="EI135" s="397"/>
      <c r="EJ135" s="397"/>
      <c r="EK135" s="397"/>
      <c r="EL135" s="397"/>
      <c r="EM135" s="397"/>
      <c r="EN135" s="397"/>
      <c r="EO135" s="397"/>
      <c r="EP135" s="397"/>
      <c r="EQ135" s="397"/>
      <c r="ER135" s="397"/>
      <c r="ES135" s="397"/>
      <c r="ET135" s="397"/>
      <c r="EU135" s="397"/>
      <c r="EV135" s="397"/>
      <c r="EW135" s="397"/>
      <c r="EX135" s="397"/>
      <c r="EY135" s="397"/>
      <c r="EZ135" s="397"/>
      <c r="FA135" s="397"/>
      <c r="FB135" s="397"/>
      <c r="FC135" s="397"/>
      <c r="FD135" s="397"/>
      <c r="FE135" s="397"/>
      <c r="FF135" s="397"/>
      <c r="FG135" s="397"/>
      <c r="FH135" s="397"/>
      <c r="FI135" s="397"/>
      <c r="FJ135" s="397"/>
      <c r="FK135" s="397"/>
      <c r="FL135" s="397"/>
      <c r="FM135" s="397"/>
      <c r="FN135" s="397"/>
      <c r="FO135" s="397"/>
      <c r="FP135" s="397"/>
      <c r="FQ135" s="397"/>
      <c r="FR135" s="397"/>
      <c r="FS135" s="397"/>
      <c r="FT135" s="397"/>
      <c r="FU135" s="397"/>
      <c r="FV135" s="397"/>
      <c r="FW135" s="397"/>
      <c r="FX135" s="397"/>
      <c r="FY135" s="397"/>
      <c r="FZ135" s="397"/>
      <c r="GA135" s="397"/>
      <c r="GB135" s="397"/>
      <c r="GC135" s="397"/>
      <c r="GD135" s="397"/>
      <c r="GE135" s="397"/>
      <c r="GF135" s="397"/>
      <c r="GG135" s="397"/>
      <c r="GH135" s="397"/>
      <c r="GI135" s="397"/>
      <c r="GJ135" s="397"/>
      <c r="GK135" s="397"/>
      <c r="GL135" s="397"/>
      <c r="GM135" s="397"/>
      <c r="GN135" s="397"/>
      <c r="GO135" s="397"/>
      <c r="GP135" s="397"/>
      <c r="GQ135" s="397"/>
      <c r="GR135" s="397"/>
      <c r="GS135" s="397"/>
      <c r="GT135" s="397"/>
      <c r="GU135" s="397"/>
      <c r="GV135" s="397"/>
      <c r="GW135" s="397"/>
      <c r="GX135" s="397"/>
      <c r="GY135" s="397"/>
      <c r="GZ135" s="397"/>
      <c r="HA135" s="397"/>
      <c r="HB135" s="397"/>
      <c r="HC135" s="397"/>
      <c r="HD135" s="397"/>
      <c r="HE135" s="397"/>
      <c r="HF135" s="397"/>
      <c r="HG135" s="397"/>
      <c r="HH135" s="397"/>
      <c r="HI135" s="397"/>
      <c r="HJ135" s="397"/>
      <c r="HK135" s="397"/>
      <c r="HL135" s="397"/>
      <c r="HM135" s="397"/>
      <c r="HN135" s="397"/>
      <c r="HO135" s="397"/>
      <c r="HP135" s="397"/>
      <c r="HQ135" s="397"/>
      <c r="HR135" s="397"/>
      <c r="HS135" s="397"/>
      <c r="HT135" s="397"/>
      <c r="HU135" s="397"/>
      <c r="HV135" s="397"/>
      <c r="HW135" s="397"/>
      <c r="HX135" s="397"/>
      <c r="HY135" s="397"/>
      <c r="HZ135" s="397"/>
      <c r="IA135" s="397"/>
      <c r="IB135" s="397"/>
      <c r="IC135" s="397"/>
      <c r="ID135" s="397"/>
      <c r="IE135" s="397"/>
      <c r="IF135" s="397"/>
      <c r="IG135" s="397"/>
      <c r="IH135" s="397"/>
      <c r="II135" s="397"/>
      <c r="IJ135" s="397"/>
      <c r="IK135" s="397"/>
      <c r="IL135" s="397"/>
      <c r="IM135" s="397"/>
      <c r="IN135" s="397"/>
      <c r="IO135" s="397"/>
      <c r="IP135" s="397"/>
      <c r="IQ135" s="397"/>
      <c r="IR135" s="397"/>
    </row>
    <row r="136" spans="2:252" s="183" customFormat="1" ht="25.15" customHeight="1" x14ac:dyDescent="0.25">
      <c r="B136" s="85">
        <v>42156</v>
      </c>
      <c r="C136" s="184">
        <v>576894.48470959999</v>
      </c>
      <c r="D136" s="184">
        <f>NetWorth[[#This Row],[Worth]]-C137</f>
        <v>-7862.5807000000495</v>
      </c>
      <c r="E136" s="1" t="s">
        <v>80</v>
      </c>
      <c r="V136" s="397"/>
      <c r="W136" s="397"/>
      <c r="X136" s="397"/>
      <c r="Y136" s="397"/>
      <c r="Z136" s="397"/>
      <c r="AA136" s="397"/>
      <c r="AB136" s="397"/>
      <c r="AC136" s="397"/>
      <c r="AD136" s="397"/>
      <c r="AE136" s="397"/>
      <c r="AF136" s="397"/>
      <c r="AG136" s="397"/>
      <c r="AH136" s="397"/>
      <c r="AI136" s="397"/>
      <c r="AJ136" s="397"/>
      <c r="AK136" s="397"/>
      <c r="AL136" s="397"/>
      <c r="AM136" s="397"/>
      <c r="AN136" s="397"/>
      <c r="AO136" s="397"/>
      <c r="AP136" s="397"/>
      <c r="AQ136" s="397"/>
      <c r="AR136" s="397"/>
      <c r="AS136" s="397"/>
      <c r="AT136" s="397"/>
      <c r="AU136" s="397"/>
      <c r="AV136" s="397"/>
      <c r="AW136" s="397"/>
      <c r="AX136" s="397"/>
      <c r="AY136" s="397"/>
      <c r="AZ136" s="397"/>
      <c r="BA136" s="397"/>
      <c r="BB136" s="397"/>
      <c r="BC136" s="397"/>
      <c r="BD136" s="397"/>
      <c r="BE136" s="397"/>
      <c r="BF136" s="397"/>
      <c r="BG136" s="397"/>
      <c r="BH136" s="397"/>
      <c r="BI136" s="397"/>
      <c r="BJ136" s="397"/>
      <c r="BK136" s="397"/>
      <c r="BL136" s="397"/>
      <c r="BM136" s="397"/>
      <c r="BN136" s="397"/>
      <c r="BO136" s="397"/>
      <c r="BP136" s="397"/>
      <c r="BQ136" s="397"/>
      <c r="BR136" s="397"/>
      <c r="BS136" s="397"/>
      <c r="BT136" s="397"/>
      <c r="BU136" s="397"/>
      <c r="BV136" s="397"/>
      <c r="BW136" s="397"/>
      <c r="BX136" s="397"/>
      <c r="BY136" s="397"/>
      <c r="BZ136" s="397"/>
      <c r="CA136" s="397"/>
      <c r="CB136" s="397"/>
      <c r="CC136" s="397"/>
      <c r="CD136" s="397"/>
      <c r="CE136" s="397"/>
      <c r="CF136" s="397"/>
      <c r="CG136" s="397"/>
      <c r="CH136" s="397"/>
      <c r="CI136" s="397"/>
      <c r="CJ136" s="397"/>
      <c r="CK136" s="397"/>
      <c r="CL136" s="397"/>
      <c r="CM136" s="397"/>
      <c r="CN136" s="397"/>
      <c r="CO136" s="397"/>
      <c r="CP136" s="397"/>
      <c r="CQ136" s="397"/>
      <c r="CR136" s="397"/>
      <c r="CS136" s="397"/>
      <c r="CT136" s="397"/>
      <c r="CU136" s="397"/>
      <c r="CV136" s="397"/>
      <c r="CW136" s="397"/>
      <c r="CX136" s="397"/>
      <c r="CY136" s="397"/>
      <c r="CZ136" s="397"/>
      <c r="DA136" s="397"/>
      <c r="DB136" s="397"/>
      <c r="DC136" s="397"/>
      <c r="DD136" s="397"/>
      <c r="DE136" s="397"/>
      <c r="DF136" s="397"/>
      <c r="DG136" s="397"/>
      <c r="DH136" s="397"/>
      <c r="DI136" s="397"/>
      <c r="DJ136" s="397"/>
      <c r="DK136" s="397"/>
      <c r="DL136" s="397"/>
      <c r="DM136" s="397"/>
      <c r="DN136" s="397"/>
      <c r="DO136" s="397"/>
      <c r="DP136" s="397"/>
      <c r="DQ136" s="397"/>
      <c r="DR136" s="397"/>
      <c r="DS136" s="397"/>
      <c r="DT136" s="397"/>
      <c r="DU136" s="397"/>
      <c r="DV136" s="397"/>
      <c r="DW136" s="397"/>
      <c r="DX136" s="397"/>
      <c r="DY136" s="397"/>
      <c r="DZ136" s="397"/>
      <c r="EA136" s="397"/>
      <c r="EB136" s="397"/>
      <c r="EC136" s="397"/>
      <c r="ED136" s="397"/>
      <c r="EE136" s="397"/>
      <c r="EF136" s="397"/>
      <c r="EG136" s="397"/>
      <c r="EH136" s="397"/>
      <c r="EI136" s="397"/>
      <c r="EJ136" s="397"/>
      <c r="EK136" s="397"/>
      <c r="EL136" s="397"/>
      <c r="EM136" s="397"/>
      <c r="EN136" s="397"/>
      <c r="EO136" s="397"/>
      <c r="EP136" s="397"/>
      <c r="EQ136" s="397"/>
      <c r="ER136" s="397"/>
      <c r="ES136" s="397"/>
      <c r="ET136" s="397"/>
      <c r="EU136" s="397"/>
      <c r="EV136" s="397"/>
      <c r="EW136" s="397"/>
      <c r="EX136" s="397"/>
      <c r="EY136" s="397"/>
      <c r="EZ136" s="397"/>
      <c r="FA136" s="397"/>
      <c r="FB136" s="397"/>
      <c r="FC136" s="397"/>
      <c r="FD136" s="397"/>
      <c r="FE136" s="397"/>
      <c r="FF136" s="397"/>
      <c r="FG136" s="397"/>
      <c r="FH136" s="397"/>
      <c r="FI136" s="397"/>
      <c r="FJ136" s="397"/>
      <c r="FK136" s="397"/>
      <c r="FL136" s="397"/>
      <c r="FM136" s="397"/>
      <c r="FN136" s="397"/>
      <c r="FO136" s="397"/>
      <c r="FP136" s="397"/>
      <c r="FQ136" s="397"/>
      <c r="FR136" s="397"/>
      <c r="FS136" s="397"/>
      <c r="FT136" s="397"/>
      <c r="FU136" s="397"/>
      <c r="FV136" s="397"/>
      <c r="FW136" s="397"/>
      <c r="FX136" s="397"/>
      <c r="FY136" s="397"/>
      <c r="FZ136" s="397"/>
      <c r="GA136" s="397"/>
      <c r="GB136" s="397"/>
      <c r="GC136" s="397"/>
      <c r="GD136" s="397"/>
      <c r="GE136" s="397"/>
      <c r="GF136" s="397"/>
      <c r="GG136" s="397"/>
      <c r="GH136" s="397"/>
      <c r="GI136" s="397"/>
      <c r="GJ136" s="397"/>
      <c r="GK136" s="397"/>
      <c r="GL136" s="397"/>
      <c r="GM136" s="397"/>
      <c r="GN136" s="397"/>
      <c r="GO136" s="397"/>
      <c r="GP136" s="397"/>
      <c r="GQ136" s="397"/>
      <c r="GR136" s="397"/>
      <c r="GS136" s="397"/>
      <c r="GT136" s="397"/>
      <c r="GU136" s="397"/>
      <c r="GV136" s="397"/>
      <c r="GW136" s="397"/>
      <c r="GX136" s="397"/>
      <c r="GY136" s="397"/>
      <c r="GZ136" s="397"/>
      <c r="HA136" s="397"/>
      <c r="HB136" s="397"/>
      <c r="HC136" s="397"/>
      <c r="HD136" s="397"/>
      <c r="HE136" s="397"/>
      <c r="HF136" s="397"/>
      <c r="HG136" s="397"/>
      <c r="HH136" s="397"/>
      <c r="HI136" s="397"/>
      <c r="HJ136" s="397"/>
      <c r="HK136" s="397"/>
      <c r="HL136" s="397"/>
      <c r="HM136" s="397"/>
      <c r="HN136" s="397"/>
      <c r="HO136" s="397"/>
      <c r="HP136" s="397"/>
      <c r="HQ136" s="397"/>
      <c r="HR136" s="397"/>
      <c r="HS136" s="397"/>
      <c r="HT136" s="397"/>
      <c r="HU136" s="397"/>
      <c r="HV136" s="397"/>
      <c r="HW136" s="397"/>
      <c r="HX136" s="397"/>
      <c r="HY136" s="397"/>
      <c r="HZ136" s="397"/>
      <c r="IA136" s="397"/>
      <c r="IB136" s="397"/>
      <c r="IC136" s="397"/>
      <c r="ID136" s="397"/>
      <c r="IE136" s="397"/>
      <c r="IF136" s="397"/>
      <c r="IG136" s="397"/>
      <c r="IH136" s="397"/>
      <c r="II136" s="397"/>
      <c r="IJ136" s="397"/>
      <c r="IK136" s="397"/>
      <c r="IL136" s="397"/>
      <c r="IM136" s="397"/>
      <c r="IN136" s="397"/>
      <c r="IO136" s="397"/>
      <c r="IP136" s="397"/>
      <c r="IQ136" s="397"/>
      <c r="IR136" s="397"/>
    </row>
    <row r="137" spans="2:252" s="183" customFormat="1" ht="25.15" customHeight="1" x14ac:dyDescent="0.25">
      <c r="B137" s="85">
        <v>42125</v>
      </c>
      <c r="C137" s="184">
        <v>584757.06540960004</v>
      </c>
      <c r="D137" s="184">
        <f>NetWorth[[#This Row],[Worth]]-C138</f>
        <v>7120.7485100000631</v>
      </c>
      <c r="E137" s="1" t="s">
        <v>81</v>
      </c>
      <c r="V137" s="397"/>
      <c r="W137" s="397"/>
      <c r="X137" s="397"/>
      <c r="Y137" s="397"/>
      <c r="Z137" s="397"/>
      <c r="AA137" s="397"/>
      <c r="AB137" s="397"/>
      <c r="AC137" s="397"/>
      <c r="AD137" s="397"/>
      <c r="AE137" s="397"/>
      <c r="AF137" s="397"/>
      <c r="AG137" s="397"/>
      <c r="AH137" s="397"/>
      <c r="AI137" s="397"/>
      <c r="AJ137" s="397"/>
      <c r="AK137" s="397"/>
      <c r="AL137" s="397"/>
      <c r="AM137" s="397"/>
      <c r="AN137" s="397"/>
      <c r="AO137" s="397"/>
      <c r="AP137" s="397"/>
      <c r="AQ137" s="397"/>
      <c r="AR137" s="397"/>
      <c r="AS137" s="397"/>
      <c r="AT137" s="397"/>
      <c r="AU137" s="397"/>
      <c r="AV137" s="397"/>
      <c r="AW137" s="397"/>
      <c r="AX137" s="397"/>
      <c r="AY137" s="397"/>
      <c r="AZ137" s="397"/>
      <c r="BA137" s="397"/>
      <c r="BB137" s="397"/>
      <c r="BC137" s="397"/>
      <c r="BD137" s="397"/>
      <c r="BE137" s="397"/>
      <c r="BF137" s="397"/>
      <c r="BG137" s="397"/>
      <c r="BH137" s="397"/>
      <c r="BI137" s="397"/>
      <c r="BJ137" s="397"/>
      <c r="BK137" s="397"/>
      <c r="BL137" s="397"/>
      <c r="BM137" s="397"/>
      <c r="BN137" s="397"/>
      <c r="BO137" s="397"/>
      <c r="BP137" s="397"/>
      <c r="BQ137" s="397"/>
      <c r="BR137" s="397"/>
      <c r="BS137" s="397"/>
      <c r="BT137" s="397"/>
      <c r="BU137" s="397"/>
      <c r="BV137" s="397"/>
      <c r="BW137" s="397"/>
      <c r="BX137" s="397"/>
      <c r="BY137" s="397"/>
      <c r="BZ137" s="397"/>
      <c r="CA137" s="397"/>
      <c r="CB137" s="397"/>
      <c r="CC137" s="397"/>
      <c r="CD137" s="397"/>
      <c r="CE137" s="397"/>
      <c r="CF137" s="397"/>
      <c r="CG137" s="397"/>
      <c r="CH137" s="397"/>
      <c r="CI137" s="397"/>
      <c r="CJ137" s="397"/>
      <c r="CK137" s="397"/>
      <c r="CL137" s="397"/>
      <c r="CM137" s="397"/>
      <c r="CN137" s="397"/>
      <c r="CO137" s="397"/>
      <c r="CP137" s="397"/>
      <c r="CQ137" s="397"/>
      <c r="CR137" s="397"/>
      <c r="CS137" s="397"/>
      <c r="CT137" s="397"/>
      <c r="CU137" s="397"/>
      <c r="CV137" s="397"/>
      <c r="CW137" s="397"/>
      <c r="CX137" s="397"/>
      <c r="CY137" s="397"/>
      <c r="CZ137" s="397"/>
      <c r="DA137" s="397"/>
      <c r="DB137" s="397"/>
      <c r="DC137" s="397"/>
      <c r="DD137" s="397"/>
      <c r="DE137" s="397"/>
      <c r="DF137" s="397"/>
      <c r="DG137" s="397"/>
      <c r="DH137" s="397"/>
      <c r="DI137" s="397"/>
      <c r="DJ137" s="397"/>
      <c r="DK137" s="397"/>
      <c r="DL137" s="397"/>
      <c r="DM137" s="397"/>
      <c r="DN137" s="397"/>
      <c r="DO137" s="397"/>
      <c r="DP137" s="397"/>
      <c r="DQ137" s="397"/>
      <c r="DR137" s="397"/>
      <c r="DS137" s="397"/>
      <c r="DT137" s="397"/>
      <c r="DU137" s="397"/>
      <c r="DV137" s="397"/>
      <c r="DW137" s="397"/>
      <c r="DX137" s="397"/>
      <c r="DY137" s="397"/>
      <c r="DZ137" s="397"/>
      <c r="EA137" s="397"/>
      <c r="EB137" s="397"/>
      <c r="EC137" s="397"/>
      <c r="ED137" s="397"/>
      <c r="EE137" s="397"/>
      <c r="EF137" s="397"/>
      <c r="EG137" s="397"/>
      <c r="EH137" s="397"/>
      <c r="EI137" s="397"/>
      <c r="EJ137" s="397"/>
      <c r="EK137" s="397"/>
      <c r="EL137" s="397"/>
      <c r="EM137" s="397"/>
      <c r="EN137" s="397"/>
      <c r="EO137" s="397"/>
      <c r="EP137" s="397"/>
      <c r="EQ137" s="397"/>
      <c r="ER137" s="397"/>
      <c r="ES137" s="397"/>
      <c r="ET137" s="397"/>
      <c r="EU137" s="397"/>
      <c r="EV137" s="397"/>
      <c r="EW137" s="397"/>
      <c r="EX137" s="397"/>
      <c r="EY137" s="397"/>
      <c r="EZ137" s="397"/>
      <c r="FA137" s="397"/>
      <c r="FB137" s="397"/>
      <c r="FC137" s="397"/>
      <c r="FD137" s="397"/>
      <c r="FE137" s="397"/>
      <c r="FF137" s="397"/>
      <c r="FG137" s="397"/>
      <c r="FH137" s="397"/>
      <c r="FI137" s="397"/>
      <c r="FJ137" s="397"/>
      <c r="FK137" s="397"/>
      <c r="FL137" s="397"/>
      <c r="FM137" s="397"/>
      <c r="FN137" s="397"/>
      <c r="FO137" s="397"/>
      <c r="FP137" s="397"/>
      <c r="FQ137" s="397"/>
      <c r="FR137" s="397"/>
      <c r="FS137" s="397"/>
      <c r="FT137" s="397"/>
      <c r="FU137" s="397"/>
      <c r="FV137" s="397"/>
      <c r="FW137" s="397"/>
      <c r="FX137" s="397"/>
      <c r="FY137" s="397"/>
      <c r="FZ137" s="397"/>
      <c r="GA137" s="397"/>
      <c r="GB137" s="397"/>
      <c r="GC137" s="397"/>
      <c r="GD137" s="397"/>
      <c r="GE137" s="397"/>
      <c r="GF137" s="397"/>
      <c r="GG137" s="397"/>
      <c r="GH137" s="397"/>
      <c r="GI137" s="397"/>
      <c r="GJ137" s="397"/>
      <c r="GK137" s="397"/>
      <c r="GL137" s="397"/>
      <c r="GM137" s="397"/>
      <c r="GN137" s="397"/>
      <c r="GO137" s="397"/>
      <c r="GP137" s="397"/>
      <c r="GQ137" s="397"/>
      <c r="GR137" s="397"/>
      <c r="GS137" s="397"/>
      <c r="GT137" s="397"/>
      <c r="GU137" s="397"/>
      <c r="GV137" s="397"/>
      <c r="GW137" s="397"/>
      <c r="GX137" s="397"/>
      <c r="GY137" s="397"/>
      <c r="GZ137" s="397"/>
      <c r="HA137" s="397"/>
      <c r="HB137" s="397"/>
      <c r="HC137" s="397"/>
      <c r="HD137" s="397"/>
      <c r="HE137" s="397"/>
      <c r="HF137" s="397"/>
      <c r="HG137" s="397"/>
      <c r="HH137" s="397"/>
      <c r="HI137" s="397"/>
      <c r="HJ137" s="397"/>
      <c r="HK137" s="397"/>
      <c r="HL137" s="397"/>
      <c r="HM137" s="397"/>
      <c r="HN137" s="397"/>
      <c r="HO137" s="397"/>
      <c r="HP137" s="397"/>
      <c r="HQ137" s="397"/>
      <c r="HR137" s="397"/>
      <c r="HS137" s="397"/>
      <c r="HT137" s="397"/>
      <c r="HU137" s="397"/>
      <c r="HV137" s="397"/>
      <c r="HW137" s="397"/>
      <c r="HX137" s="397"/>
      <c r="HY137" s="397"/>
      <c r="HZ137" s="397"/>
      <c r="IA137" s="397"/>
      <c r="IB137" s="397"/>
      <c r="IC137" s="397"/>
      <c r="ID137" s="397"/>
      <c r="IE137" s="397"/>
      <c r="IF137" s="397"/>
      <c r="IG137" s="397"/>
      <c r="IH137" s="397"/>
      <c r="II137" s="397"/>
      <c r="IJ137" s="397"/>
      <c r="IK137" s="397"/>
      <c r="IL137" s="397"/>
      <c r="IM137" s="397"/>
      <c r="IN137" s="397"/>
      <c r="IO137" s="397"/>
      <c r="IP137" s="397"/>
      <c r="IQ137" s="397"/>
      <c r="IR137" s="397"/>
    </row>
    <row r="138" spans="2:252" s="183" customFormat="1" ht="25.15" customHeight="1" x14ac:dyDescent="0.25">
      <c r="B138" s="85">
        <v>42095</v>
      </c>
      <c r="C138" s="184">
        <v>577636.31689959997</v>
      </c>
      <c r="D138" s="184">
        <f>NetWorth[[#This Row],[Worth]]-C139</f>
        <v>21674.033829999971</v>
      </c>
      <c r="E138" s="1" t="s">
        <v>82</v>
      </c>
      <c r="F138" s="183" t="s">
        <v>65</v>
      </c>
      <c r="V138" s="397"/>
      <c r="W138" s="397"/>
      <c r="X138" s="397"/>
      <c r="Y138" s="397"/>
      <c r="Z138" s="397"/>
      <c r="AA138" s="397"/>
      <c r="AB138" s="397"/>
      <c r="AC138" s="397"/>
      <c r="AD138" s="397"/>
      <c r="AE138" s="397"/>
      <c r="AF138" s="397"/>
      <c r="AG138" s="397"/>
      <c r="AH138" s="397"/>
      <c r="AI138" s="397"/>
      <c r="AJ138" s="397"/>
      <c r="AK138" s="397"/>
      <c r="AL138" s="397"/>
      <c r="AM138" s="397"/>
      <c r="AN138" s="397"/>
      <c r="AO138" s="397"/>
      <c r="AP138" s="397"/>
      <c r="AQ138" s="397"/>
      <c r="AR138" s="397"/>
      <c r="AS138" s="397"/>
      <c r="AT138" s="397"/>
      <c r="AU138" s="397"/>
      <c r="AV138" s="397"/>
      <c r="AW138" s="397"/>
      <c r="AX138" s="397"/>
      <c r="AY138" s="397"/>
      <c r="AZ138" s="397"/>
      <c r="BA138" s="397"/>
      <c r="BB138" s="397"/>
      <c r="BC138" s="397"/>
      <c r="BD138" s="397"/>
      <c r="BE138" s="397"/>
      <c r="BF138" s="397"/>
      <c r="BG138" s="397"/>
      <c r="BH138" s="397"/>
      <c r="BI138" s="397"/>
      <c r="BJ138" s="397"/>
      <c r="BK138" s="397"/>
      <c r="BL138" s="397"/>
      <c r="BM138" s="397"/>
      <c r="BN138" s="397"/>
      <c r="BO138" s="397"/>
      <c r="BP138" s="397"/>
      <c r="BQ138" s="397"/>
      <c r="BR138" s="397"/>
      <c r="BS138" s="397"/>
      <c r="BT138" s="397"/>
      <c r="BU138" s="397"/>
      <c r="BV138" s="397"/>
      <c r="BW138" s="397"/>
      <c r="BX138" s="397"/>
      <c r="BY138" s="397"/>
      <c r="BZ138" s="397"/>
      <c r="CA138" s="397"/>
      <c r="CB138" s="397"/>
      <c r="CC138" s="397"/>
      <c r="CD138" s="397"/>
      <c r="CE138" s="397"/>
      <c r="CF138" s="397"/>
      <c r="CG138" s="397"/>
      <c r="CH138" s="397"/>
      <c r="CI138" s="397"/>
      <c r="CJ138" s="397"/>
      <c r="CK138" s="397"/>
      <c r="CL138" s="397"/>
      <c r="CM138" s="397"/>
      <c r="CN138" s="397"/>
      <c r="CO138" s="397"/>
      <c r="CP138" s="397"/>
      <c r="CQ138" s="397"/>
      <c r="CR138" s="397"/>
      <c r="CS138" s="397"/>
      <c r="CT138" s="397"/>
      <c r="CU138" s="397"/>
      <c r="CV138" s="397"/>
      <c r="CW138" s="397"/>
      <c r="CX138" s="397"/>
      <c r="CY138" s="397"/>
      <c r="CZ138" s="397"/>
      <c r="DA138" s="397"/>
      <c r="DB138" s="397"/>
      <c r="DC138" s="397"/>
      <c r="DD138" s="397"/>
      <c r="DE138" s="397"/>
      <c r="DF138" s="397"/>
      <c r="DG138" s="397"/>
      <c r="DH138" s="397"/>
      <c r="DI138" s="397"/>
      <c r="DJ138" s="397"/>
      <c r="DK138" s="397"/>
      <c r="DL138" s="397"/>
      <c r="DM138" s="397"/>
      <c r="DN138" s="397"/>
      <c r="DO138" s="397"/>
      <c r="DP138" s="397"/>
      <c r="DQ138" s="397"/>
      <c r="DR138" s="397"/>
      <c r="DS138" s="397"/>
      <c r="DT138" s="397"/>
      <c r="DU138" s="397"/>
      <c r="DV138" s="397"/>
      <c r="DW138" s="397"/>
      <c r="DX138" s="397"/>
      <c r="DY138" s="397"/>
      <c r="DZ138" s="397"/>
      <c r="EA138" s="397"/>
      <c r="EB138" s="397"/>
      <c r="EC138" s="397"/>
      <c r="ED138" s="397"/>
      <c r="EE138" s="397"/>
      <c r="EF138" s="397"/>
      <c r="EG138" s="397"/>
      <c r="EH138" s="397"/>
      <c r="EI138" s="397"/>
      <c r="EJ138" s="397"/>
      <c r="EK138" s="397"/>
      <c r="EL138" s="397"/>
      <c r="EM138" s="397"/>
      <c r="EN138" s="397"/>
      <c r="EO138" s="397"/>
      <c r="EP138" s="397"/>
      <c r="EQ138" s="397"/>
      <c r="ER138" s="397"/>
      <c r="ES138" s="397"/>
      <c r="ET138" s="397"/>
      <c r="EU138" s="397"/>
      <c r="EV138" s="397"/>
      <c r="EW138" s="397"/>
      <c r="EX138" s="397"/>
      <c r="EY138" s="397"/>
      <c r="EZ138" s="397"/>
      <c r="FA138" s="397"/>
      <c r="FB138" s="397"/>
      <c r="FC138" s="397"/>
      <c r="FD138" s="397"/>
      <c r="FE138" s="397"/>
      <c r="FF138" s="397"/>
      <c r="FG138" s="397"/>
      <c r="FH138" s="397"/>
      <c r="FI138" s="397"/>
      <c r="FJ138" s="397"/>
      <c r="FK138" s="397"/>
      <c r="FL138" s="397"/>
      <c r="FM138" s="397"/>
      <c r="FN138" s="397"/>
      <c r="FO138" s="397"/>
      <c r="FP138" s="397"/>
      <c r="FQ138" s="397"/>
      <c r="FR138" s="397"/>
      <c r="FS138" s="397"/>
      <c r="FT138" s="397"/>
      <c r="FU138" s="397"/>
      <c r="FV138" s="397"/>
      <c r="FW138" s="397"/>
      <c r="FX138" s="397"/>
      <c r="FY138" s="397"/>
      <c r="FZ138" s="397"/>
      <c r="GA138" s="397"/>
      <c r="GB138" s="397"/>
      <c r="GC138" s="397"/>
      <c r="GD138" s="397"/>
      <c r="GE138" s="397"/>
      <c r="GF138" s="397"/>
      <c r="GG138" s="397"/>
      <c r="GH138" s="397"/>
      <c r="GI138" s="397"/>
      <c r="GJ138" s="397"/>
      <c r="GK138" s="397"/>
      <c r="GL138" s="397"/>
      <c r="GM138" s="397"/>
      <c r="GN138" s="397"/>
      <c r="GO138" s="397"/>
      <c r="GP138" s="397"/>
      <c r="GQ138" s="397"/>
      <c r="GR138" s="397"/>
      <c r="GS138" s="397"/>
      <c r="GT138" s="397"/>
      <c r="GU138" s="397"/>
      <c r="GV138" s="397"/>
      <c r="GW138" s="397"/>
      <c r="GX138" s="397"/>
      <c r="GY138" s="397"/>
      <c r="GZ138" s="397"/>
      <c r="HA138" s="397"/>
      <c r="HB138" s="397"/>
      <c r="HC138" s="397"/>
      <c r="HD138" s="397"/>
      <c r="HE138" s="397"/>
      <c r="HF138" s="397"/>
      <c r="HG138" s="397"/>
      <c r="HH138" s="397"/>
      <c r="HI138" s="397"/>
      <c r="HJ138" s="397"/>
      <c r="HK138" s="397"/>
      <c r="HL138" s="397"/>
      <c r="HM138" s="397"/>
      <c r="HN138" s="397"/>
      <c r="HO138" s="397"/>
      <c r="HP138" s="397"/>
      <c r="HQ138" s="397"/>
      <c r="HR138" s="397"/>
      <c r="HS138" s="397"/>
      <c r="HT138" s="397"/>
      <c r="HU138" s="397"/>
      <c r="HV138" s="397"/>
      <c r="HW138" s="397"/>
      <c r="HX138" s="397"/>
      <c r="HY138" s="397"/>
      <c r="HZ138" s="397"/>
      <c r="IA138" s="397"/>
      <c r="IB138" s="397"/>
      <c r="IC138" s="397"/>
      <c r="ID138" s="397"/>
      <c r="IE138" s="397"/>
      <c r="IF138" s="397"/>
      <c r="IG138" s="397"/>
      <c r="IH138" s="397"/>
      <c r="II138" s="397"/>
      <c r="IJ138" s="397"/>
      <c r="IK138" s="397"/>
      <c r="IL138" s="397"/>
      <c r="IM138" s="397"/>
      <c r="IN138" s="397"/>
      <c r="IO138" s="397"/>
      <c r="IP138" s="397"/>
      <c r="IQ138" s="397"/>
      <c r="IR138" s="397"/>
    </row>
    <row r="139" spans="2:252" s="183" customFormat="1" ht="25.15" customHeight="1" x14ac:dyDescent="0.25">
      <c r="B139" s="85">
        <v>42064</v>
      </c>
      <c r="C139" s="184">
        <v>555962.2830696</v>
      </c>
      <c r="D139" s="184">
        <f>NetWorth[[#This Row],[Worth]]-C140</f>
        <v>6163.9342196000507</v>
      </c>
      <c r="E139" s="1"/>
      <c r="V139" s="397"/>
      <c r="W139" s="397"/>
      <c r="X139" s="397"/>
      <c r="Y139" s="397"/>
      <c r="Z139" s="397"/>
      <c r="AA139" s="397"/>
      <c r="AB139" s="397"/>
      <c r="AC139" s="397"/>
      <c r="AD139" s="397"/>
      <c r="AE139" s="397"/>
      <c r="AF139" s="397"/>
      <c r="AG139" s="397"/>
      <c r="AH139" s="397"/>
      <c r="AI139" s="397"/>
      <c r="AJ139" s="397"/>
      <c r="AK139" s="397"/>
      <c r="AL139" s="397"/>
      <c r="AM139" s="397"/>
      <c r="AN139" s="397"/>
      <c r="AO139" s="397"/>
      <c r="AP139" s="397"/>
      <c r="AQ139" s="397"/>
      <c r="AR139" s="397"/>
      <c r="AS139" s="397"/>
      <c r="AT139" s="397"/>
      <c r="AU139" s="397"/>
      <c r="AV139" s="397"/>
      <c r="AW139" s="397"/>
      <c r="AX139" s="397"/>
      <c r="AY139" s="397"/>
      <c r="AZ139" s="397"/>
      <c r="BA139" s="397"/>
      <c r="BB139" s="397"/>
      <c r="BC139" s="397"/>
      <c r="BD139" s="397"/>
      <c r="BE139" s="397"/>
      <c r="BF139" s="397"/>
      <c r="BG139" s="397"/>
      <c r="BH139" s="397"/>
      <c r="BI139" s="397"/>
      <c r="BJ139" s="397"/>
      <c r="BK139" s="397"/>
      <c r="BL139" s="397"/>
      <c r="BM139" s="397"/>
      <c r="BN139" s="397"/>
      <c r="BO139" s="397"/>
      <c r="BP139" s="397"/>
      <c r="BQ139" s="397"/>
      <c r="BR139" s="397"/>
      <c r="BS139" s="397"/>
      <c r="BT139" s="397"/>
      <c r="BU139" s="397"/>
      <c r="BV139" s="397"/>
      <c r="BW139" s="397"/>
      <c r="BX139" s="397"/>
      <c r="BY139" s="397"/>
      <c r="BZ139" s="397"/>
      <c r="CA139" s="397"/>
      <c r="CB139" s="397"/>
      <c r="CC139" s="397"/>
      <c r="CD139" s="397"/>
      <c r="CE139" s="397"/>
      <c r="CF139" s="397"/>
      <c r="CG139" s="397"/>
      <c r="CH139" s="397"/>
      <c r="CI139" s="397"/>
      <c r="CJ139" s="397"/>
      <c r="CK139" s="397"/>
      <c r="CL139" s="397"/>
      <c r="CM139" s="397"/>
      <c r="CN139" s="397"/>
      <c r="CO139" s="397"/>
      <c r="CP139" s="397"/>
      <c r="CQ139" s="397"/>
      <c r="CR139" s="397"/>
      <c r="CS139" s="397"/>
      <c r="CT139" s="397"/>
      <c r="CU139" s="397"/>
      <c r="CV139" s="397"/>
      <c r="CW139" s="397"/>
      <c r="CX139" s="397"/>
      <c r="CY139" s="397"/>
      <c r="CZ139" s="397"/>
      <c r="DA139" s="397"/>
      <c r="DB139" s="397"/>
      <c r="DC139" s="397"/>
      <c r="DD139" s="397"/>
      <c r="DE139" s="397"/>
      <c r="DF139" s="397"/>
      <c r="DG139" s="397"/>
      <c r="DH139" s="397"/>
      <c r="DI139" s="397"/>
      <c r="DJ139" s="397"/>
      <c r="DK139" s="397"/>
      <c r="DL139" s="397"/>
      <c r="DM139" s="397"/>
      <c r="DN139" s="397"/>
      <c r="DO139" s="397"/>
      <c r="DP139" s="397"/>
      <c r="DQ139" s="397"/>
      <c r="DR139" s="397"/>
      <c r="DS139" s="397"/>
      <c r="DT139" s="397"/>
      <c r="DU139" s="397"/>
      <c r="DV139" s="397"/>
      <c r="DW139" s="397"/>
      <c r="DX139" s="397"/>
      <c r="DY139" s="397"/>
      <c r="DZ139" s="397"/>
      <c r="EA139" s="397"/>
      <c r="EB139" s="397"/>
      <c r="EC139" s="397"/>
      <c r="ED139" s="397"/>
      <c r="EE139" s="397"/>
      <c r="EF139" s="397"/>
      <c r="EG139" s="397"/>
      <c r="EH139" s="397"/>
      <c r="EI139" s="397"/>
      <c r="EJ139" s="397"/>
      <c r="EK139" s="397"/>
      <c r="EL139" s="397"/>
      <c r="EM139" s="397"/>
      <c r="EN139" s="397"/>
      <c r="EO139" s="397"/>
      <c r="EP139" s="397"/>
      <c r="EQ139" s="397"/>
      <c r="ER139" s="397"/>
      <c r="ES139" s="397"/>
      <c r="ET139" s="397"/>
      <c r="EU139" s="397"/>
      <c r="EV139" s="397"/>
      <c r="EW139" s="397"/>
      <c r="EX139" s="397"/>
      <c r="EY139" s="397"/>
      <c r="EZ139" s="397"/>
      <c r="FA139" s="397"/>
      <c r="FB139" s="397"/>
      <c r="FC139" s="397"/>
      <c r="FD139" s="397"/>
      <c r="FE139" s="397"/>
      <c r="FF139" s="397"/>
      <c r="FG139" s="397"/>
      <c r="FH139" s="397"/>
      <c r="FI139" s="397"/>
      <c r="FJ139" s="397"/>
      <c r="FK139" s="397"/>
      <c r="FL139" s="397"/>
      <c r="FM139" s="397"/>
      <c r="FN139" s="397"/>
      <c r="FO139" s="397"/>
      <c r="FP139" s="397"/>
      <c r="FQ139" s="397"/>
      <c r="FR139" s="397"/>
      <c r="FS139" s="397"/>
      <c r="FT139" s="397"/>
      <c r="FU139" s="397"/>
      <c r="FV139" s="397"/>
      <c r="FW139" s="397"/>
      <c r="FX139" s="397"/>
      <c r="FY139" s="397"/>
      <c r="FZ139" s="397"/>
      <c r="GA139" s="397"/>
      <c r="GB139" s="397"/>
      <c r="GC139" s="397"/>
      <c r="GD139" s="397"/>
      <c r="GE139" s="397"/>
      <c r="GF139" s="397"/>
      <c r="GG139" s="397"/>
      <c r="GH139" s="397"/>
      <c r="GI139" s="397"/>
      <c r="GJ139" s="397"/>
      <c r="GK139" s="397"/>
      <c r="GL139" s="397"/>
      <c r="GM139" s="397"/>
      <c r="GN139" s="397"/>
      <c r="GO139" s="397"/>
      <c r="GP139" s="397"/>
      <c r="GQ139" s="397"/>
      <c r="GR139" s="397"/>
      <c r="GS139" s="397"/>
      <c r="GT139" s="397"/>
      <c r="GU139" s="397"/>
      <c r="GV139" s="397"/>
      <c r="GW139" s="397"/>
      <c r="GX139" s="397"/>
      <c r="GY139" s="397"/>
      <c r="GZ139" s="397"/>
      <c r="HA139" s="397"/>
      <c r="HB139" s="397"/>
      <c r="HC139" s="397"/>
      <c r="HD139" s="397"/>
      <c r="HE139" s="397"/>
      <c r="HF139" s="397"/>
      <c r="HG139" s="397"/>
      <c r="HH139" s="397"/>
      <c r="HI139" s="397"/>
      <c r="HJ139" s="397"/>
      <c r="HK139" s="397"/>
      <c r="HL139" s="397"/>
      <c r="HM139" s="397"/>
      <c r="HN139" s="397"/>
      <c r="HO139" s="397"/>
      <c r="HP139" s="397"/>
      <c r="HQ139" s="397"/>
      <c r="HR139" s="397"/>
      <c r="HS139" s="397"/>
      <c r="HT139" s="397"/>
      <c r="HU139" s="397"/>
      <c r="HV139" s="397"/>
      <c r="HW139" s="397"/>
      <c r="HX139" s="397"/>
      <c r="HY139" s="397"/>
      <c r="HZ139" s="397"/>
      <c r="IA139" s="397"/>
      <c r="IB139" s="397"/>
      <c r="IC139" s="397"/>
      <c r="ID139" s="397"/>
      <c r="IE139" s="397"/>
      <c r="IF139" s="397"/>
      <c r="IG139" s="397"/>
      <c r="IH139" s="397"/>
      <c r="II139" s="397"/>
      <c r="IJ139" s="397"/>
      <c r="IK139" s="397"/>
      <c r="IL139" s="397"/>
      <c r="IM139" s="397"/>
      <c r="IN139" s="397"/>
      <c r="IO139" s="397"/>
      <c r="IP139" s="397"/>
      <c r="IQ139" s="397"/>
      <c r="IR139" s="397"/>
    </row>
    <row r="140" spans="2:252" s="183" customFormat="1" ht="25.15" customHeight="1" x14ac:dyDescent="0.25">
      <c r="B140" s="85">
        <v>42036</v>
      </c>
      <c r="C140" s="184">
        <v>549798.34884999995</v>
      </c>
      <c r="D140" s="184">
        <f>NetWorth[[#This Row],[Worth]]-C141</f>
        <v>2465.0483199999435</v>
      </c>
      <c r="E140" s="1"/>
      <c r="V140" s="397"/>
      <c r="W140" s="397"/>
      <c r="X140" s="397"/>
      <c r="Y140" s="397"/>
      <c r="Z140" s="397"/>
      <c r="AA140" s="397"/>
      <c r="AB140" s="397"/>
      <c r="AC140" s="397"/>
      <c r="AD140" s="397"/>
      <c r="AE140" s="397"/>
      <c r="AF140" s="397"/>
      <c r="AG140" s="397"/>
      <c r="AH140" s="397"/>
      <c r="AI140" s="397"/>
      <c r="AJ140" s="397"/>
      <c r="AK140" s="397"/>
      <c r="AL140" s="397"/>
      <c r="AM140" s="397"/>
      <c r="AN140" s="397"/>
      <c r="AO140" s="397"/>
      <c r="AP140" s="397"/>
      <c r="AQ140" s="397"/>
      <c r="AR140" s="397"/>
      <c r="AS140" s="397"/>
      <c r="AT140" s="397"/>
      <c r="AU140" s="397"/>
      <c r="AV140" s="397"/>
      <c r="AW140" s="397"/>
      <c r="AX140" s="397"/>
      <c r="AY140" s="397"/>
      <c r="AZ140" s="397"/>
      <c r="BA140" s="397"/>
      <c r="BB140" s="397"/>
      <c r="BC140" s="397"/>
      <c r="BD140" s="397"/>
      <c r="BE140" s="397"/>
      <c r="BF140" s="397"/>
      <c r="BG140" s="397"/>
      <c r="BH140" s="397"/>
      <c r="BI140" s="397"/>
      <c r="BJ140" s="397"/>
      <c r="BK140" s="397"/>
      <c r="BL140" s="397"/>
      <c r="BM140" s="397"/>
      <c r="BN140" s="397"/>
      <c r="BO140" s="397"/>
      <c r="BP140" s="397"/>
      <c r="BQ140" s="397"/>
      <c r="BR140" s="397"/>
      <c r="BS140" s="397"/>
      <c r="BT140" s="397"/>
      <c r="BU140" s="397"/>
      <c r="BV140" s="397"/>
      <c r="BW140" s="397"/>
      <c r="BX140" s="397"/>
      <c r="BY140" s="397"/>
      <c r="BZ140" s="397"/>
      <c r="CA140" s="397"/>
      <c r="CB140" s="397"/>
      <c r="CC140" s="397"/>
      <c r="CD140" s="397"/>
      <c r="CE140" s="397"/>
      <c r="CF140" s="397"/>
      <c r="CG140" s="397"/>
      <c r="CH140" s="397"/>
      <c r="CI140" s="397"/>
      <c r="CJ140" s="397"/>
      <c r="CK140" s="397"/>
      <c r="CL140" s="397"/>
      <c r="CM140" s="397"/>
      <c r="CN140" s="397"/>
      <c r="CO140" s="397"/>
      <c r="CP140" s="397"/>
      <c r="CQ140" s="397"/>
      <c r="CR140" s="397"/>
      <c r="CS140" s="397"/>
      <c r="CT140" s="397"/>
      <c r="CU140" s="397"/>
      <c r="CV140" s="397"/>
      <c r="CW140" s="397"/>
      <c r="CX140" s="397"/>
      <c r="CY140" s="397"/>
      <c r="CZ140" s="397"/>
      <c r="DA140" s="397"/>
      <c r="DB140" s="397"/>
      <c r="DC140" s="397"/>
      <c r="DD140" s="397"/>
      <c r="DE140" s="397"/>
      <c r="DF140" s="397"/>
      <c r="DG140" s="397"/>
      <c r="DH140" s="397"/>
      <c r="DI140" s="397"/>
      <c r="DJ140" s="397"/>
      <c r="DK140" s="397"/>
      <c r="DL140" s="397"/>
      <c r="DM140" s="397"/>
      <c r="DN140" s="397"/>
      <c r="DO140" s="397"/>
      <c r="DP140" s="397"/>
      <c r="DQ140" s="397"/>
      <c r="DR140" s="397"/>
      <c r="DS140" s="397"/>
      <c r="DT140" s="397"/>
      <c r="DU140" s="397"/>
      <c r="DV140" s="397"/>
      <c r="DW140" s="397"/>
      <c r="DX140" s="397"/>
      <c r="DY140" s="397"/>
      <c r="DZ140" s="397"/>
      <c r="EA140" s="397"/>
      <c r="EB140" s="397"/>
      <c r="EC140" s="397"/>
      <c r="ED140" s="397"/>
      <c r="EE140" s="397"/>
      <c r="EF140" s="397"/>
      <c r="EG140" s="397"/>
      <c r="EH140" s="397"/>
      <c r="EI140" s="397"/>
      <c r="EJ140" s="397"/>
      <c r="EK140" s="397"/>
      <c r="EL140" s="397"/>
      <c r="EM140" s="397"/>
      <c r="EN140" s="397"/>
      <c r="EO140" s="397"/>
      <c r="EP140" s="397"/>
      <c r="EQ140" s="397"/>
      <c r="ER140" s="397"/>
      <c r="ES140" s="397"/>
      <c r="ET140" s="397"/>
      <c r="EU140" s="397"/>
      <c r="EV140" s="397"/>
      <c r="EW140" s="397"/>
      <c r="EX140" s="397"/>
      <c r="EY140" s="397"/>
      <c r="EZ140" s="397"/>
      <c r="FA140" s="397"/>
      <c r="FB140" s="397"/>
      <c r="FC140" s="397"/>
      <c r="FD140" s="397"/>
      <c r="FE140" s="397"/>
      <c r="FF140" s="397"/>
      <c r="FG140" s="397"/>
      <c r="FH140" s="397"/>
      <c r="FI140" s="397"/>
      <c r="FJ140" s="397"/>
      <c r="FK140" s="397"/>
      <c r="FL140" s="397"/>
      <c r="FM140" s="397"/>
      <c r="FN140" s="397"/>
      <c r="FO140" s="397"/>
      <c r="FP140" s="397"/>
      <c r="FQ140" s="397"/>
      <c r="FR140" s="397"/>
      <c r="FS140" s="397"/>
      <c r="FT140" s="397"/>
      <c r="FU140" s="397"/>
      <c r="FV140" s="397"/>
      <c r="FW140" s="397"/>
      <c r="FX140" s="397"/>
      <c r="FY140" s="397"/>
      <c r="FZ140" s="397"/>
      <c r="GA140" s="397"/>
      <c r="GB140" s="397"/>
      <c r="GC140" s="397"/>
      <c r="GD140" s="397"/>
      <c r="GE140" s="397"/>
      <c r="GF140" s="397"/>
      <c r="GG140" s="397"/>
      <c r="GH140" s="397"/>
      <c r="GI140" s="397"/>
      <c r="GJ140" s="397"/>
      <c r="GK140" s="397"/>
      <c r="GL140" s="397"/>
      <c r="GM140" s="397"/>
      <c r="GN140" s="397"/>
      <c r="GO140" s="397"/>
      <c r="GP140" s="397"/>
      <c r="GQ140" s="397"/>
      <c r="GR140" s="397"/>
      <c r="GS140" s="397"/>
      <c r="GT140" s="397"/>
      <c r="GU140" s="397"/>
      <c r="GV140" s="397"/>
      <c r="GW140" s="397"/>
      <c r="GX140" s="397"/>
      <c r="GY140" s="397"/>
      <c r="GZ140" s="397"/>
      <c r="HA140" s="397"/>
      <c r="HB140" s="397"/>
      <c r="HC140" s="397"/>
      <c r="HD140" s="397"/>
      <c r="HE140" s="397"/>
      <c r="HF140" s="397"/>
      <c r="HG140" s="397"/>
      <c r="HH140" s="397"/>
      <c r="HI140" s="397"/>
      <c r="HJ140" s="397"/>
      <c r="HK140" s="397"/>
      <c r="HL140" s="397"/>
      <c r="HM140" s="397"/>
      <c r="HN140" s="397"/>
      <c r="HO140" s="397"/>
      <c r="HP140" s="397"/>
      <c r="HQ140" s="397"/>
      <c r="HR140" s="397"/>
      <c r="HS140" s="397"/>
      <c r="HT140" s="397"/>
      <c r="HU140" s="397"/>
      <c r="HV140" s="397"/>
      <c r="HW140" s="397"/>
      <c r="HX140" s="397"/>
      <c r="HY140" s="397"/>
      <c r="HZ140" s="397"/>
      <c r="IA140" s="397"/>
      <c r="IB140" s="397"/>
      <c r="IC140" s="397"/>
      <c r="ID140" s="397"/>
      <c r="IE140" s="397"/>
      <c r="IF140" s="397"/>
      <c r="IG140" s="397"/>
      <c r="IH140" s="397"/>
      <c r="II140" s="397"/>
      <c r="IJ140" s="397"/>
      <c r="IK140" s="397"/>
      <c r="IL140" s="397"/>
      <c r="IM140" s="397"/>
      <c r="IN140" s="397"/>
      <c r="IO140" s="397"/>
      <c r="IP140" s="397"/>
      <c r="IQ140" s="397"/>
      <c r="IR140" s="397"/>
    </row>
    <row r="141" spans="2:252" s="183" customFormat="1" ht="25.15" customHeight="1" x14ac:dyDescent="0.25">
      <c r="B141" s="85">
        <v>42005</v>
      </c>
      <c r="C141" s="184">
        <v>547333.30053000001</v>
      </c>
      <c r="D141" s="184">
        <f>NetWorth[[#This Row],[Worth]]-C142</f>
        <v>3999.1429599999683</v>
      </c>
      <c r="E141" s="1"/>
      <c r="V141" s="397"/>
      <c r="W141" s="397"/>
      <c r="X141" s="397"/>
      <c r="Y141" s="397"/>
      <c r="Z141" s="397"/>
      <c r="AA141" s="397"/>
      <c r="AB141" s="397"/>
      <c r="AC141" s="397"/>
      <c r="AD141" s="397"/>
      <c r="AE141" s="397"/>
      <c r="AF141" s="397"/>
      <c r="AG141" s="397"/>
      <c r="AH141" s="397"/>
      <c r="AI141" s="397"/>
      <c r="AJ141" s="397"/>
      <c r="AK141" s="397"/>
      <c r="AL141" s="397"/>
      <c r="AM141" s="397"/>
      <c r="AN141" s="397"/>
      <c r="AO141" s="397"/>
      <c r="AP141" s="397"/>
      <c r="AQ141" s="397"/>
      <c r="AR141" s="397"/>
      <c r="AS141" s="397"/>
      <c r="AT141" s="397"/>
      <c r="AU141" s="397"/>
      <c r="AV141" s="397"/>
      <c r="AW141" s="397"/>
      <c r="AX141" s="397"/>
      <c r="AY141" s="397"/>
      <c r="AZ141" s="397"/>
      <c r="BA141" s="397"/>
      <c r="BB141" s="397"/>
      <c r="BC141" s="397"/>
      <c r="BD141" s="397"/>
      <c r="BE141" s="397"/>
      <c r="BF141" s="397"/>
      <c r="BG141" s="397"/>
      <c r="BH141" s="397"/>
      <c r="BI141" s="397"/>
      <c r="BJ141" s="397"/>
      <c r="BK141" s="397"/>
      <c r="BL141" s="397"/>
      <c r="BM141" s="397"/>
      <c r="BN141" s="397"/>
      <c r="BO141" s="397"/>
      <c r="BP141" s="397"/>
      <c r="BQ141" s="397"/>
      <c r="BR141" s="397"/>
      <c r="BS141" s="397"/>
      <c r="BT141" s="397"/>
      <c r="BU141" s="397"/>
      <c r="BV141" s="397"/>
      <c r="BW141" s="397"/>
      <c r="BX141" s="397"/>
      <c r="BY141" s="397"/>
      <c r="BZ141" s="397"/>
      <c r="CA141" s="397"/>
      <c r="CB141" s="397"/>
      <c r="CC141" s="397"/>
      <c r="CD141" s="397"/>
      <c r="CE141" s="397"/>
      <c r="CF141" s="397"/>
      <c r="CG141" s="397"/>
      <c r="CH141" s="397"/>
      <c r="CI141" s="397"/>
      <c r="CJ141" s="397"/>
      <c r="CK141" s="397"/>
      <c r="CL141" s="397"/>
      <c r="CM141" s="397"/>
      <c r="CN141" s="397"/>
      <c r="CO141" s="397"/>
      <c r="CP141" s="397"/>
      <c r="CQ141" s="397"/>
      <c r="CR141" s="397"/>
      <c r="CS141" s="397"/>
      <c r="CT141" s="397"/>
      <c r="CU141" s="397"/>
      <c r="CV141" s="397"/>
      <c r="CW141" s="397"/>
      <c r="CX141" s="397"/>
      <c r="CY141" s="397"/>
      <c r="CZ141" s="397"/>
      <c r="DA141" s="397"/>
      <c r="DB141" s="397"/>
      <c r="DC141" s="397"/>
      <c r="DD141" s="397"/>
      <c r="DE141" s="397"/>
      <c r="DF141" s="397"/>
      <c r="DG141" s="397"/>
      <c r="DH141" s="397"/>
      <c r="DI141" s="397"/>
      <c r="DJ141" s="397"/>
      <c r="DK141" s="397"/>
      <c r="DL141" s="397"/>
      <c r="DM141" s="397"/>
      <c r="DN141" s="397"/>
      <c r="DO141" s="397"/>
      <c r="DP141" s="397"/>
      <c r="DQ141" s="397"/>
      <c r="DR141" s="397"/>
      <c r="DS141" s="397"/>
      <c r="DT141" s="397"/>
      <c r="DU141" s="397"/>
      <c r="DV141" s="397"/>
      <c r="DW141" s="397"/>
      <c r="DX141" s="397"/>
      <c r="DY141" s="397"/>
      <c r="DZ141" s="397"/>
      <c r="EA141" s="397"/>
      <c r="EB141" s="397"/>
      <c r="EC141" s="397"/>
      <c r="ED141" s="397"/>
      <c r="EE141" s="397"/>
      <c r="EF141" s="397"/>
      <c r="EG141" s="397"/>
      <c r="EH141" s="397"/>
      <c r="EI141" s="397"/>
      <c r="EJ141" s="397"/>
      <c r="EK141" s="397"/>
      <c r="EL141" s="397"/>
      <c r="EM141" s="397"/>
      <c r="EN141" s="397"/>
      <c r="EO141" s="397"/>
      <c r="EP141" s="397"/>
      <c r="EQ141" s="397"/>
      <c r="ER141" s="397"/>
      <c r="ES141" s="397"/>
      <c r="ET141" s="397"/>
      <c r="EU141" s="397"/>
      <c r="EV141" s="397"/>
      <c r="EW141" s="397"/>
      <c r="EX141" s="397"/>
      <c r="EY141" s="397"/>
      <c r="EZ141" s="397"/>
      <c r="FA141" s="397"/>
      <c r="FB141" s="397"/>
      <c r="FC141" s="397"/>
      <c r="FD141" s="397"/>
      <c r="FE141" s="397"/>
      <c r="FF141" s="397"/>
      <c r="FG141" s="397"/>
      <c r="FH141" s="397"/>
      <c r="FI141" s="397"/>
      <c r="FJ141" s="397"/>
      <c r="FK141" s="397"/>
      <c r="FL141" s="397"/>
      <c r="FM141" s="397"/>
      <c r="FN141" s="397"/>
      <c r="FO141" s="397"/>
      <c r="FP141" s="397"/>
      <c r="FQ141" s="397"/>
      <c r="FR141" s="397"/>
      <c r="FS141" s="397"/>
      <c r="FT141" s="397"/>
      <c r="FU141" s="397"/>
      <c r="FV141" s="397"/>
      <c r="FW141" s="397"/>
      <c r="FX141" s="397"/>
      <c r="FY141" s="397"/>
      <c r="FZ141" s="397"/>
      <c r="GA141" s="397"/>
      <c r="GB141" s="397"/>
      <c r="GC141" s="397"/>
      <c r="GD141" s="397"/>
      <c r="GE141" s="397"/>
      <c r="GF141" s="397"/>
      <c r="GG141" s="397"/>
      <c r="GH141" s="397"/>
      <c r="GI141" s="397"/>
      <c r="GJ141" s="397"/>
      <c r="GK141" s="397"/>
      <c r="GL141" s="397"/>
      <c r="GM141" s="397"/>
      <c r="GN141" s="397"/>
      <c r="GO141" s="397"/>
      <c r="GP141" s="397"/>
      <c r="GQ141" s="397"/>
      <c r="GR141" s="397"/>
      <c r="GS141" s="397"/>
      <c r="GT141" s="397"/>
      <c r="GU141" s="397"/>
      <c r="GV141" s="397"/>
      <c r="GW141" s="397"/>
      <c r="GX141" s="397"/>
      <c r="GY141" s="397"/>
      <c r="GZ141" s="397"/>
      <c r="HA141" s="397"/>
      <c r="HB141" s="397"/>
      <c r="HC141" s="397"/>
      <c r="HD141" s="397"/>
      <c r="HE141" s="397"/>
      <c r="HF141" s="397"/>
      <c r="HG141" s="397"/>
      <c r="HH141" s="397"/>
      <c r="HI141" s="397"/>
      <c r="HJ141" s="397"/>
      <c r="HK141" s="397"/>
      <c r="HL141" s="397"/>
      <c r="HM141" s="397"/>
      <c r="HN141" s="397"/>
      <c r="HO141" s="397"/>
      <c r="HP141" s="397"/>
      <c r="HQ141" s="397"/>
      <c r="HR141" s="397"/>
      <c r="HS141" s="397"/>
      <c r="HT141" s="397"/>
      <c r="HU141" s="397"/>
      <c r="HV141" s="397"/>
      <c r="HW141" s="397"/>
      <c r="HX141" s="397"/>
      <c r="HY141" s="397"/>
      <c r="HZ141" s="397"/>
      <c r="IA141" s="397"/>
      <c r="IB141" s="397"/>
      <c r="IC141" s="397"/>
      <c r="ID141" s="397"/>
      <c r="IE141" s="397"/>
      <c r="IF141" s="397"/>
      <c r="IG141" s="397"/>
      <c r="IH141" s="397"/>
      <c r="II141" s="397"/>
      <c r="IJ141" s="397"/>
      <c r="IK141" s="397"/>
      <c r="IL141" s="397"/>
      <c r="IM141" s="397"/>
      <c r="IN141" s="397"/>
      <c r="IO141" s="397"/>
      <c r="IP141" s="397"/>
      <c r="IQ141" s="397"/>
      <c r="IR141" s="397"/>
    </row>
    <row r="142" spans="2:252" s="183" customFormat="1" ht="25.15" customHeight="1" x14ac:dyDescent="0.25">
      <c r="B142" s="85">
        <v>41974</v>
      </c>
      <c r="C142" s="184">
        <v>543334.15757000004</v>
      </c>
      <c r="D142" s="184">
        <f>NetWorth[[#This Row],[Worth]]-C143</f>
        <v>14319.157570000039</v>
      </c>
      <c r="E142" s="1" t="s">
        <v>83</v>
      </c>
      <c r="V142" s="397"/>
      <c r="W142" s="397"/>
      <c r="X142" s="397"/>
      <c r="Y142" s="397"/>
      <c r="Z142" s="397"/>
      <c r="AA142" s="397"/>
      <c r="AB142" s="397"/>
      <c r="AC142" s="397"/>
      <c r="AD142" s="397"/>
      <c r="AE142" s="397"/>
      <c r="AF142" s="397"/>
      <c r="AG142" s="397"/>
      <c r="AH142" s="397"/>
      <c r="AI142" s="397"/>
      <c r="AJ142" s="397"/>
      <c r="AK142" s="397"/>
      <c r="AL142" s="397"/>
      <c r="AM142" s="397"/>
      <c r="AN142" s="397"/>
      <c r="AO142" s="397"/>
      <c r="AP142" s="397"/>
      <c r="AQ142" s="397"/>
      <c r="AR142" s="397"/>
      <c r="AS142" s="397"/>
      <c r="AT142" s="397"/>
      <c r="AU142" s="397"/>
      <c r="AV142" s="397"/>
      <c r="AW142" s="397"/>
      <c r="AX142" s="397"/>
      <c r="AY142" s="397"/>
      <c r="AZ142" s="397"/>
      <c r="BA142" s="397"/>
      <c r="BB142" s="397"/>
      <c r="BC142" s="397"/>
      <c r="BD142" s="397"/>
      <c r="BE142" s="397"/>
      <c r="BF142" s="397"/>
      <c r="BG142" s="397"/>
      <c r="BH142" s="397"/>
      <c r="BI142" s="397"/>
      <c r="BJ142" s="397"/>
      <c r="BK142" s="397"/>
      <c r="BL142" s="397"/>
      <c r="BM142" s="397"/>
      <c r="BN142" s="397"/>
      <c r="BO142" s="397"/>
      <c r="BP142" s="397"/>
      <c r="BQ142" s="397"/>
      <c r="BR142" s="397"/>
      <c r="BS142" s="397"/>
      <c r="BT142" s="397"/>
      <c r="BU142" s="397"/>
      <c r="BV142" s="397"/>
      <c r="BW142" s="397"/>
      <c r="BX142" s="397"/>
      <c r="BY142" s="397"/>
      <c r="BZ142" s="397"/>
      <c r="CA142" s="397"/>
      <c r="CB142" s="397"/>
      <c r="CC142" s="397"/>
      <c r="CD142" s="397"/>
      <c r="CE142" s="397"/>
      <c r="CF142" s="397"/>
      <c r="CG142" s="397"/>
      <c r="CH142" s="397"/>
      <c r="CI142" s="397"/>
      <c r="CJ142" s="397"/>
      <c r="CK142" s="397"/>
      <c r="CL142" s="397"/>
      <c r="CM142" s="397"/>
      <c r="CN142" s="397"/>
      <c r="CO142" s="397"/>
      <c r="CP142" s="397"/>
      <c r="CQ142" s="397"/>
      <c r="CR142" s="397"/>
      <c r="CS142" s="397"/>
      <c r="CT142" s="397"/>
      <c r="CU142" s="397"/>
      <c r="CV142" s="397"/>
      <c r="CW142" s="397"/>
      <c r="CX142" s="397"/>
      <c r="CY142" s="397"/>
      <c r="CZ142" s="397"/>
      <c r="DA142" s="397"/>
      <c r="DB142" s="397"/>
      <c r="DC142" s="397"/>
      <c r="DD142" s="397"/>
      <c r="DE142" s="397"/>
      <c r="DF142" s="397"/>
      <c r="DG142" s="397"/>
      <c r="DH142" s="397"/>
      <c r="DI142" s="397"/>
      <c r="DJ142" s="397"/>
      <c r="DK142" s="397"/>
      <c r="DL142" s="397"/>
      <c r="DM142" s="397"/>
      <c r="DN142" s="397"/>
      <c r="DO142" s="397"/>
      <c r="DP142" s="397"/>
      <c r="DQ142" s="397"/>
      <c r="DR142" s="397"/>
      <c r="DS142" s="397"/>
      <c r="DT142" s="397"/>
      <c r="DU142" s="397"/>
      <c r="DV142" s="397"/>
      <c r="DW142" s="397"/>
      <c r="DX142" s="397"/>
      <c r="DY142" s="397"/>
      <c r="DZ142" s="397"/>
      <c r="EA142" s="397"/>
      <c r="EB142" s="397"/>
      <c r="EC142" s="397"/>
      <c r="ED142" s="397"/>
      <c r="EE142" s="397"/>
      <c r="EF142" s="397"/>
      <c r="EG142" s="397"/>
      <c r="EH142" s="397"/>
      <c r="EI142" s="397"/>
      <c r="EJ142" s="397"/>
      <c r="EK142" s="397"/>
      <c r="EL142" s="397"/>
      <c r="EM142" s="397"/>
      <c r="EN142" s="397"/>
      <c r="EO142" s="397"/>
      <c r="EP142" s="397"/>
      <c r="EQ142" s="397"/>
      <c r="ER142" s="397"/>
      <c r="ES142" s="397"/>
      <c r="ET142" s="397"/>
      <c r="EU142" s="397"/>
      <c r="EV142" s="397"/>
      <c r="EW142" s="397"/>
      <c r="EX142" s="397"/>
      <c r="EY142" s="397"/>
      <c r="EZ142" s="397"/>
      <c r="FA142" s="397"/>
      <c r="FB142" s="397"/>
      <c r="FC142" s="397"/>
      <c r="FD142" s="397"/>
      <c r="FE142" s="397"/>
      <c r="FF142" s="397"/>
      <c r="FG142" s="397"/>
      <c r="FH142" s="397"/>
      <c r="FI142" s="397"/>
      <c r="FJ142" s="397"/>
      <c r="FK142" s="397"/>
      <c r="FL142" s="397"/>
      <c r="FM142" s="397"/>
      <c r="FN142" s="397"/>
      <c r="FO142" s="397"/>
      <c r="FP142" s="397"/>
      <c r="FQ142" s="397"/>
      <c r="FR142" s="397"/>
      <c r="FS142" s="397"/>
      <c r="FT142" s="397"/>
      <c r="FU142" s="397"/>
      <c r="FV142" s="397"/>
      <c r="FW142" s="397"/>
      <c r="FX142" s="397"/>
      <c r="FY142" s="397"/>
      <c r="FZ142" s="397"/>
      <c r="GA142" s="397"/>
      <c r="GB142" s="397"/>
      <c r="GC142" s="397"/>
      <c r="GD142" s="397"/>
      <c r="GE142" s="397"/>
      <c r="GF142" s="397"/>
      <c r="GG142" s="397"/>
      <c r="GH142" s="397"/>
      <c r="GI142" s="397"/>
      <c r="GJ142" s="397"/>
      <c r="GK142" s="397"/>
      <c r="GL142" s="397"/>
      <c r="GM142" s="397"/>
      <c r="GN142" s="397"/>
      <c r="GO142" s="397"/>
      <c r="GP142" s="397"/>
      <c r="GQ142" s="397"/>
      <c r="GR142" s="397"/>
      <c r="GS142" s="397"/>
      <c r="GT142" s="397"/>
      <c r="GU142" s="397"/>
      <c r="GV142" s="397"/>
      <c r="GW142" s="397"/>
      <c r="GX142" s="397"/>
      <c r="GY142" s="397"/>
      <c r="GZ142" s="397"/>
      <c r="HA142" s="397"/>
      <c r="HB142" s="397"/>
      <c r="HC142" s="397"/>
      <c r="HD142" s="397"/>
      <c r="HE142" s="397"/>
      <c r="HF142" s="397"/>
      <c r="HG142" s="397"/>
      <c r="HH142" s="397"/>
      <c r="HI142" s="397"/>
      <c r="HJ142" s="397"/>
      <c r="HK142" s="397"/>
      <c r="HL142" s="397"/>
      <c r="HM142" s="397"/>
      <c r="HN142" s="397"/>
      <c r="HO142" s="397"/>
      <c r="HP142" s="397"/>
      <c r="HQ142" s="397"/>
      <c r="HR142" s="397"/>
      <c r="HS142" s="397"/>
      <c r="HT142" s="397"/>
      <c r="HU142" s="397"/>
      <c r="HV142" s="397"/>
      <c r="HW142" s="397"/>
      <c r="HX142" s="397"/>
      <c r="HY142" s="397"/>
      <c r="HZ142" s="397"/>
      <c r="IA142" s="397"/>
      <c r="IB142" s="397"/>
      <c r="IC142" s="397"/>
      <c r="ID142" s="397"/>
      <c r="IE142" s="397"/>
      <c r="IF142" s="397"/>
      <c r="IG142" s="397"/>
      <c r="IH142" s="397"/>
      <c r="II142" s="397"/>
      <c r="IJ142" s="397"/>
      <c r="IK142" s="397"/>
      <c r="IL142" s="397"/>
      <c r="IM142" s="397"/>
      <c r="IN142" s="397"/>
      <c r="IO142" s="397"/>
      <c r="IP142" s="397"/>
      <c r="IQ142" s="397"/>
      <c r="IR142" s="397"/>
    </row>
    <row r="143" spans="2:252" s="183" customFormat="1" ht="25.15" customHeight="1" x14ac:dyDescent="0.25">
      <c r="B143" s="85">
        <v>41944</v>
      </c>
      <c r="C143" s="184">
        <v>529015</v>
      </c>
      <c r="D143" s="184">
        <f>NetWorth[[#This Row],[Worth]]-C144</f>
        <v>-330397.01419600006</v>
      </c>
      <c r="E143" s="1" t="s">
        <v>84</v>
      </c>
      <c r="V143" s="397"/>
      <c r="W143" s="397"/>
      <c r="X143" s="397"/>
      <c r="Y143" s="397"/>
      <c r="Z143" s="397"/>
      <c r="AA143" s="397"/>
      <c r="AB143" s="397"/>
      <c r="AC143" s="397"/>
      <c r="AD143" s="397"/>
      <c r="AE143" s="397"/>
      <c r="AF143" s="397"/>
      <c r="AG143" s="397"/>
      <c r="AH143" s="397"/>
      <c r="AI143" s="397"/>
      <c r="AJ143" s="397"/>
      <c r="AK143" s="397"/>
      <c r="AL143" s="397"/>
      <c r="AM143" s="397"/>
      <c r="AN143" s="397"/>
      <c r="AO143" s="397"/>
      <c r="AP143" s="397"/>
      <c r="AQ143" s="397"/>
      <c r="AR143" s="397"/>
      <c r="AS143" s="397"/>
      <c r="AT143" s="397"/>
      <c r="AU143" s="397"/>
      <c r="AV143" s="397"/>
      <c r="AW143" s="397"/>
      <c r="AX143" s="397"/>
      <c r="AY143" s="397"/>
      <c r="AZ143" s="397"/>
      <c r="BA143" s="397"/>
      <c r="BB143" s="397"/>
      <c r="BC143" s="397"/>
      <c r="BD143" s="397"/>
      <c r="BE143" s="397"/>
      <c r="BF143" s="397"/>
      <c r="BG143" s="397"/>
      <c r="BH143" s="397"/>
      <c r="BI143" s="397"/>
      <c r="BJ143" s="397"/>
      <c r="BK143" s="397"/>
      <c r="BL143" s="397"/>
      <c r="BM143" s="397"/>
      <c r="BN143" s="397"/>
      <c r="BO143" s="397"/>
      <c r="BP143" s="397"/>
      <c r="BQ143" s="397"/>
      <c r="BR143" s="397"/>
      <c r="BS143" s="397"/>
      <c r="BT143" s="397"/>
      <c r="BU143" s="397"/>
      <c r="BV143" s="397"/>
      <c r="BW143" s="397"/>
      <c r="BX143" s="397"/>
      <c r="BY143" s="397"/>
      <c r="BZ143" s="397"/>
      <c r="CA143" s="397"/>
      <c r="CB143" s="397"/>
      <c r="CC143" s="397"/>
      <c r="CD143" s="397"/>
      <c r="CE143" s="397"/>
      <c r="CF143" s="397"/>
      <c r="CG143" s="397"/>
      <c r="CH143" s="397"/>
      <c r="CI143" s="397"/>
      <c r="CJ143" s="397"/>
      <c r="CK143" s="397"/>
      <c r="CL143" s="397"/>
      <c r="CM143" s="397"/>
      <c r="CN143" s="397"/>
      <c r="CO143" s="397"/>
      <c r="CP143" s="397"/>
      <c r="CQ143" s="397"/>
      <c r="CR143" s="397"/>
      <c r="CS143" s="397"/>
      <c r="CT143" s="397"/>
      <c r="CU143" s="397"/>
      <c r="CV143" s="397"/>
      <c r="CW143" s="397"/>
      <c r="CX143" s="397"/>
      <c r="CY143" s="397"/>
      <c r="CZ143" s="397"/>
      <c r="DA143" s="397"/>
      <c r="DB143" s="397"/>
      <c r="DC143" s="397"/>
      <c r="DD143" s="397"/>
      <c r="DE143" s="397"/>
      <c r="DF143" s="397"/>
      <c r="DG143" s="397"/>
      <c r="DH143" s="397"/>
      <c r="DI143" s="397"/>
      <c r="DJ143" s="397"/>
      <c r="DK143" s="397"/>
      <c r="DL143" s="397"/>
      <c r="DM143" s="397"/>
      <c r="DN143" s="397"/>
      <c r="DO143" s="397"/>
      <c r="DP143" s="397"/>
      <c r="DQ143" s="397"/>
      <c r="DR143" s="397"/>
      <c r="DS143" s="397"/>
      <c r="DT143" s="397"/>
      <c r="DU143" s="397"/>
      <c r="DV143" s="397"/>
      <c r="DW143" s="397"/>
      <c r="DX143" s="397"/>
      <c r="DY143" s="397"/>
      <c r="DZ143" s="397"/>
      <c r="EA143" s="397"/>
      <c r="EB143" s="397"/>
      <c r="EC143" s="397"/>
      <c r="ED143" s="397"/>
      <c r="EE143" s="397"/>
      <c r="EF143" s="397"/>
      <c r="EG143" s="397"/>
      <c r="EH143" s="397"/>
      <c r="EI143" s="397"/>
      <c r="EJ143" s="397"/>
      <c r="EK143" s="397"/>
      <c r="EL143" s="397"/>
      <c r="EM143" s="397"/>
      <c r="EN143" s="397"/>
      <c r="EO143" s="397"/>
      <c r="EP143" s="397"/>
      <c r="EQ143" s="397"/>
      <c r="ER143" s="397"/>
      <c r="ES143" s="397"/>
      <c r="ET143" s="397"/>
      <c r="EU143" s="397"/>
      <c r="EV143" s="397"/>
      <c r="EW143" s="397"/>
      <c r="EX143" s="397"/>
      <c r="EY143" s="397"/>
      <c r="EZ143" s="397"/>
      <c r="FA143" s="397"/>
      <c r="FB143" s="397"/>
      <c r="FC143" s="397"/>
      <c r="FD143" s="397"/>
      <c r="FE143" s="397"/>
      <c r="FF143" s="397"/>
      <c r="FG143" s="397"/>
      <c r="FH143" s="397"/>
      <c r="FI143" s="397"/>
      <c r="FJ143" s="397"/>
      <c r="FK143" s="397"/>
      <c r="FL143" s="397"/>
      <c r="FM143" s="397"/>
      <c r="FN143" s="397"/>
      <c r="FO143" s="397"/>
      <c r="FP143" s="397"/>
      <c r="FQ143" s="397"/>
      <c r="FR143" s="397"/>
      <c r="FS143" s="397"/>
      <c r="FT143" s="397"/>
      <c r="FU143" s="397"/>
      <c r="FV143" s="397"/>
      <c r="FW143" s="397"/>
      <c r="FX143" s="397"/>
      <c r="FY143" s="397"/>
      <c r="FZ143" s="397"/>
      <c r="GA143" s="397"/>
      <c r="GB143" s="397"/>
      <c r="GC143" s="397"/>
      <c r="GD143" s="397"/>
      <c r="GE143" s="397"/>
      <c r="GF143" s="397"/>
      <c r="GG143" s="397"/>
      <c r="GH143" s="397"/>
      <c r="GI143" s="397"/>
      <c r="GJ143" s="397"/>
      <c r="GK143" s="397"/>
      <c r="GL143" s="397"/>
      <c r="GM143" s="397"/>
      <c r="GN143" s="397"/>
      <c r="GO143" s="397"/>
      <c r="GP143" s="397"/>
      <c r="GQ143" s="397"/>
      <c r="GR143" s="397"/>
      <c r="GS143" s="397"/>
      <c r="GT143" s="397"/>
      <c r="GU143" s="397"/>
      <c r="GV143" s="397"/>
      <c r="GW143" s="397"/>
      <c r="GX143" s="397"/>
      <c r="GY143" s="397"/>
      <c r="GZ143" s="397"/>
      <c r="HA143" s="397"/>
      <c r="HB143" s="397"/>
      <c r="HC143" s="397"/>
      <c r="HD143" s="397"/>
      <c r="HE143" s="397"/>
      <c r="HF143" s="397"/>
      <c r="HG143" s="397"/>
      <c r="HH143" s="397"/>
      <c r="HI143" s="397"/>
      <c r="HJ143" s="397"/>
      <c r="HK143" s="397"/>
      <c r="HL143" s="397"/>
      <c r="HM143" s="397"/>
      <c r="HN143" s="397"/>
      <c r="HO143" s="397"/>
      <c r="HP143" s="397"/>
      <c r="HQ143" s="397"/>
      <c r="HR143" s="397"/>
      <c r="HS143" s="397"/>
      <c r="HT143" s="397"/>
      <c r="HU143" s="397"/>
      <c r="HV143" s="397"/>
      <c r="HW143" s="397"/>
      <c r="HX143" s="397"/>
      <c r="HY143" s="397"/>
      <c r="HZ143" s="397"/>
      <c r="IA143" s="397"/>
      <c r="IB143" s="397"/>
      <c r="IC143" s="397"/>
      <c r="ID143" s="397"/>
      <c r="IE143" s="397"/>
      <c r="IF143" s="397"/>
      <c r="IG143" s="397"/>
      <c r="IH143" s="397"/>
      <c r="II143" s="397"/>
      <c r="IJ143" s="397"/>
      <c r="IK143" s="397"/>
      <c r="IL143" s="397"/>
      <c r="IM143" s="397"/>
      <c r="IN143" s="397"/>
      <c r="IO143" s="397"/>
      <c r="IP143" s="397"/>
      <c r="IQ143" s="397"/>
      <c r="IR143" s="397"/>
    </row>
    <row r="144" spans="2:252" s="183" customFormat="1" ht="25.15" customHeight="1" x14ac:dyDescent="0.25">
      <c r="B144" s="85">
        <v>41913</v>
      </c>
      <c r="C144" s="184">
        <v>859412.01419600006</v>
      </c>
      <c r="D144" s="184">
        <f>NetWorth[[#This Row],[Worth]]-C145</f>
        <v>16150.826959999977</v>
      </c>
      <c r="E144" s="1" t="s">
        <v>85</v>
      </c>
      <c r="V144" s="397"/>
      <c r="W144" s="397"/>
      <c r="X144" s="397"/>
      <c r="Y144" s="397"/>
      <c r="Z144" s="397"/>
      <c r="AA144" s="397"/>
      <c r="AB144" s="397"/>
      <c r="AC144" s="397"/>
      <c r="AD144" s="397"/>
      <c r="AE144" s="397"/>
      <c r="AF144" s="397"/>
      <c r="AG144" s="397"/>
      <c r="AH144" s="397"/>
      <c r="AI144" s="397"/>
      <c r="AJ144" s="397"/>
      <c r="AK144" s="397"/>
      <c r="AL144" s="397"/>
      <c r="AM144" s="397"/>
      <c r="AN144" s="397"/>
      <c r="AO144" s="397"/>
      <c r="AP144" s="397"/>
      <c r="AQ144" s="397"/>
      <c r="AR144" s="397"/>
      <c r="AS144" s="397"/>
      <c r="AT144" s="397"/>
      <c r="AU144" s="397"/>
      <c r="AV144" s="397"/>
      <c r="AW144" s="397"/>
      <c r="AX144" s="397"/>
      <c r="AY144" s="397"/>
      <c r="AZ144" s="397"/>
      <c r="BA144" s="397"/>
      <c r="BB144" s="397"/>
      <c r="BC144" s="397"/>
      <c r="BD144" s="397"/>
      <c r="BE144" s="397"/>
      <c r="BF144" s="397"/>
      <c r="BG144" s="397"/>
      <c r="BH144" s="397"/>
      <c r="BI144" s="397"/>
      <c r="BJ144" s="397"/>
      <c r="BK144" s="397"/>
      <c r="BL144" s="397"/>
      <c r="BM144" s="397"/>
      <c r="BN144" s="397"/>
      <c r="BO144" s="397"/>
      <c r="BP144" s="397"/>
      <c r="BQ144" s="397"/>
      <c r="BR144" s="397"/>
      <c r="BS144" s="397"/>
      <c r="BT144" s="397"/>
      <c r="BU144" s="397"/>
      <c r="BV144" s="397"/>
      <c r="BW144" s="397"/>
      <c r="BX144" s="397"/>
      <c r="BY144" s="397"/>
      <c r="BZ144" s="397"/>
      <c r="CA144" s="397"/>
      <c r="CB144" s="397"/>
      <c r="CC144" s="397"/>
      <c r="CD144" s="397"/>
      <c r="CE144" s="397"/>
      <c r="CF144" s="397"/>
      <c r="CG144" s="397"/>
      <c r="CH144" s="397"/>
      <c r="CI144" s="397"/>
      <c r="CJ144" s="397"/>
      <c r="CK144" s="397"/>
      <c r="CL144" s="397"/>
      <c r="CM144" s="397"/>
      <c r="CN144" s="397"/>
      <c r="CO144" s="397"/>
      <c r="CP144" s="397"/>
      <c r="CQ144" s="397"/>
      <c r="CR144" s="397"/>
      <c r="CS144" s="397"/>
      <c r="CT144" s="397"/>
      <c r="CU144" s="397"/>
      <c r="CV144" s="397"/>
      <c r="CW144" s="397"/>
      <c r="CX144" s="397"/>
      <c r="CY144" s="397"/>
      <c r="CZ144" s="397"/>
      <c r="DA144" s="397"/>
      <c r="DB144" s="397"/>
      <c r="DC144" s="397"/>
      <c r="DD144" s="397"/>
      <c r="DE144" s="397"/>
      <c r="DF144" s="397"/>
      <c r="DG144" s="397"/>
      <c r="DH144" s="397"/>
      <c r="DI144" s="397"/>
      <c r="DJ144" s="397"/>
      <c r="DK144" s="397"/>
      <c r="DL144" s="397"/>
      <c r="DM144" s="397"/>
      <c r="DN144" s="397"/>
      <c r="DO144" s="397"/>
      <c r="DP144" s="397"/>
      <c r="DQ144" s="397"/>
      <c r="DR144" s="397"/>
      <c r="DS144" s="397"/>
      <c r="DT144" s="397"/>
      <c r="DU144" s="397"/>
      <c r="DV144" s="397"/>
      <c r="DW144" s="397"/>
      <c r="DX144" s="397"/>
      <c r="DY144" s="397"/>
      <c r="DZ144" s="397"/>
      <c r="EA144" s="397"/>
      <c r="EB144" s="397"/>
      <c r="EC144" s="397"/>
      <c r="ED144" s="397"/>
      <c r="EE144" s="397"/>
      <c r="EF144" s="397"/>
      <c r="EG144" s="397"/>
      <c r="EH144" s="397"/>
      <c r="EI144" s="397"/>
      <c r="EJ144" s="397"/>
      <c r="EK144" s="397"/>
      <c r="EL144" s="397"/>
      <c r="EM144" s="397"/>
      <c r="EN144" s="397"/>
      <c r="EO144" s="397"/>
      <c r="EP144" s="397"/>
      <c r="EQ144" s="397"/>
      <c r="ER144" s="397"/>
      <c r="ES144" s="397"/>
      <c r="ET144" s="397"/>
      <c r="EU144" s="397"/>
      <c r="EV144" s="397"/>
      <c r="EW144" s="397"/>
      <c r="EX144" s="397"/>
      <c r="EY144" s="397"/>
      <c r="EZ144" s="397"/>
      <c r="FA144" s="397"/>
      <c r="FB144" s="397"/>
      <c r="FC144" s="397"/>
      <c r="FD144" s="397"/>
      <c r="FE144" s="397"/>
      <c r="FF144" s="397"/>
      <c r="FG144" s="397"/>
      <c r="FH144" s="397"/>
      <c r="FI144" s="397"/>
      <c r="FJ144" s="397"/>
      <c r="FK144" s="397"/>
      <c r="FL144" s="397"/>
      <c r="FM144" s="397"/>
      <c r="FN144" s="397"/>
      <c r="FO144" s="397"/>
      <c r="FP144" s="397"/>
      <c r="FQ144" s="397"/>
      <c r="FR144" s="397"/>
      <c r="FS144" s="397"/>
      <c r="FT144" s="397"/>
      <c r="FU144" s="397"/>
      <c r="FV144" s="397"/>
      <c r="FW144" s="397"/>
      <c r="FX144" s="397"/>
      <c r="FY144" s="397"/>
      <c r="FZ144" s="397"/>
      <c r="GA144" s="397"/>
      <c r="GB144" s="397"/>
      <c r="GC144" s="397"/>
      <c r="GD144" s="397"/>
      <c r="GE144" s="397"/>
      <c r="GF144" s="397"/>
      <c r="GG144" s="397"/>
      <c r="GH144" s="397"/>
      <c r="GI144" s="397"/>
      <c r="GJ144" s="397"/>
      <c r="GK144" s="397"/>
      <c r="GL144" s="397"/>
      <c r="GM144" s="397"/>
      <c r="GN144" s="397"/>
      <c r="GO144" s="397"/>
      <c r="GP144" s="397"/>
      <c r="GQ144" s="397"/>
      <c r="GR144" s="397"/>
      <c r="GS144" s="397"/>
      <c r="GT144" s="397"/>
      <c r="GU144" s="397"/>
      <c r="GV144" s="397"/>
      <c r="GW144" s="397"/>
      <c r="GX144" s="397"/>
      <c r="GY144" s="397"/>
      <c r="GZ144" s="397"/>
      <c r="HA144" s="397"/>
      <c r="HB144" s="397"/>
      <c r="HC144" s="397"/>
      <c r="HD144" s="397"/>
      <c r="HE144" s="397"/>
      <c r="HF144" s="397"/>
      <c r="HG144" s="397"/>
      <c r="HH144" s="397"/>
      <c r="HI144" s="397"/>
      <c r="HJ144" s="397"/>
      <c r="HK144" s="397"/>
      <c r="HL144" s="397"/>
      <c r="HM144" s="397"/>
      <c r="HN144" s="397"/>
      <c r="HO144" s="397"/>
      <c r="HP144" s="397"/>
      <c r="HQ144" s="397"/>
      <c r="HR144" s="397"/>
      <c r="HS144" s="397"/>
      <c r="HT144" s="397"/>
      <c r="HU144" s="397"/>
      <c r="HV144" s="397"/>
      <c r="HW144" s="397"/>
      <c r="HX144" s="397"/>
      <c r="HY144" s="397"/>
      <c r="HZ144" s="397"/>
      <c r="IA144" s="397"/>
      <c r="IB144" s="397"/>
      <c r="IC144" s="397"/>
      <c r="ID144" s="397"/>
      <c r="IE144" s="397"/>
      <c r="IF144" s="397"/>
      <c r="IG144" s="397"/>
      <c r="IH144" s="397"/>
      <c r="II144" s="397"/>
      <c r="IJ144" s="397"/>
      <c r="IK144" s="397"/>
      <c r="IL144" s="397"/>
      <c r="IM144" s="397"/>
      <c r="IN144" s="397"/>
      <c r="IO144" s="397"/>
      <c r="IP144" s="397"/>
      <c r="IQ144" s="397"/>
      <c r="IR144" s="397"/>
    </row>
    <row r="145" spans="2:252" s="183" customFormat="1" ht="25.15" customHeight="1" x14ac:dyDescent="0.25">
      <c r="B145" s="85">
        <v>41883</v>
      </c>
      <c r="C145" s="184">
        <v>843261.18723600009</v>
      </c>
      <c r="D145" s="184">
        <f>NetWorth[[#This Row],[Worth]]-C146</f>
        <v>26518.747268000036</v>
      </c>
      <c r="E145" s="1" t="s">
        <v>86</v>
      </c>
      <c r="V145" s="397"/>
      <c r="W145" s="397"/>
      <c r="X145" s="397"/>
      <c r="Y145" s="397"/>
      <c r="Z145" s="397"/>
      <c r="AA145" s="397"/>
      <c r="AB145" s="397"/>
      <c r="AC145" s="397"/>
      <c r="AD145" s="397"/>
      <c r="AE145" s="397"/>
      <c r="AF145" s="397"/>
      <c r="AG145" s="397"/>
      <c r="AH145" s="397"/>
      <c r="AI145" s="397"/>
      <c r="AJ145" s="397"/>
      <c r="AK145" s="397"/>
      <c r="AL145" s="397"/>
      <c r="AM145" s="397"/>
      <c r="AN145" s="397"/>
      <c r="AO145" s="397"/>
      <c r="AP145" s="397"/>
      <c r="AQ145" s="397"/>
      <c r="AR145" s="397"/>
      <c r="AS145" s="397"/>
      <c r="AT145" s="397"/>
      <c r="AU145" s="397"/>
      <c r="AV145" s="397"/>
      <c r="AW145" s="397"/>
      <c r="AX145" s="397"/>
      <c r="AY145" s="397"/>
      <c r="AZ145" s="397"/>
      <c r="BA145" s="397"/>
      <c r="BB145" s="397"/>
      <c r="BC145" s="397"/>
      <c r="BD145" s="397"/>
      <c r="BE145" s="397"/>
      <c r="BF145" s="397"/>
      <c r="BG145" s="397"/>
      <c r="BH145" s="397"/>
      <c r="BI145" s="397"/>
      <c r="BJ145" s="397"/>
      <c r="BK145" s="397"/>
      <c r="BL145" s="397"/>
      <c r="BM145" s="397"/>
      <c r="BN145" s="397"/>
      <c r="BO145" s="397"/>
      <c r="BP145" s="397"/>
      <c r="BQ145" s="397"/>
      <c r="BR145" s="397"/>
      <c r="BS145" s="397"/>
      <c r="BT145" s="397"/>
      <c r="BU145" s="397"/>
      <c r="BV145" s="397"/>
      <c r="BW145" s="397"/>
      <c r="BX145" s="397"/>
      <c r="BY145" s="397"/>
      <c r="BZ145" s="397"/>
      <c r="CA145" s="397"/>
      <c r="CB145" s="397"/>
      <c r="CC145" s="397"/>
      <c r="CD145" s="397"/>
      <c r="CE145" s="397"/>
      <c r="CF145" s="397"/>
      <c r="CG145" s="397"/>
      <c r="CH145" s="397"/>
      <c r="CI145" s="397"/>
      <c r="CJ145" s="397"/>
      <c r="CK145" s="397"/>
      <c r="CL145" s="397"/>
      <c r="CM145" s="397"/>
      <c r="CN145" s="397"/>
      <c r="CO145" s="397"/>
      <c r="CP145" s="397"/>
      <c r="CQ145" s="397"/>
      <c r="CR145" s="397"/>
      <c r="CS145" s="397"/>
      <c r="CT145" s="397"/>
      <c r="CU145" s="397"/>
      <c r="CV145" s="397"/>
      <c r="CW145" s="397"/>
      <c r="CX145" s="397"/>
      <c r="CY145" s="397"/>
      <c r="CZ145" s="397"/>
      <c r="DA145" s="397"/>
      <c r="DB145" s="397"/>
      <c r="DC145" s="397"/>
      <c r="DD145" s="397"/>
      <c r="DE145" s="397"/>
      <c r="DF145" s="397"/>
      <c r="DG145" s="397"/>
      <c r="DH145" s="397"/>
      <c r="DI145" s="397"/>
      <c r="DJ145" s="397"/>
      <c r="DK145" s="397"/>
      <c r="DL145" s="397"/>
      <c r="DM145" s="397"/>
      <c r="DN145" s="397"/>
      <c r="DO145" s="397"/>
      <c r="DP145" s="397"/>
      <c r="DQ145" s="397"/>
      <c r="DR145" s="397"/>
      <c r="DS145" s="397"/>
      <c r="DT145" s="397"/>
      <c r="DU145" s="397"/>
      <c r="DV145" s="397"/>
      <c r="DW145" s="397"/>
      <c r="DX145" s="397"/>
      <c r="DY145" s="397"/>
      <c r="DZ145" s="397"/>
      <c r="EA145" s="397"/>
      <c r="EB145" s="397"/>
      <c r="EC145" s="397"/>
      <c r="ED145" s="397"/>
      <c r="EE145" s="397"/>
      <c r="EF145" s="397"/>
      <c r="EG145" s="397"/>
      <c r="EH145" s="397"/>
      <c r="EI145" s="397"/>
      <c r="EJ145" s="397"/>
      <c r="EK145" s="397"/>
      <c r="EL145" s="397"/>
      <c r="EM145" s="397"/>
      <c r="EN145" s="397"/>
      <c r="EO145" s="397"/>
      <c r="EP145" s="397"/>
      <c r="EQ145" s="397"/>
      <c r="ER145" s="397"/>
      <c r="ES145" s="397"/>
      <c r="ET145" s="397"/>
      <c r="EU145" s="397"/>
      <c r="EV145" s="397"/>
      <c r="EW145" s="397"/>
      <c r="EX145" s="397"/>
      <c r="EY145" s="397"/>
      <c r="EZ145" s="397"/>
      <c r="FA145" s="397"/>
      <c r="FB145" s="397"/>
      <c r="FC145" s="397"/>
      <c r="FD145" s="397"/>
      <c r="FE145" s="397"/>
      <c r="FF145" s="397"/>
      <c r="FG145" s="397"/>
      <c r="FH145" s="397"/>
      <c r="FI145" s="397"/>
      <c r="FJ145" s="397"/>
      <c r="FK145" s="397"/>
      <c r="FL145" s="397"/>
      <c r="FM145" s="397"/>
      <c r="FN145" s="397"/>
      <c r="FO145" s="397"/>
      <c r="FP145" s="397"/>
      <c r="FQ145" s="397"/>
      <c r="FR145" s="397"/>
      <c r="FS145" s="397"/>
      <c r="FT145" s="397"/>
      <c r="FU145" s="397"/>
      <c r="FV145" s="397"/>
      <c r="FW145" s="397"/>
      <c r="FX145" s="397"/>
      <c r="FY145" s="397"/>
      <c r="FZ145" s="397"/>
      <c r="GA145" s="397"/>
      <c r="GB145" s="397"/>
      <c r="GC145" s="397"/>
      <c r="GD145" s="397"/>
      <c r="GE145" s="397"/>
      <c r="GF145" s="397"/>
      <c r="GG145" s="397"/>
      <c r="GH145" s="397"/>
      <c r="GI145" s="397"/>
      <c r="GJ145" s="397"/>
      <c r="GK145" s="397"/>
      <c r="GL145" s="397"/>
      <c r="GM145" s="397"/>
      <c r="GN145" s="397"/>
      <c r="GO145" s="397"/>
      <c r="GP145" s="397"/>
      <c r="GQ145" s="397"/>
      <c r="GR145" s="397"/>
      <c r="GS145" s="397"/>
      <c r="GT145" s="397"/>
      <c r="GU145" s="397"/>
      <c r="GV145" s="397"/>
      <c r="GW145" s="397"/>
      <c r="GX145" s="397"/>
      <c r="GY145" s="397"/>
      <c r="GZ145" s="397"/>
      <c r="HA145" s="397"/>
      <c r="HB145" s="397"/>
      <c r="HC145" s="397"/>
      <c r="HD145" s="397"/>
      <c r="HE145" s="397"/>
      <c r="HF145" s="397"/>
      <c r="HG145" s="397"/>
      <c r="HH145" s="397"/>
      <c r="HI145" s="397"/>
      <c r="HJ145" s="397"/>
      <c r="HK145" s="397"/>
      <c r="HL145" s="397"/>
      <c r="HM145" s="397"/>
      <c r="HN145" s="397"/>
      <c r="HO145" s="397"/>
      <c r="HP145" s="397"/>
      <c r="HQ145" s="397"/>
      <c r="HR145" s="397"/>
      <c r="HS145" s="397"/>
      <c r="HT145" s="397"/>
      <c r="HU145" s="397"/>
      <c r="HV145" s="397"/>
      <c r="HW145" s="397"/>
      <c r="HX145" s="397"/>
      <c r="HY145" s="397"/>
      <c r="HZ145" s="397"/>
      <c r="IA145" s="397"/>
      <c r="IB145" s="397"/>
      <c r="IC145" s="397"/>
      <c r="ID145" s="397"/>
      <c r="IE145" s="397"/>
      <c r="IF145" s="397"/>
      <c r="IG145" s="397"/>
      <c r="IH145" s="397"/>
      <c r="II145" s="397"/>
      <c r="IJ145" s="397"/>
      <c r="IK145" s="397"/>
      <c r="IL145" s="397"/>
      <c r="IM145" s="397"/>
      <c r="IN145" s="397"/>
      <c r="IO145" s="397"/>
      <c r="IP145" s="397"/>
      <c r="IQ145" s="397"/>
      <c r="IR145" s="397"/>
    </row>
    <row r="146" spans="2:252" s="183" customFormat="1" ht="25.15" customHeight="1" x14ac:dyDescent="0.25">
      <c r="B146" s="85">
        <v>41852</v>
      </c>
      <c r="C146" s="184">
        <v>816742.43996800005</v>
      </c>
      <c r="D146" s="184">
        <f>NetWorth[[#This Row],[Worth]]-C147</f>
        <v>6825.8757220001426</v>
      </c>
      <c r="E146" s="1"/>
      <c r="V146" s="397"/>
      <c r="W146" s="397"/>
      <c r="X146" s="397"/>
      <c r="Y146" s="397"/>
      <c r="Z146" s="397"/>
      <c r="AA146" s="397"/>
      <c r="AB146" s="397"/>
      <c r="AC146" s="397"/>
      <c r="AD146" s="397"/>
      <c r="AE146" s="397"/>
      <c r="AF146" s="397"/>
      <c r="AG146" s="397"/>
      <c r="AH146" s="397"/>
      <c r="AI146" s="397"/>
      <c r="AJ146" s="397"/>
      <c r="AK146" s="397"/>
      <c r="AL146" s="397"/>
      <c r="AM146" s="397"/>
      <c r="AN146" s="397"/>
      <c r="AO146" s="397"/>
      <c r="AP146" s="397"/>
      <c r="AQ146" s="397"/>
      <c r="AR146" s="397"/>
      <c r="AS146" s="397"/>
      <c r="AT146" s="397"/>
      <c r="AU146" s="397"/>
      <c r="AV146" s="397"/>
      <c r="AW146" s="397"/>
      <c r="AX146" s="397"/>
      <c r="AY146" s="397"/>
      <c r="AZ146" s="397"/>
      <c r="BA146" s="397"/>
      <c r="BB146" s="397"/>
      <c r="BC146" s="397"/>
      <c r="BD146" s="397"/>
      <c r="BE146" s="397"/>
      <c r="BF146" s="397"/>
      <c r="BG146" s="397"/>
      <c r="BH146" s="397"/>
      <c r="BI146" s="397"/>
      <c r="BJ146" s="397"/>
      <c r="BK146" s="397"/>
      <c r="BL146" s="397"/>
      <c r="BM146" s="397"/>
      <c r="BN146" s="397"/>
      <c r="BO146" s="397"/>
      <c r="BP146" s="397"/>
      <c r="BQ146" s="397"/>
      <c r="BR146" s="397"/>
      <c r="BS146" s="397"/>
      <c r="BT146" s="397"/>
      <c r="BU146" s="397"/>
      <c r="BV146" s="397"/>
      <c r="BW146" s="397"/>
      <c r="BX146" s="397"/>
      <c r="BY146" s="397"/>
      <c r="BZ146" s="397"/>
      <c r="CA146" s="397"/>
      <c r="CB146" s="397"/>
      <c r="CC146" s="397"/>
      <c r="CD146" s="397"/>
      <c r="CE146" s="397"/>
      <c r="CF146" s="397"/>
      <c r="CG146" s="397"/>
      <c r="CH146" s="397"/>
      <c r="CI146" s="397"/>
      <c r="CJ146" s="397"/>
      <c r="CK146" s="397"/>
      <c r="CL146" s="397"/>
      <c r="CM146" s="397"/>
      <c r="CN146" s="397"/>
      <c r="CO146" s="397"/>
      <c r="CP146" s="397"/>
      <c r="CQ146" s="397"/>
      <c r="CR146" s="397"/>
      <c r="CS146" s="397"/>
      <c r="CT146" s="397"/>
      <c r="CU146" s="397"/>
      <c r="CV146" s="397"/>
      <c r="CW146" s="397"/>
      <c r="CX146" s="397"/>
      <c r="CY146" s="397"/>
      <c r="CZ146" s="397"/>
      <c r="DA146" s="397"/>
      <c r="DB146" s="397"/>
      <c r="DC146" s="397"/>
      <c r="DD146" s="397"/>
      <c r="DE146" s="397"/>
      <c r="DF146" s="397"/>
      <c r="DG146" s="397"/>
      <c r="DH146" s="397"/>
      <c r="DI146" s="397"/>
      <c r="DJ146" s="397"/>
      <c r="DK146" s="397"/>
      <c r="DL146" s="397"/>
      <c r="DM146" s="397"/>
      <c r="DN146" s="397"/>
      <c r="DO146" s="397"/>
      <c r="DP146" s="397"/>
      <c r="DQ146" s="397"/>
      <c r="DR146" s="397"/>
      <c r="DS146" s="397"/>
      <c r="DT146" s="397"/>
      <c r="DU146" s="397"/>
      <c r="DV146" s="397"/>
      <c r="DW146" s="397"/>
      <c r="DX146" s="397"/>
      <c r="DY146" s="397"/>
      <c r="DZ146" s="397"/>
      <c r="EA146" s="397"/>
      <c r="EB146" s="397"/>
      <c r="EC146" s="397"/>
      <c r="ED146" s="397"/>
      <c r="EE146" s="397"/>
      <c r="EF146" s="397"/>
      <c r="EG146" s="397"/>
      <c r="EH146" s="397"/>
      <c r="EI146" s="397"/>
      <c r="EJ146" s="397"/>
      <c r="EK146" s="397"/>
      <c r="EL146" s="397"/>
      <c r="EM146" s="397"/>
      <c r="EN146" s="397"/>
      <c r="EO146" s="397"/>
      <c r="EP146" s="397"/>
      <c r="EQ146" s="397"/>
      <c r="ER146" s="397"/>
      <c r="ES146" s="397"/>
      <c r="ET146" s="397"/>
      <c r="EU146" s="397"/>
      <c r="EV146" s="397"/>
      <c r="EW146" s="397"/>
      <c r="EX146" s="397"/>
      <c r="EY146" s="397"/>
      <c r="EZ146" s="397"/>
      <c r="FA146" s="397"/>
      <c r="FB146" s="397"/>
      <c r="FC146" s="397"/>
      <c r="FD146" s="397"/>
      <c r="FE146" s="397"/>
      <c r="FF146" s="397"/>
      <c r="FG146" s="397"/>
      <c r="FH146" s="397"/>
      <c r="FI146" s="397"/>
      <c r="FJ146" s="397"/>
      <c r="FK146" s="397"/>
      <c r="FL146" s="397"/>
      <c r="FM146" s="397"/>
      <c r="FN146" s="397"/>
      <c r="FO146" s="397"/>
      <c r="FP146" s="397"/>
      <c r="FQ146" s="397"/>
      <c r="FR146" s="397"/>
      <c r="FS146" s="397"/>
      <c r="FT146" s="397"/>
      <c r="FU146" s="397"/>
      <c r="FV146" s="397"/>
      <c r="FW146" s="397"/>
      <c r="FX146" s="397"/>
      <c r="FY146" s="397"/>
      <c r="FZ146" s="397"/>
      <c r="GA146" s="397"/>
      <c r="GB146" s="397"/>
      <c r="GC146" s="397"/>
      <c r="GD146" s="397"/>
      <c r="GE146" s="397"/>
      <c r="GF146" s="397"/>
      <c r="GG146" s="397"/>
      <c r="GH146" s="397"/>
      <c r="GI146" s="397"/>
      <c r="GJ146" s="397"/>
      <c r="GK146" s="397"/>
      <c r="GL146" s="397"/>
      <c r="GM146" s="397"/>
      <c r="GN146" s="397"/>
      <c r="GO146" s="397"/>
      <c r="GP146" s="397"/>
      <c r="GQ146" s="397"/>
      <c r="GR146" s="397"/>
      <c r="GS146" s="397"/>
      <c r="GT146" s="397"/>
      <c r="GU146" s="397"/>
      <c r="GV146" s="397"/>
      <c r="GW146" s="397"/>
      <c r="GX146" s="397"/>
      <c r="GY146" s="397"/>
      <c r="GZ146" s="397"/>
      <c r="HA146" s="397"/>
      <c r="HB146" s="397"/>
      <c r="HC146" s="397"/>
      <c r="HD146" s="397"/>
      <c r="HE146" s="397"/>
      <c r="HF146" s="397"/>
      <c r="HG146" s="397"/>
      <c r="HH146" s="397"/>
      <c r="HI146" s="397"/>
      <c r="HJ146" s="397"/>
      <c r="HK146" s="397"/>
      <c r="HL146" s="397"/>
      <c r="HM146" s="397"/>
      <c r="HN146" s="397"/>
      <c r="HO146" s="397"/>
      <c r="HP146" s="397"/>
      <c r="HQ146" s="397"/>
      <c r="HR146" s="397"/>
      <c r="HS146" s="397"/>
      <c r="HT146" s="397"/>
      <c r="HU146" s="397"/>
      <c r="HV146" s="397"/>
      <c r="HW146" s="397"/>
      <c r="HX146" s="397"/>
      <c r="HY146" s="397"/>
      <c r="HZ146" s="397"/>
      <c r="IA146" s="397"/>
      <c r="IB146" s="397"/>
      <c r="IC146" s="397"/>
      <c r="ID146" s="397"/>
      <c r="IE146" s="397"/>
      <c r="IF146" s="397"/>
      <c r="IG146" s="397"/>
      <c r="IH146" s="397"/>
      <c r="II146" s="397"/>
      <c r="IJ146" s="397"/>
      <c r="IK146" s="397"/>
      <c r="IL146" s="397"/>
      <c r="IM146" s="397"/>
      <c r="IN146" s="397"/>
      <c r="IO146" s="397"/>
      <c r="IP146" s="397"/>
      <c r="IQ146" s="397"/>
      <c r="IR146" s="397"/>
    </row>
    <row r="147" spans="2:252" s="183" customFormat="1" ht="25.15" customHeight="1" x14ac:dyDescent="0.25">
      <c r="B147" s="85">
        <v>41821</v>
      </c>
      <c r="C147" s="184">
        <v>809916.56424599991</v>
      </c>
      <c r="D147" s="184">
        <f>NetWorth[[#This Row],[Worth]]-C148</f>
        <v>1313.7804439999163</v>
      </c>
      <c r="E147" s="1" t="s">
        <v>87</v>
      </c>
      <c r="V147" s="397"/>
      <c r="W147" s="397"/>
      <c r="X147" s="397"/>
      <c r="Y147" s="397"/>
      <c r="Z147" s="397"/>
      <c r="AA147" s="397"/>
      <c r="AB147" s="397"/>
      <c r="AC147" s="397"/>
      <c r="AD147" s="397"/>
      <c r="AE147" s="397"/>
      <c r="AF147" s="397"/>
      <c r="AG147" s="397"/>
      <c r="AH147" s="397"/>
      <c r="AI147" s="397"/>
      <c r="AJ147" s="397"/>
      <c r="AK147" s="397"/>
      <c r="AL147" s="397"/>
      <c r="AM147" s="397"/>
      <c r="AN147" s="397"/>
      <c r="AO147" s="397"/>
      <c r="AP147" s="397"/>
      <c r="AQ147" s="397"/>
      <c r="AR147" s="397"/>
      <c r="AS147" s="397"/>
      <c r="AT147" s="397"/>
      <c r="AU147" s="397"/>
      <c r="AV147" s="397"/>
      <c r="AW147" s="397"/>
      <c r="AX147" s="397"/>
      <c r="AY147" s="397"/>
      <c r="AZ147" s="397"/>
      <c r="BA147" s="397"/>
      <c r="BB147" s="397"/>
      <c r="BC147" s="397"/>
      <c r="BD147" s="397"/>
      <c r="BE147" s="397"/>
      <c r="BF147" s="397"/>
      <c r="BG147" s="397"/>
      <c r="BH147" s="397"/>
      <c r="BI147" s="397"/>
      <c r="BJ147" s="397"/>
      <c r="BK147" s="397"/>
      <c r="BL147" s="397"/>
      <c r="BM147" s="397"/>
      <c r="BN147" s="397"/>
      <c r="BO147" s="397"/>
      <c r="BP147" s="397"/>
      <c r="BQ147" s="397"/>
      <c r="BR147" s="397"/>
      <c r="BS147" s="397"/>
      <c r="BT147" s="397"/>
      <c r="BU147" s="397"/>
      <c r="BV147" s="397"/>
      <c r="BW147" s="397"/>
      <c r="BX147" s="397"/>
      <c r="BY147" s="397"/>
      <c r="BZ147" s="397"/>
      <c r="CA147" s="397"/>
      <c r="CB147" s="397"/>
      <c r="CC147" s="397"/>
      <c r="CD147" s="397"/>
      <c r="CE147" s="397"/>
      <c r="CF147" s="397"/>
      <c r="CG147" s="397"/>
      <c r="CH147" s="397"/>
      <c r="CI147" s="397"/>
      <c r="CJ147" s="397"/>
      <c r="CK147" s="397"/>
      <c r="CL147" s="397"/>
      <c r="CM147" s="397"/>
      <c r="CN147" s="397"/>
      <c r="CO147" s="397"/>
      <c r="CP147" s="397"/>
      <c r="CQ147" s="397"/>
      <c r="CR147" s="397"/>
      <c r="CS147" s="397"/>
      <c r="CT147" s="397"/>
      <c r="CU147" s="397"/>
      <c r="CV147" s="397"/>
      <c r="CW147" s="397"/>
      <c r="CX147" s="397"/>
      <c r="CY147" s="397"/>
      <c r="CZ147" s="397"/>
      <c r="DA147" s="397"/>
      <c r="DB147" s="397"/>
      <c r="DC147" s="397"/>
      <c r="DD147" s="397"/>
      <c r="DE147" s="397"/>
      <c r="DF147" s="397"/>
      <c r="DG147" s="397"/>
      <c r="DH147" s="397"/>
      <c r="DI147" s="397"/>
      <c r="DJ147" s="397"/>
      <c r="DK147" s="397"/>
      <c r="DL147" s="397"/>
      <c r="DM147" s="397"/>
      <c r="DN147" s="397"/>
      <c r="DO147" s="397"/>
      <c r="DP147" s="397"/>
      <c r="DQ147" s="397"/>
      <c r="DR147" s="397"/>
      <c r="DS147" s="397"/>
      <c r="DT147" s="397"/>
      <c r="DU147" s="397"/>
      <c r="DV147" s="397"/>
      <c r="DW147" s="397"/>
      <c r="DX147" s="397"/>
      <c r="DY147" s="397"/>
      <c r="DZ147" s="397"/>
      <c r="EA147" s="397"/>
      <c r="EB147" s="397"/>
      <c r="EC147" s="397"/>
      <c r="ED147" s="397"/>
      <c r="EE147" s="397"/>
      <c r="EF147" s="397"/>
      <c r="EG147" s="397"/>
      <c r="EH147" s="397"/>
      <c r="EI147" s="397"/>
      <c r="EJ147" s="397"/>
      <c r="EK147" s="397"/>
      <c r="EL147" s="397"/>
      <c r="EM147" s="397"/>
      <c r="EN147" s="397"/>
      <c r="EO147" s="397"/>
      <c r="EP147" s="397"/>
      <c r="EQ147" s="397"/>
      <c r="ER147" s="397"/>
      <c r="ES147" s="397"/>
      <c r="ET147" s="397"/>
      <c r="EU147" s="397"/>
      <c r="EV147" s="397"/>
      <c r="EW147" s="397"/>
      <c r="EX147" s="397"/>
      <c r="EY147" s="397"/>
      <c r="EZ147" s="397"/>
      <c r="FA147" s="397"/>
      <c r="FB147" s="397"/>
      <c r="FC147" s="397"/>
      <c r="FD147" s="397"/>
      <c r="FE147" s="397"/>
      <c r="FF147" s="397"/>
      <c r="FG147" s="397"/>
      <c r="FH147" s="397"/>
      <c r="FI147" s="397"/>
      <c r="FJ147" s="397"/>
      <c r="FK147" s="397"/>
      <c r="FL147" s="397"/>
      <c r="FM147" s="397"/>
      <c r="FN147" s="397"/>
      <c r="FO147" s="397"/>
      <c r="FP147" s="397"/>
      <c r="FQ147" s="397"/>
      <c r="FR147" s="397"/>
      <c r="FS147" s="397"/>
      <c r="FT147" s="397"/>
      <c r="FU147" s="397"/>
      <c r="FV147" s="397"/>
      <c r="FW147" s="397"/>
      <c r="FX147" s="397"/>
      <c r="FY147" s="397"/>
      <c r="FZ147" s="397"/>
      <c r="GA147" s="397"/>
      <c r="GB147" s="397"/>
      <c r="GC147" s="397"/>
      <c r="GD147" s="397"/>
      <c r="GE147" s="397"/>
      <c r="GF147" s="397"/>
      <c r="GG147" s="397"/>
      <c r="GH147" s="397"/>
      <c r="GI147" s="397"/>
      <c r="GJ147" s="397"/>
      <c r="GK147" s="397"/>
      <c r="GL147" s="397"/>
      <c r="GM147" s="397"/>
      <c r="GN147" s="397"/>
      <c r="GO147" s="397"/>
      <c r="GP147" s="397"/>
      <c r="GQ147" s="397"/>
      <c r="GR147" s="397"/>
      <c r="GS147" s="397"/>
      <c r="GT147" s="397"/>
      <c r="GU147" s="397"/>
      <c r="GV147" s="397"/>
      <c r="GW147" s="397"/>
      <c r="GX147" s="397"/>
      <c r="GY147" s="397"/>
      <c r="GZ147" s="397"/>
      <c r="HA147" s="397"/>
      <c r="HB147" s="397"/>
      <c r="HC147" s="397"/>
      <c r="HD147" s="397"/>
      <c r="HE147" s="397"/>
      <c r="HF147" s="397"/>
      <c r="HG147" s="397"/>
      <c r="HH147" s="397"/>
      <c r="HI147" s="397"/>
      <c r="HJ147" s="397"/>
      <c r="HK147" s="397"/>
      <c r="HL147" s="397"/>
      <c r="HM147" s="397"/>
      <c r="HN147" s="397"/>
      <c r="HO147" s="397"/>
      <c r="HP147" s="397"/>
      <c r="HQ147" s="397"/>
      <c r="HR147" s="397"/>
      <c r="HS147" s="397"/>
      <c r="HT147" s="397"/>
      <c r="HU147" s="397"/>
      <c r="HV147" s="397"/>
      <c r="HW147" s="397"/>
      <c r="HX147" s="397"/>
      <c r="HY147" s="397"/>
      <c r="HZ147" s="397"/>
      <c r="IA147" s="397"/>
      <c r="IB147" s="397"/>
      <c r="IC147" s="397"/>
      <c r="ID147" s="397"/>
      <c r="IE147" s="397"/>
      <c r="IF147" s="397"/>
      <c r="IG147" s="397"/>
      <c r="IH147" s="397"/>
      <c r="II147" s="397"/>
      <c r="IJ147" s="397"/>
      <c r="IK147" s="397"/>
      <c r="IL147" s="397"/>
      <c r="IM147" s="397"/>
      <c r="IN147" s="397"/>
      <c r="IO147" s="397"/>
      <c r="IP147" s="397"/>
      <c r="IQ147" s="397"/>
      <c r="IR147" s="397"/>
    </row>
    <row r="148" spans="2:252" s="183" customFormat="1" ht="25.15" customHeight="1" x14ac:dyDescent="0.25">
      <c r="B148" s="85">
        <v>41791</v>
      </c>
      <c r="C148" s="184">
        <v>808602.78380199999</v>
      </c>
      <c r="D148" s="184">
        <f>NetWorth[[#This Row],[Worth]]-C149</f>
        <v>18990.746224000002</v>
      </c>
      <c r="E148" s="1" t="s">
        <v>88</v>
      </c>
      <c r="V148" s="397"/>
      <c r="W148" s="397"/>
      <c r="X148" s="397"/>
      <c r="Y148" s="397"/>
      <c r="Z148" s="397"/>
      <c r="AA148" s="397"/>
      <c r="AB148" s="397"/>
      <c r="AC148" s="397"/>
      <c r="AD148" s="397"/>
      <c r="AE148" s="397"/>
      <c r="AF148" s="397"/>
      <c r="AG148" s="397"/>
      <c r="AH148" s="397"/>
      <c r="AI148" s="397"/>
      <c r="AJ148" s="397"/>
      <c r="AK148" s="397"/>
      <c r="AL148" s="397"/>
      <c r="AM148" s="397"/>
      <c r="AN148" s="397"/>
      <c r="AO148" s="397"/>
      <c r="AP148" s="397"/>
      <c r="AQ148" s="397"/>
      <c r="AR148" s="397"/>
      <c r="AS148" s="397"/>
      <c r="AT148" s="397"/>
      <c r="AU148" s="397"/>
      <c r="AV148" s="397"/>
      <c r="AW148" s="397"/>
      <c r="AX148" s="397"/>
      <c r="AY148" s="397"/>
      <c r="AZ148" s="397"/>
      <c r="BA148" s="397"/>
      <c r="BB148" s="397"/>
      <c r="BC148" s="397"/>
      <c r="BD148" s="397"/>
      <c r="BE148" s="397"/>
      <c r="BF148" s="397"/>
      <c r="BG148" s="397"/>
      <c r="BH148" s="397"/>
      <c r="BI148" s="397"/>
      <c r="BJ148" s="397"/>
      <c r="BK148" s="397"/>
      <c r="BL148" s="397"/>
      <c r="BM148" s="397"/>
      <c r="BN148" s="397"/>
      <c r="BO148" s="397"/>
      <c r="BP148" s="397"/>
      <c r="BQ148" s="397"/>
      <c r="BR148" s="397"/>
      <c r="BS148" s="397"/>
      <c r="BT148" s="397"/>
      <c r="BU148" s="397"/>
      <c r="BV148" s="397"/>
      <c r="BW148" s="397"/>
      <c r="BX148" s="397"/>
      <c r="BY148" s="397"/>
      <c r="BZ148" s="397"/>
      <c r="CA148" s="397"/>
      <c r="CB148" s="397"/>
      <c r="CC148" s="397"/>
      <c r="CD148" s="397"/>
      <c r="CE148" s="397"/>
      <c r="CF148" s="397"/>
      <c r="CG148" s="397"/>
      <c r="CH148" s="397"/>
      <c r="CI148" s="397"/>
      <c r="CJ148" s="397"/>
      <c r="CK148" s="397"/>
      <c r="CL148" s="397"/>
      <c r="CM148" s="397"/>
      <c r="CN148" s="397"/>
      <c r="CO148" s="397"/>
      <c r="CP148" s="397"/>
      <c r="CQ148" s="397"/>
      <c r="CR148" s="397"/>
      <c r="CS148" s="397"/>
      <c r="CT148" s="397"/>
      <c r="CU148" s="397"/>
      <c r="CV148" s="397"/>
      <c r="CW148" s="397"/>
      <c r="CX148" s="397"/>
      <c r="CY148" s="397"/>
      <c r="CZ148" s="397"/>
      <c r="DA148" s="397"/>
      <c r="DB148" s="397"/>
      <c r="DC148" s="397"/>
      <c r="DD148" s="397"/>
      <c r="DE148" s="397"/>
      <c r="DF148" s="397"/>
      <c r="DG148" s="397"/>
      <c r="DH148" s="397"/>
      <c r="DI148" s="397"/>
      <c r="DJ148" s="397"/>
      <c r="DK148" s="397"/>
      <c r="DL148" s="397"/>
      <c r="DM148" s="397"/>
      <c r="DN148" s="397"/>
      <c r="DO148" s="397"/>
      <c r="DP148" s="397"/>
      <c r="DQ148" s="397"/>
      <c r="DR148" s="397"/>
      <c r="DS148" s="397"/>
      <c r="DT148" s="397"/>
      <c r="DU148" s="397"/>
      <c r="DV148" s="397"/>
      <c r="DW148" s="397"/>
      <c r="DX148" s="397"/>
      <c r="DY148" s="397"/>
      <c r="DZ148" s="397"/>
      <c r="EA148" s="397"/>
      <c r="EB148" s="397"/>
      <c r="EC148" s="397"/>
      <c r="ED148" s="397"/>
      <c r="EE148" s="397"/>
      <c r="EF148" s="397"/>
      <c r="EG148" s="397"/>
      <c r="EH148" s="397"/>
      <c r="EI148" s="397"/>
      <c r="EJ148" s="397"/>
      <c r="EK148" s="397"/>
      <c r="EL148" s="397"/>
      <c r="EM148" s="397"/>
      <c r="EN148" s="397"/>
      <c r="EO148" s="397"/>
      <c r="EP148" s="397"/>
      <c r="EQ148" s="397"/>
      <c r="ER148" s="397"/>
      <c r="ES148" s="397"/>
      <c r="ET148" s="397"/>
      <c r="EU148" s="397"/>
      <c r="EV148" s="397"/>
      <c r="EW148" s="397"/>
      <c r="EX148" s="397"/>
      <c r="EY148" s="397"/>
      <c r="EZ148" s="397"/>
      <c r="FA148" s="397"/>
      <c r="FB148" s="397"/>
      <c r="FC148" s="397"/>
      <c r="FD148" s="397"/>
      <c r="FE148" s="397"/>
      <c r="FF148" s="397"/>
      <c r="FG148" s="397"/>
      <c r="FH148" s="397"/>
      <c r="FI148" s="397"/>
      <c r="FJ148" s="397"/>
      <c r="FK148" s="397"/>
      <c r="FL148" s="397"/>
      <c r="FM148" s="397"/>
      <c r="FN148" s="397"/>
      <c r="FO148" s="397"/>
      <c r="FP148" s="397"/>
      <c r="FQ148" s="397"/>
      <c r="FR148" s="397"/>
      <c r="FS148" s="397"/>
      <c r="FT148" s="397"/>
      <c r="FU148" s="397"/>
      <c r="FV148" s="397"/>
      <c r="FW148" s="397"/>
      <c r="FX148" s="397"/>
      <c r="FY148" s="397"/>
      <c r="FZ148" s="397"/>
      <c r="GA148" s="397"/>
      <c r="GB148" s="397"/>
      <c r="GC148" s="397"/>
      <c r="GD148" s="397"/>
      <c r="GE148" s="397"/>
      <c r="GF148" s="397"/>
      <c r="GG148" s="397"/>
      <c r="GH148" s="397"/>
      <c r="GI148" s="397"/>
      <c r="GJ148" s="397"/>
      <c r="GK148" s="397"/>
      <c r="GL148" s="397"/>
      <c r="GM148" s="397"/>
      <c r="GN148" s="397"/>
      <c r="GO148" s="397"/>
      <c r="GP148" s="397"/>
      <c r="GQ148" s="397"/>
      <c r="GR148" s="397"/>
      <c r="GS148" s="397"/>
      <c r="GT148" s="397"/>
      <c r="GU148" s="397"/>
      <c r="GV148" s="397"/>
      <c r="GW148" s="397"/>
      <c r="GX148" s="397"/>
      <c r="GY148" s="397"/>
      <c r="GZ148" s="397"/>
      <c r="HA148" s="397"/>
      <c r="HB148" s="397"/>
      <c r="HC148" s="397"/>
      <c r="HD148" s="397"/>
      <c r="HE148" s="397"/>
      <c r="HF148" s="397"/>
      <c r="HG148" s="397"/>
      <c r="HH148" s="397"/>
      <c r="HI148" s="397"/>
      <c r="HJ148" s="397"/>
      <c r="HK148" s="397"/>
      <c r="HL148" s="397"/>
      <c r="HM148" s="397"/>
      <c r="HN148" s="397"/>
      <c r="HO148" s="397"/>
      <c r="HP148" s="397"/>
      <c r="HQ148" s="397"/>
      <c r="HR148" s="397"/>
      <c r="HS148" s="397"/>
      <c r="HT148" s="397"/>
      <c r="HU148" s="397"/>
      <c r="HV148" s="397"/>
      <c r="HW148" s="397"/>
      <c r="HX148" s="397"/>
      <c r="HY148" s="397"/>
      <c r="HZ148" s="397"/>
      <c r="IA148" s="397"/>
      <c r="IB148" s="397"/>
      <c r="IC148" s="397"/>
      <c r="ID148" s="397"/>
      <c r="IE148" s="397"/>
      <c r="IF148" s="397"/>
      <c r="IG148" s="397"/>
      <c r="IH148" s="397"/>
      <c r="II148" s="397"/>
      <c r="IJ148" s="397"/>
      <c r="IK148" s="397"/>
      <c r="IL148" s="397"/>
      <c r="IM148" s="397"/>
      <c r="IN148" s="397"/>
      <c r="IO148" s="397"/>
      <c r="IP148" s="397"/>
      <c r="IQ148" s="397"/>
      <c r="IR148" s="397"/>
    </row>
    <row r="149" spans="2:252" s="183" customFormat="1" ht="25.15" customHeight="1" x14ac:dyDescent="0.25">
      <c r="B149" s="85">
        <v>41760</v>
      </c>
      <c r="C149" s="184">
        <v>789612.03757799999</v>
      </c>
      <c r="D149" s="184">
        <f>NetWorth[[#This Row],[Worth]]-C150</f>
        <v>166392.32450200012</v>
      </c>
      <c r="E149" s="1" t="s">
        <v>89</v>
      </c>
      <c r="F149" s="183" t="s">
        <v>65</v>
      </c>
      <c r="V149" s="397"/>
      <c r="W149" s="397"/>
      <c r="X149" s="397"/>
      <c r="Y149" s="397"/>
      <c r="Z149" s="397"/>
      <c r="AA149" s="397"/>
      <c r="AB149" s="397"/>
      <c r="AC149" s="397"/>
      <c r="AD149" s="397"/>
      <c r="AE149" s="397"/>
      <c r="AF149" s="397"/>
      <c r="AG149" s="397"/>
      <c r="AH149" s="397"/>
      <c r="AI149" s="397"/>
      <c r="AJ149" s="397"/>
      <c r="AK149" s="397"/>
      <c r="AL149" s="397"/>
      <c r="AM149" s="397"/>
      <c r="AN149" s="397"/>
      <c r="AO149" s="397"/>
      <c r="AP149" s="397"/>
      <c r="AQ149" s="397"/>
      <c r="AR149" s="397"/>
      <c r="AS149" s="397"/>
      <c r="AT149" s="397"/>
      <c r="AU149" s="397"/>
      <c r="AV149" s="397"/>
      <c r="AW149" s="397"/>
      <c r="AX149" s="397"/>
      <c r="AY149" s="397"/>
      <c r="AZ149" s="397"/>
      <c r="BA149" s="397"/>
      <c r="BB149" s="397"/>
      <c r="BC149" s="397"/>
      <c r="BD149" s="397"/>
      <c r="BE149" s="397"/>
      <c r="BF149" s="397"/>
      <c r="BG149" s="397"/>
      <c r="BH149" s="397"/>
      <c r="BI149" s="397"/>
      <c r="BJ149" s="397"/>
      <c r="BK149" s="397"/>
      <c r="BL149" s="397"/>
      <c r="BM149" s="397"/>
      <c r="BN149" s="397"/>
      <c r="BO149" s="397"/>
      <c r="BP149" s="397"/>
      <c r="BQ149" s="397"/>
      <c r="BR149" s="397"/>
      <c r="BS149" s="397"/>
      <c r="BT149" s="397"/>
      <c r="BU149" s="397"/>
      <c r="BV149" s="397"/>
      <c r="BW149" s="397"/>
      <c r="BX149" s="397"/>
      <c r="BY149" s="397"/>
      <c r="BZ149" s="397"/>
      <c r="CA149" s="397"/>
      <c r="CB149" s="397"/>
      <c r="CC149" s="397"/>
      <c r="CD149" s="397"/>
      <c r="CE149" s="397"/>
      <c r="CF149" s="397"/>
      <c r="CG149" s="397"/>
      <c r="CH149" s="397"/>
      <c r="CI149" s="397"/>
      <c r="CJ149" s="397"/>
      <c r="CK149" s="397"/>
      <c r="CL149" s="397"/>
      <c r="CM149" s="397"/>
      <c r="CN149" s="397"/>
      <c r="CO149" s="397"/>
      <c r="CP149" s="397"/>
      <c r="CQ149" s="397"/>
      <c r="CR149" s="397"/>
      <c r="CS149" s="397"/>
      <c r="CT149" s="397"/>
      <c r="CU149" s="397"/>
      <c r="CV149" s="397"/>
      <c r="CW149" s="397"/>
      <c r="CX149" s="397"/>
      <c r="CY149" s="397"/>
      <c r="CZ149" s="397"/>
      <c r="DA149" s="397"/>
      <c r="DB149" s="397"/>
      <c r="DC149" s="397"/>
      <c r="DD149" s="397"/>
      <c r="DE149" s="397"/>
      <c r="DF149" s="397"/>
      <c r="DG149" s="397"/>
      <c r="DH149" s="397"/>
      <c r="DI149" s="397"/>
      <c r="DJ149" s="397"/>
      <c r="DK149" s="397"/>
      <c r="DL149" s="397"/>
      <c r="DM149" s="397"/>
      <c r="DN149" s="397"/>
      <c r="DO149" s="397"/>
      <c r="DP149" s="397"/>
      <c r="DQ149" s="397"/>
      <c r="DR149" s="397"/>
      <c r="DS149" s="397"/>
      <c r="DT149" s="397"/>
      <c r="DU149" s="397"/>
      <c r="DV149" s="397"/>
      <c r="DW149" s="397"/>
      <c r="DX149" s="397"/>
      <c r="DY149" s="397"/>
      <c r="DZ149" s="397"/>
      <c r="EA149" s="397"/>
      <c r="EB149" s="397"/>
      <c r="EC149" s="397"/>
      <c r="ED149" s="397"/>
      <c r="EE149" s="397"/>
      <c r="EF149" s="397"/>
      <c r="EG149" s="397"/>
      <c r="EH149" s="397"/>
      <c r="EI149" s="397"/>
      <c r="EJ149" s="397"/>
      <c r="EK149" s="397"/>
      <c r="EL149" s="397"/>
      <c r="EM149" s="397"/>
      <c r="EN149" s="397"/>
      <c r="EO149" s="397"/>
      <c r="EP149" s="397"/>
      <c r="EQ149" s="397"/>
      <c r="ER149" s="397"/>
      <c r="ES149" s="397"/>
      <c r="ET149" s="397"/>
      <c r="EU149" s="397"/>
      <c r="EV149" s="397"/>
      <c r="EW149" s="397"/>
      <c r="EX149" s="397"/>
      <c r="EY149" s="397"/>
      <c r="EZ149" s="397"/>
      <c r="FA149" s="397"/>
      <c r="FB149" s="397"/>
      <c r="FC149" s="397"/>
      <c r="FD149" s="397"/>
      <c r="FE149" s="397"/>
      <c r="FF149" s="397"/>
      <c r="FG149" s="397"/>
      <c r="FH149" s="397"/>
      <c r="FI149" s="397"/>
      <c r="FJ149" s="397"/>
      <c r="FK149" s="397"/>
      <c r="FL149" s="397"/>
      <c r="FM149" s="397"/>
      <c r="FN149" s="397"/>
      <c r="FO149" s="397"/>
      <c r="FP149" s="397"/>
      <c r="FQ149" s="397"/>
      <c r="FR149" s="397"/>
      <c r="FS149" s="397"/>
      <c r="FT149" s="397"/>
      <c r="FU149" s="397"/>
      <c r="FV149" s="397"/>
      <c r="FW149" s="397"/>
      <c r="FX149" s="397"/>
      <c r="FY149" s="397"/>
      <c r="FZ149" s="397"/>
      <c r="GA149" s="397"/>
      <c r="GB149" s="397"/>
      <c r="GC149" s="397"/>
      <c r="GD149" s="397"/>
      <c r="GE149" s="397"/>
      <c r="GF149" s="397"/>
      <c r="GG149" s="397"/>
      <c r="GH149" s="397"/>
      <c r="GI149" s="397"/>
      <c r="GJ149" s="397"/>
      <c r="GK149" s="397"/>
      <c r="GL149" s="397"/>
      <c r="GM149" s="397"/>
      <c r="GN149" s="397"/>
      <c r="GO149" s="397"/>
      <c r="GP149" s="397"/>
      <c r="GQ149" s="397"/>
      <c r="GR149" s="397"/>
      <c r="GS149" s="397"/>
      <c r="GT149" s="397"/>
      <c r="GU149" s="397"/>
      <c r="GV149" s="397"/>
      <c r="GW149" s="397"/>
      <c r="GX149" s="397"/>
      <c r="GY149" s="397"/>
      <c r="GZ149" s="397"/>
      <c r="HA149" s="397"/>
      <c r="HB149" s="397"/>
      <c r="HC149" s="397"/>
      <c r="HD149" s="397"/>
      <c r="HE149" s="397"/>
      <c r="HF149" s="397"/>
      <c r="HG149" s="397"/>
      <c r="HH149" s="397"/>
      <c r="HI149" s="397"/>
      <c r="HJ149" s="397"/>
      <c r="HK149" s="397"/>
      <c r="HL149" s="397"/>
      <c r="HM149" s="397"/>
      <c r="HN149" s="397"/>
      <c r="HO149" s="397"/>
      <c r="HP149" s="397"/>
      <c r="HQ149" s="397"/>
      <c r="HR149" s="397"/>
      <c r="HS149" s="397"/>
      <c r="HT149" s="397"/>
      <c r="HU149" s="397"/>
      <c r="HV149" s="397"/>
      <c r="HW149" s="397"/>
      <c r="HX149" s="397"/>
      <c r="HY149" s="397"/>
      <c r="HZ149" s="397"/>
      <c r="IA149" s="397"/>
      <c r="IB149" s="397"/>
      <c r="IC149" s="397"/>
      <c r="ID149" s="397"/>
      <c r="IE149" s="397"/>
      <c r="IF149" s="397"/>
      <c r="IG149" s="397"/>
      <c r="IH149" s="397"/>
      <c r="II149" s="397"/>
      <c r="IJ149" s="397"/>
      <c r="IK149" s="397"/>
      <c r="IL149" s="397"/>
      <c r="IM149" s="397"/>
      <c r="IN149" s="397"/>
      <c r="IO149" s="397"/>
      <c r="IP149" s="397"/>
      <c r="IQ149" s="397"/>
      <c r="IR149" s="397"/>
    </row>
    <row r="150" spans="2:252" s="183" customFormat="1" ht="25.15" customHeight="1" x14ac:dyDescent="0.25">
      <c r="B150" s="85">
        <v>41730</v>
      </c>
      <c r="C150" s="184">
        <v>623219.71307599987</v>
      </c>
      <c r="D150" s="184">
        <f>NetWorth[[#This Row],[Worth]]-C151</f>
        <v>12594.802963999799</v>
      </c>
      <c r="E150" s="1" t="s">
        <v>90</v>
      </c>
      <c r="V150" s="397"/>
      <c r="W150" s="397"/>
      <c r="X150" s="397"/>
      <c r="Y150" s="397"/>
      <c r="Z150" s="397"/>
      <c r="AA150" s="397"/>
      <c r="AB150" s="397"/>
      <c r="AC150" s="397"/>
      <c r="AD150" s="397"/>
      <c r="AE150" s="397"/>
      <c r="AF150" s="397"/>
      <c r="AG150" s="397"/>
      <c r="AH150" s="397"/>
      <c r="AI150" s="397"/>
      <c r="AJ150" s="397"/>
      <c r="AK150" s="397"/>
      <c r="AL150" s="397"/>
      <c r="AM150" s="397"/>
      <c r="AN150" s="397"/>
      <c r="AO150" s="397"/>
      <c r="AP150" s="397"/>
      <c r="AQ150" s="397"/>
      <c r="AR150" s="397"/>
      <c r="AS150" s="397"/>
      <c r="AT150" s="397"/>
      <c r="AU150" s="397"/>
      <c r="AV150" s="397"/>
      <c r="AW150" s="397"/>
      <c r="AX150" s="397"/>
      <c r="AY150" s="397"/>
      <c r="AZ150" s="397"/>
      <c r="BA150" s="397"/>
      <c r="BB150" s="397"/>
      <c r="BC150" s="397"/>
      <c r="BD150" s="397"/>
      <c r="BE150" s="397"/>
      <c r="BF150" s="397"/>
      <c r="BG150" s="397"/>
      <c r="BH150" s="397"/>
      <c r="BI150" s="397"/>
      <c r="BJ150" s="397"/>
      <c r="BK150" s="397"/>
      <c r="BL150" s="397"/>
      <c r="BM150" s="397"/>
      <c r="BN150" s="397"/>
      <c r="BO150" s="397"/>
      <c r="BP150" s="397"/>
      <c r="BQ150" s="397"/>
      <c r="BR150" s="397"/>
      <c r="BS150" s="397"/>
      <c r="BT150" s="397"/>
      <c r="BU150" s="397"/>
      <c r="BV150" s="397"/>
      <c r="BW150" s="397"/>
      <c r="BX150" s="397"/>
      <c r="BY150" s="397"/>
      <c r="BZ150" s="397"/>
      <c r="CA150" s="397"/>
      <c r="CB150" s="397"/>
      <c r="CC150" s="397"/>
      <c r="CD150" s="397"/>
      <c r="CE150" s="397"/>
      <c r="CF150" s="397"/>
      <c r="CG150" s="397"/>
      <c r="CH150" s="397"/>
      <c r="CI150" s="397"/>
      <c r="CJ150" s="397"/>
      <c r="CK150" s="397"/>
      <c r="CL150" s="397"/>
      <c r="CM150" s="397"/>
      <c r="CN150" s="397"/>
      <c r="CO150" s="397"/>
      <c r="CP150" s="397"/>
      <c r="CQ150" s="397"/>
      <c r="CR150" s="397"/>
      <c r="CS150" s="397"/>
      <c r="CT150" s="397"/>
      <c r="CU150" s="397"/>
      <c r="CV150" s="397"/>
      <c r="CW150" s="397"/>
      <c r="CX150" s="397"/>
      <c r="CY150" s="397"/>
      <c r="CZ150" s="397"/>
      <c r="DA150" s="397"/>
      <c r="DB150" s="397"/>
      <c r="DC150" s="397"/>
      <c r="DD150" s="397"/>
      <c r="DE150" s="397"/>
      <c r="DF150" s="397"/>
      <c r="DG150" s="397"/>
      <c r="DH150" s="397"/>
      <c r="DI150" s="397"/>
      <c r="DJ150" s="397"/>
      <c r="DK150" s="397"/>
      <c r="DL150" s="397"/>
      <c r="DM150" s="397"/>
      <c r="DN150" s="397"/>
      <c r="DO150" s="397"/>
      <c r="DP150" s="397"/>
      <c r="DQ150" s="397"/>
      <c r="DR150" s="397"/>
      <c r="DS150" s="397"/>
      <c r="DT150" s="397"/>
      <c r="DU150" s="397"/>
      <c r="DV150" s="397"/>
      <c r="DW150" s="397"/>
      <c r="DX150" s="397"/>
      <c r="DY150" s="397"/>
      <c r="DZ150" s="397"/>
      <c r="EA150" s="397"/>
      <c r="EB150" s="397"/>
      <c r="EC150" s="397"/>
      <c r="ED150" s="397"/>
      <c r="EE150" s="397"/>
      <c r="EF150" s="397"/>
      <c r="EG150" s="397"/>
      <c r="EH150" s="397"/>
      <c r="EI150" s="397"/>
      <c r="EJ150" s="397"/>
      <c r="EK150" s="397"/>
      <c r="EL150" s="397"/>
      <c r="EM150" s="397"/>
      <c r="EN150" s="397"/>
      <c r="EO150" s="397"/>
      <c r="EP150" s="397"/>
      <c r="EQ150" s="397"/>
      <c r="ER150" s="397"/>
      <c r="ES150" s="397"/>
      <c r="ET150" s="397"/>
      <c r="EU150" s="397"/>
      <c r="EV150" s="397"/>
      <c r="EW150" s="397"/>
      <c r="EX150" s="397"/>
      <c r="EY150" s="397"/>
      <c r="EZ150" s="397"/>
      <c r="FA150" s="397"/>
      <c r="FB150" s="397"/>
      <c r="FC150" s="397"/>
      <c r="FD150" s="397"/>
      <c r="FE150" s="397"/>
      <c r="FF150" s="397"/>
      <c r="FG150" s="397"/>
      <c r="FH150" s="397"/>
      <c r="FI150" s="397"/>
      <c r="FJ150" s="397"/>
      <c r="FK150" s="397"/>
      <c r="FL150" s="397"/>
      <c r="FM150" s="397"/>
      <c r="FN150" s="397"/>
      <c r="FO150" s="397"/>
      <c r="FP150" s="397"/>
      <c r="FQ150" s="397"/>
      <c r="FR150" s="397"/>
      <c r="FS150" s="397"/>
      <c r="FT150" s="397"/>
      <c r="FU150" s="397"/>
      <c r="FV150" s="397"/>
      <c r="FW150" s="397"/>
      <c r="FX150" s="397"/>
      <c r="FY150" s="397"/>
      <c r="FZ150" s="397"/>
      <c r="GA150" s="397"/>
      <c r="GB150" s="397"/>
      <c r="GC150" s="397"/>
      <c r="GD150" s="397"/>
      <c r="GE150" s="397"/>
      <c r="GF150" s="397"/>
      <c r="GG150" s="397"/>
      <c r="GH150" s="397"/>
      <c r="GI150" s="397"/>
      <c r="GJ150" s="397"/>
      <c r="GK150" s="397"/>
      <c r="GL150" s="397"/>
      <c r="GM150" s="397"/>
      <c r="GN150" s="397"/>
      <c r="GO150" s="397"/>
      <c r="GP150" s="397"/>
      <c r="GQ150" s="397"/>
      <c r="GR150" s="397"/>
      <c r="GS150" s="397"/>
      <c r="GT150" s="397"/>
      <c r="GU150" s="397"/>
      <c r="GV150" s="397"/>
      <c r="GW150" s="397"/>
      <c r="GX150" s="397"/>
      <c r="GY150" s="397"/>
      <c r="GZ150" s="397"/>
      <c r="HA150" s="397"/>
      <c r="HB150" s="397"/>
      <c r="HC150" s="397"/>
      <c r="HD150" s="397"/>
      <c r="HE150" s="397"/>
      <c r="HF150" s="397"/>
      <c r="HG150" s="397"/>
      <c r="HH150" s="397"/>
      <c r="HI150" s="397"/>
      <c r="HJ150" s="397"/>
      <c r="HK150" s="397"/>
      <c r="HL150" s="397"/>
      <c r="HM150" s="397"/>
      <c r="HN150" s="397"/>
      <c r="HO150" s="397"/>
      <c r="HP150" s="397"/>
      <c r="HQ150" s="397"/>
      <c r="HR150" s="397"/>
      <c r="HS150" s="397"/>
      <c r="HT150" s="397"/>
      <c r="HU150" s="397"/>
      <c r="HV150" s="397"/>
      <c r="HW150" s="397"/>
      <c r="HX150" s="397"/>
      <c r="HY150" s="397"/>
      <c r="HZ150" s="397"/>
      <c r="IA150" s="397"/>
      <c r="IB150" s="397"/>
      <c r="IC150" s="397"/>
      <c r="ID150" s="397"/>
      <c r="IE150" s="397"/>
      <c r="IF150" s="397"/>
      <c r="IG150" s="397"/>
      <c r="IH150" s="397"/>
      <c r="II150" s="397"/>
      <c r="IJ150" s="397"/>
      <c r="IK150" s="397"/>
      <c r="IL150" s="397"/>
      <c r="IM150" s="397"/>
      <c r="IN150" s="397"/>
      <c r="IO150" s="397"/>
      <c r="IP150" s="397"/>
      <c r="IQ150" s="397"/>
      <c r="IR150" s="397"/>
    </row>
    <row r="151" spans="2:252" s="183" customFormat="1" ht="25.15" customHeight="1" x14ac:dyDescent="0.25">
      <c r="B151" s="85">
        <v>41699</v>
      </c>
      <c r="C151" s="184">
        <v>610624.91011200007</v>
      </c>
      <c r="D151" s="184">
        <f>NetWorth[[#This Row],[Worth]]-C152</f>
        <v>13076.151840000064</v>
      </c>
      <c r="E151" s="1"/>
      <c r="V151" s="397"/>
      <c r="W151" s="397"/>
      <c r="X151" s="397"/>
      <c r="Y151" s="397"/>
      <c r="Z151" s="397"/>
      <c r="AA151" s="397"/>
      <c r="AB151" s="397"/>
      <c r="AC151" s="397"/>
      <c r="AD151" s="397"/>
      <c r="AE151" s="397"/>
      <c r="AF151" s="397"/>
      <c r="AG151" s="397"/>
      <c r="AH151" s="397"/>
      <c r="AI151" s="397"/>
      <c r="AJ151" s="397"/>
      <c r="AK151" s="397"/>
      <c r="AL151" s="397"/>
      <c r="AM151" s="397"/>
      <c r="AN151" s="397"/>
      <c r="AO151" s="397"/>
      <c r="AP151" s="397"/>
      <c r="AQ151" s="397"/>
      <c r="AR151" s="397"/>
      <c r="AS151" s="397"/>
      <c r="AT151" s="397"/>
      <c r="AU151" s="397"/>
      <c r="AV151" s="397"/>
      <c r="AW151" s="397"/>
      <c r="AX151" s="397"/>
      <c r="AY151" s="397"/>
      <c r="AZ151" s="397"/>
      <c r="BA151" s="397"/>
      <c r="BB151" s="397"/>
      <c r="BC151" s="397"/>
      <c r="BD151" s="397"/>
      <c r="BE151" s="397"/>
      <c r="BF151" s="397"/>
      <c r="BG151" s="397"/>
      <c r="BH151" s="397"/>
      <c r="BI151" s="397"/>
      <c r="BJ151" s="397"/>
      <c r="BK151" s="397"/>
      <c r="BL151" s="397"/>
      <c r="BM151" s="397"/>
      <c r="BN151" s="397"/>
      <c r="BO151" s="397"/>
      <c r="BP151" s="397"/>
      <c r="BQ151" s="397"/>
      <c r="BR151" s="397"/>
      <c r="BS151" s="397"/>
      <c r="BT151" s="397"/>
      <c r="BU151" s="397"/>
      <c r="BV151" s="397"/>
      <c r="BW151" s="397"/>
      <c r="BX151" s="397"/>
      <c r="BY151" s="397"/>
      <c r="BZ151" s="397"/>
      <c r="CA151" s="397"/>
      <c r="CB151" s="397"/>
      <c r="CC151" s="397"/>
      <c r="CD151" s="397"/>
      <c r="CE151" s="397"/>
      <c r="CF151" s="397"/>
      <c r="CG151" s="397"/>
      <c r="CH151" s="397"/>
      <c r="CI151" s="397"/>
      <c r="CJ151" s="397"/>
      <c r="CK151" s="397"/>
      <c r="CL151" s="397"/>
      <c r="CM151" s="397"/>
      <c r="CN151" s="397"/>
      <c r="CO151" s="397"/>
      <c r="CP151" s="397"/>
      <c r="CQ151" s="397"/>
      <c r="CR151" s="397"/>
      <c r="CS151" s="397"/>
      <c r="CT151" s="397"/>
      <c r="CU151" s="397"/>
      <c r="CV151" s="397"/>
      <c r="CW151" s="397"/>
      <c r="CX151" s="397"/>
      <c r="CY151" s="397"/>
      <c r="CZ151" s="397"/>
      <c r="DA151" s="397"/>
      <c r="DB151" s="397"/>
      <c r="DC151" s="397"/>
      <c r="DD151" s="397"/>
      <c r="DE151" s="397"/>
      <c r="DF151" s="397"/>
      <c r="DG151" s="397"/>
      <c r="DH151" s="397"/>
      <c r="DI151" s="397"/>
      <c r="DJ151" s="397"/>
      <c r="DK151" s="397"/>
      <c r="DL151" s="397"/>
      <c r="DM151" s="397"/>
      <c r="DN151" s="397"/>
      <c r="DO151" s="397"/>
      <c r="DP151" s="397"/>
      <c r="DQ151" s="397"/>
      <c r="DR151" s="397"/>
      <c r="DS151" s="397"/>
      <c r="DT151" s="397"/>
      <c r="DU151" s="397"/>
      <c r="DV151" s="397"/>
      <c r="DW151" s="397"/>
      <c r="DX151" s="397"/>
      <c r="DY151" s="397"/>
      <c r="DZ151" s="397"/>
      <c r="EA151" s="397"/>
      <c r="EB151" s="397"/>
      <c r="EC151" s="397"/>
      <c r="ED151" s="397"/>
      <c r="EE151" s="397"/>
      <c r="EF151" s="397"/>
      <c r="EG151" s="397"/>
      <c r="EH151" s="397"/>
      <c r="EI151" s="397"/>
      <c r="EJ151" s="397"/>
      <c r="EK151" s="397"/>
      <c r="EL151" s="397"/>
      <c r="EM151" s="397"/>
      <c r="EN151" s="397"/>
      <c r="EO151" s="397"/>
      <c r="EP151" s="397"/>
      <c r="EQ151" s="397"/>
      <c r="ER151" s="397"/>
      <c r="ES151" s="397"/>
      <c r="ET151" s="397"/>
      <c r="EU151" s="397"/>
      <c r="EV151" s="397"/>
      <c r="EW151" s="397"/>
      <c r="EX151" s="397"/>
      <c r="EY151" s="397"/>
      <c r="EZ151" s="397"/>
      <c r="FA151" s="397"/>
      <c r="FB151" s="397"/>
      <c r="FC151" s="397"/>
      <c r="FD151" s="397"/>
      <c r="FE151" s="397"/>
      <c r="FF151" s="397"/>
      <c r="FG151" s="397"/>
      <c r="FH151" s="397"/>
      <c r="FI151" s="397"/>
      <c r="FJ151" s="397"/>
      <c r="FK151" s="397"/>
      <c r="FL151" s="397"/>
      <c r="FM151" s="397"/>
      <c r="FN151" s="397"/>
      <c r="FO151" s="397"/>
      <c r="FP151" s="397"/>
      <c r="FQ151" s="397"/>
      <c r="FR151" s="397"/>
      <c r="FS151" s="397"/>
      <c r="FT151" s="397"/>
      <c r="FU151" s="397"/>
      <c r="FV151" s="397"/>
      <c r="FW151" s="397"/>
      <c r="FX151" s="397"/>
      <c r="FY151" s="397"/>
      <c r="FZ151" s="397"/>
      <c r="GA151" s="397"/>
      <c r="GB151" s="397"/>
      <c r="GC151" s="397"/>
      <c r="GD151" s="397"/>
      <c r="GE151" s="397"/>
      <c r="GF151" s="397"/>
      <c r="GG151" s="397"/>
      <c r="GH151" s="397"/>
      <c r="GI151" s="397"/>
      <c r="GJ151" s="397"/>
      <c r="GK151" s="397"/>
      <c r="GL151" s="397"/>
      <c r="GM151" s="397"/>
      <c r="GN151" s="397"/>
      <c r="GO151" s="397"/>
      <c r="GP151" s="397"/>
      <c r="GQ151" s="397"/>
      <c r="GR151" s="397"/>
      <c r="GS151" s="397"/>
      <c r="GT151" s="397"/>
      <c r="GU151" s="397"/>
      <c r="GV151" s="397"/>
      <c r="GW151" s="397"/>
      <c r="GX151" s="397"/>
      <c r="GY151" s="397"/>
      <c r="GZ151" s="397"/>
      <c r="HA151" s="397"/>
      <c r="HB151" s="397"/>
      <c r="HC151" s="397"/>
      <c r="HD151" s="397"/>
      <c r="HE151" s="397"/>
      <c r="HF151" s="397"/>
      <c r="HG151" s="397"/>
      <c r="HH151" s="397"/>
      <c r="HI151" s="397"/>
      <c r="HJ151" s="397"/>
      <c r="HK151" s="397"/>
      <c r="HL151" s="397"/>
      <c r="HM151" s="397"/>
      <c r="HN151" s="397"/>
      <c r="HO151" s="397"/>
      <c r="HP151" s="397"/>
      <c r="HQ151" s="397"/>
      <c r="HR151" s="397"/>
      <c r="HS151" s="397"/>
      <c r="HT151" s="397"/>
      <c r="HU151" s="397"/>
      <c r="HV151" s="397"/>
      <c r="HW151" s="397"/>
      <c r="HX151" s="397"/>
      <c r="HY151" s="397"/>
      <c r="HZ151" s="397"/>
      <c r="IA151" s="397"/>
      <c r="IB151" s="397"/>
      <c r="IC151" s="397"/>
      <c r="ID151" s="397"/>
      <c r="IE151" s="397"/>
      <c r="IF151" s="397"/>
      <c r="IG151" s="397"/>
      <c r="IH151" s="397"/>
      <c r="II151" s="397"/>
      <c r="IJ151" s="397"/>
      <c r="IK151" s="397"/>
      <c r="IL151" s="397"/>
      <c r="IM151" s="397"/>
      <c r="IN151" s="397"/>
      <c r="IO151" s="397"/>
      <c r="IP151" s="397"/>
      <c r="IQ151" s="397"/>
      <c r="IR151" s="397"/>
    </row>
    <row r="152" spans="2:252" s="183" customFormat="1" ht="25.15" customHeight="1" x14ac:dyDescent="0.25">
      <c r="B152" s="85">
        <v>41671</v>
      </c>
      <c r="C152" s="184">
        <v>597548.75827200001</v>
      </c>
      <c r="D152" s="184">
        <f>NetWorth[[#This Row],[Worth]]-C153</f>
        <v>-6061.846177999978</v>
      </c>
      <c r="E152" s="1"/>
      <c r="V152" s="397"/>
      <c r="W152" s="397"/>
      <c r="X152" s="397"/>
      <c r="Y152" s="397"/>
      <c r="Z152" s="397"/>
      <c r="AA152" s="397"/>
      <c r="AB152" s="397"/>
      <c r="AC152" s="397"/>
      <c r="AD152" s="397"/>
      <c r="AE152" s="397"/>
      <c r="AF152" s="397"/>
      <c r="AG152" s="397"/>
      <c r="AH152" s="397"/>
      <c r="AI152" s="397"/>
      <c r="AJ152" s="397"/>
      <c r="AK152" s="397"/>
      <c r="AL152" s="397"/>
      <c r="AM152" s="397"/>
      <c r="AN152" s="397"/>
      <c r="AO152" s="397"/>
      <c r="AP152" s="397"/>
      <c r="AQ152" s="397"/>
      <c r="AR152" s="397"/>
      <c r="AS152" s="397"/>
      <c r="AT152" s="397"/>
      <c r="AU152" s="397"/>
      <c r="AV152" s="397"/>
      <c r="AW152" s="397"/>
      <c r="AX152" s="397"/>
      <c r="AY152" s="397"/>
      <c r="AZ152" s="397"/>
      <c r="BA152" s="397"/>
      <c r="BB152" s="397"/>
      <c r="BC152" s="397"/>
      <c r="BD152" s="397"/>
      <c r="BE152" s="397"/>
      <c r="BF152" s="397"/>
      <c r="BG152" s="397"/>
      <c r="BH152" s="397"/>
      <c r="BI152" s="397"/>
      <c r="BJ152" s="397"/>
      <c r="BK152" s="397"/>
      <c r="BL152" s="397"/>
      <c r="BM152" s="397"/>
      <c r="BN152" s="397"/>
      <c r="BO152" s="397"/>
      <c r="BP152" s="397"/>
      <c r="BQ152" s="397"/>
      <c r="BR152" s="397"/>
      <c r="BS152" s="397"/>
      <c r="BT152" s="397"/>
      <c r="BU152" s="397"/>
      <c r="BV152" s="397"/>
      <c r="BW152" s="397"/>
      <c r="BX152" s="397"/>
      <c r="BY152" s="397"/>
      <c r="BZ152" s="397"/>
      <c r="CA152" s="397"/>
      <c r="CB152" s="397"/>
      <c r="CC152" s="397"/>
      <c r="CD152" s="397"/>
      <c r="CE152" s="397"/>
      <c r="CF152" s="397"/>
      <c r="CG152" s="397"/>
      <c r="CH152" s="397"/>
      <c r="CI152" s="397"/>
      <c r="CJ152" s="397"/>
      <c r="CK152" s="397"/>
      <c r="CL152" s="397"/>
      <c r="CM152" s="397"/>
      <c r="CN152" s="397"/>
      <c r="CO152" s="397"/>
      <c r="CP152" s="397"/>
      <c r="CQ152" s="397"/>
      <c r="CR152" s="397"/>
      <c r="CS152" s="397"/>
      <c r="CT152" s="397"/>
      <c r="CU152" s="397"/>
      <c r="CV152" s="397"/>
      <c r="CW152" s="397"/>
      <c r="CX152" s="397"/>
      <c r="CY152" s="397"/>
      <c r="CZ152" s="397"/>
      <c r="DA152" s="397"/>
      <c r="DB152" s="397"/>
      <c r="DC152" s="397"/>
      <c r="DD152" s="397"/>
      <c r="DE152" s="397"/>
      <c r="DF152" s="397"/>
      <c r="DG152" s="397"/>
      <c r="DH152" s="397"/>
      <c r="DI152" s="397"/>
      <c r="DJ152" s="397"/>
      <c r="DK152" s="397"/>
      <c r="DL152" s="397"/>
      <c r="DM152" s="397"/>
      <c r="DN152" s="397"/>
      <c r="DO152" s="397"/>
      <c r="DP152" s="397"/>
      <c r="DQ152" s="397"/>
      <c r="DR152" s="397"/>
      <c r="DS152" s="397"/>
      <c r="DT152" s="397"/>
      <c r="DU152" s="397"/>
      <c r="DV152" s="397"/>
      <c r="DW152" s="397"/>
      <c r="DX152" s="397"/>
      <c r="DY152" s="397"/>
      <c r="DZ152" s="397"/>
      <c r="EA152" s="397"/>
      <c r="EB152" s="397"/>
      <c r="EC152" s="397"/>
      <c r="ED152" s="397"/>
      <c r="EE152" s="397"/>
      <c r="EF152" s="397"/>
      <c r="EG152" s="397"/>
      <c r="EH152" s="397"/>
      <c r="EI152" s="397"/>
      <c r="EJ152" s="397"/>
      <c r="EK152" s="397"/>
      <c r="EL152" s="397"/>
      <c r="EM152" s="397"/>
      <c r="EN152" s="397"/>
      <c r="EO152" s="397"/>
      <c r="EP152" s="397"/>
      <c r="EQ152" s="397"/>
      <c r="ER152" s="397"/>
      <c r="ES152" s="397"/>
      <c r="ET152" s="397"/>
      <c r="EU152" s="397"/>
      <c r="EV152" s="397"/>
      <c r="EW152" s="397"/>
      <c r="EX152" s="397"/>
      <c r="EY152" s="397"/>
      <c r="EZ152" s="397"/>
      <c r="FA152" s="397"/>
      <c r="FB152" s="397"/>
      <c r="FC152" s="397"/>
      <c r="FD152" s="397"/>
      <c r="FE152" s="397"/>
      <c r="FF152" s="397"/>
      <c r="FG152" s="397"/>
      <c r="FH152" s="397"/>
      <c r="FI152" s="397"/>
      <c r="FJ152" s="397"/>
      <c r="FK152" s="397"/>
      <c r="FL152" s="397"/>
      <c r="FM152" s="397"/>
      <c r="FN152" s="397"/>
      <c r="FO152" s="397"/>
      <c r="FP152" s="397"/>
      <c r="FQ152" s="397"/>
      <c r="FR152" s="397"/>
      <c r="FS152" s="397"/>
      <c r="FT152" s="397"/>
      <c r="FU152" s="397"/>
      <c r="FV152" s="397"/>
      <c r="FW152" s="397"/>
      <c r="FX152" s="397"/>
      <c r="FY152" s="397"/>
      <c r="FZ152" s="397"/>
      <c r="GA152" s="397"/>
      <c r="GB152" s="397"/>
      <c r="GC152" s="397"/>
      <c r="GD152" s="397"/>
      <c r="GE152" s="397"/>
      <c r="GF152" s="397"/>
      <c r="GG152" s="397"/>
      <c r="GH152" s="397"/>
      <c r="GI152" s="397"/>
      <c r="GJ152" s="397"/>
      <c r="GK152" s="397"/>
      <c r="GL152" s="397"/>
      <c r="GM152" s="397"/>
      <c r="GN152" s="397"/>
      <c r="GO152" s="397"/>
      <c r="GP152" s="397"/>
      <c r="GQ152" s="397"/>
      <c r="GR152" s="397"/>
      <c r="GS152" s="397"/>
      <c r="GT152" s="397"/>
      <c r="GU152" s="397"/>
      <c r="GV152" s="397"/>
      <c r="GW152" s="397"/>
      <c r="GX152" s="397"/>
      <c r="GY152" s="397"/>
      <c r="GZ152" s="397"/>
      <c r="HA152" s="397"/>
      <c r="HB152" s="397"/>
      <c r="HC152" s="397"/>
      <c r="HD152" s="397"/>
      <c r="HE152" s="397"/>
      <c r="HF152" s="397"/>
      <c r="HG152" s="397"/>
      <c r="HH152" s="397"/>
      <c r="HI152" s="397"/>
      <c r="HJ152" s="397"/>
      <c r="HK152" s="397"/>
      <c r="HL152" s="397"/>
      <c r="HM152" s="397"/>
      <c r="HN152" s="397"/>
      <c r="HO152" s="397"/>
      <c r="HP152" s="397"/>
      <c r="HQ152" s="397"/>
      <c r="HR152" s="397"/>
      <c r="HS152" s="397"/>
      <c r="HT152" s="397"/>
      <c r="HU152" s="397"/>
      <c r="HV152" s="397"/>
      <c r="HW152" s="397"/>
      <c r="HX152" s="397"/>
      <c r="HY152" s="397"/>
      <c r="HZ152" s="397"/>
      <c r="IA152" s="397"/>
      <c r="IB152" s="397"/>
      <c r="IC152" s="397"/>
      <c r="ID152" s="397"/>
      <c r="IE152" s="397"/>
      <c r="IF152" s="397"/>
      <c r="IG152" s="397"/>
      <c r="IH152" s="397"/>
      <c r="II152" s="397"/>
      <c r="IJ152" s="397"/>
      <c r="IK152" s="397"/>
      <c r="IL152" s="397"/>
      <c r="IM152" s="397"/>
      <c r="IN152" s="397"/>
      <c r="IO152" s="397"/>
      <c r="IP152" s="397"/>
      <c r="IQ152" s="397"/>
      <c r="IR152" s="397"/>
    </row>
    <row r="153" spans="2:252" s="183" customFormat="1" ht="25.15" customHeight="1" x14ac:dyDescent="0.25">
      <c r="B153" s="85">
        <v>41640</v>
      </c>
      <c r="C153" s="184">
        <v>603610.60444999998</v>
      </c>
      <c r="D153" s="184">
        <f>NetWorth[[#This Row],[Worth]]-C154</f>
        <v>8777.3843600000255</v>
      </c>
      <c r="E153" s="1"/>
      <c r="V153" s="397"/>
      <c r="W153" s="397"/>
      <c r="X153" s="397"/>
      <c r="Y153" s="397"/>
      <c r="Z153" s="397"/>
      <c r="AA153" s="397"/>
      <c r="AB153" s="397"/>
      <c r="AC153" s="397"/>
      <c r="AD153" s="397"/>
      <c r="AE153" s="397"/>
      <c r="AF153" s="397"/>
      <c r="AG153" s="397"/>
      <c r="AH153" s="397"/>
      <c r="AI153" s="397"/>
      <c r="AJ153" s="397"/>
      <c r="AK153" s="397"/>
      <c r="AL153" s="397"/>
      <c r="AM153" s="397"/>
      <c r="AN153" s="397"/>
      <c r="AO153" s="397"/>
      <c r="AP153" s="397"/>
      <c r="AQ153" s="397"/>
      <c r="AR153" s="397"/>
      <c r="AS153" s="397"/>
      <c r="AT153" s="397"/>
      <c r="AU153" s="397"/>
      <c r="AV153" s="397"/>
      <c r="AW153" s="397"/>
      <c r="AX153" s="397"/>
      <c r="AY153" s="397"/>
      <c r="AZ153" s="397"/>
      <c r="BA153" s="397"/>
      <c r="BB153" s="397"/>
      <c r="BC153" s="397"/>
      <c r="BD153" s="397"/>
      <c r="BE153" s="397"/>
      <c r="BF153" s="397"/>
      <c r="BG153" s="397"/>
      <c r="BH153" s="397"/>
      <c r="BI153" s="397"/>
      <c r="BJ153" s="397"/>
      <c r="BK153" s="397"/>
      <c r="BL153" s="397"/>
      <c r="BM153" s="397"/>
      <c r="BN153" s="397"/>
      <c r="BO153" s="397"/>
      <c r="BP153" s="397"/>
      <c r="BQ153" s="397"/>
      <c r="BR153" s="397"/>
      <c r="BS153" s="397"/>
      <c r="BT153" s="397"/>
      <c r="BU153" s="397"/>
      <c r="BV153" s="397"/>
      <c r="BW153" s="397"/>
      <c r="BX153" s="397"/>
      <c r="BY153" s="397"/>
      <c r="BZ153" s="397"/>
      <c r="CA153" s="397"/>
      <c r="CB153" s="397"/>
      <c r="CC153" s="397"/>
      <c r="CD153" s="397"/>
      <c r="CE153" s="397"/>
      <c r="CF153" s="397"/>
      <c r="CG153" s="397"/>
      <c r="CH153" s="397"/>
      <c r="CI153" s="397"/>
      <c r="CJ153" s="397"/>
      <c r="CK153" s="397"/>
      <c r="CL153" s="397"/>
      <c r="CM153" s="397"/>
      <c r="CN153" s="397"/>
      <c r="CO153" s="397"/>
      <c r="CP153" s="397"/>
      <c r="CQ153" s="397"/>
      <c r="CR153" s="397"/>
      <c r="CS153" s="397"/>
      <c r="CT153" s="397"/>
      <c r="CU153" s="397"/>
      <c r="CV153" s="397"/>
      <c r="CW153" s="397"/>
      <c r="CX153" s="397"/>
      <c r="CY153" s="397"/>
      <c r="CZ153" s="397"/>
      <c r="DA153" s="397"/>
      <c r="DB153" s="397"/>
      <c r="DC153" s="397"/>
      <c r="DD153" s="397"/>
      <c r="DE153" s="397"/>
      <c r="DF153" s="397"/>
      <c r="DG153" s="397"/>
      <c r="DH153" s="397"/>
      <c r="DI153" s="397"/>
      <c r="DJ153" s="397"/>
      <c r="DK153" s="397"/>
      <c r="DL153" s="397"/>
      <c r="DM153" s="397"/>
      <c r="DN153" s="397"/>
      <c r="DO153" s="397"/>
      <c r="DP153" s="397"/>
      <c r="DQ153" s="397"/>
      <c r="DR153" s="397"/>
      <c r="DS153" s="397"/>
      <c r="DT153" s="397"/>
      <c r="DU153" s="397"/>
      <c r="DV153" s="397"/>
      <c r="DW153" s="397"/>
      <c r="DX153" s="397"/>
      <c r="DY153" s="397"/>
      <c r="DZ153" s="397"/>
      <c r="EA153" s="397"/>
      <c r="EB153" s="397"/>
      <c r="EC153" s="397"/>
      <c r="ED153" s="397"/>
      <c r="EE153" s="397"/>
      <c r="EF153" s="397"/>
      <c r="EG153" s="397"/>
      <c r="EH153" s="397"/>
      <c r="EI153" s="397"/>
      <c r="EJ153" s="397"/>
      <c r="EK153" s="397"/>
      <c r="EL153" s="397"/>
      <c r="EM153" s="397"/>
      <c r="EN153" s="397"/>
      <c r="EO153" s="397"/>
      <c r="EP153" s="397"/>
      <c r="EQ153" s="397"/>
      <c r="ER153" s="397"/>
      <c r="ES153" s="397"/>
      <c r="ET153" s="397"/>
      <c r="EU153" s="397"/>
      <c r="EV153" s="397"/>
      <c r="EW153" s="397"/>
      <c r="EX153" s="397"/>
      <c r="EY153" s="397"/>
      <c r="EZ153" s="397"/>
      <c r="FA153" s="397"/>
      <c r="FB153" s="397"/>
      <c r="FC153" s="397"/>
      <c r="FD153" s="397"/>
      <c r="FE153" s="397"/>
      <c r="FF153" s="397"/>
      <c r="FG153" s="397"/>
      <c r="FH153" s="397"/>
      <c r="FI153" s="397"/>
      <c r="FJ153" s="397"/>
      <c r="FK153" s="397"/>
      <c r="FL153" s="397"/>
      <c r="FM153" s="397"/>
      <c r="FN153" s="397"/>
      <c r="FO153" s="397"/>
      <c r="FP153" s="397"/>
      <c r="FQ153" s="397"/>
      <c r="FR153" s="397"/>
      <c r="FS153" s="397"/>
      <c r="FT153" s="397"/>
      <c r="FU153" s="397"/>
      <c r="FV153" s="397"/>
      <c r="FW153" s="397"/>
      <c r="FX153" s="397"/>
      <c r="FY153" s="397"/>
      <c r="FZ153" s="397"/>
      <c r="GA153" s="397"/>
      <c r="GB153" s="397"/>
      <c r="GC153" s="397"/>
      <c r="GD153" s="397"/>
      <c r="GE153" s="397"/>
      <c r="GF153" s="397"/>
      <c r="GG153" s="397"/>
      <c r="GH153" s="397"/>
      <c r="GI153" s="397"/>
      <c r="GJ153" s="397"/>
      <c r="GK153" s="397"/>
      <c r="GL153" s="397"/>
      <c r="GM153" s="397"/>
      <c r="GN153" s="397"/>
      <c r="GO153" s="397"/>
      <c r="GP153" s="397"/>
      <c r="GQ153" s="397"/>
      <c r="GR153" s="397"/>
      <c r="GS153" s="397"/>
      <c r="GT153" s="397"/>
      <c r="GU153" s="397"/>
      <c r="GV153" s="397"/>
      <c r="GW153" s="397"/>
      <c r="GX153" s="397"/>
      <c r="GY153" s="397"/>
      <c r="GZ153" s="397"/>
      <c r="HA153" s="397"/>
      <c r="HB153" s="397"/>
      <c r="HC153" s="397"/>
      <c r="HD153" s="397"/>
      <c r="HE153" s="397"/>
      <c r="HF153" s="397"/>
      <c r="HG153" s="397"/>
      <c r="HH153" s="397"/>
      <c r="HI153" s="397"/>
      <c r="HJ153" s="397"/>
      <c r="HK153" s="397"/>
      <c r="HL153" s="397"/>
      <c r="HM153" s="397"/>
      <c r="HN153" s="397"/>
      <c r="HO153" s="397"/>
      <c r="HP153" s="397"/>
      <c r="HQ153" s="397"/>
      <c r="HR153" s="397"/>
      <c r="HS153" s="397"/>
      <c r="HT153" s="397"/>
      <c r="HU153" s="397"/>
      <c r="HV153" s="397"/>
      <c r="HW153" s="397"/>
      <c r="HX153" s="397"/>
      <c r="HY153" s="397"/>
      <c r="HZ153" s="397"/>
      <c r="IA153" s="397"/>
      <c r="IB153" s="397"/>
      <c r="IC153" s="397"/>
      <c r="ID153" s="397"/>
      <c r="IE153" s="397"/>
      <c r="IF153" s="397"/>
      <c r="IG153" s="397"/>
      <c r="IH153" s="397"/>
      <c r="II153" s="397"/>
      <c r="IJ153" s="397"/>
      <c r="IK153" s="397"/>
      <c r="IL153" s="397"/>
      <c r="IM153" s="397"/>
      <c r="IN153" s="397"/>
      <c r="IO153" s="397"/>
      <c r="IP153" s="397"/>
      <c r="IQ153" s="397"/>
      <c r="IR153" s="397"/>
    </row>
    <row r="154" spans="2:252" s="183" customFormat="1" ht="25.15" customHeight="1" x14ac:dyDescent="0.25">
      <c r="B154" s="85">
        <v>41609</v>
      </c>
      <c r="C154" s="184">
        <v>594833.22008999996</v>
      </c>
      <c r="D154" s="184">
        <f>NetWorth[[#This Row],[Worth]]-C155</f>
        <v>2379.8220599999186</v>
      </c>
      <c r="E154" s="1"/>
      <c r="V154" s="397"/>
      <c r="W154" s="397"/>
      <c r="X154" s="397"/>
      <c r="Y154" s="397"/>
      <c r="Z154" s="397"/>
      <c r="AA154" s="397"/>
      <c r="AB154" s="397"/>
      <c r="AC154" s="397"/>
      <c r="AD154" s="397"/>
      <c r="AE154" s="397"/>
      <c r="AF154" s="397"/>
      <c r="AG154" s="397"/>
      <c r="AH154" s="397"/>
      <c r="AI154" s="397"/>
      <c r="AJ154" s="397"/>
      <c r="AK154" s="397"/>
      <c r="AL154" s="397"/>
      <c r="AM154" s="397"/>
      <c r="AN154" s="397"/>
      <c r="AO154" s="397"/>
      <c r="AP154" s="397"/>
      <c r="AQ154" s="397"/>
      <c r="AR154" s="397"/>
      <c r="AS154" s="397"/>
      <c r="AT154" s="397"/>
      <c r="AU154" s="397"/>
      <c r="AV154" s="397"/>
      <c r="AW154" s="397"/>
      <c r="AX154" s="397"/>
      <c r="AY154" s="397"/>
      <c r="AZ154" s="397"/>
      <c r="BA154" s="397"/>
      <c r="BB154" s="397"/>
      <c r="BC154" s="397"/>
      <c r="BD154" s="397"/>
      <c r="BE154" s="397"/>
      <c r="BF154" s="397"/>
      <c r="BG154" s="397"/>
      <c r="BH154" s="397"/>
      <c r="BI154" s="397"/>
      <c r="BJ154" s="397"/>
      <c r="BK154" s="397"/>
      <c r="BL154" s="397"/>
      <c r="BM154" s="397"/>
      <c r="BN154" s="397"/>
      <c r="BO154" s="397"/>
      <c r="BP154" s="397"/>
      <c r="BQ154" s="397"/>
      <c r="BR154" s="397"/>
      <c r="BS154" s="397"/>
      <c r="BT154" s="397"/>
      <c r="BU154" s="397"/>
      <c r="BV154" s="397"/>
      <c r="BW154" s="397"/>
      <c r="BX154" s="397"/>
      <c r="BY154" s="397"/>
      <c r="BZ154" s="397"/>
      <c r="CA154" s="397"/>
      <c r="CB154" s="397"/>
      <c r="CC154" s="397"/>
      <c r="CD154" s="397"/>
      <c r="CE154" s="397"/>
      <c r="CF154" s="397"/>
      <c r="CG154" s="397"/>
      <c r="CH154" s="397"/>
      <c r="CI154" s="397"/>
      <c r="CJ154" s="397"/>
      <c r="CK154" s="397"/>
      <c r="CL154" s="397"/>
      <c r="CM154" s="397"/>
      <c r="CN154" s="397"/>
      <c r="CO154" s="397"/>
      <c r="CP154" s="397"/>
      <c r="CQ154" s="397"/>
      <c r="CR154" s="397"/>
      <c r="CS154" s="397"/>
      <c r="CT154" s="397"/>
      <c r="CU154" s="397"/>
      <c r="CV154" s="397"/>
      <c r="CW154" s="397"/>
      <c r="CX154" s="397"/>
      <c r="CY154" s="397"/>
      <c r="CZ154" s="397"/>
      <c r="DA154" s="397"/>
      <c r="DB154" s="397"/>
      <c r="DC154" s="397"/>
      <c r="DD154" s="397"/>
      <c r="DE154" s="397"/>
      <c r="DF154" s="397"/>
      <c r="DG154" s="397"/>
      <c r="DH154" s="397"/>
      <c r="DI154" s="397"/>
      <c r="DJ154" s="397"/>
      <c r="DK154" s="397"/>
      <c r="DL154" s="397"/>
      <c r="DM154" s="397"/>
      <c r="DN154" s="397"/>
      <c r="DO154" s="397"/>
      <c r="DP154" s="397"/>
      <c r="DQ154" s="397"/>
      <c r="DR154" s="397"/>
      <c r="DS154" s="397"/>
      <c r="DT154" s="397"/>
      <c r="DU154" s="397"/>
      <c r="DV154" s="397"/>
      <c r="DW154" s="397"/>
      <c r="DX154" s="397"/>
      <c r="DY154" s="397"/>
      <c r="DZ154" s="397"/>
      <c r="EA154" s="397"/>
      <c r="EB154" s="397"/>
      <c r="EC154" s="397"/>
      <c r="ED154" s="397"/>
      <c r="EE154" s="397"/>
      <c r="EF154" s="397"/>
      <c r="EG154" s="397"/>
      <c r="EH154" s="397"/>
      <c r="EI154" s="397"/>
      <c r="EJ154" s="397"/>
      <c r="EK154" s="397"/>
      <c r="EL154" s="397"/>
      <c r="EM154" s="397"/>
      <c r="EN154" s="397"/>
      <c r="EO154" s="397"/>
      <c r="EP154" s="397"/>
      <c r="EQ154" s="397"/>
      <c r="ER154" s="397"/>
      <c r="ES154" s="397"/>
      <c r="ET154" s="397"/>
      <c r="EU154" s="397"/>
      <c r="EV154" s="397"/>
      <c r="EW154" s="397"/>
      <c r="EX154" s="397"/>
      <c r="EY154" s="397"/>
      <c r="EZ154" s="397"/>
      <c r="FA154" s="397"/>
      <c r="FB154" s="397"/>
      <c r="FC154" s="397"/>
      <c r="FD154" s="397"/>
      <c r="FE154" s="397"/>
      <c r="FF154" s="397"/>
      <c r="FG154" s="397"/>
      <c r="FH154" s="397"/>
      <c r="FI154" s="397"/>
      <c r="FJ154" s="397"/>
      <c r="FK154" s="397"/>
      <c r="FL154" s="397"/>
      <c r="FM154" s="397"/>
      <c r="FN154" s="397"/>
      <c r="FO154" s="397"/>
      <c r="FP154" s="397"/>
      <c r="FQ154" s="397"/>
      <c r="FR154" s="397"/>
      <c r="FS154" s="397"/>
      <c r="FT154" s="397"/>
      <c r="FU154" s="397"/>
      <c r="FV154" s="397"/>
      <c r="FW154" s="397"/>
      <c r="FX154" s="397"/>
      <c r="FY154" s="397"/>
      <c r="FZ154" s="397"/>
      <c r="GA154" s="397"/>
      <c r="GB154" s="397"/>
      <c r="GC154" s="397"/>
      <c r="GD154" s="397"/>
      <c r="GE154" s="397"/>
      <c r="GF154" s="397"/>
      <c r="GG154" s="397"/>
      <c r="GH154" s="397"/>
      <c r="GI154" s="397"/>
      <c r="GJ154" s="397"/>
      <c r="GK154" s="397"/>
      <c r="GL154" s="397"/>
      <c r="GM154" s="397"/>
      <c r="GN154" s="397"/>
      <c r="GO154" s="397"/>
      <c r="GP154" s="397"/>
      <c r="GQ154" s="397"/>
      <c r="GR154" s="397"/>
      <c r="GS154" s="397"/>
      <c r="GT154" s="397"/>
      <c r="GU154" s="397"/>
      <c r="GV154" s="397"/>
      <c r="GW154" s="397"/>
      <c r="GX154" s="397"/>
      <c r="GY154" s="397"/>
      <c r="GZ154" s="397"/>
      <c r="HA154" s="397"/>
      <c r="HB154" s="397"/>
      <c r="HC154" s="397"/>
      <c r="HD154" s="397"/>
      <c r="HE154" s="397"/>
      <c r="HF154" s="397"/>
      <c r="HG154" s="397"/>
      <c r="HH154" s="397"/>
      <c r="HI154" s="397"/>
      <c r="HJ154" s="397"/>
      <c r="HK154" s="397"/>
      <c r="HL154" s="397"/>
      <c r="HM154" s="397"/>
      <c r="HN154" s="397"/>
      <c r="HO154" s="397"/>
      <c r="HP154" s="397"/>
      <c r="HQ154" s="397"/>
      <c r="HR154" s="397"/>
      <c r="HS154" s="397"/>
      <c r="HT154" s="397"/>
      <c r="HU154" s="397"/>
      <c r="HV154" s="397"/>
      <c r="HW154" s="397"/>
      <c r="HX154" s="397"/>
      <c r="HY154" s="397"/>
      <c r="HZ154" s="397"/>
      <c r="IA154" s="397"/>
      <c r="IB154" s="397"/>
      <c r="IC154" s="397"/>
      <c r="ID154" s="397"/>
      <c r="IE154" s="397"/>
      <c r="IF154" s="397"/>
      <c r="IG154" s="397"/>
      <c r="IH154" s="397"/>
      <c r="II154" s="397"/>
      <c r="IJ154" s="397"/>
      <c r="IK154" s="397"/>
      <c r="IL154" s="397"/>
      <c r="IM154" s="397"/>
      <c r="IN154" s="397"/>
      <c r="IO154" s="397"/>
      <c r="IP154" s="397"/>
      <c r="IQ154" s="397"/>
      <c r="IR154" s="397"/>
    </row>
    <row r="155" spans="2:252" s="183" customFormat="1" ht="25.15" customHeight="1" x14ac:dyDescent="0.25">
      <c r="B155" s="85">
        <v>41579</v>
      </c>
      <c r="C155" s="184">
        <v>592453.39803000004</v>
      </c>
      <c r="D155" s="184">
        <f>NetWorth[[#This Row],[Worth]]-C156</f>
        <v>-90.376985549926758</v>
      </c>
      <c r="E155" s="1" t="s">
        <v>91</v>
      </c>
      <c r="V155" s="397"/>
      <c r="W155" s="397"/>
      <c r="X155" s="397"/>
      <c r="Y155" s="397"/>
      <c r="Z155" s="397"/>
      <c r="AA155" s="397"/>
      <c r="AB155" s="397"/>
      <c r="AC155" s="397"/>
      <c r="AD155" s="397"/>
      <c r="AE155" s="397"/>
      <c r="AF155" s="397"/>
      <c r="AG155" s="397"/>
      <c r="AH155" s="397"/>
      <c r="AI155" s="397"/>
      <c r="AJ155" s="397"/>
      <c r="AK155" s="397"/>
      <c r="AL155" s="397"/>
      <c r="AM155" s="397"/>
      <c r="AN155" s="397"/>
      <c r="AO155" s="397"/>
      <c r="AP155" s="397"/>
      <c r="AQ155" s="397"/>
      <c r="AR155" s="397"/>
      <c r="AS155" s="397"/>
      <c r="AT155" s="397"/>
      <c r="AU155" s="397"/>
      <c r="AV155" s="397"/>
      <c r="AW155" s="397"/>
      <c r="AX155" s="397"/>
      <c r="AY155" s="397"/>
      <c r="AZ155" s="397"/>
      <c r="BA155" s="397"/>
      <c r="BB155" s="397"/>
      <c r="BC155" s="397"/>
      <c r="BD155" s="397"/>
      <c r="BE155" s="397"/>
      <c r="BF155" s="397"/>
      <c r="BG155" s="397"/>
      <c r="BH155" s="397"/>
      <c r="BI155" s="397"/>
      <c r="BJ155" s="397"/>
      <c r="BK155" s="397"/>
      <c r="BL155" s="397"/>
      <c r="BM155" s="397"/>
      <c r="BN155" s="397"/>
      <c r="BO155" s="397"/>
      <c r="BP155" s="397"/>
      <c r="BQ155" s="397"/>
      <c r="BR155" s="397"/>
      <c r="BS155" s="397"/>
      <c r="BT155" s="397"/>
      <c r="BU155" s="397"/>
      <c r="BV155" s="397"/>
      <c r="BW155" s="397"/>
      <c r="BX155" s="397"/>
      <c r="BY155" s="397"/>
      <c r="BZ155" s="397"/>
      <c r="CA155" s="397"/>
      <c r="CB155" s="397"/>
      <c r="CC155" s="397"/>
      <c r="CD155" s="397"/>
      <c r="CE155" s="397"/>
      <c r="CF155" s="397"/>
      <c r="CG155" s="397"/>
      <c r="CH155" s="397"/>
      <c r="CI155" s="397"/>
      <c r="CJ155" s="397"/>
      <c r="CK155" s="397"/>
      <c r="CL155" s="397"/>
      <c r="CM155" s="397"/>
      <c r="CN155" s="397"/>
      <c r="CO155" s="397"/>
      <c r="CP155" s="397"/>
      <c r="CQ155" s="397"/>
      <c r="CR155" s="397"/>
      <c r="CS155" s="397"/>
      <c r="CT155" s="397"/>
      <c r="CU155" s="397"/>
      <c r="CV155" s="397"/>
      <c r="CW155" s="397"/>
      <c r="CX155" s="397"/>
      <c r="CY155" s="397"/>
      <c r="CZ155" s="397"/>
      <c r="DA155" s="397"/>
      <c r="DB155" s="397"/>
      <c r="DC155" s="397"/>
      <c r="DD155" s="397"/>
      <c r="DE155" s="397"/>
      <c r="DF155" s="397"/>
      <c r="DG155" s="397"/>
      <c r="DH155" s="397"/>
      <c r="DI155" s="397"/>
      <c r="DJ155" s="397"/>
      <c r="DK155" s="397"/>
      <c r="DL155" s="397"/>
      <c r="DM155" s="397"/>
      <c r="DN155" s="397"/>
      <c r="DO155" s="397"/>
      <c r="DP155" s="397"/>
      <c r="DQ155" s="397"/>
      <c r="DR155" s="397"/>
      <c r="DS155" s="397"/>
      <c r="DT155" s="397"/>
      <c r="DU155" s="397"/>
      <c r="DV155" s="397"/>
      <c r="DW155" s="397"/>
      <c r="DX155" s="397"/>
      <c r="DY155" s="397"/>
      <c r="DZ155" s="397"/>
      <c r="EA155" s="397"/>
      <c r="EB155" s="397"/>
      <c r="EC155" s="397"/>
      <c r="ED155" s="397"/>
      <c r="EE155" s="397"/>
      <c r="EF155" s="397"/>
      <c r="EG155" s="397"/>
      <c r="EH155" s="397"/>
      <c r="EI155" s="397"/>
      <c r="EJ155" s="397"/>
      <c r="EK155" s="397"/>
      <c r="EL155" s="397"/>
      <c r="EM155" s="397"/>
      <c r="EN155" s="397"/>
      <c r="EO155" s="397"/>
      <c r="EP155" s="397"/>
      <c r="EQ155" s="397"/>
      <c r="ER155" s="397"/>
      <c r="ES155" s="397"/>
      <c r="ET155" s="397"/>
      <c r="EU155" s="397"/>
      <c r="EV155" s="397"/>
      <c r="EW155" s="397"/>
      <c r="EX155" s="397"/>
      <c r="EY155" s="397"/>
      <c r="EZ155" s="397"/>
      <c r="FA155" s="397"/>
      <c r="FB155" s="397"/>
      <c r="FC155" s="397"/>
      <c r="FD155" s="397"/>
      <c r="FE155" s="397"/>
      <c r="FF155" s="397"/>
      <c r="FG155" s="397"/>
      <c r="FH155" s="397"/>
      <c r="FI155" s="397"/>
      <c r="FJ155" s="397"/>
      <c r="FK155" s="397"/>
      <c r="FL155" s="397"/>
      <c r="FM155" s="397"/>
      <c r="FN155" s="397"/>
      <c r="FO155" s="397"/>
      <c r="FP155" s="397"/>
      <c r="FQ155" s="397"/>
      <c r="FR155" s="397"/>
      <c r="FS155" s="397"/>
      <c r="FT155" s="397"/>
      <c r="FU155" s="397"/>
      <c r="FV155" s="397"/>
      <c r="FW155" s="397"/>
      <c r="FX155" s="397"/>
      <c r="FY155" s="397"/>
      <c r="FZ155" s="397"/>
      <c r="GA155" s="397"/>
      <c r="GB155" s="397"/>
      <c r="GC155" s="397"/>
      <c r="GD155" s="397"/>
      <c r="GE155" s="397"/>
      <c r="GF155" s="397"/>
      <c r="GG155" s="397"/>
      <c r="GH155" s="397"/>
      <c r="GI155" s="397"/>
      <c r="GJ155" s="397"/>
      <c r="GK155" s="397"/>
      <c r="GL155" s="397"/>
      <c r="GM155" s="397"/>
      <c r="GN155" s="397"/>
      <c r="GO155" s="397"/>
      <c r="GP155" s="397"/>
      <c r="GQ155" s="397"/>
      <c r="GR155" s="397"/>
      <c r="GS155" s="397"/>
      <c r="GT155" s="397"/>
      <c r="GU155" s="397"/>
      <c r="GV155" s="397"/>
      <c r="GW155" s="397"/>
      <c r="GX155" s="397"/>
      <c r="GY155" s="397"/>
      <c r="GZ155" s="397"/>
      <c r="HA155" s="397"/>
      <c r="HB155" s="397"/>
      <c r="HC155" s="397"/>
      <c r="HD155" s="397"/>
      <c r="HE155" s="397"/>
      <c r="HF155" s="397"/>
      <c r="HG155" s="397"/>
      <c r="HH155" s="397"/>
      <c r="HI155" s="397"/>
      <c r="HJ155" s="397"/>
      <c r="HK155" s="397"/>
      <c r="HL155" s="397"/>
      <c r="HM155" s="397"/>
      <c r="HN155" s="397"/>
      <c r="HO155" s="397"/>
      <c r="HP155" s="397"/>
      <c r="HQ155" s="397"/>
      <c r="HR155" s="397"/>
      <c r="HS155" s="397"/>
      <c r="HT155" s="397"/>
      <c r="HU155" s="397"/>
      <c r="HV155" s="397"/>
      <c r="HW155" s="397"/>
      <c r="HX155" s="397"/>
      <c r="HY155" s="397"/>
      <c r="HZ155" s="397"/>
      <c r="IA155" s="397"/>
      <c r="IB155" s="397"/>
      <c r="IC155" s="397"/>
      <c r="ID155" s="397"/>
      <c r="IE155" s="397"/>
      <c r="IF155" s="397"/>
      <c r="IG155" s="397"/>
      <c r="IH155" s="397"/>
      <c r="II155" s="397"/>
      <c r="IJ155" s="397"/>
      <c r="IK155" s="397"/>
      <c r="IL155" s="397"/>
      <c r="IM155" s="397"/>
      <c r="IN155" s="397"/>
      <c r="IO155" s="397"/>
      <c r="IP155" s="397"/>
      <c r="IQ155" s="397"/>
      <c r="IR155" s="397"/>
    </row>
    <row r="156" spans="2:252" s="183" customFormat="1" ht="25.15" customHeight="1" x14ac:dyDescent="0.25">
      <c r="B156" s="85">
        <v>41548</v>
      </c>
      <c r="C156" s="184">
        <v>592543.77501554997</v>
      </c>
      <c r="D156" s="184">
        <f>NetWorth[[#This Row],[Worth]]-C157</f>
        <v>10050.506448999979</v>
      </c>
      <c r="E156" s="1"/>
      <c r="V156" s="397"/>
      <c r="W156" s="397"/>
      <c r="X156" s="397"/>
      <c r="Y156" s="397"/>
      <c r="Z156" s="397"/>
      <c r="AA156" s="397"/>
      <c r="AB156" s="397"/>
      <c r="AC156" s="397"/>
      <c r="AD156" s="397"/>
      <c r="AE156" s="397"/>
      <c r="AF156" s="397"/>
      <c r="AG156" s="397"/>
      <c r="AH156" s="397"/>
      <c r="AI156" s="397"/>
      <c r="AJ156" s="397"/>
      <c r="AK156" s="397"/>
      <c r="AL156" s="397"/>
      <c r="AM156" s="397"/>
      <c r="AN156" s="397"/>
      <c r="AO156" s="397"/>
      <c r="AP156" s="397"/>
      <c r="AQ156" s="397"/>
      <c r="AR156" s="397"/>
      <c r="AS156" s="397"/>
      <c r="AT156" s="397"/>
      <c r="AU156" s="397"/>
      <c r="AV156" s="397"/>
      <c r="AW156" s="397"/>
      <c r="AX156" s="397"/>
      <c r="AY156" s="397"/>
      <c r="AZ156" s="397"/>
      <c r="BA156" s="397"/>
      <c r="BB156" s="397"/>
      <c r="BC156" s="397"/>
      <c r="BD156" s="397"/>
      <c r="BE156" s="397"/>
      <c r="BF156" s="397"/>
      <c r="BG156" s="397"/>
      <c r="BH156" s="397"/>
      <c r="BI156" s="397"/>
      <c r="BJ156" s="397"/>
      <c r="BK156" s="397"/>
      <c r="BL156" s="397"/>
      <c r="BM156" s="397"/>
      <c r="BN156" s="397"/>
      <c r="BO156" s="397"/>
      <c r="BP156" s="397"/>
      <c r="BQ156" s="397"/>
      <c r="BR156" s="397"/>
      <c r="BS156" s="397"/>
      <c r="BT156" s="397"/>
      <c r="BU156" s="397"/>
      <c r="BV156" s="397"/>
      <c r="BW156" s="397"/>
      <c r="BX156" s="397"/>
      <c r="BY156" s="397"/>
      <c r="BZ156" s="397"/>
      <c r="CA156" s="397"/>
      <c r="CB156" s="397"/>
      <c r="CC156" s="397"/>
      <c r="CD156" s="397"/>
      <c r="CE156" s="397"/>
      <c r="CF156" s="397"/>
      <c r="CG156" s="397"/>
      <c r="CH156" s="397"/>
      <c r="CI156" s="397"/>
      <c r="CJ156" s="397"/>
      <c r="CK156" s="397"/>
      <c r="CL156" s="397"/>
      <c r="CM156" s="397"/>
      <c r="CN156" s="397"/>
      <c r="CO156" s="397"/>
      <c r="CP156" s="397"/>
      <c r="CQ156" s="397"/>
      <c r="CR156" s="397"/>
      <c r="CS156" s="397"/>
      <c r="CT156" s="397"/>
      <c r="CU156" s="397"/>
      <c r="CV156" s="397"/>
      <c r="CW156" s="397"/>
      <c r="CX156" s="397"/>
      <c r="CY156" s="397"/>
      <c r="CZ156" s="397"/>
      <c r="DA156" s="397"/>
      <c r="DB156" s="397"/>
      <c r="DC156" s="397"/>
      <c r="DD156" s="397"/>
      <c r="DE156" s="397"/>
      <c r="DF156" s="397"/>
      <c r="DG156" s="397"/>
      <c r="DH156" s="397"/>
      <c r="DI156" s="397"/>
      <c r="DJ156" s="397"/>
      <c r="DK156" s="397"/>
      <c r="DL156" s="397"/>
      <c r="DM156" s="397"/>
      <c r="DN156" s="397"/>
      <c r="DO156" s="397"/>
      <c r="DP156" s="397"/>
      <c r="DQ156" s="397"/>
      <c r="DR156" s="397"/>
      <c r="DS156" s="397"/>
      <c r="DT156" s="397"/>
      <c r="DU156" s="397"/>
      <c r="DV156" s="397"/>
      <c r="DW156" s="397"/>
      <c r="DX156" s="397"/>
      <c r="DY156" s="397"/>
      <c r="DZ156" s="397"/>
      <c r="EA156" s="397"/>
      <c r="EB156" s="397"/>
      <c r="EC156" s="397"/>
      <c r="ED156" s="397"/>
      <c r="EE156" s="397"/>
      <c r="EF156" s="397"/>
      <c r="EG156" s="397"/>
      <c r="EH156" s="397"/>
      <c r="EI156" s="397"/>
      <c r="EJ156" s="397"/>
      <c r="EK156" s="397"/>
      <c r="EL156" s="397"/>
      <c r="EM156" s="397"/>
      <c r="EN156" s="397"/>
      <c r="EO156" s="397"/>
      <c r="EP156" s="397"/>
      <c r="EQ156" s="397"/>
      <c r="ER156" s="397"/>
      <c r="ES156" s="397"/>
      <c r="ET156" s="397"/>
      <c r="EU156" s="397"/>
      <c r="EV156" s="397"/>
      <c r="EW156" s="397"/>
      <c r="EX156" s="397"/>
      <c r="EY156" s="397"/>
      <c r="EZ156" s="397"/>
      <c r="FA156" s="397"/>
      <c r="FB156" s="397"/>
      <c r="FC156" s="397"/>
      <c r="FD156" s="397"/>
      <c r="FE156" s="397"/>
      <c r="FF156" s="397"/>
      <c r="FG156" s="397"/>
      <c r="FH156" s="397"/>
      <c r="FI156" s="397"/>
      <c r="FJ156" s="397"/>
      <c r="FK156" s="397"/>
      <c r="FL156" s="397"/>
      <c r="FM156" s="397"/>
      <c r="FN156" s="397"/>
      <c r="FO156" s="397"/>
      <c r="FP156" s="397"/>
      <c r="FQ156" s="397"/>
      <c r="FR156" s="397"/>
      <c r="FS156" s="397"/>
      <c r="FT156" s="397"/>
      <c r="FU156" s="397"/>
      <c r="FV156" s="397"/>
      <c r="FW156" s="397"/>
      <c r="FX156" s="397"/>
      <c r="FY156" s="397"/>
      <c r="FZ156" s="397"/>
      <c r="GA156" s="397"/>
      <c r="GB156" s="397"/>
      <c r="GC156" s="397"/>
      <c r="GD156" s="397"/>
      <c r="GE156" s="397"/>
      <c r="GF156" s="397"/>
      <c r="GG156" s="397"/>
      <c r="GH156" s="397"/>
      <c r="GI156" s="397"/>
      <c r="GJ156" s="397"/>
      <c r="GK156" s="397"/>
      <c r="GL156" s="397"/>
      <c r="GM156" s="397"/>
      <c r="GN156" s="397"/>
      <c r="GO156" s="397"/>
      <c r="GP156" s="397"/>
      <c r="GQ156" s="397"/>
      <c r="GR156" s="397"/>
      <c r="GS156" s="397"/>
      <c r="GT156" s="397"/>
      <c r="GU156" s="397"/>
      <c r="GV156" s="397"/>
      <c r="GW156" s="397"/>
      <c r="GX156" s="397"/>
      <c r="GY156" s="397"/>
      <c r="GZ156" s="397"/>
      <c r="HA156" s="397"/>
      <c r="HB156" s="397"/>
      <c r="HC156" s="397"/>
      <c r="HD156" s="397"/>
      <c r="HE156" s="397"/>
      <c r="HF156" s="397"/>
      <c r="HG156" s="397"/>
      <c r="HH156" s="397"/>
      <c r="HI156" s="397"/>
      <c r="HJ156" s="397"/>
      <c r="HK156" s="397"/>
      <c r="HL156" s="397"/>
      <c r="HM156" s="397"/>
      <c r="HN156" s="397"/>
      <c r="HO156" s="397"/>
      <c r="HP156" s="397"/>
      <c r="HQ156" s="397"/>
      <c r="HR156" s="397"/>
      <c r="HS156" s="397"/>
      <c r="HT156" s="397"/>
      <c r="HU156" s="397"/>
      <c r="HV156" s="397"/>
      <c r="HW156" s="397"/>
      <c r="HX156" s="397"/>
      <c r="HY156" s="397"/>
      <c r="HZ156" s="397"/>
      <c r="IA156" s="397"/>
      <c r="IB156" s="397"/>
      <c r="IC156" s="397"/>
      <c r="ID156" s="397"/>
      <c r="IE156" s="397"/>
      <c r="IF156" s="397"/>
      <c r="IG156" s="397"/>
      <c r="IH156" s="397"/>
      <c r="II156" s="397"/>
      <c r="IJ156" s="397"/>
      <c r="IK156" s="397"/>
      <c r="IL156" s="397"/>
      <c r="IM156" s="397"/>
      <c r="IN156" s="397"/>
      <c r="IO156" s="397"/>
      <c r="IP156" s="397"/>
      <c r="IQ156" s="397"/>
      <c r="IR156" s="397"/>
    </row>
    <row r="157" spans="2:252" s="183" customFormat="1" ht="25.15" customHeight="1" x14ac:dyDescent="0.25">
      <c r="B157" s="85">
        <v>41518</v>
      </c>
      <c r="C157" s="184">
        <v>582493.26856654999</v>
      </c>
      <c r="D157" s="184">
        <f>NetWorth[[#This Row],[Worth]]-C158</f>
        <v>12362.383504000027</v>
      </c>
      <c r="E157" s="1" t="s">
        <v>92</v>
      </c>
      <c r="V157" s="397"/>
      <c r="W157" s="397"/>
      <c r="X157" s="397"/>
      <c r="Y157" s="397"/>
      <c r="Z157" s="397"/>
      <c r="AA157" s="397"/>
      <c r="AB157" s="397"/>
      <c r="AC157" s="397"/>
      <c r="AD157" s="397"/>
      <c r="AE157" s="397"/>
      <c r="AF157" s="397"/>
      <c r="AG157" s="397"/>
      <c r="AH157" s="397"/>
      <c r="AI157" s="397"/>
      <c r="AJ157" s="397"/>
      <c r="AK157" s="397"/>
      <c r="AL157" s="397"/>
      <c r="AM157" s="397"/>
      <c r="AN157" s="397"/>
      <c r="AO157" s="397"/>
      <c r="AP157" s="397"/>
      <c r="AQ157" s="397"/>
      <c r="AR157" s="397"/>
      <c r="AS157" s="397"/>
      <c r="AT157" s="397"/>
      <c r="AU157" s="397"/>
      <c r="AV157" s="397"/>
      <c r="AW157" s="397"/>
      <c r="AX157" s="397"/>
      <c r="AY157" s="397"/>
      <c r="AZ157" s="397"/>
      <c r="BA157" s="397"/>
      <c r="BB157" s="397"/>
      <c r="BC157" s="397"/>
      <c r="BD157" s="397"/>
      <c r="BE157" s="397"/>
      <c r="BF157" s="397"/>
      <c r="BG157" s="397"/>
      <c r="BH157" s="397"/>
      <c r="BI157" s="397"/>
      <c r="BJ157" s="397"/>
      <c r="BK157" s="397"/>
      <c r="BL157" s="397"/>
      <c r="BM157" s="397"/>
      <c r="BN157" s="397"/>
      <c r="BO157" s="397"/>
      <c r="BP157" s="397"/>
      <c r="BQ157" s="397"/>
      <c r="BR157" s="397"/>
      <c r="BS157" s="397"/>
      <c r="BT157" s="397"/>
      <c r="BU157" s="397"/>
      <c r="BV157" s="397"/>
      <c r="BW157" s="397"/>
      <c r="BX157" s="397"/>
      <c r="BY157" s="397"/>
      <c r="BZ157" s="397"/>
      <c r="CA157" s="397"/>
      <c r="CB157" s="397"/>
      <c r="CC157" s="397"/>
      <c r="CD157" s="397"/>
      <c r="CE157" s="397"/>
      <c r="CF157" s="397"/>
      <c r="CG157" s="397"/>
      <c r="CH157" s="397"/>
      <c r="CI157" s="397"/>
      <c r="CJ157" s="397"/>
      <c r="CK157" s="397"/>
      <c r="CL157" s="397"/>
      <c r="CM157" s="397"/>
      <c r="CN157" s="397"/>
      <c r="CO157" s="397"/>
      <c r="CP157" s="397"/>
      <c r="CQ157" s="397"/>
      <c r="CR157" s="397"/>
      <c r="CS157" s="397"/>
      <c r="CT157" s="397"/>
      <c r="CU157" s="397"/>
      <c r="CV157" s="397"/>
      <c r="CW157" s="397"/>
      <c r="CX157" s="397"/>
      <c r="CY157" s="397"/>
      <c r="CZ157" s="397"/>
      <c r="DA157" s="397"/>
      <c r="DB157" s="397"/>
      <c r="DC157" s="397"/>
      <c r="DD157" s="397"/>
      <c r="DE157" s="397"/>
      <c r="DF157" s="397"/>
      <c r="DG157" s="397"/>
      <c r="DH157" s="397"/>
      <c r="DI157" s="397"/>
      <c r="DJ157" s="397"/>
      <c r="DK157" s="397"/>
      <c r="DL157" s="397"/>
      <c r="DM157" s="397"/>
      <c r="DN157" s="397"/>
      <c r="DO157" s="397"/>
      <c r="DP157" s="397"/>
      <c r="DQ157" s="397"/>
      <c r="DR157" s="397"/>
      <c r="DS157" s="397"/>
      <c r="DT157" s="397"/>
      <c r="DU157" s="397"/>
      <c r="DV157" s="397"/>
      <c r="DW157" s="397"/>
      <c r="DX157" s="397"/>
      <c r="DY157" s="397"/>
      <c r="DZ157" s="397"/>
      <c r="EA157" s="397"/>
      <c r="EB157" s="397"/>
      <c r="EC157" s="397"/>
      <c r="ED157" s="397"/>
      <c r="EE157" s="397"/>
      <c r="EF157" s="397"/>
      <c r="EG157" s="397"/>
      <c r="EH157" s="397"/>
      <c r="EI157" s="397"/>
      <c r="EJ157" s="397"/>
      <c r="EK157" s="397"/>
      <c r="EL157" s="397"/>
      <c r="EM157" s="397"/>
      <c r="EN157" s="397"/>
      <c r="EO157" s="397"/>
      <c r="EP157" s="397"/>
      <c r="EQ157" s="397"/>
      <c r="ER157" s="397"/>
      <c r="ES157" s="397"/>
      <c r="ET157" s="397"/>
      <c r="EU157" s="397"/>
      <c r="EV157" s="397"/>
      <c r="EW157" s="397"/>
      <c r="EX157" s="397"/>
      <c r="EY157" s="397"/>
      <c r="EZ157" s="397"/>
      <c r="FA157" s="397"/>
      <c r="FB157" s="397"/>
      <c r="FC157" s="397"/>
      <c r="FD157" s="397"/>
      <c r="FE157" s="397"/>
      <c r="FF157" s="397"/>
      <c r="FG157" s="397"/>
      <c r="FH157" s="397"/>
      <c r="FI157" s="397"/>
      <c r="FJ157" s="397"/>
      <c r="FK157" s="397"/>
      <c r="FL157" s="397"/>
      <c r="FM157" s="397"/>
      <c r="FN157" s="397"/>
      <c r="FO157" s="397"/>
      <c r="FP157" s="397"/>
      <c r="FQ157" s="397"/>
      <c r="FR157" s="397"/>
      <c r="FS157" s="397"/>
      <c r="FT157" s="397"/>
      <c r="FU157" s="397"/>
      <c r="FV157" s="397"/>
      <c r="FW157" s="397"/>
      <c r="FX157" s="397"/>
      <c r="FY157" s="397"/>
      <c r="FZ157" s="397"/>
      <c r="GA157" s="397"/>
      <c r="GB157" s="397"/>
      <c r="GC157" s="397"/>
      <c r="GD157" s="397"/>
      <c r="GE157" s="397"/>
      <c r="GF157" s="397"/>
      <c r="GG157" s="397"/>
      <c r="GH157" s="397"/>
      <c r="GI157" s="397"/>
      <c r="GJ157" s="397"/>
      <c r="GK157" s="397"/>
      <c r="GL157" s="397"/>
      <c r="GM157" s="397"/>
      <c r="GN157" s="397"/>
      <c r="GO157" s="397"/>
      <c r="GP157" s="397"/>
      <c r="GQ157" s="397"/>
      <c r="GR157" s="397"/>
      <c r="GS157" s="397"/>
      <c r="GT157" s="397"/>
      <c r="GU157" s="397"/>
      <c r="GV157" s="397"/>
      <c r="GW157" s="397"/>
      <c r="GX157" s="397"/>
      <c r="GY157" s="397"/>
      <c r="GZ157" s="397"/>
      <c r="HA157" s="397"/>
      <c r="HB157" s="397"/>
      <c r="HC157" s="397"/>
      <c r="HD157" s="397"/>
      <c r="HE157" s="397"/>
      <c r="HF157" s="397"/>
      <c r="HG157" s="397"/>
      <c r="HH157" s="397"/>
      <c r="HI157" s="397"/>
      <c r="HJ157" s="397"/>
      <c r="HK157" s="397"/>
      <c r="HL157" s="397"/>
      <c r="HM157" s="397"/>
      <c r="HN157" s="397"/>
      <c r="HO157" s="397"/>
      <c r="HP157" s="397"/>
      <c r="HQ157" s="397"/>
      <c r="HR157" s="397"/>
      <c r="HS157" s="397"/>
      <c r="HT157" s="397"/>
      <c r="HU157" s="397"/>
      <c r="HV157" s="397"/>
      <c r="HW157" s="397"/>
      <c r="HX157" s="397"/>
      <c r="HY157" s="397"/>
      <c r="HZ157" s="397"/>
      <c r="IA157" s="397"/>
      <c r="IB157" s="397"/>
      <c r="IC157" s="397"/>
      <c r="ID157" s="397"/>
      <c r="IE157" s="397"/>
      <c r="IF157" s="397"/>
      <c r="IG157" s="397"/>
      <c r="IH157" s="397"/>
      <c r="II157" s="397"/>
      <c r="IJ157" s="397"/>
      <c r="IK157" s="397"/>
      <c r="IL157" s="397"/>
      <c r="IM157" s="397"/>
      <c r="IN157" s="397"/>
      <c r="IO157" s="397"/>
      <c r="IP157" s="397"/>
      <c r="IQ157" s="397"/>
      <c r="IR157" s="397"/>
    </row>
    <row r="158" spans="2:252" s="183" customFormat="1" ht="25.15" customHeight="1" x14ac:dyDescent="0.25">
      <c r="B158" s="85">
        <v>41487</v>
      </c>
      <c r="C158" s="184">
        <v>570130.88506254996</v>
      </c>
      <c r="D158" s="184">
        <f>NetWorth[[#This Row],[Worth]]-C159</f>
        <v>5300.7374360000249</v>
      </c>
      <c r="E158" s="1" t="s">
        <v>93</v>
      </c>
      <c r="V158" s="397"/>
      <c r="W158" s="397"/>
      <c r="X158" s="397"/>
      <c r="Y158" s="397"/>
      <c r="Z158" s="397"/>
      <c r="AA158" s="397"/>
      <c r="AB158" s="397"/>
      <c r="AC158" s="397"/>
      <c r="AD158" s="397"/>
      <c r="AE158" s="397"/>
      <c r="AF158" s="397"/>
      <c r="AG158" s="397"/>
      <c r="AH158" s="397"/>
      <c r="AI158" s="397"/>
      <c r="AJ158" s="397"/>
      <c r="AK158" s="397"/>
      <c r="AL158" s="397"/>
      <c r="AM158" s="397"/>
      <c r="AN158" s="397"/>
      <c r="AO158" s="397"/>
      <c r="AP158" s="397"/>
      <c r="AQ158" s="397"/>
      <c r="AR158" s="397"/>
      <c r="AS158" s="397"/>
      <c r="AT158" s="397"/>
      <c r="AU158" s="397"/>
      <c r="AV158" s="397"/>
      <c r="AW158" s="397"/>
      <c r="AX158" s="397"/>
      <c r="AY158" s="397"/>
      <c r="AZ158" s="397"/>
      <c r="BA158" s="397"/>
      <c r="BB158" s="397"/>
      <c r="BC158" s="397"/>
      <c r="BD158" s="397"/>
      <c r="BE158" s="397"/>
      <c r="BF158" s="397"/>
      <c r="BG158" s="397"/>
      <c r="BH158" s="397"/>
      <c r="BI158" s="397"/>
      <c r="BJ158" s="397"/>
      <c r="BK158" s="397"/>
      <c r="BL158" s="397"/>
      <c r="BM158" s="397"/>
      <c r="BN158" s="397"/>
      <c r="BO158" s="397"/>
      <c r="BP158" s="397"/>
      <c r="BQ158" s="397"/>
      <c r="BR158" s="397"/>
      <c r="BS158" s="397"/>
      <c r="BT158" s="397"/>
      <c r="BU158" s="397"/>
      <c r="BV158" s="397"/>
      <c r="BW158" s="397"/>
      <c r="BX158" s="397"/>
      <c r="BY158" s="397"/>
      <c r="BZ158" s="397"/>
      <c r="CA158" s="397"/>
      <c r="CB158" s="397"/>
      <c r="CC158" s="397"/>
      <c r="CD158" s="397"/>
      <c r="CE158" s="397"/>
      <c r="CF158" s="397"/>
      <c r="CG158" s="397"/>
      <c r="CH158" s="397"/>
      <c r="CI158" s="397"/>
      <c r="CJ158" s="397"/>
      <c r="CK158" s="397"/>
      <c r="CL158" s="397"/>
      <c r="CM158" s="397"/>
      <c r="CN158" s="397"/>
      <c r="CO158" s="397"/>
      <c r="CP158" s="397"/>
      <c r="CQ158" s="397"/>
      <c r="CR158" s="397"/>
      <c r="CS158" s="397"/>
      <c r="CT158" s="397"/>
      <c r="CU158" s="397"/>
      <c r="CV158" s="397"/>
      <c r="CW158" s="397"/>
      <c r="CX158" s="397"/>
      <c r="CY158" s="397"/>
      <c r="CZ158" s="397"/>
      <c r="DA158" s="397"/>
      <c r="DB158" s="397"/>
      <c r="DC158" s="397"/>
      <c r="DD158" s="397"/>
      <c r="DE158" s="397"/>
      <c r="DF158" s="397"/>
      <c r="DG158" s="397"/>
      <c r="DH158" s="397"/>
      <c r="DI158" s="397"/>
      <c r="DJ158" s="397"/>
      <c r="DK158" s="397"/>
      <c r="DL158" s="397"/>
      <c r="DM158" s="397"/>
      <c r="DN158" s="397"/>
      <c r="DO158" s="397"/>
      <c r="DP158" s="397"/>
      <c r="DQ158" s="397"/>
      <c r="DR158" s="397"/>
      <c r="DS158" s="397"/>
      <c r="DT158" s="397"/>
      <c r="DU158" s="397"/>
      <c r="DV158" s="397"/>
      <c r="DW158" s="397"/>
      <c r="DX158" s="397"/>
      <c r="DY158" s="397"/>
      <c r="DZ158" s="397"/>
      <c r="EA158" s="397"/>
      <c r="EB158" s="397"/>
      <c r="EC158" s="397"/>
      <c r="ED158" s="397"/>
      <c r="EE158" s="397"/>
      <c r="EF158" s="397"/>
      <c r="EG158" s="397"/>
      <c r="EH158" s="397"/>
      <c r="EI158" s="397"/>
      <c r="EJ158" s="397"/>
      <c r="EK158" s="397"/>
      <c r="EL158" s="397"/>
      <c r="EM158" s="397"/>
      <c r="EN158" s="397"/>
      <c r="EO158" s="397"/>
      <c r="EP158" s="397"/>
      <c r="EQ158" s="397"/>
      <c r="ER158" s="397"/>
      <c r="ES158" s="397"/>
      <c r="ET158" s="397"/>
      <c r="EU158" s="397"/>
      <c r="EV158" s="397"/>
      <c r="EW158" s="397"/>
      <c r="EX158" s="397"/>
      <c r="EY158" s="397"/>
      <c r="EZ158" s="397"/>
      <c r="FA158" s="397"/>
      <c r="FB158" s="397"/>
      <c r="FC158" s="397"/>
      <c r="FD158" s="397"/>
      <c r="FE158" s="397"/>
      <c r="FF158" s="397"/>
      <c r="FG158" s="397"/>
      <c r="FH158" s="397"/>
      <c r="FI158" s="397"/>
      <c r="FJ158" s="397"/>
      <c r="FK158" s="397"/>
      <c r="FL158" s="397"/>
      <c r="FM158" s="397"/>
      <c r="FN158" s="397"/>
      <c r="FO158" s="397"/>
      <c r="FP158" s="397"/>
      <c r="FQ158" s="397"/>
      <c r="FR158" s="397"/>
      <c r="FS158" s="397"/>
      <c r="FT158" s="397"/>
      <c r="FU158" s="397"/>
      <c r="FV158" s="397"/>
      <c r="FW158" s="397"/>
      <c r="FX158" s="397"/>
      <c r="FY158" s="397"/>
      <c r="FZ158" s="397"/>
      <c r="GA158" s="397"/>
      <c r="GB158" s="397"/>
      <c r="GC158" s="397"/>
      <c r="GD158" s="397"/>
      <c r="GE158" s="397"/>
      <c r="GF158" s="397"/>
      <c r="GG158" s="397"/>
      <c r="GH158" s="397"/>
      <c r="GI158" s="397"/>
      <c r="GJ158" s="397"/>
      <c r="GK158" s="397"/>
      <c r="GL158" s="397"/>
      <c r="GM158" s="397"/>
      <c r="GN158" s="397"/>
      <c r="GO158" s="397"/>
      <c r="GP158" s="397"/>
      <c r="GQ158" s="397"/>
      <c r="GR158" s="397"/>
      <c r="GS158" s="397"/>
      <c r="GT158" s="397"/>
      <c r="GU158" s="397"/>
      <c r="GV158" s="397"/>
      <c r="GW158" s="397"/>
      <c r="GX158" s="397"/>
      <c r="GY158" s="397"/>
      <c r="GZ158" s="397"/>
      <c r="HA158" s="397"/>
      <c r="HB158" s="397"/>
      <c r="HC158" s="397"/>
      <c r="HD158" s="397"/>
      <c r="HE158" s="397"/>
      <c r="HF158" s="397"/>
      <c r="HG158" s="397"/>
      <c r="HH158" s="397"/>
      <c r="HI158" s="397"/>
      <c r="HJ158" s="397"/>
      <c r="HK158" s="397"/>
      <c r="HL158" s="397"/>
      <c r="HM158" s="397"/>
      <c r="HN158" s="397"/>
      <c r="HO158" s="397"/>
      <c r="HP158" s="397"/>
      <c r="HQ158" s="397"/>
      <c r="HR158" s="397"/>
      <c r="HS158" s="397"/>
      <c r="HT158" s="397"/>
      <c r="HU158" s="397"/>
      <c r="HV158" s="397"/>
      <c r="HW158" s="397"/>
      <c r="HX158" s="397"/>
      <c r="HY158" s="397"/>
      <c r="HZ158" s="397"/>
      <c r="IA158" s="397"/>
      <c r="IB158" s="397"/>
      <c r="IC158" s="397"/>
      <c r="ID158" s="397"/>
      <c r="IE158" s="397"/>
      <c r="IF158" s="397"/>
      <c r="IG158" s="397"/>
      <c r="IH158" s="397"/>
      <c r="II158" s="397"/>
      <c r="IJ158" s="397"/>
      <c r="IK158" s="397"/>
      <c r="IL158" s="397"/>
      <c r="IM158" s="397"/>
      <c r="IN158" s="397"/>
      <c r="IO158" s="397"/>
      <c r="IP158" s="397"/>
      <c r="IQ158" s="397"/>
      <c r="IR158" s="397"/>
    </row>
    <row r="159" spans="2:252" s="183" customFormat="1" ht="25.15" customHeight="1" x14ac:dyDescent="0.25">
      <c r="B159" s="85">
        <v>41456</v>
      </c>
      <c r="C159" s="184">
        <v>564830.14762654994</v>
      </c>
      <c r="D159" s="184">
        <f>NetWorth[[#This Row],[Worth]]-C160</f>
        <v>9827.5773665499873</v>
      </c>
      <c r="E159" s="1"/>
      <c r="V159" s="397"/>
      <c r="W159" s="397"/>
      <c r="X159" s="397"/>
      <c r="Y159" s="397"/>
      <c r="Z159" s="397"/>
      <c r="AA159" s="397"/>
      <c r="AB159" s="397"/>
      <c r="AC159" s="397"/>
      <c r="AD159" s="397"/>
      <c r="AE159" s="397"/>
      <c r="AF159" s="397"/>
      <c r="AG159" s="397"/>
      <c r="AH159" s="397"/>
      <c r="AI159" s="397"/>
      <c r="AJ159" s="397"/>
      <c r="AK159" s="397"/>
      <c r="AL159" s="397"/>
      <c r="AM159" s="397"/>
      <c r="AN159" s="397"/>
      <c r="AO159" s="397"/>
      <c r="AP159" s="397"/>
      <c r="AQ159" s="397"/>
      <c r="AR159" s="397"/>
      <c r="AS159" s="397"/>
      <c r="AT159" s="397"/>
      <c r="AU159" s="397"/>
      <c r="AV159" s="397"/>
      <c r="AW159" s="397"/>
      <c r="AX159" s="397"/>
      <c r="AY159" s="397"/>
      <c r="AZ159" s="397"/>
      <c r="BA159" s="397"/>
      <c r="BB159" s="397"/>
      <c r="BC159" s="397"/>
      <c r="BD159" s="397"/>
      <c r="BE159" s="397"/>
      <c r="BF159" s="397"/>
      <c r="BG159" s="397"/>
      <c r="BH159" s="397"/>
      <c r="BI159" s="397"/>
      <c r="BJ159" s="397"/>
      <c r="BK159" s="397"/>
      <c r="BL159" s="397"/>
      <c r="BM159" s="397"/>
      <c r="BN159" s="397"/>
      <c r="BO159" s="397"/>
      <c r="BP159" s="397"/>
      <c r="BQ159" s="397"/>
      <c r="BR159" s="397"/>
      <c r="BS159" s="397"/>
      <c r="BT159" s="397"/>
      <c r="BU159" s="397"/>
      <c r="BV159" s="397"/>
      <c r="BW159" s="397"/>
      <c r="BX159" s="397"/>
      <c r="BY159" s="397"/>
      <c r="BZ159" s="397"/>
      <c r="CA159" s="397"/>
      <c r="CB159" s="397"/>
      <c r="CC159" s="397"/>
      <c r="CD159" s="397"/>
      <c r="CE159" s="397"/>
      <c r="CF159" s="397"/>
      <c r="CG159" s="397"/>
      <c r="CH159" s="397"/>
      <c r="CI159" s="397"/>
      <c r="CJ159" s="397"/>
      <c r="CK159" s="397"/>
      <c r="CL159" s="397"/>
      <c r="CM159" s="397"/>
      <c r="CN159" s="397"/>
      <c r="CO159" s="397"/>
      <c r="CP159" s="397"/>
      <c r="CQ159" s="397"/>
      <c r="CR159" s="397"/>
      <c r="CS159" s="397"/>
      <c r="CT159" s="397"/>
      <c r="CU159" s="397"/>
      <c r="CV159" s="397"/>
      <c r="CW159" s="397"/>
      <c r="CX159" s="397"/>
      <c r="CY159" s="397"/>
      <c r="CZ159" s="397"/>
      <c r="DA159" s="397"/>
      <c r="DB159" s="397"/>
      <c r="DC159" s="397"/>
      <c r="DD159" s="397"/>
      <c r="DE159" s="397"/>
      <c r="DF159" s="397"/>
      <c r="DG159" s="397"/>
      <c r="DH159" s="397"/>
      <c r="DI159" s="397"/>
      <c r="DJ159" s="397"/>
      <c r="DK159" s="397"/>
      <c r="DL159" s="397"/>
      <c r="DM159" s="397"/>
      <c r="DN159" s="397"/>
      <c r="DO159" s="397"/>
      <c r="DP159" s="397"/>
      <c r="DQ159" s="397"/>
      <c r="DR159" s="397"/>
      <c r="DS159" s="397"/>
      <c r="DT159" s="397"/>
      <c r="DU159" s="397"/>
      <c r="DV159" s="397"/>
      <c r="DW159" s="397"/>
      <c r="DX159" s="397"/>
      <c r="DY159" s="397"/>
      <c r="DZ159" s="397"/>
      <c r="EA159" s="397"/>
      <c r="EB159" s="397"/>
      <c r="EC159" s="397"/>
      <c r="ED159" s="397"/>
      <c r="EE159" s="397"/>
      <c r="EF159" s="397"/>
      <c r="EG159" s="397"/>
      <c r="EH159" s="397"/>
      <c r="EI159" s="397"/>
      <c r="EJ159" s="397"/>
      <c r="EK159" s="397"/>
      <c r="EL159" s="397"/>
      <c r="EM159" s="397"/>
      <c r="EN159" s="397"/>
      <c r="EO159" s="397"/>
      <c r="EP159" s="397"/>
      <c r="EQ159" s="397"/>
      <c r="ER159" s="397"/>
      <c r="ES159" s="397"/>
      <c r="ET159" s="397"/>
      <c r="EU159" s="397"/>
      <c r="EV159" s="397"/>
      <c r="EW159" s="397"/>
      <c r="EX159" s="397"/>
      <c r="EY159" s="397"/>
      <c r="EZ159" s="397"/>
      <c r="FA159" s="397"/>
      <c r="FB159" s="397"/>
      <c r="FC159" s="397"/>
      <c r="FD159" s="397"/>
      <c r="FE159" s="397"/>
      <c r="FF159" s="397"/>
      <c r="FG159" s="397"/>
      <c r="FH159" s="397"/>
      <c r="FI159" s="397"/>
      <c r="FJ159" s="397"/>
      <c r="FK159" s="397"/>
      <c r="FL159" s="397"/>
      <c r="FM159" s="397"/>
      <c r="FN159" s="397"/>
      <c r="FO159" s="397"/>
      <c r="FP159" s="397"/>
      <c r="FQ159" s="397"/>
      <c r="FR159" s="397"/>
      <c r="FS159" s="397"/>
      <c r="FT159" s="397"/>
      <c r="FU159" s="397"/>
      <c r="FV159" s="397"/>
      <c r="FW159" s="397"/>
      <c r="FX159" s="397"/>
      <c r="FY159" s="397"/>
      <c r="FZ159" s="397"/>
      <c r="GA159" s="397"/>
      <c r="GB159" s="397"/>
      <c r="GC159" s="397"/>
      <c r="GD159" s="397"/>
      <c r="GE159" s="397"/>
      <c r="GF159" s="397"/>
      <c r="GG159" s="397"/>
      <c r="GH159" s="397"/>
      <c r="GI159" s="397"/>
      <c r="GJ159" s="397"/>
      <c r="GK159" s="397"/>
      <c r="GL159" s="397"/>
      <c r="GM159" s="397"/>
      <c r="GN159" s="397"/>
      <c r="GO159" s="397"/>
      <c r="GP159" s="397"/>
      <c r="GQ159" s="397"/>
      <c r="GR159" s="397"/>
      <c r="GS159" s="397"/>
      <c r="GT159" s="397"/>
      <c r="GU159" s="397"/>
      <c r="GV159" s="397"/>
      <c r="GW159" s="397"/>
      <c r="GX159" s="397"/>
      <c r="GY159" s="397"/>
      <c r="GZ159" s="397"/>
      <c r="HA159" s="397"/>
      <c r="HB159" s="397"/>
      <c r="HC159" s="397"/>
      <c r="HD159" s="397"/>
      <c r="HE159" s="397"/>
      <c r="HF159" s="397"/>
      <c r="HG159" s="397"/>
      <c r="HH159" s="397"/>
      <c r="HI159" s="397"/>
      <c r="HJ159" s="397"/>
      <c r="HK159" s="397"/>
      <c r="HL159" s="397"/>
      <c r="HM159" s="397"/>
      <c r="HN159" s="397"/>
      <c r="HO159" s="397"/>
      <c r="HP159" s="397"/>
      <c r="HQ159" s="397"/>
      <c r="HR159" s="397"/>
      <c r="HS159" s="397"/>
      <c r="HT159" s="397"/>
      <c r="HU159" s="397"/>
      <c r="HV159" s="397"/>
      <c r="HW159" s="397"/>
      <c r="HX159" s="397"/>
      <c r="HY159" s="397"/>
      <c r="HZ159" s="397"/>
      <c r="IA159" s="397"/>
      <c r="IB159" s="397"/>
      <c r="IC159" s="397"/>
      <c r="ID159" s="397"/>
      <c r="IE159" s="397"/>
      <c r="IF159" s="397"/>
      <c r="IG159" s="397"/>
      <c r="IH159" s="397"/>
      <c r="II159" s="397"/>
      <c r="IJ159" s="397"/>
      <c r="IK159" s="397"/>
      <c r="IL159" s="397"/>
      <c r="IM159" s="397"/>
      <c r="IN159" s="397"/>
      <c r="IO159" s="397"/>
      <c r="IP159" s="397"/>
      <c r="IQ159" s="397"/>
      <c r="IR159" s="397"/>
    </row>
    <row r="160" spans="2:252" s="183" customFormat="1" ht="25.15" customHeight="1" x14ac:dyDescent="0.25">
      <c r="B160" s="85">
        <v>41426</v>
      </c>
      <c r="C160" s="184">
        <v>555002.57025999995</v>
      </c>
      <c r="D160" s="184">
        <f>NetWorth[[#This Row],[Worth]]-C161</f>
        <v>-811.90932000009343</v>
      </c>
      <c r="E160" s="1"/>
      <c r="V160" s="397"/>
      <c r="W160" s="397"/>
      <c r="X160" s="397"/>
      <c r="Y160" s="397"/>
      <c r="Z160" s="397"/>
      <c r="AA160" s="397"/>
      <c r="AB160" s="397"/>
      <c r="AC160" s="397"/>
      <c r="AD160" s="397"/>
      <c r="AE160" s="397"/>
      <c r="AF160" s="397"/>
      <c r="AG160" s="397"/>
      <c r="AH160" s="397"/>
      <c r="AI160" s="397"/>
      <c r="AJ160" s="397"/>
      <c r="AK160" s="397"/>
      <c r="AL160" s="397"/>
      <c r="AM160" s="397"/>
      <c r="AN160" s="397"/>
      <c r="AO160" s="397"/>
      <c r="AP160" s="397"/>
      <c r="AQ160" s="397"/>
      <c r="AR160" s="397"/>
      <c r="AS160" s="397"/>
      <c r="AT160" s="397"/>
      <c r="AU160" s="397"/>
      <c r="AV160" s="397"/>
      <c r="AW160" s="397"/>
      <c r="AX160" s="397"/>
      <c r="AY160" s="397"/>
      <c r="AZ160" s="397"/>
      <c r="BA160" s="397"/>
      <c r="BB160" s="397"/>
      <c r="BC160" s="397"/>
      <c r="BD160" s="397"/>
      <c r="BE160" s="397"/>
      <c r="BF160" s="397"/>
      <c r="BG160" s="397"/>
      <c r="BH160" s="397"/>
      <c r="BI160" s="397"/>
      <c r="BJ160" s="397"/>
      <c r="BK160" s="397"/>
      <c r="BL160" s="397"/>
      <c r="BM160" s="397"/>
      <c r="BN160" s="397"/>
      <c r="BO160" s="397"/>
      <c r="BP160" s="397"/>
      <c r="BQ160" s="397"/>
      <c r="BR160" s="397"/>
      <c r="BS160" s="397"/>
      <c r="BT160" s="397"/>
      <c r="BU160" s="397"/>
      <c r="BV160" s="397"/>
      <c r="BW160" s="397"/>
      <c r="BX160" s="397"/>
      <c r="BY160" s="397"/>
      <c r="BZ160" s="397"/>
      <c r="CA160" s="397"/>
      <c r="CB160" s="397"/>
      <c r="CC160" s="397"/>
      <c r="CD160" s="397"/>
      <c r="CE160" s="397"/>
      <c r="CF160" s="397"/>
      <c r="CG160" s="397"/>
      <c r="CH160" s="397"/>
      <c r="CI160" s="397"/>
      <c r="CJ160" s="397"/>
      <c r="CK160" s="397"/>
      <c r="CL160" s="397"/>
      <c r="CM160" s="397"/>
      <c r="CN160" s="397"/>
      <c r="CO160" s="397"/>
      <c r="CP160" s="397"/>
      <c r="CQ160" s="397"/>
      <c r="CR160" s="397"/>
      <c r="CS160" s="397"/>
      <c r="CT160" s="397"/>
      <c r="CU160" s="397"/>
      <c r="CV160" s="397"/>
      <c r="CW160" s="397"/>
      <c r="CX160" s="397"/>
      <c r="CY160" s="397"/>
      <c r="CZ160" s="397"/>
      <c r="DA160" s="397"/>
      <c r="DB160" s="397"/>
      <c r="DC160" s="397"/>
      <c r="DD160" s="397"/>
      <c r="DE160" s="397"/>
      <c r="DF160" s="397"/>
      <c r="DG160" s="397"/>
      <c r="DH160" s="397"/>
      <c r="DI160" s="397"/>
      <c r="DJ160" s="397"/>
      <c r="DK160" s="397"/>
      <c r="DL160" s="397"/>
      <c r="DM160" s="397"/>
      <c r="DN160" s="397"/>
      <c r="DO160" s="397"/>
      <c r="DP160" s="397"/>
      <c r="DQ160" s="397"/>
      <c r="DR160" s="397"/>
      <c r="DS160" s="397"/>
      <c r="DT160" s="397"/>
      <c r="DU160" s="397"/>
      <c r="DV160" s="397"/>
      <c r="DW160" s="397"/>
      <c r="DX160" s="397"/>
      <c r="DY160" s="397"/>
      <c r="DZ160" s="397"/>
      <c r="EA160" s="397"/>
      <c r="EB160" s="397"/>
      <c r="EC160" s="397"/>
      <c r="ED160" s="397"/>
      <c r="EE160" s="397"/>
      <c r="EF160" s="397"/>
      <c r="EG160" s="397"/>
      <c r="EH160" s="397"/>
      <c r="EI160" s="397"/>
      <c r="EJ160" s="397"/>
      <c r="EK160" s="397"/>
      <c r="EL160" s="397"/>
      <c r="EM160" s="397"/>
      <c r="EN160" s="397"/>
      <c r="EO160" s="397"/>
      <c r="EP160" s="397"/>
      <c r="EQ160" s="397"/>
      <c r="ER160" s="397"/>
      <c r="ES160" s="397"/>
      <c r="ET160" s="397"/>
      <c r="EU160" s="397"/>
      <c r="EV160" s="397"/>
      <c r="EW160" s="397"/>
      <c r="EX160" s="397"/>
      <c r="EY160" s="397"/>
      <c r="EZ160" s="397"/>
      <c r="FA160" s="397"/>
      <c r="FB160" s="397"/>
      <c r="FC160" s="397"/>
      <c r="FD160" s="397"/>
      <c r="FE160" s="397"/>
      <c r="FF160" s="397"/>
      <c r="FG160" s="397"/>
      <c r="FH160" s="397"/>
      <c r="FI160" s="397"/>
      <c r="FJ160" s="397"/>
      <c r="FK160" s="397"/>
      <c r="FL160" s="397"/>
      <c r="FM160" s="397"/>
      <c r="FN160" s="397"/>
      <c r="FO160" s="397"/>
      <c r="FP160" s="397"/>
      <c r="FQ160" s="397"/>
      <c r="FR160" s="397"/>
      <c r="FS160" s="397"/>
      <c r="FT160" s="397"/>
      <c r="FU160" s="397"/>
      <c r="FV160" s="397"/>
      <c r="FW160" s="397"/>
      <c r="FX160" s="397"/>
      <c r="FY160" s="397"/>
      <c r="FZ160" s="397"/>
      <c r="GA160" s="397"/>
      <c r="GB160" s="397"/>
      <c r="GC160" s="397"/>
      <c r="GD160" s="397"/>
      <c r="GE160" s="397"/>
      <c r="GF160" s="397"/>
      <c r="GG160" s="397"/>
      <c r="GH160" s="397"/>
      <c r="GI160" s="397"/>
      <c r="GJ160" s="397"/>
      <c r="GK160" s="397"/>
      <c r="GL160" s="397"/>
      <c r="GM160" s="397"/>
      <c r="GN160" s="397"/>
      <c r="GO160" s="397"/>
      <c r="GP160" s="397"/>
      <c r="GQ160" s="397"/>
      <c r="GR160" s="397"/>
      <c r="GS160" s="397"/>
      <c r="GT160" s="397"/>
      <c r="GU160" s="397"/>
      <c r="GV160" s="397"/>
      <c r="GW160" s="397"/>
      <c r="GX160" s="397"/>
      <c r="GY160" s="397"/>
      <c r="GZ160" s="397"/>
      <c r="HA160" s="397"/>
      <c r="HB160" s="397"/>
      <c r="HC160" s="397"/>
      <c r="HD160" s="397"/>
      <c r="HE160" s="397"/>
      <c r="HF160" s="397"/>
      <c r="HG160" s="397"/>
      <c r="HH160" s="397"/>
      <c r="HI160" s="397"/>
      <c r="HJ160" s="397"/>
      <c r="HK160" s="397"/>
      <c r="HL160" s="397"/>
      <c r="HM160" s="397"/>
      <c r="HN160" s="397"/>
      <c r="HO160" s="397"/>
      <c r="HP160" s="397"/>
      <c r="HQ160" s="397"/>
      <c r="HR160" s="397"/>
      <c r="HS160" s="397"/>
      <c r="HT160" s="397"/>
      <c r="HU160" s="397"/>
      <c r="HV160" s="397"/>
      <c r="HW160" s="397"/>
      <c r="HX160" s="397"/>
      <c r="HY160" s="397"/>
      <c r="HZ160" s="397"/>
      <c r="IA160" s="397"/>
      <c r="IB160" s="397"/>
      <c r="IC160" s="397"/>
      <c r="ID160" s="397"/>
      <c r="IE160" s="397"/>
      <c r="IF160" s="397"/>
      <c r="IG160" s="397"/>
      <c r="IH160" s="397"/>
      <c r="II160" s="397"/>
      <c r="IJ160" s="397"/>
      <c r="IK160" s="397"/>
      <c r="IL160" s="397"/>
      <c r="IM160" s="397"/>
      <c r="IN160" s="397"/>
      <c r="IO160" s="397"/>
      <c r="IP160" s="397"/>
      <c r="IQ160" s="397"/>
      <c r="IR160" s="397"/>
    </row>
    <row r="161" spans="2:252" s="183" customFormat="1" ht="25.15" customHeight="1" x14ac:dyDescent="0.25">
      <c r="B161" s="85">
        <v>41395</v>
      </c>
      <c r="C161" s="184">
        <v>555814.47958000004</v>
      </c>
      <c r="D161" s="184">
        <f>NetWorth[[#This Row],[Worth]]-C162</f>
        <v>5353.1620300000068</v>
      </c>
      <c r="E161" s="1"/>
      <c r="V161" s="397"/>
      <c r="W161" s="397"/>
      <c r="X161" s="397"/>
      <c r="Y161" s="397"/>
      <c r="Z161" s="397"/>
      <c r="AA161" s="397"/>
      <c r="AB161" s="397"/>
      <c r="AC161" s="397"/>
      <c r="AD161" s="397"/>
      <c r="AE161" s="397"/>
      <c r="AF161" s="397"/>
      <c r="AG161" s="397"/>
      <c r="AH161" s="397"/>
      <c r="AI161" s="397"/>
      <c r="AJ161" s="397"/>
      <c r="AK161" s="397"/>
      <c r="AL161" s="397"/>
      <c r="AM161" s="397"/>
      <c r="AN161" s="397"/>
      <c r="AO161" s="397"/>
      <c r="AP161" s="397"/>
      <c r="AQ161" s="397"/>
      <c r="AR161" s="397"/>
      <c r="AS161" s="397"/>
      <c r="AT161" s="397"/>
      <c r="AU161" s="397"/>
      <c r="AV161" s="397"/>
      <c r="AW161" s="397"/>
      <c r="AX161" s="397"/>
      <c r="AY161" s="397"/>
      <c r="AZ161" s="397"/>
      <c r="BA161" s="397"/>
      <c r="BB161" s="397"/>
      <c r="BC161" s="397"/>
      <c r="BD161" s="397"/>
      <c r="BE161" s="397"/>
      <c r="BF161" s="397"/>
      <c r="BG161" s="397"/>
      <c r="BH161" s="397"/>
      <c r="BI161" s="397"/>
      <c r="BJ161" s="397"/>
      <c r="BK161" s="397"/>
      <c r="BL161" s="397"/>
      <c r="BM161" s="397"/>
      <c r="BN161" s="397"/>
      <c r="BO161" s="397"/>
      <c r="BP161" s="397"/>
      <c r="BQ161" s="397"/>
      <c r="BR161" s="397"/>
      <c r="BS161" s="397"/>
      <c r="BT161" s="397"/>
      <c r="BU161" s="397"/>
      <c r="BV161" s="397"/>
      <c r="BW161" s="397"/>
      <c r="BX161" s="397"/>
      <c r="BY161" s="397"/>
      <c r="BZ161" s="397"/>
      <c r="CA161" s="397"/>
      <c r="CB161" s="397"/>
      <c r="CC161" s="397"/>
      <c r="CD161" s="397"/>
      <c r="CE161" s="397"/>
      <c r="CF161" s="397"/>
      <c r="CG161" s="397"/>
      <c r="CH161" s="397"/>
      <c r="CI161" s="397"/>
      <c r="CJ161" s="397"/>
      <c r="CK161" s="397"/>
      <c r="CL161" s="397"/>
      <c r="CM161" s="397"/>
      <c r="CN161" s="397"/>
      <c r="CO161" s="397"/>
      <c r="CP161" s="397"/>
      <c r="CQ161" s="397"/>
      <c r="CR161" s="397"/>
      <c r="CS161" s="397"/>
      <c r="CT161" s="397"/>
      <c r="CU161" s="397"/>
      <c r="CV161" s="397"/>
      <c r="CW161" s="397"/>
      <c r="CX161" s="397"/>
      <c r="CY161" s="397"/>
      <c r="CZ161" s="397"/>
      <c r="DA161" s="397"/>
      <c r="DB161" s="397"/>
      <c r="DC161" s="397"/>
      <c r="DD161" s="397"/>
      <c r="DE161" s="397"/>
      <c r="DF161" s="397"/>
      <c r="DG161" s="397"/>
      <c r="DH161" s="397"/>
      <c r="DI161" s="397"/>
      <c r="DJ161" s="397"/>
      <c r="DK161" s="397"/>
      <c r="DL161" s="397"/>
      <c r="DM161" s="397"/>
      <c r="DN161" s="397"/>
      <c r="DO161" s="397"/>
      <c r="DP161" s="397"/>
      <c r="DQ161" s="397"/>
      <c r="DR161" s="397"/>
      <c r="DS161" s="397"/>
      <c r="DT161" s="397"/>
      <c r="DU161" s="397"/>
      <c r="DV161" s="397"/>
      <c r="DW161" s="397"/>
      <c r="DX161" s="397"/>
      <c r="DY161" s="397"/>
      <c r="DZ161" s="397"/>
      <c r="EA161" s="397"/>
      <c r="EB161" s="397"/>
      <c r="EC161" s="397"/>
      <c r="ED161" s="397"/>
      <c r="EE161" s="397"/>
      <c r="EF161" s="397"/>
      <c r="EG161" s="397"/>
      <c r="EH161" s="397"/>
      <c r="EI161" s="397"/>
      <c r="EJ161" s="397"/>
      <c r="EK161" s="397"/>
      <c r="EL161" s="397"/>
      <c r="EM161" s="397"/>
      <c r="EN161" s="397"/>
      <c r="EO161" s="397"/>
      <c r="EP161" s="397"/>
      <c r="EQ161" s="397"/>
      <c r="ER161" s="397"/>
      <c r="ES161" s="397"/>
      <c r="ET161" s="397"/>
      <c r="EU161" s="397"/>
      <c r="EV161" s="397"/>
      <c r="EW161" s="397"/>
      <c r="EX161" s="397"/>
      <c r="EY161" s="397"/>
      <c r="EZ161" s="397"/>
      <c r="FA161" s="397"/>
      <c r="FB161" s="397"/>
      <c r="FC161" s="397"/>
      <c r="FD161" s="397"/>
      <c r="FE161" s="397"/>
      <c r="FF161" s="397"/>
      <c r="FG161" s="397"/>
      <c r="FH161" s="397"/>
      <c r="FI161" s="397"/>
      <c r="FJ161" s="397"/>
      <c r="FK161" s="397"/>
      <c r="FL161" s="397"/>
      <c r="FM161" s="397"/>
      <c r="FN161" s="397"/>
      <c r="FO161" s="397"/>
      <c r="FP161" s="397"/>
      <c r="FQ161" s="397"/>
      <c r="FR161" s="397"/>
      <c r="FS161" s="397"/>
      <c r="FT161" s="397"/>
      <c r="FU161" s="397"/>
      <c r="FV161" s="397"/>
      <c r="FW161" s="397"/>
      <c r="FX161" s="397"/>
      <c r="FY161" s="397"/>
      <c r="FZ161" s="397"/>
      <c r="GA161" s="397"/>
      <c r="GB161" s="397"/>
      <c r="GC161" s="397"/>
      <c r="GD161" s="397"/>
      <c r="GE161" s="397"/>
      <c r="GF161" s="397"/>
      <c r="GG161" s="397"/>
      <c r="GH161" s="397"/>
      <c r="GI161" s="397"/>
      <c r="GJ161" s="397"/>
      <c r="GK161" s="397"/>
      <c r="GL161" s="397"/>
      <c r="GM161" s="397"/>
      <c r="GN161" s="397"/>
      <c r="GO161" s="397"/>
      <c r="GP161" s="397"/>
      <c r="GQ161" s="397"/>
      <c r="GR161" s="397"/>
      <c r="GS161" s="397"/>
      <c r="GT161" s="397"/>
      <c r="GU161" s="397"/>
      <c r="GV161" s="397"/>
      <c r="GW161" s="397"/>
      <c r="GX161" s="397"/>
      <c r="GY161" s="397"/>
      <c r="GZ161" s="397"/>
      <c r="HA161" s="397"/>
      <c r="HB161" s="397"/>
      <c r="HC161" s="397"/>
      <c r="HD161" s="397"/>
      <c r="HE161" s="397"/>
      <c r="HF161" s="397"/>
      <c r="HG161" s="397"/>
      <c r="HH161" s="397"/>
      <c r="HI161" s="397"/>
      <c r="HJ161" s="397"/>
      <c r="HK161" s="397"/>
      <c r="HL161" s="397"/>
      <c r="HM161" s="397"/>
      <c r="HN161" s="397"/>
      <c r="HO161" s="397"/>
      <c r="HP161" s="397"/>
      <c r="HQ161" s="397"/>
      <c r="HR161" s="397"/>
      <c r="HS161" s="397"/>
      <c r="HT161" s="397"/>
      <c r="HU161" s="397"/>
      <c r="HV161" s="397"/>
      <c r="HW161" s="397"/>
      <c r="HX161" s="397"/>
      <c r="HY161" s="397"/>
      <c r="HZ161" s="397"/>
      <c r="IA161" s="397"/>
      <c r="IB161" s="397"/>
      <c r="IC161" s="397"/>
      <c r="ID161" s="397"/>
      <c r="IE161" s="397"/>
      <c r="IF161" s="397"/>
      <c r="IG161" s="397"/>
      <c r="IH161" s="397"/>
      <c r="II161" s="397"/>
      <c r="IJ161" s="397"/>
      <c r="IK161" s="397"/>
      <c r="IL161" s="397"/>
      <c r="IM161" s="397"/>
      <c r="IN161" s="397"/>
      <c r="IO161" s="397"/>
      <c r="IP161" s="397"/>
      <c r="IQ161" s="397"/>
      <c r="IR161" s="397"/>
    </row>
    <row r="162" spans="2:252" s="183" customFormat="1" ht="25.15" customHeight="1" x14ac:dyDescent="0.25">
      <c r="B162" s="85">
        <v>41365</v>
      </c>
      <c r="C162" s="184">
        <v>550461.31755000004</v>
      </c>
      <c r="D162" s="184">
        <f>NetWorth[[#This Row],[Worth]]-C163</f>
        <v>4421.2441000000108</v>
      </c>
      <c r="E162" s="1"/>
      <c r="V162" s="397"/>
      <c r="W162" s="397"/>
      <c r="X162" s="397"/>
      <c r="Y162" s="397"/>
      <c r="Z162" s="397"/>
      <c r="AA162" s="397"/>
      <c r="AB162" s="397"/>
      <c r="AC162" s="397"/>
      <c r="AD162" s="397"/>
      <c r="AE162" s="397"/>
      <c r="AF162" s="397"/>
      <c r="AG162" s="397"/>
      <c r="AH162" s="397"/>
      <c r="AI162" s="397"/>
      <c r="AJ162" s="397"/>
      <c r="AK162" s="397"/>
      <c r="AL162" s="397"/>
      <c r="AM162" s="397"/>
      <c r="AN162" s="397"/>
      <c r="AO162" s="397"/>
      <c r="AP162" s="397"/>
      <c r="AQ162" s="397"/>
      <c r="AR162" s="397"/>
      <c r="AS162" s="397"/>
      <c r="AT162" s="397"/>
      <c r="AU162" s="397"/>
      <c r="AV162" s="397"/>
      <c r="AW162" s="397"/>
      <c r="AX162" s="397"/>
      <c r="AY162" s="397"/>
      <c r="AZ162" s="397"/>
      <c r="BA162" s="397"/>
      <c r="BB162" s="397"/>
      <c r="BC162" s="397"/>
      <c r="BD162" s="397"/>
      <c r="BE162" s="397"/>
      <c r="BF162" s="397"/>
      <c r="BG162" s="397"/>
      <c r="BH162" s="397"/>
      <c r="BI162" s="397"/>
      <c r="BJ162" s="397"/>
      <c r="BK162" s="397"/>
      <c r="BL162" s="397"/>
      <c r="BM162" s="397"/>
      <c r="BN162" s="397"/>
      <c r="BO162" s="397"/>
      <c r="BP162" s="397"/>
      <c r="BQ162" s="397"/>
      <c r="BR162" s="397"/>
      <c r="BS162" s="397"/>
      <c r="BT162" s="397"/>
      <c r="BU162" s="397"/>
      <c r="BV162" s="397"/>
      <c r="BW162" s="397"/>
      <c r="BX162" s="397"/>
      <c r="BY162" s="397"/>
      <c r="BZ162" s="397"/>
      <c r="CA162" s="397"/>
      <c r="CB162" s="397"/>
      <c r="CC162" s="397"/>
      <c r="CD162" s="397"/>
      <c r="CE162" s="397"/>
      <c r="CF162" s="397"/>
      <c r="CG162" s="397"/>
      <c r="CH162" s="397"/>
      <c r="CI162" s="397"/>
      <c r="CJ162" s="397"/>
      <c r="CK162" s="397"/>
      <c r="CL162" s="397"/>
      <c r="CM162" s="397"/>
      <c r="CN162" s="397"/>
      <c r="CO162" s="397"/>
      <c r="CP162" s="397"/>
      <c r="CQ162" s="397"/>
      <c r="CR162" s="397"/>
      <c r="CS162" s="397"/>
      <c r="CT162" s="397"/>
      <c r="CU162" s="397"/>
      <c r="CV162" s="397"/>
      <c r="CW162" s="397"/>
      <c r="CX162" s="397"/>
      <c r="CY162" s="397"/>
      <c r="CZ162" s="397"/>
      <c r="DA162" s="397"/>
      <c r="DB162" s="397"/>
      <c r="DC162" s="397"/>
      <c r="DD162" s="397"/>
      <c r="DE162" s="397"/>
      <c r="DF162" s="397"/>
      <c r="DG162" s="397"/>
      <c r="DH162" s="397"/>
      <c r="DI162" s="397"/>
      <c r="DJ162" s="397"/>
      <c r="DK162" s="397"/>
      <c r="DL162" s="397"/>
      <c r="DM162" s="397"/>
      <c r="DN162" s="397"/>
      <c r="DO162" s="397"/>
      <c r="DP162" s="397"/>
      <c r="DQ162" s="397"/>
      <c r="DR162" s="397"/>
      <c r="DS162" s="397"/>
      <c r="DT162" s="397"/>
      <c r="DU162" s="397"/>
      <c r="DV162" s="397"/>
      <c r="DW162" s="397"/>
      <c r="DX162" s="397"/>
      <c r="DY162" s="397"/>
      <c r="DZ162" s="397"/>
      <c r="EA162" s="397"/>
      <c r="EB162" s="397"/>
      <c r="EC162" s="397"/>
      <c r="ED162" s="397"/>
      <c r="EE162" s="397"/>
      <c r="EF162" s="397"/>
      <c r="EG162" s="397"/>
      <c r="EH162" s="397"/>
      <c r="EI162" s="397"/>
      <c r="EJ162" s="397"/>
      <c r="EK162" s="397"/>
      <c r="EL162" s="397"/>
      <c r="EM162" s="397"/>
      <c r="EN162" s="397"/>
      <c r="EO162" s="397"/>
      <c r="EP162" s="397"/>
      <c r="EQ162" s="397"/>
      <c r="ER162" s="397"/>
      <c r="ES162" s="397"/>
      <c r="ET162" s="397"/>
      <c r="EU162" s="397"/>
      <c r="EV162" s="397"/>
      <c r="EW162" s="397"/>
      <c r="EX162" s="397"/>
      <c r="EY162" s="397"/>
      <c r="EZ162" s="397"/>
      <c r="FA162" s="397"/>
      <c r="FB162" s="397"/>
      <c r="FC162" s="397"/>
      <c r="FD162" s="397"/>
      <c r="FE162" s="397"/>
      <c r="FF162" s="397"/>
      <c r="FG162" s="397"/>
      <c r="FH162" s="397"/>
      <c r="FI162" s="397"/>
      <c r="FJ162" s="397"/>
      <c r="FK162" s="397"/>
      <c r="FL162" s="397"/>
      <c r="FM162" s="397"/>
      <c r="FN162" s="397"/>
      <c r="FO162" s="397"/>
      <c r="FP162" s="397"/>
      <c r="FQ162" s="397"/>
      <c r="FR162" s="397"/>
      <c r="FS162" s="397"/>
      <c r="FT162" s="397"/>
      <c r="FU162" s="397"/>
      <c r="FV162" s="397"/>
      <c r="FW162" s="397"/>
      <c r="FX162" s="397"/>
      <c r="FY162" s="397"/>
      <c r="FZ162" s="397"/>
      <c r="GA162" s="397"/>
      <c r="GB162" s="397"/>
      <c r="GC162" s="397"/>
      <c r="GD162" s="397"/>
      <c r="GE162" s="397"/>
      <c r="GF162" s="397"/>
      <c r="GG162" s="397"/>
      <c r="GH162" s="397"/>
      <c r="GI162" s="397"/>
      <c r="GJ162" s="397"/>
      <c r="GK162" s="397"/>
      <c r="GL162" s="397"/>
      <c r="GM162" s="397"/>
      <c r="GN162" s="397"/>
      <c r="GO162" s="397"/>
      <c r="GP162" s="397"/>
      <c r="GQ162" s="397"/>
      <c r="GR162" s="397"/>
      <c r="GS162" s="397"/>
      <c r="GT162" s="397"/>
      <c r="GU162" s="397"/>
      <c r="GV162" s="397"/>
      <c r="GW162" s="397"/>
      <c r="GX162" s="397"/>
      <c r="GY162" s="397"/>
      <c r="GZ162" s="397"/>
      <c r="HA162" s="397"/>
      <c r="HB162" s="397"/>
      <c r="HC162" s="397"/>
      <c r="HD162" s="397"/>
      <c r="HE162" s="397"/>
      <c r="HF162" s="397"/>
      <c r="HG162" s="397"/>
      <c r="HH162" s="397"/>
      <c r="HI162" s="397"/>
      <c r="HJ162" s="397"/>
      <c r="HK162" s="397"/>
      <c r="HL162" s="397"/>
      <c r="HM162" s="397"/>
      <c r="HN162" s="397"/>
      <c r="HO162" s="397"/>
      <c r="HP162" s="397"/>
      <c r="HQ162" s="397"/>
      <c r="HR162" s="397"/>
      <c r="HS162" s="397"/>
      <c r="HT162" s="397"/>
      <c r="HU162" s="397"/>
      <c r="HV162" s="397"/>
      <c r="HW162" s="397"/>
      <c r="HX162" s="397"/>
      <c r="HY162" s="397"/>
      <c r="HZ162" s="397"/>
      <c r="IA162" s="397"/>
      <c r="IB162" s="397"/>
      <c r="IC162" s="397"/>
      <c r="ID162" s="397"/>
      <c r="IE162" s="397"/>
      <c r="IF162" s="397"/>
      <c r="IG162" s="397"/>
      <c r="IH162" s="397"/>
      <c r="II162" s="397"/>
      <c r="IJ162" s="397"/>
      <c r="IK162" s="397"/>
      <c r="IL162" s="397"/>
      <c r="IM162" s="397"/>
      <c r="IN162" s="397"/>
      <c r="IO162" s="397"/>
      <c r="IP162" s="397"/>
      <c r="IQ162" s="397"/>
      <c r="IR162" s="397"/>
    </row>
    <row r="163" spans="2:252" s="183" customFormat="1" ht="25.15" customHeight="1" x14ac:dyDescent="0.25">
      <c r="B163" s="85">
        <v>41334</v>
      </c>
      <c r="C163" s="184">
        <v>546040.07345000003</v>
      </c>
      <c r="D163" s="184">
        <f>NetWorth[[#This Row],[Worth]]-C164</f>
        <v>4946.2478000000119</v>
      </c>
      <c r="E163" s="1"/>
      <c r="V163" s="397"/>
      <c r="W163" s="397"/>
      <c r="X163" s="397"/>
      <c r="Y163" s="397"/>
      <c r="Z163" s="397"/>
      <c r="AA163" s="397"/>
      <c r="AB163" s="397"/>
      <c r="AC163" s="397"/>
      <c r="AD163" s="397"/>
      <c r="AE163" s="397"/>
      <c r="AF163" s="397"/>
      <c r="AG163" s="397"/>
      <c r="AH163" s="397"/>
      <c r="AI163" s="397"/>
      <c r="AJ163" s="397"/>
      <c r="AK163" s="397"/>
      <c r="AL163" s="397"/>
      <c r="AM163" s="397"/>
      <c r="AN163" s="397"/>
      <c r="AO163" s="397"/>
      <c r="AP163" s="397"/>
      <c r="AQ163" s="397"/>
      <c r="AR163" s="397"/>
      <c r="AS163" s="397"/>
      <c r="AT163" s="397"/>
      <c r="AU163" s="397"/>
      <c r="AV163" s="397"/>
      <c r="AW163" s="397"/>
      <c r="AX163" s="397"/>
      <c r="AY163" s="397"/>
      <c r="AZ163" s="397"/>
      <c r="BA163" s="397"/>
      <c r="BB163" s="397"/>
      <c r="BC163" s="397"/>
      <c r="BD163" s="397"/>
      <c r="BE163" s="397"/>
      <c r="BF163" s="397"/>
      <c r="BG163" s="397"/>
      <c r="BH163" s="397"/>
      <c r="BI163" s="397"/>
      <c r="BJ163" s="397"/>
      <c r="BK163" s="397"/>
      <c r="BL163" s="397"/>
      <c r="BM163" s="397"/>
      <c r="BN163" s="397"/>
      <c r="BO163" s="397"/>
      <c r="BP163" s="397"/>
      <c r="BQ163" s="397"/>
      <c r="BR163" s="397"/>
      <c r="BS163" s="397"/>
      <c r="BT163" s="397"/>
      <c r="BU163" s="397"/>
      <c r="BV163" s="397"/>
      <c r="BW163" s="397"/>
      <c r="BX163" s="397"/>
      <c r="BY163" s="397"/>
      <c r="BZ163" s="397"/>
      <c r="CA163" s="397"/>
      <c r="CB163" s="397"/>
      <c r="CC163" s="397"/>
      <c r="CD163" s="397"/>
      <c r="CE163" s="397"/>
      <c r="CF163" s="397"/>
      <c r="CG163" s="397"/>
      <c r="CH163" s="397"/>
      <c r="CI163" s="397"/>
      <c r="CJ163" s="397"/>
      <c r="CK163" s="397"/>
      <c r="CL163" s="397"/>
      <c r="CM163" s="397"/>
      <c r="CN163" s="397"/>
      <c r="CO163" s="397"/>
      <c r="CP163" s="397"/>
      <c r="CQ163" s="397"/>
      <c r="CR163" s="397"/>
      <c r="CS163" s="397"/>
      <c r="CT163" s="397"/>
      <c r="CU163" s="397"/>
      <c r="CV163" s="397"/>
      <c r="CW163" s="397"/>
      <c r="CX163" s="397"/>
      <c r="CY163" s="397"/>
      <c r="CZ163" s="397"/>
      <c r="DA163" s="397"/>
      <c r="DB163" s="397"/>
      <c r="DC163" s="397"/>
      <c r="DD163" s="397"/>
      <c r="DE163" s="397"/>
      <c r="DF163" s="397"/>
      <c r="DG163" s="397"/>
      <c r="DH163" s="397"/>
      <c r="DI163" s="397"/>
      <c r="DJ163" s="397"/>
      <c r="DK163" s="397"/>
      <c r="DL163" s="397"/>
      <c r="DM163" s="397"/>
      <c r="DN163" s="397"/>
      <c r="DO163" s="397"/>
      <c r="DP163" s="397"/>
      <c r="DQ163" s="397"/>
      <c r="DR163" s="397"/>
      <c r="DS163" s="397"/>
      <c r="DT163" s="397"/>
      <c r="DU163" s="397"/>
      <c r="DV163" s="397"/>
      <c r="DW163" s="397"/>
      <c r="DX163" s="397"/>
      <c r="DY163" s="397"/>
      <c r="DZ163" s="397"/>
      <c r="EA163" s="397"/>
      <c r="EB163" s="397"/>
      <c r="EC163" s="397"/>
      <c r="ED163" s="397"/>
      <c r="EE163" s="397"/>
      <c r="EF163" s="397"/>
      <c r="EG163" s="397"/>
      <c r="EH163" s="397"/>
      <c r="EI163" s="397"/>
      <c r="EJ163" s="397"/>
      <c r="EK163" s="397"/>
      <c r="EL163" s="397"/>
      <c r="EM163" s="397"/>
      <c r="EN163" s="397"/>
      <c r="EO163" s="397"/>
      <c r="EP163" s="397"/>
      <c r="EQ163" s="397"/>
      <c r="ER163" s="397"/>
      <c r="ES163" s="397"/>
      <c r="ET163" s="397"/>
      <c r="EU163" s="397"/>
      <c r="EV163" s="397"/>
      <c r="EW163" s="397"/>
      <c r="EX163" s="397"/>
      <c r="EY163" s="397"/>
      <c r="EZ163" s="397"/>
      <c r="FA163" s="397"/>
      <c r="FB163" s="397"/>
      <c r="FC163" s="397"/>
      <c r="FD163" s="397"/>
      <c r="FE163" s="397"/>
      <c r="FF163" s="397"/>
      <c r="FG163" s="397"/>
      <c r="FH163" s="397"/>
      <c r="FI163" s="397"/>
      <c r="FJ163" s="397"/>
      <c r="FK163" s="397"/>
      <c r="FL163" s="397"/>
      <c r="FM163" s="397"/>
      <c r="FN163" s="397"/>
      <c r="FO163" s="397"/>
      <c r="FP163" s="397"/>
      <c r="FQ163" s="397"/>
      <c r="FR163" s="397"/>
      <c r="FS163" s="397"/>
      <c r="FT163" s="397"/>
      <c r="FU163" s="397"/>
      <c r="FV163" s="397"/>
      <c r="FW163" s="397"/>
      <c r="FX163" s="397"/>
      <c r="FY163" s="397"/>
      <c r="FZ163" s="397"/>
      <c r="GA163" s="397"/>
      <c r="GB163" s="397"/>
      <c r="GC163" s="397"/>
      <c r="GD163" s="397"/>
      <c r="GE163" s="397"/>
      <c r="GF163" s="397"/>
      <c r="GG163" s="397"/>
      <c r="GH163" s="397"/>
      <c r="GI163" s="397"/>
      <c r="GJ163" s="397"/>
      <c r="GK163" s="397"/>
      <c r="GL163" s="397"/>
      <c r="GM163" s="397"/>
      <c r="GN163" s="397"/>
      <c r="GO163" s="397"/>
      <c r="GP163" s="397"/>
      <c r="GQ163" s="397"/>
      <c r="GR163" s="397"/>
      <c r="GS163" s="397"/>
      <c r="GT163" s="397"/>
      <c r="GU163" s="397"/>
      <c r="GV163" s="397"/>
      <c r="GW163" s="397"/>
      <c r="GX163" s="397"/>
      <c r="GY163" s="397"/>
      <c r="GZ163" s="397"/>
      <c r="HA163" s="397"/>
      <c r="HB163" s="397"/>
      <c r="HC163" s="397"/>
      <c r="HD163" s="397"/>
      <c r="HE163" s="397"/>
      <c r="HF163" s="397"/>
      <c r="HG163" s="397"/>
      <c r="HH163" s="397"/>
      <c r="HI163" s="397"/>
      <c r="HJ163" s="397"/>
      <c r="HK163" s="397"/>
      <c r="HL163" s="397"/>
      <c r="HM163" s="397"/>
      <c r="HN163" s="397"/>
      <c r="HO163" s="397"/>
      <c r="HP163" s="397"/>
      <c r="HQ163" s="397"/>
      <c r="HR163" s="397"/>
      <c r="HS163" s="397"/>
      <c r="HT163" s="397"/>
      <c r="HU163" s="397"/>
      <c r="HV163" s="397"/>
      <c r="HW163" s="397"/>
      <c r="HX163" s="397"/>
      <c r="HY163" s="397"/>
      <c r="HZ163" s="397"/>
      <c r="IA163" s="397"/>
      <c r="IB163" s="397"/>
      <c r="IC163" s="397"/>
      <c r="ID163" s="397"/>
      <c r="IE163" s="397"/>
      <c r="IF163" s="397"/>
      <c r="IG163" s="397"/>
      <c r="IH163" s="397"/>
      <c r="II163" s="397"/>
      <c r="IJ163" s="397"/>
      <c r="IK163" s="397"/>
      <c r="IL163" s="397"/>
      <c r="IM163" s="397"/>
      <c r="IN163" s="397"/>
      <c r="IO163" s="397"/>
      <c r="IP163" s="397"/>
      <c r="IQ163" s="397"/>
      <c r="IR163" s="397"/>
    </row>
    <row r="164" spans="2:252" s="183" customFormat="1" ht="25.15" customHeight="1" x14ac:dyDescent="0.25">
      <c r="B164" s="85">
        <v>41306</v>
      </c>
      <c r="C164" s="184">
        <v>541093.82565000001</v>
      </c>
      <c r="D164" s="184">
        <f>NetWorth[[#This Row],[Worth]]-C165</f>
        <v>2158.6642200000351</v>
      </c>
      <c r="E164" s="1"/>
      <c r="V164" s="397"/>
      <c r="W164" s="397"/>
      <c r="X164" s="397"/>
      <c r="Y164" s="397"/>
      <c r="Z164" s="397"/>
      <c r="AA164" s="397"/>
      <c r="AB164" s="397"/>
      <c r="AC164" s="397"/>
      <c r="AD164" s="397"/>
      <c r="AE164" s="397"/>
      <c r="AF164" s="397"/>
      <c r="AG164" s="397"/>
      <c r="AH164" s="397"/>
      <c r="AI164" s="397"/>
      <c r="AJ164" s="397"/>
      <c r="AK164" s="397"/>
      <c r="AL164" s="397"/>
      <c r="AM164" s="397"/>
      <c r="AN164" s="397"/>
      <c r="AO164" s="397"/>
      <c r="AP164" s="397"/>
      <c r="AQ164" s="397"/>
      <c r="AR164" s="397"/>
      <c r="AS164" s="397"/>
      <c r="AT164" s="397"/>
      <c r="AU164" s="397"/>
      <c r="AV164" s="397"/>
      <c r="AW164" s="397"/>
      <c r="AX164" s="397"/>
      <c r="AY164" s="397"/>
      <c r="AZ164" s="397"/>
      <c r="BA164" s="397"/>
      <c r="BB164" s="397"/>
      <c r="BC164" s="397"/>
      <c r="BD164" s="397"/>
      <c r="BE164" s="397"/>
      <c r="BF164" s="397"/>
      <c r="BG164" s="397"/>
      <c r="BH164" s="397"/>
      <c r="BI164" s="397"/>
      <c r="BJ164" s="397"/>
      <c r="BK164" s="397"/>
      <c r="BL164" s="397"/>
      <c r="BM164" s="397"/>
      <c r="BN164" s="397"/>
      <c r="BO164" s="397"/>
      <c r="BP164" s="397"/>
      <c r="BQ164" s="397"/>
      <c r="BR164" s="397"/>
      <c r="BS164" s="397"/>
      <c r="BT164" s="397"/>
      <c r="BU164" s="397"/>
      <c r="BV164" s="397"/>
      <c r="BW164" s="397"/>
      <c r="BX164" s="397"/>
      <c r="BY164" s="397"/>
      <c r="BZ164" s="397"/>
      <c r="CA164" s="397"/>
      <c r="CB164" s="397"/>
      <c r="CC164" s="397"/>
      <c r="CD164" s="397"/>
      <c r="CE164" s="397"/>
      <c r="CF164" s="397"/>
      <c r="CG164" s="397"/>
      <c r="CH164" s="397"/>
      <c r="CI164" s="397"/>
      <c r="CJ164" s="397"/>
      <c r="CK164" s="397"/>
      <c r="CL164" s="397"/>
      <c r="CM164" s="397"/>
      <c r="CN164" s="397"/>
      <c r="CO164" s="397"/>
      <c r="CP164" s="397"/>
      <c r="CQ164" s="397"/>
      <c r="CR164" s="397"/>
      <c r="CS164" s="397"/>
      <c r="CT164" s="397"/>
      <c r="CU164" s="397"/>
      <c r="CV164" s="397"/>
      <c r="CW164" s="397"/>
      <c r="CX164" s="397"/>
      <c r="CY164" s="397"/>
      <c r="CZ164" s="397"/>
      <c r="DA164" s="397"/>
      <c r="DB164" s="397"/>
      <c r="DC164" s="397"/>
      <c r="DD164" s="397"/>
      <c r="DE164" s="397"/>
      <c r="DF164" s="397"/>
      <c r="DG164" s="397"/>
      <c r="DH164" s="397"/>
      <c r="DI164" s="397"/>
      <c r="DJ164" s="397"/>
      <c r="DK164" s="397"/>
      <c r="DL164" s="397"/>
      <c r="DM164" s="397"/>
      <c r="DN164" s="397"/>
      <c r="DO164" s="397"/>
      <c r="DP164" s="397"/>
      <c r="DQ164" s="397"/>
      <c r="DR164" s="397"/>
      <c r="DS164" s="397"/>
      <c r="DT164" s="397"/>
      <c r="DU164" s="397"/>
      <c r="DV164" s="397"/>
      <c r="DW164" s="397"/>
      <c r="DX164" s="397"/>
      <c r="DY164" s="397"/>
      <c r="DZ164" s="397"/>
      <c r="EA164" s="397"/>
      <c r="EB164" s="397"/>
      <c r="EC164" s="397"/>
      <c r="ED164" s="397"/>
      <c r="EE164" s="397"/>
      <c r="EF164" s="397"/>
      <c r="EG164" s="397"/>
      <c r="EH164" s="397"/>
      <c r="EI164" s="397"/>
      <c r="EJ164" s="397"/>
      <c r="EK164" s="397"/>
      <c r="EL164" s="397"/>
      <c r="EM164" s="397"/>
      <c r="EN164" s="397"/>
      <c r="EO164" s="397"/>
      <c r="EP164" s="397"/>
      <c r="EQ164" s="397"/>
      <c r="ER164" s="397"/>
      <c r="ES164" s="397"/>
      <c r="ET164" s="397"/>
      <c r="EU164" s="397"/>
      <c r="EV164" s="397"/>
      <c r="EW164" s="397"/>
      <c r="EX164" s="397"/>
      <c r="EY164" s="397"/>
      <c r="EZ164" s="397"/>
      <c r="FA164" s="397"/>
      <c r="FB164" s="397"/>
      <c r="FC164" s="397"/>
      <c r="FD164" s="397"/>
      <c r="FE164" s="397"/>
      <c r="FF164" s="397"/>
      <c r="FG164" s="397"/>
      <c r="FH164" s="397"/>
      <c r="FI164" s="397"/>
      <c r="FJ164" s="397"/>
      <c r="FK164" s="397"/>
      <c r="FL164" s="397"/>
      <c r="FM164" s="397"/>
      <c r="FN164" s="397"/>
      <c r="FO164" s="397"/>
      <c r="FP164" s="397"/>
      <c r="FQ164" s="397"/>
      <c r="FR164" s="397"/>
      <c r="FS164" s="397"/>
      <c r="FT164" s="397"/>
      <c r="FU164" s="397"/>
      <c r="FV164" s="397"/>
      <c r="FW164" s="397"/>
      <c r="FX164" s="397"/>
      <c r="FY164" s="397"/>
      <c r="FZ164" s="397"/>
      <c r="GA164" s="397"/>
      <c r="GB164" s="397"/>
      <c r="GC164" s="397"/>
      <c r="GD164" s="397"/>
      <c r="GE164" s="397"/>
      <c r="GF164" s="397"/>
      <c r="GG164" s="397"/>
      <c r="GH164" s="397"/>
      <c r="GI164" s="397"/>
      <c r="GJ164" s="397"/>
      <c r="GK164" s="397"/>
      <c r="GL164" s="397"/>
      <c r="GM164" s="397"/>
      <c r="GN164" s="397"/>
      <c r="GO164" s="397"/>
      <c r="GP164" s="397"/>
      <c r="GQ164" s="397"/>
      <c r="GR164" s="397"/>
      <c r="GS164" s="397"/>
      <c r="GT164" s="397"/>
      <c r="GU164" s="397"/>
      <c r="GV164" s="397"/>
      <c r="GW164" s="397"/>
      <c r="GX164" s="397"/>
      <c r="GY164" s="397"/>
      <c r="GZ164" s="397"/>
      <c r="HA164" s="397"/>
      <c r="HB164" s="397"/>
      <c r="HC164" s="397"/>
      <c r="HD164" s="397"/>
      <c r="HE164" s="397"/>
      <c r="HF164" s="397"/>
      <c r="HG164" s="397"/>
      <c r="HH164" s="397"/>
      <c r="HI164" s="397"/>
      <c r="HJ164" s="397"/>
      <c r="HK164" s="397"/>
      <c r="HL164" s="397"/>
      <c r="HM164" s="397"/>
      <c r="HN164" s="397"/>
      <c r="HO164" s="397"/>
      <c r="HP164" s="397"/>
      <c r="HQ164" s="397"/>
      <c r="HR164" s="397"/>
      <c r="HS164" s="397"/>
      <c r="HT164" s="397"/>
      <c r="HU164" s="397"/>
      <c r="HV164" s="397"/>
      <c r="HW164" s="397"/>
      <c r="HX164" s="397"/>
      <c r="HY164" s="397"/>
      <c r="HZ164" s="397"/>
      <c r="IA164" s="397"/>
      <c r="IB164" s="397"/>
      <c r="IC164" s="397"/>
      <c r="ID164" s="397"/>
      <c r="IE164" s="397"/>
      <c r="IF164" s="397"/>
      <c r="IG164" s="397"/>
      <c r="IH164" s="397"/>
      <c r="II164" s="397"/>
      <c r="IJ164" s="397"/>
      <c r="IK164" s="397"/>
      <c r="IL164" s="397"/>
      <c r="IM164" s="397"/>
      <c r="IN164" s="397"/>
      <c r="IO164" s="397"/>
      <c r="IP164" s="397"/>
      <c r="IQ164" s="397"/>
      <c r="IR164" s="397"/>
    </row>
    <row r="165" spans="2:252" s="183" customFormat="1" ht="25.15" customHeight="1" x14ac:dyDescent="0.25">
      <c r="B165" s="85">
        <v>41275</v>
      </c>
      <c r="C165" s="184">
        <v>538935.16142999998</v>
      </c>
      <c r="D165" s="184">
        <f>NetWorth[[#This Row],[Worth]]-C166</f>
        <v>10696.175000000047</v>
      </c>
      <c r="E165" s="1"/>
      <c r="V165" s="397"/>
      <c r="W165" s="397"/>
      <c r="X165" s="397"/>
      <c r="Y165" s="397"/>
      <c r="Z165" s="397"/>
      <c r="AA165" s="397"/>
      <c r="AB165" s="397"/>
      <c r="AC165" s="397"/>
      <c r="AD165" s="397"/>
      <c r="AE165" s="397"/>
      <c r="AF165" s="397"/>
      <c r="AG165" s="397"/>
      <c r="AH165" s="397"/>
      <c r="AI165" s="397"/>
      <c r="AJ165" s="397"/>
      <c r="AK165" s="397"/>
      <c r="AL165" s="397"/>
      <c r="AM165" s="397"/>
      <c r="AN165" s="397"/>
      <c r="AO165" s="397"/>
      <c r="AP165" s="397"/>
      <c r="AQ165" s="397"/>
      <c r="AR165" s="397"/>
      <c r="AS165" s="397"/>
      <c r="AT165" s="397"/>
      <c r="AU165" s="397"/>
      <c r="AV165" s="397"/>
      <c r="AW165" s="397"/>
      <c r="AX165" s="397"/>
      <c r="AY165" s="397"/>
      <c r="AZ165" s="397"/>
      <c r="BA165" s="397"/>
      <c r="BB165" s="397"/>
      <c r="BC165" s="397"/>
      <c r="BD165" s="397"/>
      <c r="BE165" s="397"/>
      <c r="BF165" s="397"/>
      <c r="BG165" s="397"/>
      <c r="BH165" s="397"/>
      <c r="BI165" s="397"/>
      <c r="BJ165" s="397"/>
      <c r="BK165" s="397"/>
      <c r="BL165" s="397"/>
      <c r="BM165" s="397"/>
      <c r="BN165" s="397"/>
      <c r="BO165" s="397"/>
      <c r="BP165" s="397"/>
      <c r="BQ165" s="397"/>
      <c r="BR165" s="397"/>
      <c r="BS165" s="397"/>
      <c r="BT165" s="397"/>
      <c r="BU165" s="397"/>
      <c r="BV165" s="397"/>
      <c r="BW165" s="397"/>
      <c r="BX165" s="397"/>
      <c r="BY165" s="397"/>
      <c r="BZ165" s="397"/>
      <c r="CA165" s="397"/>
      <c r="CB165" s="397"/>
      <c r="CC165" s="397"/>
      <c r="CD165" s="397"/>
      <c r="CE165" s="397"/>
      <c r="CF165" s="397"/>
      <c r="CG165" s="397"/>
      <c r="CH165" s="397"/>
      <c r="CI165" s="397"/>
      <c r="CJ165" s="397"/>
      <c r="CK165" s="397"/>
      <c r="CL165" s="397"/>
      <c r="CM165" s="397"/>
      <c r="CN165" s="397"/>
      <c r="CO165" s="397"/>
      <c r="CP165" s="397"/>
      <c r="CQ165" s="397"/>
      <c r="CR165" s="397"/>
      <c r="CS165" s="397"/>
      <c r="CT165" s="397"/>
      <c r="CU165" s="397"/>
      <c r="CV165" s="397"/>
      <c r="CW165" s="397"/>
      <c r="CX165" s="397"/>
      <c r="CY165" s="397"/>
      <c r="CZ165" s="397"/>
      <c r="DA165" s="397"/>
      <c r="DB165" s="397"/>
      <c r="DC165" s="397"/>
      <c r="DD165" s="397"/>
      <c r="DE165" s="397"/>
      <c r="DF165" s="397"/>
      <c r="DG165" s="397"/>
      <c r="DH165" s="397"/>
      <c r="DI165" s="397"/>
      <c r="DJ165" s="397"/>
      <c r="DK165" s="397"/>
      <c r="DL165" s="397"/>
      <c r="DM165" s="397"/>
      <c r="DN165" s="397"/>
      <c r="DO165" s="397"/>
      <c r="DP165" s="397"/>
      <c r="DQ165" s="397"/>
      <c r="DR165" s="397"/>
      <c r="DS165" s="397"/>
      <c r="DT165" s="397"/>
      <c r="DU165" s="397"/>
      <c r="DV165" s="397"/>
      <c r="DW165" s="397"/>
      <c r="DX165" s="397"/>
      <c r="DY165" s="397"/>
      <c r="DZ165" s="397"/>
      <c r="EA165" s="397"/>
      <c r="EB165" s="397"/>
      <c r="EC165" s="397"/>
      <c r="ED165" s="397"/>
      <c r="EE165" s="397"/>
      <c r="EF165" s="397"/>
      <c r="EG165" s="397"/>
      <c r="EH165" s="397"/>
      <c r="EI165" s="397"/>
      <c r="EJ165" s="397"/>
      <c r="EK165" s="397"/>
      <c r="EL165" s="397"/>
      <c r="EM165" s="397"/>
      <c r="EN165" s="397"/>
      <c r="EO165" s="397"/>
      <c r="EP165" s="397"/>
      <c r="EQ165" s="397"/>
      <c r="ER165" s="397"/>
      <c r="ES165" s="397"/>
      <c r="ET165" s="397"/>
      <c r="EU165" s="397"/>
      <c r="EV165" s="397"/>
      <c r="EW165" s="397"/>
      <c r="EX165" s="397"/>
      <c r="EY165" s="397"/>
      <c r="EZ165" s="397"/>
      <c r="FA165" s="397"/>
      <c r="FB165" s="397"/>
      <c r="FC165" s="397"/>
      <c r="FD165" s="397"/>
      <c r="FE165" s="397"/>
      <c r="FF165" s="397"/>
      <c r="FG165" s="397"/>
      <c r="FH165" s="397"/>
      <c r="FI165" s="397"/>
      <c r="FJ165" s="397"/>
      <c r="FK165" s="397"/>
      <c r="FL165" s="397"/>
      <c r="FM165" s="397"/>
      <c r="FN165" s="397"/>
      <c r="FO165" s="397"/>
      <c r="FP165" s="397"/>
      <c r="FQ165" s="397"/>
      <c r="FR165" s="397"/>
      <c r="FS165" s="397"/>
      <c r="FT165" s="397"/>
      <c r="FU165" s="397"/>
      <c r="FV165" s="397"/>
      <c r="FW165" s="397"/>
      <c r="FX165" s="397"/>
      <c r="FY165" s="397"/>
      <c r="FZ165" s="397"/>
      <c r="GA165" s="397"/>
      <c r="GB165" s="397"/>
      <c r="GC165" s="397"/>
      <c r="GD165" s="397"/>
      <c r="GE165" s="397"/>
      <c r="GF165" s="397"/>
      <c r="GG165" s="397"/>
      <c r="GH165" s="397"/>
      <c r="GI165" s="397"/>
      <c r="GJ165" s="397"/>
      <c r="GK165" s="397"/>
      <c r="GL165" s="397"/>
      <c r="GM165" s="397"/>
      <c r="GN165" s="397"/>
      <c r="GO165" s="397"/>
      <c r="GP165" s="397"/>
      <c r="GQ165" s="397"/>
      <c r="GR165" s="397"/>
      <c r="GS165" s="397"/>
      <c r="GT165" s="397"/>
      <c r="GU165" s="397"/>
      <c r="GV165" s="397"/>
      <c r="GW165" s="397"/>
      <c r="GX165" s="397"/>
      <c r="GY165" s="397"/>
      <c r="GZ165" s="397"/>
      <c r="HA165" s="397"/>
      <c r="HB165" s="397"/>
      <c r="HC165" s="397"/>
      <c r="HD165" s="397"/>
      <c r="HE165" s="397"/>
      <c r="HF165" s="397"/>
      <c r="HG165" s="397"/>
      <c r="HH165" s="397"/>
      <c r="HI165" s="397"/>
      <c r="HJ165" s="397"/>
      <c r="HK165" s="397"/>
      <c r="HL165" s="397"/>
      <c r="HM165" s="397"/>
      <c r="HN165" s="397"/>
      <c r="HO165" s="397"/>
      <c r="HP165" s="397"/>
      <c r="HQ165" s="397"/>
      <c r="HR165" s="397"/>
      <c r="HS165" s="397"/>
      <c r="HT165" s="397"/>
      <c r="HU165" s="397"/>
      <c r="HV165" s="397"/>
      <c r="HW165" s="397"/>
      <c r="HX165" s="397"/>
      <c r="HY165" s="397"/>
      <c r="HZ165" s="397"/>
      <c r="IA165" s="397"/>
      <c r="IB165" s="397"/>
      <c r="IC165" s="397"/>
      <c r="ID165" s="397"/>
      <c r="IE165" s="397"/>
      <c r="IF165" s="397"/>
      <c r="IG165" s="397"/>
      <c r="IH165" s="397"/>
      <c r="II165" s="397"/>
      <c r="IJ165" s="397"/>
      <c r="IK165" s="397"/>
      <c r="IL165" s="397"/>
      <c r="IM165" s="397"/>
      <c r="IN165" s="397"/>
      <c r="IO165" s="397"/>
      <c r="IP165" s="397"/>
      <c r="IQ165" s="397"/>
      <c r="IR165" s="397"/>
    </row>
    <row r="166" spans="2:252" s="183" customFormat="1" ht="25.15" customHeight="1" x14ac:dyDescent="0.25">
      <c r="B166" s="85">
        <v>41244</v>
      </c>
      <c r="C166" s="184">
        <v>528238.98642999993</v>
      </c>
      <c r="D166" s="184">
        <f>NetWorth[[#This Row],[Worth]]-C167</f>
        <v>6003.959649999917</v>
      </c>
      <c r="E166" s="1"/>
      <c r="V166" s="397"/>
      <c r="W166" s="397"/>
      <c r="X166" s="397"/>
      <c r="Y166" s="397"/>
      <c r="Z166" s="397"/>
      <c r="AA166" s="397"/>
      <c r="AB166" s="397"/>
      <c r="AC166" s="397"/>
      <c r="AD166" s="397"/>
      <c r="AE166" s="397"/>
      <c r="AF166" s="397"/>
      <c r="AG166" s="397"/>
      <c r="AH166" s="397"/>
      <c r="AI166" s="397"/>
      <c r="AJ166" s="397"/>
      <c r="AK166" s="397"/>
      <c r="AL166" s="397"/>
      <c r="AM166" s="397"/>
      <c r="AN166" s="397"/>
      <c r="AO166" s="397"/>
      <c r="AP166" s="397"/>
      <c r="AQ166" s="397"/>
      <c r="AR166" s="397"/>
      <c r="AS166" s="397"/>
      <c r="AT166" s="397"/>
      <c r="AU166" s="397"/>
      <c r="AV166" s="397"/>
      <c r="AW166" s="397"/>
      <c r="AX166" s="397"/>
      <c r="AY166" s="397"/>
      <c r="AZ166" s="397"/>
      <c r="BA166" s="397"/>
      <c r="BB166" s="397"/>
      <c r="BC166" s="397"/>
      <c r="BD166" s="397"/>
      <c r="BE166" s="397"/>
      <c r="BF166" s="397"/>
      <c r="BG166" s="397"/>
      <c r="BH166" s="397"/>
      <c r="BI166" s="397"/>
      <c r="BJ166" s="397"/>
      <c r="BK166" s="397"/>
      <c r="BL166" s="397"/>
      <c r="BM166" s="397"/>
      <c r="BN166" s="397"/>
      <c r="BO166" s="397"/>
      <c r="BP166" s="397"/>
      <c r="BQ166" s="397"/>
      <c r="BR166" s="397"/>
      <c r="BS166" s="397"/>
      <c r="BT166" s="397"/>
      <c r="BU166" s="397"/>
      <c r="BV166" s="397"/>
      <c r="BW166" s="397"/>
      <c r="BX166" s="397"/>
      <c r="BY166" s="397"/>
      <c r="BZ166" s="397"/>
      <c r="CA166" s="397"/>
      <c r="CB166" s="397"/>
      <c r="CC166" s="397"/>
      <c r="CD166" s="397"/>
      <c r="CE166" s="397"/>
      <c r="CF166" s="397"/>
      <c r="CG166" s="397"/>
      <c r="CH166" s="397"/>
      <c r="CI166" s="397"/>
      <c r="CJ166" s="397"/>
      <c r="CK166" s="397"/>
      <c r="CL166" s="397"/>
      <c r="CM166" s="397"/>
      <c r="CN166" s="397"/>
      <c r="CO166" s="397"/>
      <c r="CP166" s="397"/>
      <c r="CQ166" s="397"/>
      <c r="CR166" s="397"/>
      <c r="CS166" s="397"/>
      <c r="CT166" s="397"/>
      <c r="CU166" s="397"/>
      <c r="CV166" s="397"/>
      <c r="CW166" s="397"/>
      <c r="CX166" s="397"/>
      <c r="CY166" s="397"/>
      <c r="CZ166" s="397"/>
      <c r="DA166" s="397"/>
      <c r="DB166" s="397"/>
      <c r="DC166" s="397"/>
      <c r="DD166" s="397"/>
      <c r="DE166" s="397"/>
      <c r="DF166" s="397"/>
      <c r="DG166" s="397"/>
      <c r="DH166" s="397"/>
      <c r="DI166" s="397"/>
      <c r="DJ166" s="397"/>
      <c r="DK166" s="397"/>
      <c r="DL166" s="397"/>
      <c r="DM166" s="397"/>
      <c r="DN166" s="397"/>
      <c r="DO166" s="397"/>
      <c r="DP166" s="397"/>
      <c r="DQ166" s="397"/>
      <c r="DR166" s="397"/>
      <c r="DS166" s="397"/>
      <c r="DT166" s="397"/>
      <c r="DU166" s="397"/>
      <c r="DV166" s="397"/>
      <c r="DW166" s="397"/>
      <c r="DX166" s="397"/>
      <c r="DY166" s="397"/>
      <c r="DZ166" s="397"/>
      <c r="EA166" s="397"/>
      <c r="EB166" s="397"/>
      <c r="EC166" s="397"/>
      <c r="ED166" s="397"/>
      <c r="EE166" s="397"/>
      <c r="EF166" s="397"/>
      <c r="EG166" s="397"/>
      <c r="EH166" s="397"/>
      <c r="EI166" s="397"/>
      <c r="EJ166" s="397"/>
      <c r="EK166" s="397"/>
      <c r="EL166" s="397"/>
      <c r="EM166" s="397"/>
      <c r="EN166" s="397"/>
      <c r="EO166" s="397"/>
      <c r="EP166" s="397"/>
      <c r="EQ166" s="397"/>
      <c r="ER166" s="397"/>
      <c r="ES166" s="397"/>
      <c r="ET166" s="397"/>
      <c r="EU166" s="397"/>
      <c r="EV166" s="397"/>
      <c r="EW166" s="397"/>
      <c r="EX166" s="397"/>
      <c r="EY166" s="397"/>
      <c r="EZ166" s="397"/>
      <c r="FA166" s="397"/>
      <c r="FB166" s="397"/>
      <c r="FC166" s="397"/>
      <c r="FD166" s="397"/>
      <c r="FE166" s="397"/>
      <c r="FF166" s="397"/>
      <c r="FG166" s="397"/>
      <c r="FH166" s="397"/>
      <c r="FI166" s="397"/>
      <c r="FJ166" s="397"/>
      <c r="FK166" s="397"/>
      <c r="FL166" s="397"/>
      <c r="FM166" s="397"/>
      <c r="FN166" s="397"/>
      <c r="FO166" s="397"/>
      <c r="FP166" s="397"/>
      <c r="FQ166" s="397"/>
      <c r="FR166" s="397"/>
      <c r="FS166" s="397"/>
      <c r="FT166" s="397"/>
      <c r="FU166" s="397"/>
      <c r="FV166" s="397"/>
      <c r="FW166" s="397"/>
      <c r="FX166" s="397"/>
      <c r="FY166" s="397"/>
      <c r="FZ166" s="397"/>
      <c r="GA166" s="397"/>
      <c r="GB166" s="397"/>
      <c r="GC166" s="397"/>
      <c r="GD166" s="397"/>
      <c r="GE166" s="397"/>
      <c r="GF166" s="397"/>
      <c r="GG166" s="397"/>
      <c r="GH166" s="397"/>
      <c r="GI166" s="397"/>
      <c r="GJ166" s="397"/>
      <c r="GK166" s="397"/>
      <c r="GL166" s="397"/>
      <c r="GM166" s="397"/>
      <c r="GN166" s="397"/>
      <c r="GO166" s="397"/>
      <c r="GP166" s="397"/>
      <c r="GQ166" s="397"/>
      <c r="GR166" s="397"/>
      <c r="GS166" s="397"/>
      <c r="GT166" s="397"/>
      <c r="GU166" s="397"/>
      <c r="GV166" s="397"/>
      <c r="GW166" s="397"/>
      <c r="GX166" s="397"/>
      <c r="GY166" s="397"/>
      <c r="GZ166" s="397"/>
      <c r="HA166" s="397"/>
      <c r="HB166" s="397"/>
      <c r="HC166" s="397"/>
      <c r="HD166" s="397"/>
      <c r="HE166" s="397"/>
      <c r="HF166" s="397"/>
      <c r="HG166" s="397"/>
      <c r="HH166" s="397"/>
      <c r="HI166" s="397"/>
      <c r="HJ166" s="397"/>
      <c r="HK166" s="397"/>
      <c r="HL166" s="397"/>
      <c r="HM166" s="397"/>
      <c r="HN166" s="397"/>
      <c r="HO166" s="397"/>
      <c r="HP166" s="397"/>
      <c r="HQ166" s="397"/>
      <c r="HR166" s="397"/>
      <c r="HS166" s="397"/>
      <c r="HT166" s="397"/>
      <c r="HU166" s="397"/>
      <c r="HV166" s="397"/>
      <c r="HW166" s="397"/>
      <c r="HX166" s="397"/>
      <c r="HY166" s="397"/>
      <c r="HZ166" s="397"/>
      <c r="IA166" s="397"/>
      <c r="IB166" s="397"/>
      <c r="IC166" s="397"/>
      <c r="ID166" s="397"/>
      <c r="IE166" s="397"/>
      <c r="IF166" s="397"/>
      <c r="IG166" s="397"/>
      <c r="IH166" s="397"/>
      <c r="II166" s="397"/>
      <c r="IJ166" s="397"/>
      <c r="IK166" s="397"/>
      <c r="IL166" s="397"/>
      <c r="IM166" s="397"/>
      <c r="IN166" s="397"/>
      <c r="IO166" s="397"/>
      <c r="IP166" s="397"/>
      <c r="IQ166" s="397"/>
      <c r="IR166" s="397"/>
    </row>
    <row r="167" spans="2:252" s="183" customFormat="1" ht="25.15" customHeight="1" x14ac:dyDescent="0.25">
      <c r="B167" s="85">
        <v>41214</v>
      </c>
      <c r="C167" s="184">
        <v>522235.02678000001</v>
      </c>
      <c r="D167" s="184">
        <f>NetWorth[[#This Row],[Worth]]-C168</f>
        <v>-1102.1091699999524</v>
      </c>
      <c r="E167" s="1"/>
      <c r="V167" s="397"/>
      <c r="W167" s="397"/>
      <c r="X167" s="397"/>
      <c r="Y167" s="397"/>
      <c r="Z167" s="397"/>
      <c r="AA167" s="397"/>
      <c r="AB167" s="397"/>
      <c r="AC167" s="397"/>
      <c r="AD167" s="397"/>
      <c r="AE167" s="397"/>
      <c r="AF167" s="397"/>
      <c r="AG167" s="397"/>
      <c r="AH167" s="397"/>
      <c r="AI167" s="397"/>
      <c r="AJ167" s="397"/>
      <c r="AK167" s="397"/>
      <c r="AL167" s="397"/>
      <c r="AM167" s="397"/>
      <c r="AN167" s="397"/>
      <c r="AO167" s="397"/>
      <c r="AP167" s="397"/>
      <c r="AQ167" s="397"/>
      <c r="AR167" s="397"/>
      <c r="AS167" s="397"/>
      <c r="AT167" s="397"/>
      <c r="AU167" s="397"/>
      <c r="AV167" s="397"/>
      <c r="AW167" s="397"/>
      <c r="AX167" s="397"/>
      <c r="AY167" s="397"/>
      <c r="AZ167" s="397"/>
      <c r="BA167" s="397"/>
      <c r="BB167" s="397"/>
      <c r="BC167" s="397"/>
      <c r="BD167" s="397"/>
      <c r="BE167" s="397"/>
      <c r="BF167" s="397"/>
      <c r="BG167" s="397"/>
      <c r="BH167" s="397"/>
      <c r="BI167" s="397"/>
      <c r="BJ167" s="397"/>
      <c r="BK167" s="397"/>
      <c r="BL167" s="397"/>
      <c r="BM167" s="397"/>
      <c r="BN167" s="397"/>
      <c r="BO167" s="397"/>
      <c r="BP167" s="397"/>
      <c r="BQ167" s="397"/>
      <c r="BR167" s="397"/>
      <c r="BS167" s="397"/>
      <c r="BT167" s="397"/>
      <c r="BU167" s="397"/>
      <c r="BV167" s="397"/>
      <c r="BW167" s="397"/>
      <c r="BX167" s="397"/>
      <c r="BY167" s="397"/>
      <c r="BZ167" s="397"/>
      <c r="CA167" s="397"/>
      <c r="CB167" s="397"/>
      <c r="CC167" s="397"/>
      <c r="CD167" s="397"/>
      <c r="CE167" s="397"/>
      <c r="CF167" s="397"/>
      <c r="CG167" s="397"/>
      <c r="CH167" s="397"/>
      <c r="CI167" s="397"/>
      <c r="CJ167" s="397"/>
      <c r="CK167" s="397"/>
      <c r="CL167" s="397"/>
      <c r="CM167" s="397"/>
      <c r="CN167" s="397"/>
      <c r="CO167" s="397"/>
      <c r="CP167" s="397"/>
      <c r="CQ167" s="397"/>
      <c r="CR167" s="397"/>
      <c r="CS167" s="397"/>
      <c r="CT167" s="397"/>
      <c r="CU167" s="397"/>
      <c r="CV167" s="397"/>
      <c r="CW167" s="397"/>
      <c r="CX167" s="397"/>
      <c r="CY167" s="397"/>
      <c r="CZ167" s="397"/>
      <c r="DA167" s="397"/>
      <c r="DB167" s="397"/>
      <c r="DC167" s="397"/>
      <c r="DD167" s="397"/>
      <c r="DE167" s="397"/>
      <c r="DF167" s="397"/>
      <c r="DG167" s="397"/>
      <c r="DH167" s="397"/>
      <c r="DI167" s="397"/>
      <c r="DJ167" s="397"/>
      <c r="DK167" s="397"/>
      <c r="DL167" s="397"/>
      <c r="DM167" s="397"/>
      <c r="DN167" s="397"/>
      <c r="DO167" s="397"/>
      <c r="DP167" s="397"/>
      <c r="DQ167" s="397"/>
      <c r="DR167" s="397"/>
      <c r="DS167" s="397"/>
      <c r="DT167" s="397"/>
      <c r="DU167" s="397"/>
      <c r="DV167" s="397"/>
      <c r="DW167" s="397"/>
      <c r="DX167" s="397"/>
      <c r="DY167" s="397"/>
      <c r="DZ167" s="397"/>
      <c r="EA167" s="397"/>
      <c r="EB167" s="397"/>
      <c r="EC167" s="397"/>
      <c r="ED167" s="397"/>
      <c r="EE167" s="397"/>
      <c r="EF167" s="397"/>
      <c r="EG167" s="397"/>
      <c r="EH167" s="397"/>
      <c r="EI167" s="397"/>
      <c r="EJ167" s="397"/>
      <c r="EK167" s="397"/>
      <c r="EL167" s="397"/>
      <c r="EM167" s="397"/>
      <c r="EN167" s="397"/>
      <c r="EO167" s="397"/>
      <c r="EP167" s="397"/>
      <c r="EQ167" s="397"/>
      <c r="ER167" s="397"/>
      <c r="ES167" s="397"/>
      <c r="ET167" s="397"/>
      <c r="EU167" s="397"/>
      <c r="EV167" s="397"/>
      <c r="EW167" s="397"/>
      <c r="EX167" s="397"/>
      <c r="EY167" s="397"/>
      <c r="EZ167" s="397"/>
      <c r="FA167" s="397"/>
      <c r="FB167" s="397"/>
      <c r="FC167" s="397"/>
      <c r="FD167" s="397"/>
      <c r="FE167" s="397"/>
      <c r="FF167" s="397"/>
      <c r="FG167" s="397"/>
      <c r="FH167" s="397"/>
      <c r="FI167" s="397"/>
      <c r="FJ167" s="397"/>
      <c r="FK167" s="397"/>
      <c r="FL167" s="397"/>
      <c r="FM167" s="397"/>
      <c r="FN167" s="397"/>
      <c r="FO167" s="397"/>
      <c r="FP167" s="397"/>
      <c r="FQ167" s="397"/>
      <c r="FR167" s="397"/>
      <c r="FS167" s="397"/>
      <c r="FT167" s="397"/>
      <c r="FU167" s="397"/>
      <c r="FV167" s="397"/>
      <c r="FW167" s="397"/>
      <c r="FX167" s="397"/>
      <c r="FY167" s="397"/>
      <c r="FZ167" s="397"/>
      <c r="GA167" s="397"/>
      <c r="GB167" s="397"/>
      <c r="GC167" s="397"/>
      <c r="GD167" s="397"/>
      <c r="GE167" s="397"/>
      <c r="GF167" s="397"/>
      <c r="GG167" s="397"/>
      <c r="GH167" s="397"/>
      <c r="GI167" s="397"/>
      <c r="GJ167" s="397"/>
      <c r="GK167" s="397"/>
      <c r="GL167" s="397"/>
      <c r="GM167" s="397"/>
      <c r="GN167" s="397"/>
      <c r="GO167" s="397"/>
      <c r="GP167" s="397"/>
      <c r="GQ167" s="397"/>
      <c r="GR167" s="397"/>
      <c r="GS167" s="397"/>
      <c r="GT167" s="397"/>
      <c r="GU167" s="397"/>
      <c r="GV167" s="397"/>
      <c r="GW167" s="397"/>
      <c r="GX167" s="397"/>
      <c r="GY167" s="397"/>
      <c r="GZ167" s="397"/>
      <c r="HA167" s="397"/>
      <c r="HB167" s="397"/>
      <c r="HC167" s="397"/>
      <c r="HD167" s="397"/>
      <c r="HE167" s="397"/>
      <c r="HF167" s="397"/>
      <c r="HG167" s="397"/>
      <c r="HH167" s="397"/>
      <c r="HI167" s="397"/>
      <c r="HJ167" s="397"/>
      <c r="HK167" s="397"/>
      <c r="HL167" s="397"/>
      <c r="HM167" s="397"/>
      <c r="HN167" s="397"/>
      <c r="HO167" s="397"/>
      <c r="HP167" s="397"/>
      <c r="HQ167" s="397"/>
      <c r="HR167" s="397"/>
      <c r="HS167" s="397"/>
      <c r="HT167" s="397"/>
      <c r="HU167" s="397"/>
      <c r="HV167" s="397"/>
      <c r="HW167" s="397"/>
      <c r="HX167" s="397"/>
      <c r="HY167" s="397"/>
      <c r="HZ167" s="397"/>
      <c r="IA167" s="397"/>
      <c r="IB167" s="397"/>
      <c r="IC167" s="397"/>
      <c r="ID167" s="397"/>
      <c r="IE167" s="397"/>
      <c r="IF167" s="397"/>
      <c r="IG167" s="397"/>
      <c r="IH167" s="397"/>
      <c r="II167" s="397"/>
      <c r="IJ167" s="397"/>
      <c r="IK167" s="397"/>
      <c r="IL167" s="397"/>
      <c r="IM167" s="397"/>
      <c r="IN167" s="397"/>
      <c r="IO167" s="397"/>
      <c r="IP167" s="397"/>
      <c r="IQ167" s="397"/>
      <c r="IR167" s="397"/>
    </row>
    <row r="168" spans="2:252" s="183" customFormat="1" ht="25.15" customHeight="1" x14ac:dyDescent="0.25">
      <c r="B168" s="85">
        <v>41183</v>
      </c>
      <c r="C168" s="184">
        <v>523337.13594999997</v>
      </c>
      <c r="D168" s="184">
        <f>NetWorth[[#This Row],[Worth]]-C169</f>
        <v>6863.765849999967</v>
      </c>
      <c r="E168" s="1"/>
      <c r="V168" s="397"/>
      <c r="W168" s="397"/>
      <c r="X168" s="397"/>
      <c r="Y168" s="397"/>
      <c r="Z168" s="397"/>
      <c r="AA168" s="397"/>
      <c r="AB168" s="397"/>
      <c r="AC168" s="397"/>
      <c r="AD168" s="397"/>
      <c r="AE168" s="397"/>
      <c r="AF168" s="397"/>
      <c r="AG168" s="397"/>
      <c r="AH168" s="397"/>
      <c r="AI168" s="397"/>
      <c r="AJ168" s="397"/>
      <c r="AK168" s="397"/>
      <c r="AL168" s="397"/>
      <c r="AM168" s="397"/>
      <c r="AN168" s="397"/>
      <c r="AO168" s="397"/>
      <c r="AP168" s="397"/>
      <c r="AQ168" s="397"/>
      <c r="AR168" s="397"/>
      <c r="AS168" s="397"/>
      <c r="AT168" s="397"/>
      <c r="AU168" s="397"/>
      <c r="AV168" s="397"/>
      <c r="AW168" s="397"/>
      <c r="AX168" s="397"/>
      <c r="AY168" s="397"/>
      <c r="AZ168" s="397"/>
      <c r="BA168" s="397"/>
      <c r="BB168" s="397"/>
      <c r="BC168" s="397"/>
      <c r="BD168" s="397"/>
      <c r="BE168" s="397"/>
      <c r="BF168" s="397"/>
      <c r="BG168" s="397"/>
      <c r="BH168" s="397"/>
      <c r="BI168" s="397"/>
      <c r="BJ168" s="397"/>
      <c r="BK168" s="397"/>
      <c r="BL168" s="397"/>
      <c r="BM168" s="397"/>
      <c r="BN168" s="397"/>
      <c r="BO168" s="397"/>
      <c r="BP168" s="397"/>
      <c r="BQ168" s="397"/>
      <c r="BR168" s="397"/>
      <c r="BS168" s="397"/>
      <c r="BT168" s="397"/>
      <c r="BU168" s="397"/>
      <c r="BV168" s="397"/>
      <c r="BW168" s="397"/>
      <c r="BX168" s="397"/>
      <c r="BY168" s="397"/>
      <c r="BZ168" s="397"/>
      <c r="CA168" s="397"/>
      <c r="CB168" s="397"/>
      <c r="CC168" s="397"/>
      <c r="CD168" s="397"/>
      <c r="CE168" s="397"/>
      <c r="CF168" s="397"/>
      <c r="CG168" s="397"/>
      <c r="CH168" s="397"/>
      <c r="CI168" s="397"/>
      <c r="CJ168" s="397"/>
      <c r="CK168" s="397"/>
      <c r="CL168" s="397"/>
      <c r="CM168" s="397"/>
      <c r="CN168" s="397"/>
      <c r="CO168" s="397"/>
      <c r="CP168" s="397"/>
      <c r="CQ168" s="397"/>
      <c r="CR168" s="397"/>
      <c r="CS168" s="397"/>
      <c r="CT168" s="397"/>
      <c r="CU168" s="397"/>
      <c r="CV168" s="397"/>
      <c r="CW168" s="397"/>
      <c r="CX168" s="397"/>
      <c r="CY168" s="397"/>
      <c r="CZ168" s="397"/>
      <c r="DA168" s="397"/>
      <c r="DB168" s="397"/>
      <c r="DC168" s="397"/>
      <c r="DD168" s="397"/>
      <c r="DE168" s="397"/>
      <c r="DF168" s="397"/>
      <c r="DG168" s="397"/>
      <c r="DH168" s="397"/>
      <c r="DI168" s="397"/>
      <c r="DJ168" s="397"/>
      <c r="DK168" s="397"/>
      <c r="DL168" s="397"/>
      <c r="DM168" s="397"/>
      <c r="DN168" s="397"/>
      <c r="DO168" s="397"/>
      <c r="DP168" s="397"/>
      <c r="DQ168" s="397"/>
      <c r="DR168" s="397"/>
      <c r="DS168" s="397"/>
      <c r="DT168" s="397"/>
      <c r="DU168" s="397"/>
      <c r="DV168" s="397"/>
      <c r="DW168" s="397"/>
      <c r="DX168" s="397"/>
      <c r="DY168" s="397"/>
      <c r="DZ168" s="397"/>
      <c r="EA168" s="397"/>
      <c r="EB168" s="397"/>
      <c r="EC168" s="397"/>
      <c r="ED168" s="397"/>
      <c r="EE168" s="397"/>
      <c r="EF168" s="397"/>
      <c r="EG168" s="397"/>
      <c r="EH168" s="397"/>
      <c r="EI168" s="397"/>
      <c r="EJ168" s="397"/>
      <c r="EK168" s="397"/>
      <c r="EL168" s="397"/>
      <c r="EM168" s="397"/>
      <c r="EN168" s="397"/>
      <c r="EO168" s="397"/>
      <c r="EP168" s="397"/>
      <c r="EQ168" s="397"/>
      <c r="ER168" s="397"/>
      <c r="ES168" s="397"/>
      <c r="ET168" s="397"/>
      <c r="EU168" s="397"/>
      <c r="EV168" s="397"/>
      <c r="EW168" s="397"/>
      <c r="EX168" s="397"/>
      <c r="EY168" s="397"/>
      <c r="EZ168" s="397"/>
      <c r="FA168" s="397"/>
      <c r="FB168" s="397"/>
      <c r="FC168" s="397"/>
      <c r="FD168" s="397"/>
      <c r="FE168" s="397"/>
      <c r="FF168" s="397"/>
      <c r="FG168" s="397"/>
      <c r="FH168" s="397"/>
      <c r="FI168" s="397"/>
      <c r="FJ168" s="397"/>
      <c r="FK168" s="397"/>
      <c r="FL168" s="397"/>
      <c r="FM168" s="397"/>
      <c r="FN168" s="397"/>
      <c r="FO168" s="397"/>
      <c r="FP168" s="397"/>
      <c r="FQ168" s="397"/>
      <c r="FR168" s="397"/>
      <c r="FS168" s="397"/>
      <c r="FT168" s="397"/>
      <c r="FU168" s="397"/>
      <c r="FV168" s="397"/>
      <c r="FW168" s="397"/>
      <c r="FX168" s="397"/>
      <c r="FY168" s="397"/>
      <c r="FZ168" s="397"/>
      <c r="GA168" s="397"/>
      <c r="GB168" s="397"/>
      <c r="GC168" s="397"/>
      <c r="GD168" s="397"/>
      <c r="GE168" s="397"/>
      <c r="GF168" s="397"/>
      <c r="GG168" s="397"/>
      <c r="GH168" s="397"/>
      <c r="GI168" s="397"/>
      <c r="GJ168" s="397"/>
      <c r="GK168" s="397"/>
      <c r="GL168" s="397"/>
      <c r="GM168" s="397"/>
      <c r="GN168" s="397"/>
      <c r="GO168" s="397"/>
      <c r="GP168" s="397"/>
      <c r="GQ168" s="397"/>
      <c r="GR168" s="397"/>
      <c r="GS168" s="397"/>
      <c r="GT168" s="397"/>
      <c r="GU168" s="397"/>
      <c r="GV168" s="397"/>
      <c r="GW168" s="397"/>
      <c r="GX168" s="397"/>
      <c r="GY168" s="397"/>
      <c r="GZ168" s="397"/>
      <c r="HA168" s="397"/>
      <c r="HB168" s="397"/>
      <c r="HC168" s="397"/>
      <c r="HD168" s="397"/>
      <c r="HE168" s="397"/>
      <c r="HF168" s="397"/>
      <c r="HG168" s="397"/>
      <c r="HH168" s="397"/>
      <c r="HI168" s="397"/>
      <c r="HJ168" s="397"/>
      <c r="HK168" s="397"/>
      <c r="HL168" s="397"/>
      <c r="HM168" s="397"/>
      <c r="HN168" s="397"/>
      <c r="HO168" s="397"/>
      <c r="HP168" s="397"/>
      <c r="HQ168" s="397"/>
      <c r="HR168" s="397"/>
      <c r="HS168" s="397"/>
      <c r="HT168" s="397"/>
      <c r="HU168" s="397"/>
      <c r="HV168" s="397"/>
      <c r="HW168" s="397"/>
      <c r="HX168" s="397"/>
      <c r="HY168" s="397"/>
      <c r="HZ168" s="397"/>
      <c r="IA168" s="397"/>
      <c r="IB168" s="397"/>
      <c r="IC168" s="397"/>
      <c r="ID168" s="397"/>
      <c r="IE168" s="397"/>
      <c r="IF168" s="397"/>
      <c r="IG168" s="397"/>
      <c r="IH168" s="397"/>
      <c r="II168" s="397"/>
      <c r="IJ168" s="397"/>
      <c r="IK168" s="397"/>
      <c r="IL168" s="397"/>
      <c r="IM168" s="397"/>
      <c r="IN168" s="397"/>
      <c r="IO168" s="397"/>
      <c r="IP168" s="397"/>
      <c r="IQ168" s="397"/>
      <c r="IR168" s="397"/>
    </row>
    <row r="169" spans="2:252" s="183" customFormat="1" ht="25.15" customHeight="1" x14ac:dyDescent="0.25">
      <c r="B169" s="85">
        <v>41153</v>
      </c>
      <c r="C169" s="184">
        <v>516473.3701</v>
      </c>
      <c r="D169" s="184">
        <f>NetWorth[[#This Row],[Worth]]-C170</f>
        <v>15245.089770000021</v>
      </c>
      <c r="E169" s="1" t="s">
        <v>92</v>
      </c>
      <c r="V169" s="397"/>
      <c r="W169" s="397"/>
      <c r="X169" s="397"/>
      <c r="Y169" s="397"/>
      <c r="Z169" s="397"/>
      <c r="AA169" s="397"/>
      <c r="AB169" s="397"/>
      <c r="AC169" s="397"/>
      <c r="AD169" s="397"/>
      <c r="AE169" s="397"/>
      <c r="AF169" s="397"/>
      <c r="AG169" s="397"/>
      <c r="AH169" s="397"/>
      <c r="AI169" s="397"/>
      <c r="AJ169" s="397"/>
      <c r="AK169" s="397"/>
      <c r="AL169" s="397"/>
      <c r="AM169" s="397"/>
      <c r="AN169" s="397"/>
      <c r="AO169" s="397"/>
      <c r="AP169" s="397"/>
      <c r="AQ169" s="397"/>
      <c r="AR169" s="397"/>
      <c r="AS169" s="397"/>
      <c r="AT169" s="397"/>
      <c r="AU169" s="397"/>
      <c r="AV169" s="397"/>
      <c r="AW169" s="397"/>
      <c r="AX169" s="397"/>
      <c r="AY169" s="397"/>
      <c r="AZ169" s="397"/>
      <c r="BA169" s="397"/>
      <c r="BB169" s="397"/>
      <c r="BC169" s="397"/>
      <c r="BD169" s="397"/>
      <c r="BE169" s="397"/>
      <c r="BF169" s="397"/>
      <c r="BG169" s="397"/>
      <c r="BH169" s="397"/>
      <c r="BI169" s="397"/>
      <c r="BJ169" s="397"/>
      <c r="BK169" s="397"/>
      <c r="BL169" s="397"/>
      <c r="BM169" s="397"/>
      <c r="BN169" s="397"/>
      <c r="BO169" s="397"/>
      <c r="BP169" s="397"/>
      <c r="BQ169" s="397"/>
      <c r="BR169" s="397"/>
      <c r="BS169" s="397"/>
      <c r="BT169" s="397"/>
      <c r="BU169" s="397"/>
      <c r="BV169" s="397"/>
      <c r="BW169" s="397"/>
      <c r="BX169" s="397"/>
      <c r="BY169" s="397"/>
      <c r="BZ169" s="397"/>
      <c r="CA169" s="397"/>
      <c r="CB169" s="397"/>
      <c r="CC169" s="397"/>
      <c r="CD169" s="397"/>
      <c r="CE169" s="397"/>
      <c r="CF169" s="397"/>
      <c r="CG169" s="397"/>
      <c r="CH169" s="397"/>
      <c r="CI169" s="397"/>
      <c r="CJ169" s="397"/>
      <c r="CK169" s="397"/>
      <c r="CL169" s="397"/>
      <c r="CM169" s="397"/>
      <c r="CN169" s="397"/>
      <c r="CO169" s="397"/>
      <c r="CP169" s="397"/>
      <c r="CQ169" s="397"/>
      <c r="CR169" s="397"/>
      <c r="CS169" s="397"/>
      <c r="CT169" s="397"/>
      <c r="CU169" s="397"/>
      <c r="CV169" s="397"/>
      <c r="CW169" s="397"/>
      <c r="CX169" s="397"/>
      <c r="CY169" s="397"/>
      <c r="CZ169" s="397"/>
      <c r="DA169" s="397"/>
      <c r="DB169" s="397"/>
      <c r="DC169" s="397"/>
      <c r="DD169" s="397"/>
      <c r="DE169" s="397"/>
      <c r="DF169" s="397"/>
      <c r="DG169" s="397"/>
      <c r="DH169" s="397"/>
      <c r="DI169" s="397"/>
      <c r="DJ169" s="397"/>
      <c r="DK169" s="397"/>
      <c r="DL169" s="397"/>
      <c r="DM169" s="397"/>
      <c r="DN169" s="397"/>
      <c r="DO169" s="397"/>
      <c r="DP169" s="397"/>
      <c r="DQ169" s="397"/>
      <c r="DR169" s="397"/>
      <c r="DS169" s="397"/>
      <c r="DT169" s="397"/>
      <c r="DU169" s="397"/>
      <c r="DV169" s="397"/>
      <c r="DW169" s="397"/>
      <c r="DX169" s="397"/>
      <c r="DY169" s="397"/>
      <c r="DZ169" s="397"/>
      <c r="EA169" s="397"/>
      <c r="EB169" s="397"/>
      <c r="EC169" s="397"/>
      <c r="ED169" s="397"/>
      <c r="EE169" s="397"/>
      <c r="EF169" s="397"/>
      <c r="EG169" s="397"/>
      <c r="EH169" s="397"/>
      <c r="EI169" s="397"/>
      <c r="EJ169" s="397"/>
      <c r="EK169" s="397"/>
      <c r="EL169" s="397"/>
      <c r="EM169" s="397"/>
      <c r="EN169" s="397"/>
      <c r="EO169" s="397"/>
      <c r="EP169" s="397"/>
      <c r="EQ169" s="397"/>
      <c r="ER169" s="397"/>
      <c r="ES169" s="397"/>
      <c r="ET169" s="397"/>
      <c r="EU169" s="397"/>
      <c r="EV169" s="397"/>
      <c r="EW169" s="397"/>
      <c r="EX169" s="397"/>
      <c r="EY169" s="397"/>
      <c r="EZ169" s="397"/>
      <c r="FA169" s="397"/>
      <c r="FB169" s="397"/>
      <c r="FC169" s="397"/>
      <c r="FD169" s="397"/>
      <c r="FE169" s="397"/>
      <c r="FF169" s="397"/>
      <c r="FG169" s="397"/>
      <c r="FH169" s="397"/>
      <c r="FI169" s="397"/>
      <c r="FJ169" s="397"/>
      <c r="FK169" s="397"/>
      <c r="FL169" s="397"/>
      <c r="FM169" s="397"/>
      <c r="FN169" s="397"/>
      <c r="FO169" s="397"/>
      <c r="FP169" s="397"/>
      <c r="FQ169" s="397"/>
      <c r="FR169" s="397"/>
      <c r="FS169" s="397"/>
      <c r="FT169" s="397"/>
      <c r="FU169" s="397"/>
      <c r="FV169" s="397"/>
      <c r="FW169" s="397"/>
      <c r="FX169" s="397"/>
      <c r="FY169" s="397"/>
      <c r="FZ169" s="397"/>
      <c r="GA169" s="397"/>
      <c r="GB169" s="397"/>
      <c r="GC169" s="397"/>
      <c r="GD169" s="397"/>
      <c r="GE169" s="397"/>
      <c r="GF169" s="397"/>
      <c r="GG169" s="397"/>
      <c r="GH169" s="397"/>
      <c r="GI169" s="397"/>
      <c r="GJ169" s="397"/>
      <c r="GK169" s="397"/>
      <c r="GL169" s="397"/>
      <c r="GM169" s="397"/>
      <c r="GN169" s="397"/>
      <c r="GO169" s="397"/>
      <c r="GP169" s="397"/>
      <c r="GQ169" s="397"/>
      <c r="GR169" s="397"/>
      <c r="GS169" s="397"/>
      <c r="GT169" s="397"/>
      <c r="GU169" s="397"/>
      <c r="GV169" s="397"/>
      <c r="GW169" s="397"/>
      <c r="GX169" s="397"/>
      <c r="GY169" s="397"/>
      <c r="GZ169" s="397"/>
      <c r="HA169" s="397"/>
      <c r="HB169" s="397"/>
      <c r="HC169" s="397"/>
      <c r="HD169" s="397"/>
      <c r="HE169" s="397"/>
      <c r="HF169" s="397"/>
      <c r="HG169" s="397"/>
      <c r="HH169" s="397"/>
      <c r="HI169" s="397"/>
      <c r="HJ169" s="397"/>
      <c r="HK169" s="397"/>
      <c r="HL169" s="397"/>
      <c r="HM169" s="397"/>
      <c r="HN169" s="397"/>
      <c r="HO169" s="397"/>
      <c r="HP169" s="397"/>
      <c r="HQ169" s="397"/>
      <c r="HR169" s="397"/>
      <c r="HS169" s="397"/>
      <c r="HT169" s="397"/>
      <c r="HU169" s="397"/>
      <c r="HV169" s="397"/>
      <c r="HW169" s="397"/>
      <c r="HX169" s="397"/>
      <c r="HY169" s="397"/>
      <c r="HZ169" s="397"/>
      <c r="IA169" s="397"/>
      <c r="IB169" s="397"/>
      <c r="IC169" s="397"/>
      <c r="ID169" s="397"/>
      <c r="IE169" s="397"/>
      <c r="IF169" s="397"/>
      <c r="IG169" s="397"/>
      <c r="IH169" s="397"/>
      <c r="II169" s="397"/>
      <c r="IJ169" s="397"/>
      <c r="IK169" s="397"/>
      <c r="IL169" s="397"/>
      <c r="IM169" s="397"/>
      <c r="IN169" s="397"/>
      <c r="IO169" s="397"/>
      <c r="IP169" s="397"/>
      <c r="IQ169" s="397"/>
      <c r="IR169" s="397"/>
    </row>
    <row r="170" spans="2:252" s="183" customFormat="1" ht="25.15" customHeight="1" x14ac:dyDescent="0.25">
      <c r="B170" s="85">
        <v>41122</v>
      </c>
      <c r="C170" s="184">
        <v>501228.28032999998</v>
      </c>
      <c r="D170" s="184">
        <f>NetWorth[[#This Row],[Worth]]-C171</f>
        <v>7796.1525999999722</v>
      </c>
      <c r="E170" s="1"/>
      <c r="V170" s="397"/>
      <c r="W170" s="397"/>
      <c r="X170" s="397"/>
      <c r="Y170" s="397"/>
      <c r="Z170" s="397"/>
      <c r="AA170" s="397"/>
      <c r="AB170" s="397"/>
      <c r="AC170" s="397"/>
      <c r="AD170" s="397"/>
      <c r="AE170" s="397"/>
      <c r="AF170" s="397"/>
      <c r="AG170" s="397"/>
      <c r="AH170" s="397"/>
      <c r="AI170" s="397"/>
      <c r="AJ170" s="397"/>
      <c r="AK170" s="397"/>
      <c r="AL170" s="397"/>
      <c r="AM170" s="397"/>
      <c r="AN170" s="397"/>
      <c r="AO170" s="397"/>
      <c r="AP170" s="397"/>
      <c r="AQ170" s="397"/>
      <c r="AR170" s="397"/>
      <c r="AS170" s="397"/>
      <c r="AT170" s="397"/>
      <c r="AU170" s="397"/>
      <c r="AV170" s="397"/>
      <c r="AW170" s="397"/>
      <c r="AX170" s="397"/>
      <c r="AY170" s="397"/>
      <c r="AZ170" s="397"/>
      <c r="BA170" s="397"/>
      <c r="BB170" s="397"/>
      <c r="BC170" s="397"/>
      <c r="BD170" s="397"/>
      <c r="BE170" s="397"/>
      <c r="BF170" s="397"/>
      <c r="BG170" s="397"/>
      <c r="BH170" s="397"/>
      <c r="BI170" s="397"/>
      <c r="BJ170" s="397"/>
      <c r="BK170" s="397"/>
      <c r="BL170" s="397"/>
      <c r="BM170" s="397"/>
      <c r="BN170" s="397"/>
      <c r="BO170" s="397"/>
      <c r="BP170" s="397"/>
      <c r="BQ170" s="397"/>
      <c r="BR170" s="397"/>
      <c r="BS170" s="397"/>
      <c r="BT170" s="397"/>
      <c r="BU170" s="397"/>
      <c r="BV170" s="397"/>
      <c r="BW170" s="397"/>
      <c r="BX170" s="397"/>
      <c r="BY170" s="397"/>
      <c r="BZ170" s="397"/>
      <c r="CA170" s="397"/>
      <c r="CB170" s="397"/>
      <c r="CC170" s="397"/>
      <c r="CD170" s="397"/>
      <c r="CE170" s="397"/>
      <c r="CF170" s="397"/>
      <c r="CG170" s="397"/>
      <c r="CH170" s="397"/>
      <c r="CI170" s="397"/>
      <c r="CJ170" s="397"/>
      <c r="CK170" s="397"/>
      <c r="CL170" s="397"/>
      <c r="CM170" s="397"/>
      <c r="CN170" s="397"/>
      <c r="CO170" s="397"/>
      <c r="CP170" s="397"/>
      <c r="CQ170" s="397"/>
      <c r="CR170" s="397"/>
      <c r="CS170" s="397"/>
      <c r="CT170" s="397"/>
      <c r="CU170" s="397"/>
      <c r="CV170" s="397"/>
      <c r="CW170" s="397"/>
      <c r="CX170" s="397"/>
      <c r="CY170" s="397"/>
      <c r="CZ170" s="397"/>
      <c r="DA170" s="397"/>
      <c r="DB170" s="397"/>
      <c r="DC170" s="397"/>
      <c r="DD170" s="397"/>
      <c r="DE170" s="397"/>
      <c r="DF170" s="397"/>
      <c r="DG170" s="397"/>
      <c r="DH170" s="397"/>
      <c r="DI170" s="397"/>
      <c r="DJ170" s="397"/>
      <c r="DK170" s="397"/>
      <c r="DL170" s="397"/>
      <c r="DM170" s="397"/>
      <c r="DN170" s="397"/>
      <c r="DO170" s="397"/>
      <c r="DP170" s="397"/>
      <c r="DQ170" s="397"/>
      <c r="DR170" s="397"/>
      <c r="DS170" s="397"/>
      <c r="DT170" s="397"/>
      <c r="DU170" s="397"/>
      <c r="DV170" s="397"/>
      <c r="DW170" s="397"/>
      <c r="DX170" s="397"/>
      <c r="DY170" s="397"/>
      <c r="DZ170" s="397"/>
      <c r="EA170" s="397"/>
      <c r="EB170" s="397"/>
      <c r="EC170" s="397"/>
      <c r="ED170" s="397"/>
      <c r="EE170" s="397"/>
      <c r="EF170" s="397"/>
      <c r="EG170" s="397"/>
      <c r="EH170" s="397"/>
      <c r="EI170" s="397"/>
      <c r="EJ170" s="397"/>
      <c r="EK170" s="397"/>
      <c r="EL170" s="397"/>
      <c r="EM170" s="397"/>
      <c r="EN170" s="397"/>
      <c r="EO170" s="397"/>
      <c r="EP170" s="397"/>
      <c r="EQ170" s="397"/>
      <c r="ER170" s="397"/>
      <c r="ES170" s="397"/>
      <c r="ET170" s="397"/>
      <c r="EU170" s="397"/>
      <c r="EV170" s="397"/>
      <c r="EW170" s="397"/>
      <c r="EX170" s="397"/>
      <c r="EY170" s="397"/>
      <c r="EZ170" s="397"/>
      <c r="FA170" s="397"/>
      <c r="FB170" s="397"/>
      <c r="FC170" s="397"/>
      <c r="FD170" s="397"/>
      <c r="FE170" s="397"/>
      <c r="FF170" s="397"/>
      <c r="FG170" s="397"/>
      <c r="FH170" s="397"/>
      <c r="FI170" s="397"/>
      <c r="FJ170" s="397"/>
      <c r="FK170" s="397"/>
      <c r="FL170" s="397"/>
      <c r="FM170" s="397"/>
      <c r="FN170" s="397"/>
      <c r="FO170" s="397"/>
      <c r="FP170" s="397"/>
      <c r="FQ170" s="397"/>
      <c r="FR170" s="397"/>
      <c r="FS170" s="397"/>
      <c r="FT170" s="397"/>
      <c r="FU170" s="397"/>
      <c r="FV170" s="397"/>
      <c r="FW170" s="397"/>
      <c r="FX170" s="397"/>
      <c r="FY170" s="397"/>
      <c r="FZ170" s="397"/>
      <c r="GA170" s="397"/>
      <c r="GB170" s="397"/>
      <c r="GC170" s="397"/>
      <c r="GD170" s="397"/>
      <c r="GE170" s="397"/>
      <c r="GF170" s="397"/>
      <c r="GG170" s="397"/>
      <c r="GH170" s="397"/>
      <c r="GI170" s="397"/>
      <c r="GJ170" s="397"/>
      <c r="GK170" s="397"/>
      <c r="GL170" s="397"/>
      <c r="GM170" s="397"/>
      <c r="GN170" s="397"/>
      <c r="GO170" s="397"/>
      <c r="GP170" s="397"/>
      <c r="GQ170" s="397"/>
      <c r="GR170" s="397"/>
      <c r="GS170" s="397"/>
      <c r="GT170" s="397"/>
      <c r="GU170" s="397"/>
      <c r="GV170" s="397"/>
      <c r="GW170" s="397"/>
      <c r="GX170" s="397"/>
      <c r="GY170" s="397"/>
      <c r="GZ170" s="397"/>
      <c r="HA170" s="397"/>
      <c r="HB170" s="397"/>
      <c r="HC170" s="397"/>
      <c r="HD170" s="397"/>
      <c r="HE170" s="397"/>
      <c r="HF170" s="397"/>
      <c r="HG170" s="397"/>
      <c r="HH170" s="397"/>
      <c r="HI170" s="397"/>
      <c r="HJ170" s="397"/>
      <c r="HK170" s="397"/>
      <c r="HL170" s="397"/>
      <c r="HM170" s="397"/>
      <c r="HN170" s="397"/>
      <c r="HO170" s="397"/>
      <c r="HP170" s="397"/>
      <c r="HQ170" s="397"/>
      <c r="HR170" s="397"/>
      <c r="HS170" s="397"/>
      <c r="HT170" s="397"/>
      <c r="HU170" s="397"/>
      <c r="HV170" s="397"/>
      <c r="HW170" s="397"/>
      <c r="HX170" s="397"/>
      <c r="HY170" s="397"/>
      <c r="HZ170" s="397"/>
      <c r="IA170" s="397"/>
      <c r="IB170" s="397"/>
      <c r="IC170" s="397"/>
      <c r="ID170" s="397"/>
      <c r="IE170" s="397"/>
      <c r="IF170" s="397"/>
      <c r="IG170" s="397"/>
      <c r="IH170" s="397"/>
      <c r="II170" s="397"/>
      <c r="IJ170" s="397"/>
      <c r="IK170" s="397"/>
      <c r="IL170" s="397"/>
      <c r="IM170" s="397"/>
      <c r="IN170" s="397"/>
      <c r="IO170" s="397"/>
      <c r="IP170" s="397"/>
      <c r="IQ170" s="397"/>
      <c r="IR170" s="397"/>
    </row>
    <row r="171" spans="2:252" s="183" customFormat="1" ht="25.15" customHeight="1" x14ac:dyDescent="0.25">
      <c r="B171" s="85">
        <v>41091</v>
      </c>
      <c r="C171" s="184">
        <v>493432.12773000001</v>
      </c>
      <c r="D171" s="184">
        <f>NetWorth[[#This Row],[Worth]]-C172</f>
        <v>12915.382220000029</v>
      </c>
      <c r="E171" s="1" t="s">
        <v>94</v>
      </c>
      <c r="V171" s="397"/>
      <c r="W171" s="397"/>
      <c r="X171" s="397"/>
      <c r="Y171" s="397"/>
      <c r="Z171" s="397"/>
      <c r="AA171" s="397"/>
      <c r="AB171" s="397"/>
      <c r="AC171" s="397"/>
      <c r="AD171" s="397"/>
      <c r="AE171" s="397"/>
      <c r="AF171" s="397"/>
      <c r="AG171" s="397"/>
      <c r="AH171" s="397"/>
      <c r="AI171" s="397"/>
      <c r="AJ171" s="397"/>
      <c r="AK171" s="397"/>
      <c r="AL171" s="397"/>
      <c r="AM171" s="397"/>
      <c r="AN171" s="397"/>
      <c r="AO171" s="397"/>
      <c r="AP171" s="397"/>
      <c r="AQ171" s="397"/>
      <c r="AR171" s="397"/>
      <c r="AS171" s="397"/>
      <c r="AT171" s="397"/>
      <c r="AU171" s="397"/>
      <c r="AV171" s="397"/>
      <c r="AW171" s="397"/>
      <c r="AX171" s="397"/>
      <c r="AY171" s="397"/>
      <c r="AZ171" s="397"/>
      <c r="BA171" s="397"/>
      <c r="BB171" s="397"/>
      <c r="BC171" s="397"/>
      <c r="BD171" s="397"/>
      <c r="BE171" s="397"/>
      <c r="BF171" s="397"/>
      <c r="BG171" s="397"/>
      <c r="BH171" s="397"/>
      <c r="BI171" s="397"/>
      <c r="BJ171" s="397"/>
      <c r="BK171" s="397"/>
      <c r="BL171" s="397"/>
      <c r="BM171" s="397"/>
      <c r="BN171" s="397"/>
      <c r="BO171" s="397"/>
      <c r="BP171" s="397"/>
      <c r="BQ171" s="397"/>
      <c r="BR171" s="397"/>
      <c r="BS171" s="397"/>
      <c r="BT171" s="397"/>
      <c r="BU171" s="397"/>
      <c r="BV171" s="397"/>
      <c r="BW171" s="397"/>
      <c r="BX171" s="397"/>
      <c r="BY171" s="397"/>
      <c r="BZ171" s="397"/>
      <c r="CA171" s="397"/>
      <c r="CB171" s="397"/>
      <c r="CC171" s="397"/>
      <c r="CD171" s="397"/>
      <c r="CE171" s="397"/>
      <c r="CF171" s="397"/>
      <c r="CG171" s="397"/>
      <c r="CH171" s="397"/>
      <c r="CI171" s="397"/>
      <c r="CJ171" s="397"/>
      <c r="CK171" s="397"/>
      <c r="CL171" s="397"/>
      <c r="CM171" s="397"/>
      <c r="CN171" s="397"/>
      <c r="CO171" s="397"/>
      <c r="CP171" s="397"/>
      <c r="CQ171" s="397"/>
      <c r="CR171" s="397"/>
      <c r="CS171" s="397"/>
      <c r="CT171" s="397"/>
      <c r="CU171" s="397"/>
      <c r="CV171" s="397"/>
      <c r="CW171" s="397"/>
      <c r="CX171" s="397"/>
      <c r="CY171" s="397"/>
      <c r="CZ171" s="397"/>
      <c r="DA171" s="397"/>
      <c r="DB171" s="397"/>
      <c r="DC171" s="397"/>
      <c r="DD171" s="397"/>
      <c r="DE171" s="397"/>
      <c r="DF171" s="397"/>
      <c r="DG171" s="397"/>
      <c r="DH171" s="397"/>
      <c r="DI171" s="397"/>
      <c r="DJ171" s="397"/>
      <c r="DK171" s="397"/>
      <c r="DL171" s="397"/>
      <c r="DM171" s="397"/>
      <c r="DN171" s="397"/>
      <c r="DO171" s="397"/>
      <c r="DP171" s="397"/>
      <c r="DQ171" s="397"/>
      <c r="DR171" s="397"/>
      <c r="DS171" s="397"/>
      <c r="DT171" s="397"/>
      <c r="DU171" s="397"/>
      <c r="DV171" s="397"/>
      <c r="DW171" s="397"/>
      <c r="DX171" s="397"/>
      <c r="DY171" s="397"/>
      <c r="DZ171" s="397"/>
      <c r="EA171" s="397"/>
      <c r="EB171" s="397"/>
      <c r="EC171" s="397"/>
      <c r="ED171" s="397"/>
      <c r="EE171" s="397"/>
      <c r="EF171" s="397"/>
      <c r="EG171" s="397"/>
      <c r="EH171" s="397"/>
      <c r="EI171" s="397"/>
      <c r="EJ171" s="397"/>
      <c r="EK171" s="397"/>
      <c r="EL171" s="397"/>
      <c r="EM171" s="397"/>
      <c r="EN171" s="397"/>
      <c r="EO171" s="397"/>
      <c r="EP171" s="397"/>
      <c r="EQ171" s="397"/>
      <c r="ER171" s="397"/>
      <c r="ES171" s="397"/>
      <c r="ET171" s="397"/>
      <c r="EU171" s="397"/>
      <c r="EV171" s="397"/>
      <c r="EW171" s="397"/>
      <c r="EX171" s="397"/>
      <c r="EY171" s="397"/>
      <c r="EZ171" s="397"/>
      <c r="FA171" s="397"/>
      <c r="FB171" s="397"/>
      <c r="FC171" s="397"/>
      <c r="FD171" s="397"/>
      <c r="FE171" s="397"/>
      <c r="FF171" s="397"/>
      <c r="FG171" s="397"/>
      <c r="FH171" s="397"/>
      <c r="FI171" s="397"/>
      <c r="FJ171" s="397"/>
      <c r="FK171" s="397"/>
      <c r="FL171" s="397"/>
      <c r="FM171" s="397"/>
      <c r="FN171" s="397"/>
      <c r="FO171" s="397"/>
      <c r="FP171" s="397"/>
      <c r="FQ171" s="397"/>
      <c r="FR171" s="397"/>
      <c r="FS171" s="397"/>
      <c r="FT171" s="397"/>
      <c r="FU171" s="397"/>
      <c r="FV171" s="397"/>
      <c r="FW171" s="397"/>
      <c r="FX171" s="397"/>
      <c r="FY171" s="397"/>
      <c r="FZ171" s="397"/>
      <c r="GA171" s="397"/>
      <c r="GB171" s="397"/>
      <c r="GC171" s="397"/>
      <c r="GD171" s="397"/>
      <c r="GE171" s="397"/>
      <c r="GF171" s="397"/>
      <c r="GG171" s="397"/>
      <c r="GH171" s="397"/>
      <c r="GI171" s="397"/>
      <c r="GJ171" s="397"/>
      <c r="GK171" s="397"/>
      <c r="GL171" s="397"/>
      <c r="GM171" s="397"/>
      <c r="GN171" s="397"/>
      <c r="GO171" s="397"/>
      <c r="GP171" s="397"/>
      <c r="GQ171" s="397"/>
      <c r="GR171" s="397"/>
      <c r="GS171" s="397"/>
      <c r="GT171" s="397"/>
      <c r="GU171" s="397"/>
      <c r="GV171" s="397"/>
      <c r="GW171" s="397"/>
      <c r="GX171" s="397"/>
      <c r="GY171" s="397"/>
      <c r="GZ171" s="397"/>
      <c r="HA171" s="397"/>
      <c r="HB171" s="397"/>
      <c r="HC171" s="397"/>
      <c r="HD171" s="397"/>
      <c r="HE171" s="397"/>
      <c r="HF171" s="397"/>
      <c r="HG171" s="397"/>
      <c r="HH171" s="397"/>
      <c r="HI171" s="397"/>
      <c r="HJ171" s="397"/>
      <c r="HK171" s="397"/>
      <c r="HL171" s="397"/>
      <c r="HM171" s="397"/>
      <c r="HN171" s="397"/>
      <c r="HO171" s="397"/>
      <c r="HP171" s="397"/>
      <c r="HQ171" s="397"/>
      <c r="HR171" s="397"/>
      <c r="HS171" s="397"/>
      <c r="HT171" s="397"/>
      <c r="HU171" s="397"/>
      <c r="HV171" s="397"/>
      <c r="HW171" s="397"/>
      <c r="HX171" s="397"/>
      <c r="HY171" s="397"/>
      <c r="HZ171" s="397"/>
      <c r="IA171" s="397"/>
      <c r="IB171" s="397"/>
      <c r="IC171" s="397"/>
      <c r="ID171" s="397"/>
      <c r="IE171" s="397"/>
      <c r="IF171" s="397"/>
      <c r="IG171" s="397"/>
      <c r="IH171" s="397"/>
      <c r="II171" s="397"/>
      <c r="IJ171" s="397"/>
      <c r="IK171" s="397"/>
      <c r="IL171" s="397"/>
      <c r="IM171" s="397"/>
      <c r="IN171" s="397"/>
      <c r="IO171" s="397"/>
      <c r="IP171" s="397"/>
      <c r="IQ171" s="397"/>
      <c r="IR171" s="397"/>
    </row>
    <row r="172" spans="2:252" s="183" customFormat="1" ht="25.15" customHeight="1" x14ac:dyDescent="0.25">
      <c r="B172" s="85">
        <v>41061</v>
      </c>
      <c r="C172" s="184">
        <v>480516.74550999998</v>
      </c>
      <c r="D172" s="184">
        <f>NetWorth[[#This Row],[Worth]]-C173</f>
        <v>4068.9839999999967</v>
      </c>
      <c r="E172" s="1"/>
      <c r="V172" s="397"/>
      <c r="W172" s="397"/>
      <c r="X172" s="397"/>
      <c r="Y172" s="397"/>
      <c r="Z172" s="397"/>
      <c r="AA172" s="397"/>
      <c r="AB172" s="397"/>
      <c r="AC172" s="397"/>
      <c r="AD172" s="397"/>
      <c r="AE172" s="397"/>
      <c r="AF172" s="397"/>
      <c r="AG172" s="397"/>
      <c r="AH172" s="397"/>
      <c r="AI172" s="397"/>
      <c r="AJ172" s="397"/>
      <c r="AK172" s="397"/>
      <c r="AL172" s="397"/>
      <c r="AM172" s="397"/>
      <c r="AN172" s="397"/>
      <c r="AO172" s="397"/>
      <c r="AP172" s="397"/>
      <c r="AQ172" s="397"/>
      <c r="AR172" s="397"/>
      <c r="AS172" s="397"/>
      <c r="AT172" s="397"/>
      <c r="AU172" s="397"/>
      <c r="AV172" s="397"/>
      <c r="AW172" s="397"/>
      <c r="AX172" s="397"/>
      <c r="AY172" s="397"/>
      <c r="AZ172" s="397"/>
      <c r="BA172" s="397"/>
      <c r="BB172" s="397"/>
      <c r="BC172" s="397"/>
      <c r="BD172" s="397"/>
      <c r="BE172" s="397"/>
      <c r="BF172" s="397"/>
      <c r="BG172" s="397"/>
      <c r="BH172" s="397"/>
      <c r="BI172" s="397"/>
      <c r="BJ172" s="397"/>
      <c r="BK172" s="397"/>
      <c r="BL172" s="397"/>
      <c r="BM172" s="397"/>
      <c r="BN172" s="397"/>
      <c r="BO172" s="397"/>
      <c r="BP172" s="397"/>
      <c r="BQ172" s="397"/>
      <c r="BR172" s="397"/>
      <c r="BS172" s="397"/>
      <c r="BT172" s="397"/>
      <c r="BU172" s="397"/>
      <c r="BV172" s="397"/>
      <c r="BW172" s="397"/>
      <c r="BX172" s="397"/>
      <c r="BY172" s="397"/>
      <c r="BZ172" s="397"/>
      <c r="CA172" s="397"/>
      <c r="CB172" s="397"/>
      <c r="CC172" s="397"/>
      <c r="CD172" s="397"/>
      <c r="CE172" s="397"/>
      <c r="CF172" s="397"/>
      <c r="CG172" s="397"/>
      <c r="CH172" s="397"/>
      <c r="CI172" s="397"/>
      <c r="CJ172" s="397"/>
      <c r="CK172" s="397"/>
      <c r="CL172" s="397"/>
      <c r="CM172" s="397"/>
      <c r="CN172" s="397"/>
      <c r="CO172" s="397"/>
      <c r="CP172" s="397"/>
      <c r="CQ172" s="397"/>
      <c r="CR172" s="397"/>
      <c r="CS172" s="397"/>
      <c r="CT172" s="397"/>
      <c r="CU172" s="397"/>
      <c r="CV172" s="397"/>
      <c r="CW172" s="397"/>
      <c r="CX172" s="397"/>
      <c r="CY172" s="397"/>
      <c r="CZ172" s="397"/>
      <c r="DA172" s="397"/>
      <c r="DB172" s="397"/>
      <c r="DC172" s="397"/>
      <c r="DD172" s="397"/>
      <c r="DE172" s="397"/>
      <c r="DF172" s="397"/>
      <c r="DG172" s="397"/>
      <c r="DH172" s="397"/>
      <c r="DI172" s="397"/>
      <c r="DJ172" s="397"/>
      <c r="DK172" s="397"/>
      <c r="DL172" s="397"/>
      <c r="DM172" s="397"/>
      <c r="DN172" s="397"/>
      <c r="DO172" s="397"/>
      <c r="DP172" s="397"/>
      <c r="DQ172" s="397"/>
      <c r="DR172" s="397"/>
      <c r="DS172" s="397"/>
      <c r="DT172" s="397"/>
      <c r="DU172" s="397"/>
      <c r="DV172" s="397"/>
      <c r="DW172" s="397"/>
      <c r="DX172" s="397"/>
      <c r="DY172" s="397"/>
      <c r="DZ172" s="397"/>
      <c r="EA172" s="397"/>
      <c r="EB172" s="397"/>
      <c r="EC172" s="397"/>
      <c r="ED172" s="397"/>
      <c r="EE172" s="397"/>
      <c r="EF172" s="397"/>
      <c r="EG172" s="397"/>
      <c r="EH172" s="397"/>
      <c r="EI172" s="397"/>
      <c r="EJ172" s="397"/>
      <c r="EK172" s="397"/>
      <c r="EL172" s="397"/>
      <c r="EM172" s="397"/>
      <c r="EN172" s="397"/>
      <c r="EO172" s="397"/>
      <c r="EP172" s="397"/>
      <c r="EQ172" s="397"/>
      <c r="ER172" s="397"/>
      <c r="ES172" s="397"/>
      <c r="ET172" s="397"/>
      <c r="EU172" s="397"/>
      <c r="EV172" s="397"/>
      <c r="EW172" s="397"/>
      <c r="EX172" s="397"/>
      <c r="EY172" s="397"/>
      <c r="EZ172" s="397"/>
      <c r="FA172" s="397"/>
      <c r="FB172" s="397"/>
      <c r="FC172" s="397"/>
      <c r="FD172" s="397"/>
      <c r="FE172" s="397"/>
      <c r="FF172" s="397"/>
      <c r="FG172" s="397"/>
      <c r="FH172" s="397"/>
      <c r="FI172" s="397"/>
      <c r="FJ172" s="397"/>
      <c r="FK172" s="397"/>
      <c r="FL172" s="397"/>
      <c r="FM172" s="397"/>
      <c r="FN172" s="397"/>
      <c r="FO172" s="397"/>
      <c r="FP172" s="397"/>
      <c r="FQ172" s="397"/>
      <c r="FR172" s="397"/>
      <c r="FS172" s="397"/>
      <c r="FT172" s="397"/>
      <c r="FU172" s="397"/>
      <c r="FV172" s="397"/>
      <c r="FW172" s="397"/>
      <c r="FX172" s="397"/>
      <c r="FY172" s="397"/>
      <c r="FZ172" s="397"/>
      <c r="GA172" s="397"/>
      <c r="GB172" s="397"/>
      <c r="GC172" s="397"/>
      <c r="GD172" s="397"/>
      <c r="GE172" s="397"/>
      <c r="GF172" s="397"/>
      <c r="GG172" s="397"/>
      <c r="GH172" s="397"/>
      <c r="GI172" s="397"/>
      <c r="GJ172" s="397"/>
      <c r="GK172" s="397"/>
      <c r="GL172" s="397"/>
      <c r="GM172" s="397"/>
      <c r="GN172" s="397"/>
      <c r="GO172" s="397"/>
      <c r="GP172" s="397"/>
      <c r="GQ172" s="397"/>
      <c r="GR172" s="397"/>
      <c r="GS172" s="397"/>
      <c r="GT172" s="397"/>
      <c r="GU172" s="397"/>
      <c r="GV172" s="397"/>
      <c r="GW172" s="397"/>
      <c r="GX172" s="397"/>
      <c r="GY172" s="397"/>
      <c r="GZ172" s="397"/>
      <c r="HA172" s="397"/>
      <c r="HB172" s="397"/>
      <c r="HC172" s="397"/>
      <c r="HD172" s="397"/>
      <c r="HE172" s="397"/>
      <c r="HF172" s="397"/>
      <c r="HG172" s="397"/>
      <c r="HH172" s="397"/>
      <c r="HI172" s="397"/>
      <c r="HJ172" s="397"/>
      <c r="HK172" s="397"/>
      <c r="HL172" s="397"/>
      <c r="HM172" s="397"/>
      <c r="HN172" s="397"/>
      <c r="HO172" s="397"/>
      <c r="HP172" s="397"/>
      <c r="HQ172" s="397"/>
      <c r="HR172" s="397"/>
      <c r="HS172" s="397"/>
      <c r="HT172" s="397"/>
      <c r="HU172" s="397"/>
      <c r="HV172" s="397"/>
      <c r="HW172" s="397"/>
      <c r="HX172" s="397"/>
      <c r="HY172" s="397"/>
      <c r="HZ172" s="397"/>
      <c r="IA172" s="397"/>
      <c r="IB172" s="397"/>
      <c r="IC172" s="397"/>
      <c r="ID172" s="397"/>
      <c r="IE172" s="397"/>
      <c r="IF172" s="397"/>
      <c r="IG172" s="397"/>
      <c r="IH172" s="397"/>
      <c r="II172" s="397"/>
      <c r="IJ172" s="397"/>
      <c r="IK172" s="397"/>
      <c r="IL172" s="397"/>
      <c r="IM172" s="397"/>
      <c r="IN172" s="397"/>
      <c r="IO172" s="397"/>
      <c r="IP172" s="397"/>
      <c r="IQ172" s="397"/>
      <c r="IR172" s="397"/>
    </row>
    <row r="173" spans="2:252" s="183" customFormat="1" ht="25.15" customHeight="1" x14ac:dyDescent="0.25">
      <c r="B173" s="85">
        <v>41030</v>
      </c>
      <c r="C173" s="184">
        <v>476447.76150999998</v>
      </c>
      <c r="D173" s="184">
        <f>NetWorth[[#This Row],[Worth]]-C174</f>
        <v>71.446549999993294</v>
      </c>
      <c r="E173" s="1"/>
      <c r="V173" s="397"/>
      <c r="W173" s="397"/>
      <c r="X173" s="397"/>
      <c r="Y173" s="397"/>
      <c r="Z173" s="397"/>
      <c r="AA173" s="397"/>
      <c r="AB173" s="397"/>
      <c r="AC173" s="397"/>
      <c r="AD173" s="397"/>
      <c r="AE173" s="397"/>
      <c r="AF173" s="397"/>
      <c r="AG173" s="397"/>
      <c r="AH173" s="397"/>
      <c r="AI173" s="397"/>
      <c r="AJ173" s="397"/>
      <c r="AK173" s="397"/>
      <c r="AL173" s="397"/>
      <c r="AM173" s="397"/>
      <c r="AN173" s="397"/>
      <c r="AO173" s="397"/>
      <c r="AP173" s="397"/>
      <c r="AQ173" s="397"/>
      <c r="AR173" s="397"/>
      <c r="AS173" s="397"/>
      <c r="AT173" s="397"/>
      <c r="AU173" s="397"/>
      <c r="AV173" s="397"/>
      <c r="AW173" s="397"/>
      <c r="AX173" s="397"/>
      <c r="AY173" s="397"/>
      <c r="AZ173" s="397"/>
      <c r="BA173" s="397"/>
      <c r="BB173" s="397"/>
      <c r="BC173" s="397"/>
      <c r="BD173" s="397"/>
      <c r="BE173" s="397"/>
      <c r="BF173" s="397"/>
      <c r="BG173" s="397"/>
      <c r="BH173" s="397"/>
      <c r="BI173" s="397"/>
      <c r="BJ173" s="397"/>
      <c r="BK173" s="397"/>
      <c r="BL173" s="397"/>
      <c r="BM173" s="397"/>
      <c r="BN173" s="397"/>
      <c r="BO173" s="397"/>
      <c r="BP173" s="397"/>
      <c r="BQ173" s="397"/>
      <c r="BR173" s="397"/>
      <c r="BS173" s="397"/>
      <c r="BT173" s="397"/>
      <c r="BU173" s="397"/>
      <c r="BV173" s="397"/>
      <c r="BW173" s="397"/>
      <c r="BX173" s="397"/>
      <c r="BY173" s="397"/>
      <c r="BZ173" s="397"/>
      <c r="CA173" s="397"/>
      <c r="CB173" s="397"/>
      <c r="CC173" s="397"/>
      <c r="CD173" s="397"/>
      <c r="CE173" s="397"/>
      <c r="CF173" s="397"/>
      <c r="CG173" s="397"/>
      <c r="CH173" s="397"/>
      <c r="CI173" s="397"/>
      <c r="CJ173" s="397"/>
      <c r="CK173" s="397"/>
      <c r="CL173" s="397"/>
      <c r="CM173" s="397"/>
      <c r="CN173" s="397"/>
      <c r="CO173" s="397"/>
      <c r="CP173" s="397"/>
      <c r="CQ173" s="397"/>
      <c r="CR173" s="397"/>
      <c r="CS173" s="397"/>
      <c r="CT173" s="397"/>
      <c r="CU173" s="397"/>
      <c r="CV173" s="397"/>
      <c r="CW173" s="397"/>
      <c r="CX173" s="397"/>
      <c r="CY173" s="397"/>
      <c r="CZ173" s="397"/>
      <c r="DA173" s="397"/>
      <c r="DB173" s="397"/>
      <c r="DC173" s="397"/>
      <c r="DD173" s="397"/>
      <c r="DE173" s="397"/>
      <c r="DF173" s="397"/>
      <c r="DG173" s="397"/>
      <c r="DH173" s="397"/>
      <c r="DI173" s="397"/>
      <c r="DJ173" s="397"/>
      <c r="DK173" s="397"/>
      <c r="DL173" s="397"/>
      <c r="DM173" s="397"/>
      <c r="DN173" s="397"/>
      <c r="DO173" s="397"/>
      <c r="DP173" s="397"/>
      <c r="DQ173" s="397"/>
      <c r="DR173" s="397"/>
      <c r="DS173" s="397"/>
      <c r="DT173" s="397"/>
      <c r="DU173" s="397"/>
      <c r="DV173" s="397"/>
      <c r="DW173" s="397"/>
      <c r="DX173" s="397"/>
      <c r="DY173" s="397"/>
      <c r="DZ173" s="397"/>
      <c r="EA173" s="397"/>
      <c r="EB173" s="397"/>
      <c r="EC173" s="397"/>
      <c r="ED173" s="397"/>
      <c r="EE173" s="397"/>
      <c r="EF173" s="397"/>
      <c r="EG173" s="397"/>
      <c r="EH173" s="397"/>
      <c r="EI173" s="397"/>
      <c r="EJ173" s="397"/>
      <c r="EK173" s="397"/>
      <c r="EL173" s="397"/>
      <c r="EM173" s="397"/>
      <c r="EN173" s="397"/>
      <c r="EO173" s="397"/>
      <c r="EP173" s="397"/>
      <c r="EQ173" s="397"/>
      <c r="ER173" s="397"/>
      <c r="ES173" s="397"/>
      <c r="ET173" s="397"/>
      <c r="EU173" s="397"/>
      <c r="EV173" s="397"/>
      <c r="EW173" s="397"/>
      <c r="EX173" s="397"/>
      <c r="EY173" s="397"/>
      <c r="EZ173" s="397"/>
      <c r="FA173" s="397"/>
      <c r="FB173" s="397"/>
      <c r="FC173" s="397"/>
      <c r="FD173" s="397"/>
      <c r="FE173" s="397"/>
      <c r="FF173" s="397"/>
      <c r="FG173" s="397"/>
      <c r="FH173" s="397"/>
      <c r="FI173" s="397"/>
      <c r="FJ173" s="397"/>
      <c r="FK173" s="397"/>
      <c r="FL173" s="397"/>
      <c r="FM173" s="397"/>
      <c r="FN173" s="397"/>
      <c r="FO173" s="397"/>
      <c r="FP173" s="397"/>
      <c r="FQ173" s="397"/>
      <c r="FR173" s="397"/>
      <c r="FS173" s="397"/>
      <c r="FT173" s="397"/>
      <c r="FU173" s="397"/>
      <c r="FV173" s="397"/>
      <c r="FW173" s="397"/>
      <c r="FX173" s="397"/>
      <c r="FY173" s="397"/>
      <c r="FZ173" s="397"/>
      <c r="GA173" s="397"/>
      <c r="GB173" s="397"/>
      <c r="GC173" s="397"/>
      <c r="GD173" s="397"/>
      <c r="GE173" s="397"/>
      <c r="GF173" s="397"/>
      <c r="GG173" s="397"/>
      <c r="GH173" s="397"/>
      <c r="GI173" s="397"/>
      <c r="GJ173" s="397"/>
      <c r="GK173" s="397"/>
      <c r="GL173" s="397"/>
      <c r="GM173" s="397"/>
      <c r="GN173" s="397"/>
      <c r="GO173" s="397"/>
      <c r="GP173" s="397"/>
      <c r="GQ173" s="397"/>
      <c r="GR173" s="397"/>
      <c r="GS173" s="397"/>
      <c r="GT173" s="397"/>
      <c r="GU173" s="397"/>
      <c r="GV173" s="397"/>
      <c r="GW173" s="397"/>
      <c r="GX173" s="397"/>
      <c r="GY173" s="397"/>
      <c r="GZ173" s="397"/>
      <c r="HA173" s="397"/>
      <c r="HB173" s="397"/>
      <c r="HC173" s="397"/>
      <c r="HD173" s="397"/>
      <c r="HE173" s="397"/>
      <c r="HF173" s="397"/>
      <c r="HG173" s="397"/>
      <c r="HH173" s="397"/>
      <c r="HI173" s="397"/>
      <c r="HJ173" s="397"/>
      <c r="HK173" s="397"/>
      <c r="HL173" s="397"/>
      <c r="HM173" s="397"/>
      <c r="HN173" s="397"/>
      <c r="HO173" s="397"/>
      <c r="HP173" s="397"/>
      <c r="HQ173" s="397"/>
      <c r="HR173" s="397"/>
      <c r="HS173" s="397"/>
      <c r="HT173" s="397"/>
      <c r="HU173" s="397"/>
      <c r="HV173" s="397"/>
      <c r="HW173" s="397"/>
      <c r="HX173" s="397"/>
      <c r="HY173" s="397"/>
      <c r="HZ173" s="397"/>
      <c r="IA173" s="397"/>
      <c r="IB173" s="397"/>
      <c r="IC173" s="397"/>
      <c r="ID173" s="397"/>
      <c r="IE173" s="397"/>
      <c r="IF173" s="397"/>
      <c r="IG173" s="397"/>
      <c r="IH173" s="397"/>
      <c r="II173" s="397"/>
      <c r="IJ173" s="397"/>
      <c r="IK173" s="397"/>
      <c r="IL173" s="397"/>
      <c r="IM173" s="397"/>
      <c r="IN173" s="397"/>
      <c r="IO173" s="397"/>
      <c r="IP173" s="397"/>
      <c r="IQ173" s="397"/>
      <c r="IR173" s="397"/>
    </row>
    <row r="174" spans="2:252" s="183" customFormat="1" ht="25.15" customHeight="1" x14ac:dyDescent="0.25">
      <c r="B174" s="85">
        <v>41000</v>
      </c>
      <c r="C174" s="184">
        <v>476376.31495999999</v>
      </c>
      <c r="D174" s="184">
        <f>NetWorth[[#This Row],[Worth]]-C175</f>
        <v>52378.532300000021</v>
      </c>
      <c r="E174" s="1" t="s">
        <v>95</v>
      </c>
      <c r="F174" s="183" t="s">
        <v>65</v>
      </c>
      <c r="V174" s="397"/>
      <c r="W174" s="397"/>
      <c r="X174" s="397"/>
      <c r="Y174" s="397"/>
      <c r="Z174" s="397"/>
      <c r="AA174" s="397"/>
      <c r="AB174" s="397"/>
      <c r="AC174" s="397"/>
      <c r="AD174" s="397"/>
      <c r="AE174" s="397"/>
      <c r="AF174" s="397"/>
      <c r="AG174" s="397"/>
      <c r="AH174" s="397"/>
      <c r="AI174" s="397"/>
      <c r="AJ174" s="397"/>
      <c r="AK174" s="397"/>
      <c r="AL174" s="397"/>
      <c r="AM174" s="397"/>
      <c r="AN174" s="397"/>
      <c r="AO174" s="397"/>
      <c r="AP174" s="397"/>
      <c r="AQ174" s="397"/>
      <c r="AR174" s="397"/>
      <c r="AS174" s="397"/>
      <c r="AT174" s="397"/>
      <c r="AU174" s="397"/>
      <c r="AV174" s="397"/>
      <c r="AW174" s="397"/>
      <c r="AX174" s="397"/>
      <c r="AY174" s="397"/>
      <c r="AZ174" s="397"/>
      <c r="BA174" s="397"/>
      <c r="BB174" s="397"/>
      <c r="BC174" s="397"/>
      <c r="BD174" s="397"/>
      <c r="BE174" s="397"/>
      <c r="BF174" s="397"/>
      <c r="BG174" s="397"/>
      <c r="BH174" s="397"/>
      <c r="BI174" s="397"/>
      <c r="BJ174" s="397"/>
      <c r="BK174" s="397"/>
      <c r="BL174" s="397"/>
      <c r="BM174" s="397"/>
      <c r="BN174" s="397"/>
      <c r="BO174" s="397"/>
      <c r="BP174" s="397"/>
      <c r="BQ174" s="397"/>
      <c r="BR174" s="397"/>
      <c r="BS174" s="397"/>
      <c r="BT174" s="397"/>
      <c r="BU174" s="397"/>
      <c r="BV174" s="397"/>
      <c r="BW174" s="397"/>
      <c r="BX174" s="397"/>
      <c r="BY174" s="397"/>
      <c r="BZ174" s="397"/>
      <c r="CA174" s="397"/>
      <c r="CB174" s="397"/>
      <c r="CC174" s="397"/>
      <c r="CD174" s="397"/>
      <c r="CE174" s="397"/>
      <c r="CF174" s="397"/>
      <c r="CG174" s="397"/>
      <c r="CH174" s="397"/>
      <c r="CI174" s="397"/>
      <c r="CJ174" s="397"/>
      <c r="CK174" s="397"/>
      <c r="CL174" s="397"/>
      <c r="CM174" s="397"/>
      <c r="CN174" s="397"/>
      <c r="CO174" s="397"/>
      <c r="CP174" s="397"/>
      <c r="CQ174" s="397"/>
      <c r="CR174" s="397"/>
      <c r="CS174" s="397"/>
      <c r="CT174" s="397"/>
      <c r="CU174" s="397"/>
      <c r="CV174" s="397"/>
      <c r="CW174" s="397"/>
      <c r="CX174" s="397"/>
      <c r="CY174" s="397"/>
      <c r="CZ174" s="397"/>
      <c r="DA174" s="397"/>
      <c r="DB174" s="397"/>
      <c r="DC174" s="397"/>
      <c r="DD174" s="397"/>
      <c r="DE174" s="397"/>
      <c r="DF174" s="397"/>
      <c r="DG174" s="397"/>
      <c r="DH174" s="397"/>
      <c r="DI174" s="397"/>
      <c r="DJ174" s="397"/>
      <c r="DK174" s="397"/>
      <c r="DL174" s="397"/>
      <c r="DM174" s="397"/>
      <c r="DN174" s="397"/>
      <c r="DO174" s="397"/>
      <c r="DP174" s="397"/>
      <c r="DQ174" s="397"/>
      <c r="DR174" s="397"/>
      <c r="DS174" s="397"/>
      <c r="DT174" s="397"/>
      <c r="DU174" s="397"/>
      <c r="DV174" s="397"/>
      <c r="DW174" s="397"/>
      <c r="DX174" s="397"/>
      <c r="DY174" s="397"/>
      <c r="DZ174" s="397"/>
      <c r="EA174" s="397"/>
      <c r="EB174" s="397"/>
      <c r="EC174" s="397"/>
      <c r="ED174" s="397"/>
      <c r="EE174" s="397"/>
      <c r="EF174" s="397"/>
      <c r="EG174" s="397"/>
      <c r="EH174" s="397"/>
      <c r="EI174" s="397"/>
      <c r="EJ174" s="397"/>
      <c r="EK174" s="397"/>
      <c r="EL174" s="397"/>
      <c r="EM174" s="397"/>
      <c r="EN174" s="397"/>
      <c r="EO174" s="397"/>
      <c r="EP174" s="397"/>
      <c r="EQ174" s="397"/>
      <c r="ER174" s="397"/>
      <c r="ES174" s="397"/>
      <c r="ET174" s="397"/>
      <c r="EU174" s="397"/>
      <c r="EV174" s="397"/>
      <c r="EW174" s="397"/>
      <c r="EX174" s="397"/>
      <c r="EY174" s="397"/>
      <c r="EZ174" s="397"/>
      <c r="FA174" s="397"/>
      <c r="FB174" s="397"/>
      <c r="FC174" s="397"/>
      <c r="FD174" s="397"/>
      <c r="FE174" s="397"/>
      <c r="FF174" s="397"/>
      <c r="FG174" s="397"/>
      <c r="FH174" s="397"/>
      <c r="FI174" s="397"/>
      <c r="FJ174" s="397"/>
      <c r="FK174" s="397"/>
      <c r="FL174" s="397"/>
      <c r="FM174" s="397"/>
      <c r="FN174" s="397"/>
      <c r="FO174" s="397"/>
      <c r="FP174" s="397"/>
      <c r="FQ174" s="397"/>
      <c r="FR174" s="397"/>
      <c r="FS174" s="397"/>
      <c r="FT174" s="397"/>
      <c r="FU174" s="397"/>
      <c r="FV174" s="397"/>
      <c r="FW174" s="397"/>
      <c r="FX174" s="397"/>
      <c r="FY174" s="397"/>
      <c r="FZ174" s="397"/>
      <c r="GA174" s="397"/>
      <c r="GB174" s="397"/>
      <c r="GC174" s="397"/>
      <c r="GD174" s="397"/>
      <c r="GE174" s="397"/>
      <c r="GF174" s="397"/>
      <c r="GG174" s="397"/>
      <c r="GH174" s="397"/>
      <c r="GI174" s="397"/>
      <c r="GJ174" s="397"/>
      <c r="GK174" s="397"/>
      <c r="GL174" s="397"/>
      <c r="GM174" s="397"/>
      <c r="GN174" s="397"/>
      <c r="GO174" s="397"/>
      <c r="GP174" s="397"/>
      <c r="GQ174" s="397"/>
      <c r="GR174" s="397"/>
      <c r="GS174" s="397"/>
      <c r="GT174" s="397"/>
      <c r="GU174" s="397"/>
      <c r="GV174" s="397"/>
      <c r="GW174" s="397"/>
      <c r="GX174" s="397"/>
      <c r="GY174" s="397"/>
      <c r="GZ174" s="397"/>
      <c r="HA174" s="397"/>
      <c r="HB174" s="397"/>
      <c r="HC174" s="397"/>
      <c r="HD174" s="397"/>
      <c r="HE174" s="397"/>
      <c r="HF174" s="397"/>
      <c r="HG174" s="397"/>
      <c r="HH174" s="397"/>
      <c r="HI174" s="397"/>
      <c r="HJ174" s="397"/>
      <c r="HK174" s="397"/>
      <c r="HL174" s="397"/>
      <c r="HM174" s="397"/>
      <c r="HN174" s="397"/>
      <c r="HO174" s="397"/>
      <c r="HP174" s="397"/>
      <c r="HQ174" s="397"/>
      <c r="HR174" s="397"/>
      <c r="HS174" s="397"/>
      <c r="HT174" s="397"/>
      <c r="HU174" s="397"/>
      <c r="HV174" s="397"/>
      <c r="HW174" s="397"/>
      <c r="HX174" s="397"/>
      <c r="HY174" s="397"/>
      <c r="HZ174" s="397"/>
      <c r="IA174" s="397"/>
      <c r="IB174" s="397"/>
      <c r="IC174" s="397"/>
      <c r="ID174" s="397"/>
      <c r="IE174" s="397"/>
      <c r="IF174" s="397"/>
      <c r="IG174" s="397"/>
      <c r="IH174" s="397"/>
      <c r="II174" s="397"/>
      <c r="IJ174" s="397"/>
      <c r="IK174" s="397"/>
      <c r="IL174" s="397"/>
      <c r="IM174" s="397"/>
      <c r="IN174" s="397"/>
      <c r="IO174" s="397"/>
      <c r="IP174" s="397"/>
      <c r="IQ174" s="397"/>
      <c r="IR174" s="397"/>
    </row>
    <row r="175" spans="2:252" s="183" customFormat="1" ht="25.15" customHeight="1" x14ac:dyDescent="0.25">
      <c r="B175" s="85">
        <v>40969</v>
      </c>
      <c r="C175" s="184">
        <v>423997.78265999997</v>
      </c>
      <c r="D175" s="184">
        <f>NetWorth[[#This Row],[Worth]]-C176</f>
        <v>1650.0707599999732</v>
      </c>
      <c r="E175" s="1"/>
      <c r="V175" s="397"/>
      <c r="W175" s="397"/>
      <c r="X175" s="397"/>
      <c r="Y175" s="397"/>
      <c r="Z175" s="397"/>
      <c r="AA175" s="397"/>
      <c r="AB175" s="397"/>
      <c r="AC175" s="397"/>
      <c r="AD175" s="397"/>
      <c r="AE175" s="397"/>
      <c r="AF175" s="397"/>
      <c r="AG175" s="397"/>
      <c r="AH175" s="397"/>
      <c r="AI175" s="397"/>
      <c r="AJ175" s="397"/>
      <c r="AK175" s="397"/>
      <c r="AL175" s="397"/>
      <c r="AM175" s="397"/>
      <c r="AN175" s="397"/>
      <c r="AO175" s="397"/>
      <c r="AP175" s="397"/>
      <c r="AQ175" s="397"/>
      <c r="AR175" s="397"/>
      <c r="AS175" s="397"/>
      <c r="AT175" s="397"/>
      <c r="AU175" s="397"/>
      <c r="AV175" s="397"/>
      <c r="AW175" s="397"/>
      <c r="AX175" s="397"/>
      <c r="AY175" s="397"/>
      <c r="AZ175" s="397"/>
      <c r="BA175" s="397"/>
      <c r="BB175" s="397"/>
      <c r="BC175" s="397"/>
      <c r="BD175" s="397"/>
      <c r="BE175" s="397"/>
      <c r="BF175" s="397"/>
      <c r="BG175" s="397"/>
      <c r="BH175" s="397"/>
      <c r="BI175" s="397"/>
      <c r="BJ175" s="397"/>
      <c r="BK175" s="397"/>
      <c r="BL175" s="397"/>
      <c r="BM175" s="397"/>
      <c r="BN175" s="397"/>
      <c r="BO175" s="397"/>
      <c r="BP175" s="397"/>
      <c r="BQ175" s="397"/>
      <c r="BR175" s="397"/>
      <c r="BS175" s="397"/>
      <c r="BT175" s="397"/>
      <c r="BU175" s="397"/>
      <c r="BV175" s="397"/>
      <c r="BW175" s="397"/>
      <c r="BX175" s="397"/>
      <c r="BY175" s="397"/>
      <c r="BZ175" s="397"/>
      <c r="CA175" s="397"/>
      <c r="CB175" s="397"/>
      <c r="CC175" s="397"/>
      <c r="CD175" s="397"/>
      <c r="CE175" s="397"/>
      <c r="CF175" s="397"/>
      <c r="CG175" s="397"/>
      <c r="CH175" s="397"/>
      <c r="CI175" s="397"/>
      <c r="CJ175" s="397"/>
      <c r="CK175" s="397"/>
      <c r="CL175" s="397"/>
      <c r="CM175" s="397"/>
      <c r="CN175" s="397"/>
      <c r="CO175" s="397"/>
      <c r="CP175" s="397"/>
      <c r="CQ175" s="397"/>
      <c r="CR175" s="397"/>
      <c r="CS175" s="397"/>
      <c r="CT175" s="397"/>
      <c r="CU175" s="397"/>
      <c r="CV175" s="397"/>
      <c r="CW175" s="397"/>
      <c r="CX175" s="397"/>
      <c r="CY175" s="397"/>
      <c r="CZ175" s="397"/>
      <c r="DA175" s="397"/>
      <c r="DB175" s="397"/>
      <c r="DC175" s="397"/>
      <c r="DD175" s="397"/>
      <c r="DE175" s="397"/>
      <c r="DF175" s="397"/>
      <c r="DG175" s="397"/>
      <c r="DH175" s="397"/>
      <c r="DI175" s="397"/>
      <c r="DJ175" s="397"/>
      <c r="DK175" s="397"/>
      <c r="DL175" s="397"/>
      <c r="DM175" s="397"/>
      <c r="DN175" s="397"/>
      <c r="DO175" s="397"/>
      <c r="DP175" s="397"/>
      <c r="DQ175" s="397"/>
      <c r="DR175" s="397"/>
      <c r="DS175" s="397"/>
      <c r="DT175" s="397"/>
      <c r="DU175" s="397"/>
      <c r="DV175" s="397"/>
      <c r="DW175" s="397"/>
      <c r="DX175" s="397"/>
      <c r="DY175" s="397"/>
      <c r="DZ175" s="397"/>
      <c r="EA175" s="397"/>
      <c r="EB175" s="397"/>
      <c r="EC175" s="397"/>
      <c r="ED175" s="397"/>
      <c r="EE175" s="397"/>
      <c r="EF175" s="397"/>
      <c r="EG175" s="397"/>
      <c r="EH175" s="397"/>
      <c r="EI175" s="397"/>
      <c r="EJ175" s="397"/>
      <c r="EK175" s="397"/>
      <c r="EL175" s="397"/>
      <c r="EM175" s="397"/>
      <c r="EN175" s="397"/>
      <c r="EO175" s="397"/>
      <c r="EP175" s="397"/>
      <c r="EQ175" s="397"/>
      <c r="ER175" s="397"/>
      <c r="ES175" s="397"/>
      <c r="ET175" s="397"/>
      <c r="EU175" s="397"/>
      <c r="EV175" s="397"/>
      <c r="EW175" s="397"/>
      <c r="EX175" s="397"/>
      <c r="EY175" s="397"/>
      <c r="EZ175" s="397"/>
      <c r="FA175" s="397"/>
      <c r="FB175" s="397"/>
      <c r="FC175" s="397"/>
      <c r="FD175" s="397"/>
      <c r="FE175" s="397"/>
      <c r="FF175" s="397"/>
      <c r="FG175" s="397"/>
      <c r="FH175" s="397"/>
      <c r="FI175" s="397"/>
      <c r="FJ175" s="397"/>
      <c r="FK175" s="397"/>
      <c r="FL175" s="397"/>
      <c r="FM175" s="397"/>
      <c r="FN175" s="397"/>
      <c r="FO175" s="397"/>
      <c r="FP175" s="397"/>
      <c r="FQ175" s="397"/>
      <c r="FR175" s="397"/>
      <c r="FS175" s="397"/>
      <c r="FT175" s="397"/>
      <c r="FU175" s="397"/>
      <c r="FV175" s="397"/>
      <c r="FW175" s="397"/>
      <c r="FX175" s="397"/>
      <c r="FY175" s="397"/>
      <c r="FZ175" s="397"/>
      <c r="GA175" s="397"/>
      <c r="GB175" s="397"/>
      <c r="GC175" s="397"/>
      <c r="GD175" s="397"/>
      <c r="GE175" s="397"/>
      <c r="GF175" s="397"/>
      <c r="GG175" s="397"/>
      <c r="GH175" s="397"/>
      <c r="GI175" s="397"/>
      <c r="GJ175" s="397"/>
      <c r="GK175" s="397"/>
      <c r="GL175" s="397"/>
      <c r="GM175" s="397"/>
      <c r="GN175" s="397"/>
      <c r="GO175" s="397"/>
      <c r="GP175" s="397"/>
      <c r="GQ175" s="397"/>
      <c r="GR175" s="397"/>
      <c r="GS175" s="397"/>
      <c r="GT175" s="397"/>
      <c r="GU175" s="397"/>
      <c r="GV175" s="397"/>
      <c r="GW175" s="397"/>
      <c r="GX175" s="397"/>
      <c r="GY175" s="397"/>
      <c r="GZ175" s="397"/>
      <c r="HA175" s="397"/>
      <c r="HB175" s="397"/>
      <c r="HC175" s="397"/>
      <c r="HD175" s="397"/>
      <c r="HE175" s="397"/>
      <c r="HF175" s="397"/>
      <c r="HG175" s="397"/>
      <c r="HH175" s="397"/>
      <c r="HI175" s="397"/>
      <c r="HJ175" s="397"/>
      <c r="HK175" s="397"/>
      <c r="HL175" s="397"/>
      <c r="HM175" s="397"/>
      <c r="HN175" s="397"/>
      <c r="HO175" s="397"/>
      <c r="HP175" s="397"/>
      <c r="HQ175" s="397"/>
      <c r="HR175" s="397"/>
      <c r="HS175" s="397"/>
      <c r="HT175" s="397"/>
      <c r="HU175" s="397"/>
      <c r="HV175" s="397"/>
      <c r="HW175" s="397"/>
      <c r="HX175" s="397"/>
      <c r="HY175" s="397"/>
      <c r="HZ175" s="397"/>
      <c r="IA175" s="397"/>
      <c r="IB175" s="397"/>
      <c r="IC175" s="397"/>
      <c r="ID175" s="397"/>
      <c r="IE175" s="397"/>
      <c r="IF175" s="397"/>
      <c r="IG175" s="397"/>
      <c r="IH175" s="397"/>
      <c r="II175" s="397"/>
      <c r="IJ175" s="397"/>
      <c r="IK175" s="397"/>
      <c r="IL175" s="397"/>
      <c r="IM175" s="397"/>
      <c r="IN175" s="397"/>
      <c r="IO175" s="397"/>
      <c r="IP175" s="397"/>
      <c r="IQ175" s="397"/>
      <c r="IR175" s="397"/>
    </row>
    <row r="176" spans="2:252" s="183" customFormat="1" ht="25.15" customHeight="1" x14ac:dyDescent="0.25">
      <c r="B176" s="85">
        <v>40940</v>
      </c>
      <c r="C176" s="184">
        <v>422347.71189999999</v>
      </c>
      <c r="D176" s="184">
        <f>NetWorth[[#This Row],[Worth]]-C177</f>
        <v>7856.8849199999822</v>
      </c>
      <c r="E176" s="1" t="s">
        <v>96</v>
      </c>
      <c r="V176" s="397"/>
      <c r="W176" s="397"/>
      <c r="X176" s="397"/>
      <c r="Y176" s="397"/>
      <c r="Z176" s="397"/>
      <c r="AA176" s="397"/>
      <c r="AB176" s="397"/>
      <c r="AC176" s="397"/>
      <c r="AD176" s="397"/>
      <c r="AE176" s="397"/>
      <c r="AF176" s="397"/>
      <c r="AG176" s="397"/>
      <c r="AH176" s="397"/>
      <c r="AI176" s="397"/>
      <c r="AJ176" s="397"/>
      <c r="AK176" s="397"/>
      <c r="AL176" s="397"/>
      <c r="AM176" s="397"/>
      <c r="AN176" s="397"/>
      <c r="AO176" s="397"/>
      <c r="AP176" s="397"/>
      <c r="AQ176" s="397"/>
      <c r="AR176" s="397"/>
      <c r="AS176" s="397"/>
      <c r="AT176" s="397"/>
      <c r="AU176" s="397"/>
      <c r="AV176" s="397"/>
      <c r="AW176" s="397"/>
      <c r="AX176" s="397"/>
      <c r="AY176" s="397"/>
      <c r="AZ176" s="397"/>
      <c r="BA176" s="397"/>
      <c r="BB176" s="397"/>
      <c r="BC176" s="397"/>
      <c r="BD176" s="397"/>
      <c r="BE176" s="397"/>
      <c r="BF176" s="397"/>
      <c r="BG176" s="397"/>
      <c r="BH176" s="397"/>
      <c r="BI176" s="397"/>
      <c r="BJ176" s="397"/>
      <c r="BK176" s="397"/>
      <c r="BL176" s="397"/>
      <c r="BM176" s="397"/>
      <c r="BN176" s="397"/>
      <c r="BO176" s="397"/>
      <c r="BP176" s="397"/>
      <c r="BQ176" s="397"/>
      <c r="BR176" s="397"/>
      <c r="BS176" s="397"/>
      <c r="BT176" s="397"/>
      <c r="BU176" s="397"/>
      <c r="BV176" s="397"/>
      <c r="BW176" s="397"/>
      <c r="BX176" s="397"/>
      <c r="BY176" s="397"/>
      <c r="BZ176" s="397"/>
      <c r="CA176" s="397"/>
      <c r="CB176" s="397"/>
      <c r="CC176" s="397"/>
      <c r="CD176" s="397"/>
      <c r="CE176" s="397"/>
      <c r="CF176" s="397"/>
      <c r="CG176" s="397"/>
      <c r="CH176" s="397"/>
      <c r="CI176" s="397"/>
      <c r="CJ176" s="397"/>
      <c r="CK176" s="397"/>
      <c r="CL176" s="397"/>
      <c r="CM176" s="397"/>
      <c r="CN176" s="397"/>
      <c r="CO176" s="397"/>
      <c r="CP176" s="397"/>
      <c r="CQ176" s="397"/>
      <c r="CR176" s="397"/>
      <c r="CS176" s="397"/>
      <c r="CT176" s="397"/>
      <c r="CU176" s="397"/>
      <c r="CV176" s="397"/>
      <c r="CW176" s="397"/>
      <c r="CX176" s="397"/>
      <c r="CY176" s="397"/>
      <c r="CZ176" s="397"/>
      <c r="DA176" s="397"/>
      <c r="DB176" s="397"/>
      <c r="DC176" s="397"/>
      <c r="DD176" s="397"/>
      <c r="DE176" s="397"/>
      <c r="DF176" s="397"/>
      <c r="DG176" s="397"/>
      <c r="DH176" s="397"/>
      <c r="DI176" s="397"/>
      <c r="DJ176" s="397"/>
      <c r="DK176" s="397"/>
      <c r="DL176" s="397"/>
      <c r="DM176" s="397"/>
      <c r="DN176" s="397"/>
      <c r="DO176" s="397"/>
      <c r="DP176" s="397"/>
      <c r="DQ176" s="397"/>
      <c r="DR176" s="397"/>
      <c r="DS176" s="397"/>
      <c r="DT176" s="397"/>
      <c r="DU176" s="397"/>
      <c r="DV176" s="397"/>
      <c r="DW176" s="397"/>
      <c r="DX176" s="397"/>
      <c r="DY176" s="397"/>
      <c r="DZ176" s="397"/>
      <c r="EA176" s="397"/>
      <c r="EB176" s="397"/>
      <c r="EC176" s="397"/>
      <c r="ED176" s="397"/>
      <c r="EE176" s="397"/>
      <c r="EF176" s="397"/>
      <c r="EG176" s="397"/>
      <c r="EH176" s="397"/>
      <c r="EI176" s="397"/>
      <c r="EJ176" s="397"/>
      <c r="EK176" s="397"/>
      <c r="EL176" s="397"/>
      <c r="EM176" s="397"/>
      <c r="EN176" s="397"/>
      <c r="EO176" s="397"/>
      <c r="EP176" s="397"/>
      <c r="EQ176" s="397"/>
      <c r="ER176" s="397"/>
      <c r="ES176" s="397"/>
      <c r="ET176" s="397"/>
      <c r="EU176" s="397"/>
      <c r="EV176" s="397"/>
      <c r="EW176" s="397"/>
      <c r="EX176" s="397"/>
      <c r="EY176" s="397"/>
      <c r="EZ176" s="397"/>
      <c r="FA176" s="397"/>
      <c r="FB176" s="397"/>
      <c r="FC176" s="397"/>
      <c r="FD176" s="397"/>
      <c r="FE176" s="397"/>
      <c r="FF176" s="397"/>
      <c r="FG176" s="397"/>
      <c r="FH176" s="397"/>
      <c r="FI176" s="397"/>
      <c r="FJ176" s="397"/>
      <c r="FK176" s="397"/>
      <c r="FL176" s="397"/>
      <c r="FM176" s="397"/>
      <c r="FN176" s="397"/>
      <c r="FO176" s="397"/>
      <c r="FP176" s="397"/>
      <c r="FQ176" s="397"/>
      <c r="FR176" s="397"/>
      <c r="FS176" s="397"/>
      <c r="FT176" s="397"/>
      <c r="FU176" s="397"/>
      <c r="FV176" s="397"/>
      <c r="FW176" s="397"/>
      <c r="FX176" s="397"/>
      <c r="FY176" s="397"/>
      <c r="FZ176" s="397"/>
      <c r="GA176" s="397"/>
      <c r="GB176" s="397"/>
      <c r="GC176" s="397"/>
      <c r="GD176" s="397"/>
      <c r="GE176" s="397"/>
      <c r="GF176" s="397"/>
      <c r="GG176" s="397"/>
      <c r="GH176" s="397"/>
      <c r="GI176" s="397"/>
      <c r="GJ176" s="397"/>
      <c r="GK176" s="397"/>
      <c r="GL176" s="397"/>
      <c r="GM176" s="397"/>
      <c r="GN176" s="397"/>
      <c r="GO176" s="397"/>
      <c r="GP176" s="397"/>
      <c r="GQ176" s="397"/>
      <c r="GR176" s="397"/>
      <c r="GS176" s="397"/>
      <c r="GT176" s="397"/>
      <c r="GU176" s="397"/>
      <c r="GV176" s="397"/>
      <c r="GW176" s="397"/>
      <c r="GX176" s="397"/>
      <c r="GY176" s="397"/>
      <c r="GZ176" s="397"/>
      <c r="HA176" s="397"/>
      <c r="HB176" s="397"/>
      <c r="HC176" s="397"/>
      <c r="HD176" s="397"/>
      <c r="HE176" s="397"/>
      <c r="HF176" s="397"/>
      <c r="HG176" s="397"/>
      <c r="HH176" s="397"/>
      <c r="HI176" s="397"/>
      <c r="HJ176" s="397"/>
      <c r="HK176" s="397"/>
      <c r="HL176" s="397"/>
      <c r="HM176" s="397"/>
      <c r="HN176" s="397"/>
      <c r="HO176" s="397"/>
      <c r="HP176" s="397"/>
      <c r="HQ176" s="397"/>
      <c r="HR176" s="397"/>
      <c r="HS176" s="397"/>
      <c r="HT176" s="397"/>
      <c r="HU176" s="397"/>
      <c r="HV176" s="397"/>
      <c r="HW176" s="397"/>
      <c r="HX176" s="397"/>
      <c r="HY176" s="397"/>
      <c r="HZ176" s="397"/>
      <c r="IA176" s="397"/>
      <c r="IB176" s="397"/>
      <c r="IC176" s="397"/>
      <c r="ID176" s="397"/>
      <c r="IE176" s="397"/>
      <c r="IF176" s="397"/>
      <c r="IG176" s="397"/>
      <c r="IH176" s="397"/>
      <c r="II176" s="397"/>
      <c r="IJ176" s="397"/>
      <c r="IK176" s="397"/>
      <c r="IL176" s="397"/>
      <c r="IM176" s="397"/>
      <c r="IN176" s="397"/>
      <c r="IO176" s="397"/>
      <c r="IP176" s="397"/>
      <c r="IQ176" s="397"/>
      <c r="IR176" s="397"/>
    </row>
    <row r="177" spans="2:252" s="183" customFormat="1" ht="25.15" customHeight="1" x14ac:dyDescent="0.25">
      <c r="B177" s="85">
        <v>40909</v>
      </c>
      <c r="C177" s="184">
        <v>414490.82698000001</v>
      </c>
      <c r="D177" s="184">
        <f>NetWorth[[#This Row],[Worth]]-C178</f>
        <v>9705.3077800000319</v>
      </c>
      <c r="E177" s="1"/>
      <c r="V177" s="397"/>
      <c r="W177" s="397"/>
      <c r="X177" s="397"/>
      <c r="Y177" s="397"/>
      <c r="Z177" s="397"/>
      <c r="AA177" s="397"/>
      <c r="AB177" s="397"/>
      <c r="AC177" s="397"/>
      <c r="AD177" s="397"/>
      <c r="AE177" s="397"/>
      <c r="AF177" s="397"/>
      <c r="AG177" s="397"/>
      <c r="AH177" s="397"/>
      <c r="AI177" s="397"/>
      <c r="AJ177" s="397"/>
      <c r="AK177" s="397"/>
      <c r="AL177" s="397"/>
      <c r="AM177" s="397"/>
      <c r="AN177" s="397"/>
      <c r="AO177" s="397"/>
      <c r="AP177" s="397"/>
      <c r="AQ177" s="397"/>
      <c r="AR177" s="397"/>
      <c r="AS177" s="397"/>
      <c r="AT177" s="397"/>
      <c r="AU177" s="397"/>
      <c r="AV177" s="397"/>
      <c r="AW177" s="397"/>
      <c r="AX177" s="397"/>
      <c r="AY177" s="397"/>
      <c r="AZ177" s="397"/>
      <c r="BA177" s="397"/>
      <c r="BB177" s="397"/>
      <c r="BC177" s="397"/>
      <c r="BD177" s="397"/>
      <c r="BE177" s="397"/>
      <c r="BF177" s="397"/>
      <c r="BG177" s="397"/>
      <c r="BH177" s="397"/>
      <c r="BI177" s="397"/>
      <c r="BJ177" s="397"/>
      <c r="BK177" s="397"/>
      <c r="BL177" s="397"/>
      <c r="BM177" s="397"/>
      <c r="BN177" s="397"/>
      <c r="BO177" s="397"/>
      <c r="BP177" s="397"/>
      <c r="BQ177" s="397"/>
      <c r="BR177" s="397"/>
      <c r="BS177" s="397"/>
      <c r="BT177" s="397"/>
      <c r="BU177" s="397"/>
      <c r="BV177" s="397"/>
      <c r="BW177" s="397"/>
      <c r="BX177" s="397"/>
      <c r="BY177" s="397"/>
      <c r="BZ177" s="397"/>
      <c r="CA177" s="397"/>
      <c r="CB177" s="397"/>
      <c r="CC177" s="397"/>
      <c r="CD177" s="397"/>
      <c r="CE177" s="397"/>
      <c r="CF177" s="397"/>
      <c r="CG177" s="397"/>
      <c r="CH177" s="397"/>
      <c r="CI177" s="397"/>
      <c r="CJ177" s="397"/>
      <c r="CK177" s="397"/>
      <c r="CL177" s="397"/>
      <c r="CM177" s="397"/>
      <c r="CN177" s="397"/>
      <c r="CO177" s="397"/>
      <c r="CP177" s="397"/>
      <c r="CQ177" s="397"/>
      <c r="CR177" s="397"/>
      <c r="CS177" s="397"/>
      <c r="CT177" s="397"/>
      <c r="CU177" s="397"/>
      <c r="CV177" s="397"/>
      <c r="CW177" s="397"/>
      <c r="CX177" s="397"/>
      <c r="CY177" s="397"/>
      <c r="CZ177" s="397"/>
      <c r="DA177" s="397"/>
      <c r="DB177" s="397"/>
      <c r="DC177" s="397"/>
      <c r="DD177" s="397"/>
      <c r="DE177" s="397"/>
      <c r="DF177" s="397"/>
      <c r="DG177" s="397"/>
      <c r="DH177" s="397"/>
      <c r="DI177" s="397"/>
      <c r="DJ177" s="397"/>
      <c r="DK177" s="397"/>
      <c r="DL177" s="397"/>
      <c r="DM177" s="397"/>
      <c r="DN177" s="397"/>
      <c r="DO177" s="397"/>
      <c r="DP177" s="397"/>
      <c r="DQ177" s="397"/>
      <c r="DR177" s="397"/>
      <c r="DS177" s="397"/>
      <c r="DT177" s="397"/>
      <c r="DU177" s="397"/>
      <c r="DV177" s="397"/>
      <c r="DW177" s="397"/>
      <c r="DX177" s="397"/>
      <c r="DY177" s="397"/>
      <c r="DZ177" s="397"/>
      <c r="EA177" s="397"/>
      <c r="EB177" s="397"/>
      <c r="EC177" s="397"/>
      <c r="ED177" s="397"/>
      <c r="EE177" s="397"/>
      <c r="EF177" s="397"/>
      <c r="EG177" s="397"/>
      <c r="EH177" s="397"/>
      <c r="EI177" s="397"/>
      <c r="EJ177" s="397"/>
      <c r="EK177" s="397"/>
      <c r="EL177" s="397"/>
      <c r="EM177" s="397"/>
      <c r="EN177" s="397"/>
      <c r="EO177" s="397"/>
      <c r="EP177" s="397"/>
      <c r="EQ177" s="397"/>
      <c r="ER177" s="397"/>
      <c r="ES177" s="397"/>
      <c r="ET177" s="397"/>
      <c r="EU177" s="397"/>
      <c r="EV177" s="397"/>
      <c r="EW177" s="397"/>
      <c r="EX177" s="397"/>
      <c r="EY177" s="397"/>
      <c r="EZ177" s="397"/>
      <c r="FA177" s="397"/>
      <c r="FB177" s="397"/>
      <c r="FC177" s="397"/>
      <c r="FD177" s="397"/>
      <c r="FE177" s="397"/>
      <c r="FF177" s="397"/>
      <c r="FG177" s="397"/>
      <c r="FH177" s="397"/>
      <c r="FI177" s="397"/>
      <c r="FJ177" s="397"/>
      <c r="FK177" s="397"/>
      <c r="FL177" s="397"/>
      <c r="FM177" s="397"/>
      <c r="FN177" s="397"/>
      <c r="FO177" s="397"/>
      <c r="FP177" s="397"/>
      <c r="FQ177" s="397"/>
      <c r="FR177" s="397"/>
      <c r="FS177" s="397"/>
      <c r="FT177" s="397"/>
      <c r="FU177" s="397"/>
      <c r="FV177" s="397"/>
      <c r="FW177" s="397"/>
      <c r="FX177" s="397"/>
      <c r="FY177" s="397"/>
      <c r="FZ177" s="397"/>
      <c r="GA177" s="397"/>
      <c r="GB177" s="397"/>
      <c r="GC177" s="397"/>
      <c r="GD177" s="397"/>
      <c r="GE177" s="397"/>
      <c r="GF177" s="397"/>
      <c r="GG177" s="397"/>
      <c r="GH177" s="397"/>
      <c r="GI177" s="397"/>
      <c r="GJ177" s="397"/>
      <c r="GK177" s="397"/>
      <c r="GL177" s="397"/>
      <c r="GM177" s="397"/>
      <c r="GN177" s="397"/>
      <c r="GO177" s="397"/>
      <c r="GP177" s="397"/>
      <c r="GQ177" s="397"/>
      <c r="GR177" s="397"/>
      <c r="GS177" s="397"/>
      <c r="GT177" s="397"/>
      <c r="GU177" s="397"/>
      <c r="GV177" s="397"/>
      <c r="GW177" s="397"/>
      <c r="GX177" s="397"/>
      <c r="GY177" s="397"/>
      <c r="GZ177" s="397"/>
      <c r="HA177" s="397"/>
      <c r="HB177" s="397"/>
      <c r="HC177" s="397"/>
      <c r="HD177" s="397"/>
      <c r="HE177" s="397"/>
      <c r="HF177" s="397"/>
      <c r="HG177" s="397"/>
      <c r="HH177" s="397"/>
      <c r="HI177" s="397"/>
      <c r="HJ177" s="397"/>
      <c r="HK177" s="397"/>
      <c r="HL177" s="397"/>
      <c r="HM177" s="397"/>
      <c r="HN177" s="397"/>
      <c r="HO177" s="397"/>
      <c r="HP177" s="397"/>
      <c r="HQ177" s="397"/>
      <c r="HR177" s="397"/>
      <c r="HS177" s="397"/>
      <c r="HT177" s="397"/>
      <c r="HU177" s="397"/>
      <c r="HV177" s="397"/>
      <c r="HW177" s="397"/>
      <c r="HX177" s="397"/>
      <c r="HY177" s="397"/>
      <c r="HZ177" s="397"/>
      <c r="IA177" s="397"/>
      <c r="IB177" s="397"/>
      <c r="IC177" s="397"/>
      <c r="ID177" s="397"/>
      <c r="IE177" s="397"/>
      <c r="IF177" s="397"/>
      <c r="IG177" s="397"/>
      <c r="IH177" s="397"/>
      <c r="II177" s="397"/>
      <c r="IJ177" s="397"/>
      <c r="IK177" s="397"/>
      <c r="IL177" s="397"/>
      <c r="IM177" s="397"/>
      <c r="IN177" s="397"/>
      <c r="IO177" s="397"/>
      <c r="IP177" s="397"/>
      <c r="IQ177" s="397"/>
      <c r="IR177" s="397"/>
    </row>
    <row r="178" spans="2:252" s="183" customFormat="1" ht="25.15" customHeight="1" x14ac:dyDescent="0.25">
      <c r="B178" s="85">
        <v>40878</v>
      </c>
      <c r="C178" s="184">
        <v>404785.51919999998</v>
      </c>
      <c r="D178" s="184">
        <f>NetWorth[[#This Row],[Worth]]-C179</f>
        <v>-1036.4745429999894</v>
      </c>
      <c r="E178" s="1" t="s">
        <v>97</v>
      </c>
      <c r="V178" s="397"/>
      <c r="W178" s="397"/>
      <c r="X178" s="397"/>
      <c r="Y178" s="397"/>
      <c r="Z178" s="397"/>
      <c r="AA178" s="397"/>
      <c r="AB178" s="397"/>
      <c r="AC178" s="397"/>
      <c r="AD178" s="397"/>
      <c r="AE178" s="397"/>
      <c r="AF178" s="397"/>
      <c r="AG178" s="397"/>
      <c r="AH178" s="397"/>
      <c r="AI178" s="397"/>
      <c r="AJ178" s="397"/>
      <c r="AK178" s="397"/>
      <c r="AL178" s="397"/>
      <c r="AM178" s="397"/>
      <c r="AN178" s="397"/>
      <c r="AO178" s="397"/>
      <c r="AP178" s="397"/>
      <c r="AQ178" s="397"/>
      <c r="AR178" s="397"/>
      <c r="AS178" s="397"/>
      <c r="AT178" s="397"/>
      <c r="AU178" s="397"/>
      <c r="AV178" s="397"/>
      <c r="AW178" s="397"/>
      <c r="AX178" s="397"/>
      <c r="AY178" s="397"/>
      <c r="AZ178" s="397"/>
      <c r="BA178" s="397"/>
      <c r="BB178" s="397"/>
      <c r="BC178" s="397"/>
      <c r="BD178" s="397"/>
      <c r="BE178" s="397"/>
      <c r="BF178" s="397"/>
      <c r="BG178" s="397"/>
      <c r="BH178" s="397"/>
      <c r="BI178" s="397"/>
      <c r="BJ178" s="397"/>
      <c r="BK178" s="397"/>
      <c r="BL178" s="397"/>
      <c r="BM178" s="397"/>
      <c r="BN178" s="397"/>
      <c r="BO178" s="397"/>
      <c r="BP178" s="397"/>
      <c r="BQ178" s="397"/>
      <c r="BR178" s="397"/>
      <c r="BS178" s="397"/>
      <c r="BT178" s="397"/>
      <c r="BU178" s="397"/>
      <c r="BV178" s="397"/>
      <c r="BW178" s="397"/>
      <c r="BX178" s="397"/>
      <c r="BY178" s="397"/>
      <c r="BZ178" s="397"/>
      <c r="CA178" s="397"/>
      <c r="CB178" s="397"/>
      <c r="CC178" s="397"/>
      <c r="CD178" s="397"/>
      <c r="CE178" s="397"/>
      <c r="CF178" s="397"/>
      <c r="CG178" s="397"/>
      <c r="CH178" s="397"/>
      <c r="CI178" s="397"/>
      <c r="CJ178" s="397"/>
      <c r="CK178" s="397"/>
      <c r="CL178" s="397"/>
      <c r="CM178" s="397"/>
      <c r="CN178" s="397"/>
      <c r="CO178" s="397"/>
      <c r="CP178" s="397"/>
      <c r="CQ178" s="397"/>
      <c r="CR178" s="397"/>
      <c r="CS178" s="397"/>
      <c r="CT178" s="397"/>
      <c r="CU178" s="397"/>
      <c r="CV178" s="397"/>
      <c r="CW178" s="397"/>
      <c r="CX178" s="397"/>
      <c r="CY178" s="397"/>
      <c r="CZ178" s="397"/>
      <c r="DA178" s="397"/>
      <c r="DB178" s="397"/>
      <c r="DC178" s="397"/>
      <c r="DD178" s="397"/>
      <c r="DE178" s="397"/>
      <c r="DF178" s="397"/>
      <c r="DG178" s="397"/>
      <c r="DH178" s="397"/>
      <c r="DI178" s="397"/>
      <c r="DJ178" s="397"/>
      <c r="DK178" s="397"/>
      <c r="DL178" s="397"/>
      <c r="DM178" s="397"/>
      <c r="DN178" s="397"/>
      <c r="DO178" s="397"/>
      <c r="DP178" s="397"/>
      <c r="DQ178" s="397"/>
      <c r="DR178" s="397"/>
      <c r="DS178" s="397"/>
      <c r="DT178" s="397"/>
      <c r="DU178" s="397"/>
      <c r="DV178" s="397"/>
      <c r="DW178" s="397"/>
      <c r="DX178" s="397"/>
      <c r="DY178" s="397"/>
      <c r="DZ178" s="397"/>
      <c r="EA178" s="397"/>
      <c r="EB178" s="397"/>
      <c r="EC178" s="397"/>
      <c r="ED178" s="397"/>
      <c r="EE178" s="397"/>
      <c r="EF178" s="397"/>
      <c r="EG178" s="397"/>
      <c r="EH178" s="397"/>
      <c r="EI178" s="397"/>
      <c r="EJ178" s="397"/>
      <c r="EK178" s="397"/>
      <c r="EL178" s="397"/>
      <c r="EM178" s="397"/>
      <c r="EN178" s="397"/>
      <c r="EO178" s="397"/>
      <c r="EP178" s="397"/>
      <c r="EQ178" s="397"/>
      <c r="ER178" s="397"/>
      <c r="ES178" s="397"/>
      <c r="ET178" s="397"/>
      <c r="EU178" s="397"/>
      <c r="EV178" s="397"/>
      <c r="EW178" s="397"/>
      <c r="EX178" s="397"/>
      <c r="EY178" s="397"/>
      <c r="EZ178" s="397"/>
      <c r="FA178" s="397"/>
      <c r="FB178" s="397"/>
      <c r="FC178" s="397"/>
      <c r="FD178" s="397"/>
      <c r="FE178" s="397"/>
      <c r="FF178" s="397"/>
      <c r="FG178" s="397"/>
      <c r="FH178" s="397"/>
      <c r="FI178" s="397"/>
      <c r="FJ178" s="397"/>
      <c r="FK178" s="397"/>
      <c r="FL178" s="397"/>
      <c r="FM178" s="397"/>
      <c r="FN178" s="397"/>
      <c r="FO178" s="397"/>
      <c r="FP178" s="397"/>
      <c r="FQ178" s="397"/>
      <c r="FR178" s="397"/>
      <c r="FS178" s="397"/>
      <c r="FT178" s="397"/>
      <c r="FU178" s="397"/>
      <c r="FV178" s="397"/>
      <c r="FW178" s="397"/>
      <c r="FX178" s="397"/>
      <c r="FY178" s="397"/>
      <c r="FZ178" s="397"/>
      <c r="GA178" s="397"/>
      <c r="GB178" s="397"/>
      <c r="GC178" s="397"/>
      <c r="GD178" s="397"/>
      <c r="GE178" s="397"/>
      <c r="GF178" s="397"/>
      <c r="GG178" s="397"/>
      <c r="GH178" s="397"/>
      <c r="GI178" s="397"/>
      <c r="GJ178" s="397"/>
      <c r="GK178" s="397"/>
      <c r="GL178" s="397"/>
      <c r="GM178" s="397"/>
      <c r="GN178" s="397"/>
      <c r="GO178" s="397"/>
      <c r="GP178" s="397"/>
      <c r="GQ178" s="397"/>
      <c r="GR178" s="397"/>
      <c r="GS178" s="397"/>
      <c r="GT178" s="397"/>
      <c r="GU178" s="397"/>
      <c r="GV178" s="397"/>
      <c r="GW178" s="397"/>
      <c r="GX178" s="397"/>
      <c r="GY178" s="397"/>
      <c r="GZ178" s="397"/>
      <c r="HA178" s="397"/>
      <c r="HB178" s="397"/>
      <c r="HC178" s="397"/>
      <c r="HD178" s="397"/>
      <c r="HE178" s="397"/>
      <c r="HF178" s="397"/>
      <c r="HG178" s="397"/>
      <c r="HH178" s="397"/>
      <c r="HI178" s="397"/>
      <c r="HJ178" s="397"/>
      <c r="HK178" s="397"/>
      <c r="HL178" s="397"/>
      <c r="HM178" s="397"/>
      <c r="HN178" s="397"/>
      <c r="HO178" s="397"/>
      <c r="HP178" s="397"/>
      <c r="HQ178" s="397"/>
      <c r="HR178" s="397"/>
      <c r="HS178" s="397"/>
      <c r="HT178" s="397"/>
      <c r="HU178" s="397"/>
      <c r="HV178" s="397"/>
      <c r="HW178" s="397"/>
      <c r="HX178" s="397"/>
      <c r="HY178" s="397"/>
      <c r="HZ178" s="397"/>
      <c r="IA178" s="397"/>
      <c r="IB178" s="397"/>
      <c r="IC178" s="397"/>
      <c r="ID178" s="397"/>
      <c r="IE178" s="397"/>
      <c r="IF178" s="397"/>
      <c r="IG178" s="397"/>
      <c r="IH178" s="397"/>
      <c r="II178" s="397"/>
      <c r="IJ178" s="397"/>
      <c r="IK178" s="397"/>
      <c r="IL178" s="397"/>
      <c r="IM178" s="397"/>
      <c r="IN178" s="397"/>
      <c r="IO178" s="397"/>
      <c r="IP178" s="397"/>
      <c r="IQ178" s="397"/>
      <c r="IR178" s="397"/>
    </row>
    <row r="179" spans="2:252" s="183" customFormat="1" ht="25.15" customHeight="1" x14ac:dyDescent="0.25">
      <c r="B179" s="85">
        <v>40848</v>
      </c>
      <c r="C179" s="184">
        <v>405821.99374299997</v>
      </c>
      <c r="D179" s="184">
        <f>NetWorth[[#This Row],[Worth]]-C180</f>
        <v>-699.81687700003386</v>
      </c>
      <c r="E179" s="1"/>
      <c r="V179" s="397"/>
      <c r="W179" s="397"/>
      <c r="X179" s="397"/>
      <c r="Y179" s="397"/>
      <c r="Z179" s="397"/>
      <c r="AA179" s="397"/>
      <c r="AB179" s="397"/>
      <c r="AC179" s="397"/>
      <c r="AD179" s="397"/>
      <c r="AE179" s="397"/>
      <c r="AF179" s="397"/>
      <c r="AG179" s="397"/>
      <c r="AH179" s="397"/>
      <c r="AI179" s="397"/>
      <c r="AJ179" s="397"/>
      <c r="AK179" s="397"/>
      <c r="AL179" s="397"/>
      <c r="AM179" s="397"/>
      <c r="AN179" s="397"/>
      <c r="AO179" s="397"/>
      <c r="AP179" s="397"/>
      <c r="AQ179" s="397"/>
      <c r="AR179" s="397"/>
      <c r="AS179" s="397"/>
      <c r="AT179" s="397"/>
      <c r="AU179" s="397"/>
      <c r="AV179" s="397"/>
      <c r="AW179" s="397"/>
      <c r="AX179" s="397"/>
      <c r="AY179" s="397"/>
      <c r="AZ179" s="397"/>
      <c r="BA179" s="397"/>
      <c r="BB179" s="397"/>
      <c r="BC179" s="397"/>
      <c r="BD179" s="397"/>
      <c r="BE179" s="397"/>
      <c r="BF179" s="397"/>
      <c r="BG179" s="397"/>
      <c r="BH179" s="397"/>
      <c r="BI179" s="397"/>
      <c r="BJ179" s="397"/>
      <c r="BK179" s="397"/>
      <c r="BL179" s="397"/>
      <c r="BM179" s="397"/>
      <c r="BN179" s="397"/>
      <c r="BO179" s="397"/>
      <c r="BP179" s="397"/>
      <c r="BQ179" s="397"/>
      <c r="BR179" s="397"/>
      <c r="BS179" s="397"/>
      <c r="BT179" s="397"/>
      <c r="BU179" s="397"/>
      <c r="BV179" s="397"/>
      <c r="BW179" s="397"/>
      <c r="BX179" s="397"/>
      <c r="BY179" s="397"/>
      <c r="BZ179" s="397"/>
      <c r="CA179" s="397"/>
      <c r="CB179" s="397"/>
      <c r="CC179" s="397"/>
      <c r="CD179" s="397"/>
      <c r="CE179" s="397"/>
      <c r="CF179" s="397"/>
      <c r="CG179" s="397"/>
      <c r="CH179" s="397"/>
      <c r="CI179" s="397"/>
      <c r="CJ179" s="397"/>
      <c r="CK179" s="397"/>
      <c r="CL179" s="397"/>
      <c r="CM179" s="397"/>
      <c r="CN179" s="397"/>
      <c r="CO179" s="397"/>
      <c r="CP179" s="397"/>
      <c r="CQ179" s="397"/>
      <c r="CR179" s="397"/>
      <c r="CS179" s="397"/>
      <c r="CT179" s="397"/>
      <c r="CU179" s="397"/>
      <c r="CV179" s="397"/>
      <c r="CW179" s="397"/>
      <c r="CX179" s="397"/>
      <c r="CY179" s="397"/>
      <c r="CZ179" s="397"/>
      <c r="DA179" s="397"/>
      <c r="DB179" s="397"/>
      <c r="DC179" s="397"/>
      <c r="DD179" s="397"/>
      <c r="DE179" s="397"/>
      <c r="DF179" s="397"/>
      <c r="DG179" s="397"/>
      <c r="DH179" s="397"/>
      <c r="DI179" s="397"/>
      <c r="DJ179" s="397"/>
      <c r="DK179" s="397"/>
      <c r="DL179" s="397"/>
      <c r="DM179" s="397"/>
      <c r="DN179" s="397"/>
      <c r="DO179" s="397"/>
      <c r="DP179" s="397"/>
      <c r="DQ179" s="397"/>
      <c r="DR179" s="397"/>
      <c r="DS179" s="397"/>
      <c r="DT179" s="397"/>
      <c r="DU179" s="397"/>
      <c r="DV179" s="397"/>
      <c r="DW179" s="397"/>
      <c r="DX179" s="397"/>
      <c r="DY179" s="397"/>
      <c r="DZ179" s="397"/>
      <c r="EA179" s="397"/>
      <c r="EB179" s="397"/>
      <c r="EC179" s="397"/>
      <c r="ED179" s="397"/>
      <c r="EE179" s="397"/>
      <c r="EF179" s="397"/>
      <c r="EG179" s="397"/>
      <c r="EH179" s="397"/>
      <c r="EI179" s="397"/>
      <c r="EJ179" s="397"/>
      <c r="EK179" s="397"/>
      <c r="EL179" s="397"/>
      <c r="EM179" s="397"/>
      <c r="EN179" s="397"/>
      <c r="EO179" s="397"/>
      <c r="EP179" s="397"/>
      <c r="EQ179" s="397"/>
      <c r="ER179" s="397"/>
      <c r="ES179" s="397"/>
      <c r="ET179" s="397"/>
      <c r="EU179" s="397"/>
      <c r="EV179" s="397"/>
      <c r="EW179" s="397"/>
      <c r="EX179" s="397"/>
      <c r="EY179" s="397"/>
      <c r="EZ179" s="397"/>
      <c r="FA179" s="397"/>
      <c r="FB179" s="397"/>
      <c r="FC179" s="397"/>
      <c r="FD179" s="397"/>
      <c r="FE179" s="397"/>
      <c r="FF179" s="397"/>
      <c r="FG179" s="397"/>
      <c r="FH179" s="397"/>
      <c r="FI179" s="397"/>
      <c r="FJ179" s="397"/>
      <c r="FK179" s="397"/>
      <c r="FL179" s="397"/>
      <c r="FM179" s="397"/>
      <c r="FN179" s="397"/>
      <c r="FO179" s="397"/>
      <c r="FP179" s="397"/>
      <c r="FQ179" s="397"/>
      <c r="FR179" s="397"/>
      <c r="FS179" s="397"/>
      <c r="FT179" s="397"/>
      <c r="FU179" s="397"/>
      <c r="FV179" s="397"/>
      <c r="FW179" s="397"/>
      <c r="FX179" s="397"/>
      <c r="FY179" s="397"/>
      <c r="FZ179" s="397"/>
      <c r="GA179" s="397"/>
      <c r="GB179" s="397"/>
      <c r="GC179" s="397"/>
      <c r="GD179" s="397"/>
      <c r="GE179" s="397"/>
      <c r="GF179" s="397"/>
      <c r="GG179" s="397"/>
      <c r="GH179" s="397"/>
      <c r="GI179" s="397"/>
      <c r="GJ179" s="397"/>
      <c r="GK179" s="397"/>
      <c r="GL179" s="397"/>
      <c r="GM179" s="397"/>
      <c r="GN179" s="397"/>
      <c r="GO179" s="397"/>
      <c r="GP179" s="397"/>
      <c r="GQ179" s="397"/>
      <c r="GR179" s="397"/>
      <c r="GS179" s="397"/>
      <c r="GT179" s="397"/>
      <c r="GU179" s="397"/>
      <c r="GV179" s="397"/>
      <c r="GW179" s="397"/>
      <c r="GX179" s="397"/>
      <c r="GY179" s="397"/>
      <c r="GZ179" s="397"/>
      <c r="HA179" s="397"/>
      <c r="HB179" s="397"/>
      <c r="HC179" s="397"/>
      <c r="HD179" s="397"/>
      <c r="HE179" s="397"/>
      <c r="HF179" s="397"/>
      <c r="HG179" s="397"/>
      <c r="HH179" s="397"/>
      <c r="HI179" s="397"/>
      <c r="HJ179" s="397"/>
      <c r="HK179" s="397"/>
      <c r="HL179" s="397"/>
      <c r="HM179" s="397"/>
      <c r="HN179" s="397"/>
      <c r="HO179" s="397"/>
      <c r="HP179" s="397"/>
      <c r="HQ179" s="397"/>
      <c r="HR179" s="397"/>
      <c r="HS179" s="397"/>
      <c r="HT179" s="397"/>
      <c r="HU179" s="397"/>
      <c r="HV179" s="397"/>
      <c r="HW179" s="397"/>
      <c r="HX179" s="397"/>
      <c r="HY179" s="397"/>
      <c r="HZ179" s="397"/>
      <c r="IA179" s="397"/>
      <c r="IB179" s="397"/>
      <c r="IC179" s="397"/>
      <c r="ID179" s="397"/>
      <c r="IE179" s="397"/>
      <c r="IF179" s="397"/>
      <c r="IG179" s="397"/>
      <c r="IH179" s="397"/>
      <c r="II179" s="397"/>
      <c r="IJ179" s="397"/>
      <c r="IK179" s="397"/>
      <c r="IL179" s="397"/>
      <c r="IM179" s="397"/>
      <c r="IN179" s="397"/>
      <c r="IO179" s="397"/>
      <c r="IP179" s="397"/>
      <c r="IQ179" s="397"/>
      <c r="IR179" s="397"/>
    </row>
    <row r="180" spans="2:252" s="183" customFormat="1" ht="25.15" customHeight="1" x14ac:dyDescent="0.25">
      <c r="B180" s="85">
        <v>40817</v>
      </c>
      <c r="C180" s="184">
        <v>406521.81062</v>
      </c>
      <c r="D180" s="184">
        <f>NetWorth[[#This Row],[Worth]]-C181</f>
        <v>16738.572065000015</v>
      </c>
      <c r="E180" s="1"/>
      <c r="V180" s="397"/>
      <c r="W180" s="397"/>
      <c r="X180" s="397"/>
      <c r="Y180" s="397"/>
      <c r="Z180" s="397"/>
      <c r="AA180" s="397"/>
      <c r="AB180" s="397"/>
      <c r="AC180" s="397"/>
      <c r="AD180" s="397"/>
      <c r="AE180" s="397"/>
      <c r="AF180" s="397"/>
      <c r="AG180" s="397"/>
      <c r="AH180" s="397"/>
      <c r="AI180" s="397"/>
      <c r="AJ180" s="397"/>
      <c r="AK180" s="397"/>
      <c r="AL180" s="397"/>
      <c r="AM180" s="397"/>
      <c r="AN180" s="397"/>
      <c r="AO180" s="397"/>
      <c r="AP180" s="397"/>
      <c r="AQ180" s="397"/>
      <c r="AR180" s="397"/>
      <c r="AS180" s="397"/>
      <c r="AT180" s="397"/>
      <c r="AU180" s="397"/>
      <c r="AV180" s="397"/>
      <c r="AW180" s="397"/>
      <c r="AX180" s="397"/>
      <c r="AY180" s="397"/>
      <c r="AZ180" s="397"/>
      <c r="BA180" s="397"/>
      <c r="BB180" s="397"/>
      <c r="BC180" s="397"/>
      <c r="BD180" s="397"/>
      <c r="BE180" s="397"/>
      <c r="BF180" s="397"/>
      <c r="BG180" s="397"/>
      <c r="BH180" s="397"/>
      <c r="BI180" s="397"/>
      <c r="BJ180" s="397"/>
      <c r="BK180" s="397"/>
      <c r="BL180" s="397"/>
      <c r="BM180" s="397"/>
      <c r="BN180" s="397"/>
      <c r="BO180" s="397"/>
      <c r="BP180" s="397"/>
      <c r="BQ180" s="397"/>
      <c r="BR180" s="397"/>
      <c r="BS180" s="397"/>
      <c r="BT180" s="397"/>
      <c r="BU180" s="397"/>
      <c r="BV180" s="397"/>
      <c r="BW180" s="397"/>
      <c r="BX180" s="397"/>
      <c r="BY180" s="397"/>
      <c r="BZ180" s="397"/>
      <c r="CA180" s="397"/>
      <c r="CB180" s="397"/>
      <c r="CC180" s="397"/>
      <c r="CD180" s="397"/>
      <c r="CE180" s="397"/>
      <c r="CF180" s="397"/>
      <c r="CG180" s="397"/>
      <c r="CH180" s="397"/>
      <c r="CI180" s="397"/>
      <c r="CJ180" s="397"/>
      <c r="CK180" s="397"/>
      <c r="CL180" s="397"/>
      <c r="CM180" s="397"/>
      <c r="CN180" s="397"/>
      <c r="CO180" s="397"/>
      <c r="CP180" s="397"/>
      <c r="CQ180" s="397"/>
      <c r="CR180" s="397"/>
      <c r="CS180" s="397"/>
      <c r="CT180" s="397"/>
      <c r="CU180" s="397"/>
      <c r="CV180" s="397"/>
      <c r="CW180" s="397"/>
      <c r="CX180" s="397"/>
      <c r="CY180" s="397"/>
      <c r="CZ180" s="397"/>
      <c r="DA180" s="397"/>
      <c r="DB180" s="397"/>
      <c r="DC180" s="397"/>
      <c r="DD180" s="397"/>
      <c r="DE180" s="397"/>
      <c r="DF180" s="397"/>
      <c r="DG180" s="397"/>
      <c r="DH180" s="397"/>
      <c r="DI180" s="397"/>
      <c r="DJ180" s="397"/>
      <c r="DK180" s="397"/>
      <c r="DL180" s="397"/>
      <c r="DM180" s="397"/>
      <c r="DN180" s="397"/>
      <c r="DO180" s="397"/>
      <c r="DP180" s="397"/>
      <c r="DQ180" s="397"/>
      <c r="DR180" s="397"/>
      <c r="DS180" s="397"/>
      <c r="DT180" s="397"/>
      <c r="DU180" s="397"/>
      <c r="DV180" s="397"/>
      <c r="DW180" s="397"/>
      <c r="DX180" s="397"/>
      <c r="DY180" s="397"/>
      <c r="DZ180" s="397"/>
      <c r="EA180" s="397"/>
      <c r="EB180" s="397"/>
      <c r="EC180" s="397"/>
      <c r="ED180" s="397"/>
      <c r="EE180" s="397"/>
      <c r="EF180" s="397"/>
      <c r="EG180" s="397"/>
      <c r="EH180" s="397"/>
      <c r="EI180" s="397"/>
      <c r="EJ180" s="397"/>
      <c r="EK180" s="397"/>
      <c r="EL180" s="397"/>
      <c r="EM180" s="397"/>
      <c r="EN180" s="397"/>
      <c r="EO180" s="397"/>
      <c r="EP180" s="397"/>
      <c r="EQ180" s="397"/>
      <c r="ER180" s="397"/>
      <c r="ES180" s="397"/>
      <c r="ET180" s="397"/>
      <c r="EU180" s="397"/>
      <c r="EV180" s="397"/>
      <c r="EW180" s="397"/>
      <c r="EX180" s="397"/>
      <c r="EY180" s="397"/>
      <c r="EZ180" s="397"/>
      <c r="FA180" s="397"/>
      <c r="FB180" s="397"/>
      <c r="FC180" s="397"/>
      <c r="FD180" s="397"/>
      <c r="FE180" s="397"/>
      <c r="FF180" s="397"/>
      <c r="FG180" s="397"/>
      <c r="FH180" s="397"/>
      <c r="FI180" s="397"/>
      <c r="FJ180" s="397"/>
      <c r="FK180" s="397"/>
      <c r="FL180" s="397"/>
      <c r="FM180" s="397"/>
      <c r="FN180" s="397"/>
      <c r="FO180" s="397"/>
      <c r="FP180" s="397"/>
      <c r="FQ180" s="397"/>
      <c r="FR180" s="397"/>
      <c r="FS180" s="397"/>
      <c r="FT180" s="397"/>
      <c r="FU180" s="397"/>
      <c r="FV180" s="397"/>
      <c r="FW180" s="397"/>
      <c r="FX180" s="397"/>
      <c r="FY180" s="397"/>
      <c r="FZ180" s="397"/>
      <c r="GA180" s="397"/>
      <c r="GB180" s="397"/>
      <c r="GC180" s="397"/>
      <c r="GD180" s="397"/>
      <c r="GE180" s="397"/>
      <c r="GF180" s="397"/>
      <c r="GG180" s="397"/>
      <c r="GH180" s="397"/>
      <c r="GI180" s="397"/>
      <c r="GJ180" s="397"/>
      <c r="GK180" s="397"/>
      <c r="GL180" s="397"/>
      <c r="GM180" s="397"/>
      <c r="GN180" s="397"/>
      <c r="GO180" s="397"/>
      <c r="GP180" s="397"/>
      <c r="GQ180" s="397"/>
      <c r="GR180" s="397"/>
      <c r="GS180" s="397"/>
      <c r="GT180" s="397"/>
      <c r="GU180" s="397"/>
      <c r="GV180" s="397"/>
      <c r="GW180" s="397"/>
      <c r="GX180" s="397"/>
      <c r="GY180" s="397"/>
      <c r="GZ180" s="397"/>
      <c r="HA180" s="397"/>
      <c r="HB180" s="397"/>
      <c r="HC180" s="397"/>
      <c r="HD180" s="397"/>
      <c r="HE180" s="397"/>
      <c r="HF180" s="397"/>
      <c r="HG180" s="397"/>
      <c r="HH180" s="397"/>
      <c r="HI180" s="397"/>
      <c r="HJ180" s="397"/>
      <c r="HK180" s="397"/>
      <c r="HL180" s="397"/>
      <c r="HM180" s="397"/>
      <c r="HN180" s="397"/>
      <c r="HO180" s="397"/>
      <c r="HP180" s="397"/>
      <c r="HQ180" s="397"/>
      <c r="HR180" s="397"/>
      <c r="HS180" s="397"/>
      <c r="HT180" s="397"/>
      <c r="HU180" s="397"/>
      <c r="HV180" s="397"/>
      <c r="HW180" s="397"/>
      <c r="HX180" s="397"/>
      <c r="HY180" s="397"/>
      <c r="HZ180" s="397"/>
      <c r="IA180" s="397"/>
      <c r="IB180" s="397"/>
      <c r="IC180" s="397"/>
      <c r="ID180" s="397"/>
      <c r="IE180" s="397"/>
      <c r="IF180" s="397"/>
      <c r="IG180" s="397"/>
      <c r="IH180" s="397"/>
      <c r="II180" s="397"/>
      <c r="IJ180" s="397"/>
      <c r="IK180" s="397"/>
      <c r="IL180" s="397"/>
      <c r="IM180" s="397"/>
      <c r="IN180" s="397"/>
      <c r="IO180" s="397"/>
      <c r="IP180" s="397"/>
      <c r="IQ180" s="397"/>
      <c r="IR180" s="397"/>
    </row>
    <row r="181" spans="2:252" s="183" customFormat="1" ht="25.15" customHeight="1" x14ac:dyDescent="0.25">
      <c r="B181" s="85">
        <v>40787</v>
      </c>
      <c r="C181" s="184">
        <v>389783.23855499999</v>
      </c>
      <c r="D181" s="184">
        <f>NetWorth[[#This Row],[Worth]]-C182</f>
        <v>4201.9999599999865</v>
      </c>
      <c r="E181" s="1" t="s">
        <v>92</v>
      </c>
      <c r="V181" s="397"/>
      <c r="W181" s="397"/>
      <c r="X181" s="397"/>
      <c r="Y181" s="397"/>
      <c r="Z181" s="397"/>
      <c r="AA181" s="397"/>
      <c r="AB181" s="397"/>
      <c r="AC181" s="397"/>
      <c r="AD181" s="397"/>
      <c r="AE181" s="397"/>
      <c r="AF181" s="397"/>
      <c r="AG181" s="397"/>
      <c r="AH181" s="397"/>
      <c r="AI181" s="397"/>
      <c r="AJ181" s="397"/>
      <c r="AK181" s="397"/>
      <c r="AL181" s="397"/>
      <c r="AM181" s="397"/>
      <c r="AN181" s="397"/>
      <c r="AO181" s="397"/>
      <c r="AP181" s="397"/>
      <c r="AQ181" s="397"/>
      <c r="AR181" s="397"/>
      <c r="AS181" s="397"/>
      <c r="AT181" s="397"/>
      <c r="AU181" s="397"/>
      <c r="AV181" s="397"/>
      <c r="AW181" s="397"/>
      <c r="AX181" s="397"/>
      <c r="AY181" s="397"/>
      <c r="AZ181" s="397"/>
      <c r="BA181" s="397"/>
      <c r="BB181" s="397"/>
      <c r="BC181" s="397"/>
      <c r="BD181" s="397"/>
      <c r="BE181" s="397"/>
      <c r="BF181" s="397"/>
      <c r="BG181" s="397"/>
      <c r="BH181" s="397"/>
      <c r="BI181" s="397"/>
      <c r="BJ181" s="397"/>
      <c r="BK181" s="397"/>
      <c r="BL181" s="397"/>
      <c r="BM181" s="397"/>
      <c r="BN181" s="397"/>
      <c r="BO181" s="397"/>
      <c r="BP181" s="397"/>
      <c r="BQ181" s="397"/>
      <c r="BR181" s="397"/>
      <c r="BS181" s="397"/>
      <c r="BT181" s="397"/>
      <c r="BU181" s="397"/>
      <c r="BV181" s="397"/>
      <c r="BW181" s="397"/>
      <c r="BX181" s="397"/>
      <c r="BY181" s="397"/>
      <c r="BZ181" s="397"/>
      <c r="CA181" s="397"/>
      <c r="CB181" s="397"/>
      <c r="CC181" s="397"/>
      <c r="CD181" s="397"/>
      <c r="CE181" s="397"/>
      <c r="CF181" s="397"/>
      <c r="CG181" s="397"/>
      <c r="CH181" s="397"/>
      <c r="CI181" s="397"/>
      <c r="CJ181" s="397"/>
      <c r="CK181" s="397"/>
      <c r="CL181" s="397"/>
      <c r="CM181" s="397"/>
      <c r="CN181" s="397"/>
      <c r="CO181" s="397"/>
      <c r="CP181" s="397"/>
      <c r="CQ181" s="397"/>
      <c r="CR181" s="397"/>
      <c r="CS181" s="397"/>
      <c r="CT181" s="397"/>
      <c r="CU181" s="397"/>
      <c r="CV181" s="397"/>
      <c r="CW181" s="397"/>
      <c r="CX181" s="397"/>
      <c r="CY181" s="397"/>
      <c r="CZ181" s="397"/>
      <c r="DA181" s="397"/>
      <c r="DB181" s="397"/>
      <c r="DC181" s="397"/>
      <c r="DD181" s="397"/>
      <c r="DE181" s="397"/>
      <c r="DF181" s="397"/>
      <c r="DG181" s="397"/>
      <c r="DH181" s="397"/>
      <c r="DI181" s="397"/>
      <c r="DJ181" s="397"/>
      <c r="DK181" s="397"/>
      <c r="DL181" s="397"/>
      <c r="DM181" s="397"/>
      <c r="DN181" s="397"/>
      <c r="DO181" s="397"/>
      <c r="DP181" s="397"/>
      <c r="DQ181" s="397"/>
      <c r="DR181" s="397"/>
      <c r="DS181" s="397"/>
      <c r="DT181" s="397"/>
      <c r="DU181" s="397"/>
      <c r="DV181" s="397"/>
      <c r="DW181" s="397"/>
      <c r="DX181" s="397"/>
      <c r="DY181" s="397"/>
      <c r="DZ181" s="397"/>
      <c r="EA181" s="397"/>
      <c r="EB181" s="397"/>
      <c r="EC181" s="397"/>
      <c r="ED181" s="397"/>
      <c r="EE181" s="397"/>
      <c r="EF181" s="397"/>
      <c r="EG181" s="397"/>
      <c r="EH181" s="397"/>
      <c r="EI181" s="397"/>
      <c r="EJ181" s="397"/>
      <c r="EK181" s="397"/>
      <c r="EL181" s="397"/>
      <c r="EM181" s="397"/>
      <c r="EN181" s="397"/>
      <c r="EO181" s="397"/>
      <c r="EP181" s="397"/>
      <c r="EQ181" s="397"/>
      <c r="ER181" s="397"/>
      <c r="ES181" s="397"/>
      <c r="ET181" s="397"/>
      <c r="EU181" s="397"/>
      <c r="EV181" s="397"/>
      <c r="EW181" s="397"/>
      <c r="EX181" s="397"/>
      <c r="EY181" s="397"/>
      <c r="EZ181" s="397"/>
      <c r="FA181" s="397"/>
      <c r="FB181" s="397"/>
      <c r="FC181" s="397"/>
      <c r="FD181" s="397"/>
      <c r="FE181" s="397"/>
      <c r="FF181" s="397"/>
      <c r="FG181" s="397"/>
      <c r="FH181" s="397"/>
      <c r="FI181" s="397"/>
      <c r="FJ181" s="397"/>
      <c r="FK181" s="397"/>
      <c r="FL181" s="397"/>
      <c r="FM181" s="397"/>
      <c r="FN181" s="397"/>
      <c r="FO181" s="397"/>
      <c r="FP181" s="397"/>
      <c r="FQ181" s="397"/>
      <c r="FR181" s="397"/>
      <c r="FS181" s="397"/>
      <c r="FT181" s="397"/>
      <c r="FU181" s="397"/>
      <c r="FV181" s="397"/>
      <c r="FW181" s="397"/>
      <c r="FX181" s="397"/>
      <c r="FY181" s="397"/>
      <c r="FZ181" s="397"/>
      <c r="GA181" s="397"/>
      <c r="GB181" s="397"/>
      <c r="GC181" s="397"/>
      <c r="GD181" s="397"/>
      <c r="GE181" s="397"/>
      <c r="GF181" s="397"/>
      <c r="GG181" s="397"/>
      <c r="GH181" s="397"/>
      <c r="GI181" s="397"/>
      <c r="GJ181" s="397"/>
      <c r="GK181" s="397"/>
      <c r="GL181" s="397"/>
      <c r="GM181" s="397"/>
      <c r="GN181" s="397"/>
      <c r="GO181" s="397"/>
      <c r="GP181" s="397"/>
      <c r="GQ181" s="397"/>
      <c r="GR181" s="397"/>
      <c r="GS181" s="397"/>
      <c r="GT181" s="397"/>
      <c r="GU181" s="397"/>
      <c r="GV181" s="397"/>
      <c r="GW181" s="397"/>
      <c r="GX181" s="397"/>
      <c r="GY181" s="397"/>
      <c r="GZ181" s="397"/>
      <c r="HA181" s="397"/>
      <c r="HB181" s="397"/>
      <c r="HC181" s="397"/>
      <c r="HD181" s="397"/>
      <c r="HE181" s="397"/>
      <c r="HF181" s="397"/>
      <c r="HG181" s="397"/>
      <c r="HH181" s="397"/>
      <c r="HI181" s="397"/>
      <c r="HJ181" s="397"/>
      <c r="HK181" s="397"/>
      <c r="HL181" s="397"/>
      <c r="HM181" s="397"/>
      <c r="HN181" s="397"/>
      <c r="HO181" s="397"/>
      <c r="HP181" s="397"/>
      <c r="HQ181" s="397"/>
      <c r="HR181" s="397"/>
      <c r="HS181" s="397"/>
      <c r="HT181" s="397"/>
      <c r="HU181" s="397"/>
      <c r="HV181" s="397"/>
      <c r="HW181" s="397"/>
      <c r="HX181" s="397"/>
      <c r="HY181" s="397"/>
      <c r="HZ181" s="397"/>
      <c r="IA181" s="397"/>
      <c r="IB181" s="397"/>
      <c r="IC181" s="397"/>
      <c r="ID181" s="397"/>
      <c r="IE181" s="397"/>
      <c r="IF181" s="397"/>
      <c r="IG181" s="397"/>
      <c r="IH181" s="397"/>
      <c r="II181" s="397"/>
      <c r="IJ181" s="397"/>
      <c r="IK181" s="397"/>
      <c r="IL181" s="397"/>
      <c r="IM181" s="397"/>
      <c r="IN181" s="397"/>
      <c r="IO181" s="397"/>
      <c r="IP181" s="397"/>
      <c r="IQ181" s="397"/>
      <c r="IR181" s="397"/>
    </row>
    <row r="182" spans="2:252" s="183" customFormat="1" ht="25.15" customHeight="1" x14ac:dyDescent="0.25">
      <c r="B182" s="85">
        <v>40756</v>
      </c>
      <c r="C182" s="184">
        <v>385581.238595</v>
      </c>
      <c r="D182" s="184">
        <f>NetWorth[[#This Row],[Worth]]-C183</f>
        <v>-11541.86427000002</v>
      </c>
      <c r="E182" s="1" t="s">
        <v>98</v>
      </c>
      <c r="V182" s="397"/>
      <c r="W182" s="397"/>
      <c r="X182" s="397"/>
      <c r="Y182" s="397"/>
      <c r="Z182" s="397"/>
      <c r="AA182" s="397"/>
      <c r="AB182" s="397"/>
      <c r="AC182" s="397"/>
      <c r="AD182" s="397"/>
      <c r="AE182" s="397"/>
      <c r="AF182" s="397"/>
      <c r="AG182" s="397"/>
      <c r="AH182" s="397"/>
      <c r="AI182" s="397"/>
      <c r="AJ182" s="397"/>
      <c r="AK182" s="397"/>
      <c r="AL182" s="397"/>
      <c r="AM182" s="397"/>
      <c r="AN182" s="397"/>
      <c r="AO182" s="397"/>
      <c r="AP182" s="397"/>
      <c r="AQ182" s="397"/>
      <c r="AR182" s="397"/>
      <c r="AS182" s="397"/>
      <c r="AT182" s="397"/>
      <c r="AU182" s="397"/>
      <c r="AV182" s="397"/>
      <c r="AW182" s="397"/>
      <c r="AX182" s="397"/>
      <c r="AY182" s="397"/>
      <c r="AZ182" s="397"/>
      <c r="BA182" s="397"/>
      <c r="BB182" s="397"/>
      <c r="BC182" s="397"/>
      <c r="BD182" s="397"/>
      <c r="BE182" s="397"/>
      <c r="BF182" s="397"/>
      <c r="BG182" s="397"/>
      <c r="BH182" s="397"/>
      <c r="BI182" s="397"/>
      <c r="BJ182" s="397"/>
      <c r="BK182" s="397"/>
      <c r="BL182" s="397"/>
      <c r="BM182" s="397"/>
      <c r="BN182" s="397"/>
      <c r="BO182" s="397"/>
      <c r="BP182" s="397"/>
      <c r="BQ182" s="397"/>
      <c r="BR182" s="397"/>
      <c r="BS182" s="397"/>
      <c r="BT182" s="397"/>
      <c r="BU182" s="397"/>
      <c r="BV182" s="397"/>
      <c r="BW182" s="397"/>
      <c r="BX182" s="397"/>
      <c r="BY182" s="397"/>
      <c r="BZ182" s="397"/>
      <c r="CA182" s="397"/>
      <c r="CB182" s="397"/>
      <c r="CC182" s="397"/>
      <c r="CD182" s="397"/>
      <c r="CE182" s="397"/>
      <c r="CF182" s="397"/>
      <c r="CG182" s="397"/>
      <c r="CH182" s="397"/>
      <c r="CI182" s="397"/>
      <c r="CJ182" s="397"/>
      <c r="CK182" s="397"/>
      <c r="CL182" s="397"/>
      <c r="CM182" s="397"/>
      <c r="CN182" s="397"/>
      <c r="CO182" s="397"/>
      <c r="CP182" s="397"/>
      <c r="CQ182" s="397"/>
      <c r="CR182" s="397"/>
      <c r="CS182" s="397"/>
      <c r="CT182" s="397"/>
      <c r="CU182" s="397"/>
      <c r="CV182" s="397"/>
      <c r="CW182" s="397"/>
      <c r="CX182" s="397"/>
      <c r="CY182" s="397"/>
      <c r="CZ182" s="397"/>
      <c r="DA182" s="397"/>
      <c r="DB182" s="397"/>
      <c r="DC182" s="397"/>
      <c r="DD182" s="397"/>
      <c r="DE182" s="397"/>
      <c r="DF182" s="397"/>
      <c r="DG182" s="397"/>
      <c r="DH182" s="397"/>
      <c r="DI182" s="397"/>
      <c r="DJ182" s="397"/>
      <c r="DK182" s="397"/>
      <c r="DL182" s="397"/>
      <c r="DM182" s="397"/>
      <c r="DN182" s="397"/>
      <c r="DO182" s="397"/>
      <c r="DP182" s="397"/>
      <c r="DQ182" s="397"/>
      <c r="DR182" s="397"/>
      <c r="DS182" s="397"/>
      <c r="DT182" s="397"/>
      <c r="DU182" s="397"/>
      <c r="DV182" s="397"/>
      <c r="DW182" s="397"/>
      <c r="DX182" s="397"/>
      <c r="DY182" s="397"/>
      <c r="DZ182" s="397"/>
      <c r="EA182" s="397"/>
      <c r="EB182" s="397"/>
      <c r="EC182" s="397"/>
      <c r="ED182" s="397"/>
      <c r="EE182" s="397"/>
      <c r="EF182" s="397"/>
      <c r="EG182" s="397"/>
      <c r="EH182" s="397"/>
      <c r="EI182" s="397"/>
      <c r="EJ182" s="397"/>
      <c r="EK182" s="397"/>
      <c r="EL182" s="397"/>
      <c r="EM182" s="397"/>
      <c r="EN182" s="397"/>
      <c r="EO182" s="397"/>
      <c r="EP182" s="397"/>
      <c r="EQ182" s="397"/>
      <c r="ER182" s="397"/>
      <c r="ES182" s="397"/>
      <c r="ET182" s="397"/>
      <c r="EU182" s="397"/>
      <c r="EV182" s="397"/>
      <c r="EW182" s="397"/>
      <c r="EX182" s="397"/>
      <c r="EY182" s="397"/>
      <c r="EZ182" s="397"/>
      <c r="FA182" s="397"/>
      <c r="FB182" s="397"/>
      <c r="FC182" s="397"/>
      <c r="FD182" s="397"/>
      <c r="FE182" s="397"/>
      <c r="FF182" s="397"/>
      <c r="FG182" s="397"/>
      <c r="FH182" s="397"/>
      <c r="FI182" s="397"/>
      <c r="FJ182" s="397"/>
      <c r="FK182" s="397"/>
      <c r="FL182" s="397"/>
      <c r="FM182" s="397"/>
      <c r="FN182" s="397"/>
      <c r="FO182" s="397"/>
      <c r="FP182" s="397"/>
      <c r="FQ182" s="397"/>
      <c r="FR182" s="397"/>
      <c r="FS182" s="397"/>
      <c r="FT182" s="397"/>
      <c r="FU182" s="397"/>
      <c r="FV182" s="397"/>
      <c r="FW182" s="397"/>
      <c r="FX182" s="397"/>
      <c r="FY182" s="397"/>
      <c r="FZ182" s="397"/>
      <c r="GA182" s="397"/>
      <c r="GB182" s="397"/>
      <c r="GC182" s="397"/>
      <c r="GD182" s="397"/>
      <c r="GE182" s="397"/>
      <c r="GF182" s="397"/>
      <c r="GG182" s="397"/>
      <c r="GH182" s="397"/>
      <c r="GI182" s="397"/>
      <c r="GJ182" s="397"/>
      <c r="GK182" s="397"/>
      <c r="GL182" s="397"/>
      <c r="GM182" s="397"/>
      <c r="GN182" s="397"/>
      <c r="GO182" s="397"/>
      <c r="GP182" s="397"/>
      <c r="GQ182" s="397"/>
      <c r="GR182" s="397"/>
      <c r="GS182" s="397"/>
      <c r="GT182" s="397"/>
      <c r="GU182" s="397"/>
      <c r="GV182" s="397"/>
      <c r="GW182" s="397"/>
      <c r="GX182" s="397"/>
      <c r="GY182" s="397"/>
      <c r="GZ182" s="397"/>
      <c r="HA182" s="397"/>
      <c r="HB182" s="397"/>
      <c r="HC182" s="397"/>
      <c r="HD182" s="397"/>
      <c r="HE182" s="397"/>
      <c r="HF182" s="397"/>
      <c r="HG182" s="397"/>
      <c r="HH182" s="397"/>
      <c r="HI182" s="397"/>
      <c r="HJ182" s="397"/>
      <c r="HK182" s="397"/>
      <c r="HL182" s="397"/>
      <c r="HM182" s="397"/>
      <c r="HN182" s="397"/>
      <c r="HO182" s="397"/>
      <c r="HP182" s="397"/>
      <c r="HQ182" s="397"/>
      <c r="HR182" s="397"/>
      <c r="HS182" s="397"/>
      <c r="HT182" s="397"/>
      <c r="HU182" s="397"/>
      <c r="HV182" s="397"/>
      <c r="HW182" s="397"/>
      <c r="HX182" s="397"/>
      <c r="HY182" s="397"/>
      <c r="HZ182" s="397"/>
      <c r="IA182" s="397"/>
      <c r="IB182" s="397"/>
      <c r="IC182" s="397"/>
      <c r="ID182" s="397"/>
      <c r="IE182" s="397"/>
      <c r="IF182" s="397"/>
      <c r="IG182" s="397"/>
      <c r="IH182" s="397"/>
      <c r="II182" s="397"/>
      <c r="IJ182" s="397"/>
      <c r="IK182" s="397"/>
      <c r="IL182" s="397"/>
      <c r="IM182" s="397"/>
      <c r="IN182" s="397"/>
      <c r="IO182" s="397"/>
      <c r="IP182" s="397"/>
      <c r="IQ182" s="397"/>
      <c r="IR182" s="397"/>
    </row>
    <row r="183" spans="2:252" s="183" customFormat="1" ht="25.15" customHeight="1" x14ac:dyDescent="0.25">
      <c r="B183" s="85">
        <v>40725</v>
      </c>
      <c r="C183" s="184">
        <v>397123.10286500002</v>
      </c>
      <c r="D183" s="184">
        <f>NetWorth[[#This Row],[Worth]]-C184</f>
        <v>4877.5550050000311</v>
      </c>
      <c r="E183" s="1"/>
      <c r="V183" s="397"/>
      <c r="W183" s="397"/>
      <c r="X183" s="397"/>
      <c r="Y183" s="397"/>
      <c r="Z183" s="397"/>
      <c r="AA183" s="397"/>
      <c r="AB183" s="397"/>
      <c r="AC183" s="397"/>
      <c r="AD183" s="397"/>
      <c r="AE183" s="397"/>
      <c r="AF183" s="397"/>
      <c r="AG183" s="397"/>
      <c r="AH183" s="397"/>
      <c r="AI183" s="397"/>
      <c r="AJ183" s="397"/>
      <c r="AK183" s="397"/>
      <c r="AL183" s="397"/>
      <c r="AM183" s="397"/>
      <c r="AN183" s="397"/>
      <c r="AO183" s="397"/>
      <c r="AP183" s="397"/>
      <c r="AQ183" s="397"/>
      <c r="AR183" s="397"/>
      <c r="AS183" s="397"/>
      <c r="AT183" s="397"/>
      <c r="AU183" s="397"/>
      <c r="AV183" s="397"/>
      <c r="AW183" s="397"/>
      <c r="AX183" s="397"/>
      <c r="AY183" s="397"/>
      <c r="AZ183" s="397"/>
      <c r="BA183" s="397"/>
      <c r="BB183" s="397"/>
      <c r="BC183" s="397"/>
      <c r="BD183" s="397"/>
      <c r="BE183" s="397"/>
      <c r="BF183" s="397"/>
      <c r="BG183" s="397"/>
      <c r="BH183" s="397"/>
      <c r="BI183" s="397"/>
      <c r="BJ183" s="397"/>
      <c r="BK183" s="397"/>
      <c r="BL183" s="397"/>
      <c r="BM183" s="397"/>
      <c r="BN183" s="397"/>
      <c r="BO183" s="397"/>
      <c r="BP183" s="397"/>
      <c r="BQ183" s="397"/>
      <c r="BR183" s="397"/>
      <c r="BS183" s="397"/>
      <c r="BT183" s="397"/>
      <c r="BU183" s="397"/>
      <c r="BV183" s="397"/>
      <c r="BW183" s="397"/>
      <c r="BX183" s="397"/>
      <c r="BY183" s="397"/>
      <c r="BZ183" s="397"/>
      <c r="CA183" s="397"/>
      <c r="CB183" s="397"/>
      <c r="CC183" s="397"/>
      <c r="CD183" s="397"/>
      <c r="CE183" s="397"/>
      <c r="CF183" s="397"/>
      <c r="CG183" s="397"/>
      <c r="CH183" s="397"/>
      <c r="CI183" s="397"/>
      <c r="CJ183" s="397"/>
      <c r="CK183" s="397"/>
      <c r="CL183" s="397"/>
      <c r="CM183" s="397"/>
      <c r="CN183" s="397"/>
      <c r="CO183" s="397"/>
      <c r="CP183" s="397"/>
      <c r="CQ183" s="397"/>
      <c r="CR183" s="397"/>
      <c r="CS183" s="397"/>
      <c r="CT183" s="397"/>
      <c r="CU183" s="397"/>
      <c r="CV183" s="397"/>
      <c r="CW183" s="397"/>
      <c r="CX183" s="397"/>
      <c r="CY183" s="397"/>
      <c r="CZ183" s="397"/>
      <c r="DA183" s="397"/>
      <c r="DB183" s="397"/>
      <c r="DC183" s="397"/>
      <c r="DD183" s="397"/>
      <c r="DE183" s="397"/>
      <c r="DF183" s="397"/>
      <c r="DG183" s="397"/>
      <c r="DH183" s="397"/>
      <c r="DI183" s="397"/>
      <c r="DJ183" s="397"/>
      <c r="DK183" s="397"/>
      <c r="DL183" s="397"/>
      <c r="DM183" s="397"/>
      <c r="DN183" s="397"/>
      <c r="DO183" s="397"/>
      <c r="DP183" s="397"/>
      <c r="DQ183" s="397"/>
      <c r="DR183" s="397"/>
      <c r="DS183" s="397"/>
      <c r="DT183" s="397"/>
      <c r="DU183" s="397"/>
      <c r="DV183" s="397"/>
      <c r="DW183" s="397"/>
      <c r="DX183" s="397"/>
      <c r="DY183" s="397"/>
      <c r="DZ183" s="397"/>
      <c r="EA183" s="397"/>
      <c r="EB183" s="397"/>
      <c r="EC183" s="397"/>
      <c r="ED183" s="397"/>
      <c r="EE183" s="397"/>
      <c r="EF183" s="397"/>
      <c r="EG183" s="397"/>
      <c r="EH183" s="397"/>
      <c r="EI183" s="397"/>
      <c r="EJ183" s="397"/>
      <c r="EK183" s="397"/>
      <c r="EL183" s="397"/>
      <c r="EM183" s="397"/>
      <c r="EN183" s="397"/>
      <c r="EO183" s="397"/>
      <c r="EP183" s="397"/>
      <c r="EQ183" s="397"/>
      <c r="ER183" s="397"/>
      <c r="ES183" s="397"/>
      <c r="ET183" s="397"/>
      <c r="EU183" s="397"/>
      <c r="EV183" s="397"/>
      <c r="EW183" s="397"/>
      <c r="EX183" s="397"/>
      <c r="EY183" s="397"/>
      <c r="EZ183" s="397"/>
      <c r="FA183" s="397"/>
      <c r="FB183" s="397"/>
      <c r="FC183" s="397"/>
      <c r="FD183" s="397"/>
      <c r="FE183" s="397"/>
      <c r="FF183" s="397"/>
      <c r="FG183" s="397"/>
      <c r="FH183" s="397"/>
      <c r="FI183" s="397"/>
      <c r="FJ183" s="397"/>
      <c r="FK183" s="397"/>
      <c r="FL183" s="397"/>
      <c r="FM183" s="397"/>
      <c r="FN183" s="397"/>
      <c r="FO183" s="397"/>
      <c r="FP183" s="397"/>
      <c r="FQ183" s="397"/>
      <c r="FR183" s="397"/>
      <c r="FS183" s="397"/>
      <c r="FT183" s="397"/>
      <c r="FU183" s="397"/>
      <c r="FV183" s="397"/>
      <c r="FW183" s="397"/>
      <c r="FX183" s="397"/>
      <c r="FY183" s="397"/>
      <c r="FZ183" s="397"/>
      <c r="GA183" s="397"/>
      <c r="GB183" s="397"/>
      <c r="GC183" s="397"/>
      <c r="GD183" s="397"/>
      <c r="GE183" s="397"/>
      <c r="GF183" s="397"/>
      <c r="GG183" s="397"/>
      <c r="GH183" s="397"/>
      <c r="GI183" s="397"/>
      <c r="GJ183" s="397"/>
      <c r="GK183" s="397"/>
      <c r="GL183" s="397"/>
      <c r="GM183" s="397"/>
      <c r="GN183" s="397"/>
      <c r="GO183" s="397"/>
      <c r="GP183" s="397"/>
      <c r="GQ183" s="397"/>
      <c r="GR183" s="397"/>
      <c r="GS183" s="397"/>
      <c r="GT183" s="397"/>
      <c r="GU183" s="397"/>
      <c r="GV183" s="397"/>
      <c r="GW183" s="397"/>
      <c r="GX183" s="397"/>
      <c r="GY183" s="397"/>
      <c r="GZ183" s="397"/>
      <c r="HA183" s="397"/>
      <c r="HB183" s="397"/>
      <c r="HC183" s="397"/>
      <c r="HD183" s="397"/>
      <c r="HE183" s="397"/>
      <c r="HF183" s="397"/>
      <c r="HG183" s="397"/>
      <c r="HH183" s="397"/>
      <c r="HI183" s="397"/>
      <c r="HJ183" s="397"/>
      <c r="HK183" s="397"/>
      <c r="HL183" s="397"/>
      <c r="HM183" s="397"/>
      <c r="HN183" s="397"/>
      <c r="HO183" s="397"/>
      <c r="HP183" s="397"/>
      <c r="HQ183" s="397"/>
      <c r="HR183" s="397"/>
      <c r="HS183" s="397"/>
      <c r="HT183" s="397"/>
      <c r="HU183" s="397"/>
      <c r="HV183" s="397"/>
      <c r="HW183" s="397"/>
      <c r="HX183" s="397"/>
      <c r="HY183" s="397"/>
      <c r="HZ183" s="397"/>
      <c r="IA183" s="397"/>
      <c r="IB183" s="397"/>
      <c r="IC183" s="397"/>
      <c r="ID183" s="397"/>
      <c r="IE183" s="397"/>
      <c r="IF183" s="397"/>
      <c r="IG183" s="397"/>
      <c r="IH183" s="397"/>
      <c r="II183" s="397"/>
      <c r="IJ183" s="397"/>
      <c r="IK183" s="397"/>
      <c r="IL183" s="397"/>
      <c r="IM183" s="397"/>
      <c r="IN183" s="397"/>
      <c r="IO183" s="397"/>
      <c r="IP183" s="397"/>
      <c r="IQ183" s="397"/>
      <c r="IR183" s="397"/>
    </row>
    <row r="184" spans="2:252" s="183" customFormat="1" ht="25.15" customHeight="1" x14ac:dyDescent="0.25">
      <c r="B184" s="85">
        <v>40695</v>
      </c>
      <c r="C184" s="184">
        <v>392245.54785999999</v>
      </c>
      <c r="D184" s="184">
        <f>NetWorth[[#This Row],[Worth]]-C185</f>
        <v>2161.3085399999982</v>
      </c>
      <c r="E184" s="1"/>
      <c r="V184" s="397"/>
      <c r="W184" s="397"/>
      <c r="X184" s="397"/>
      <c r="Y184" s="397"/>
      <c r="Z184" s="397"/>
      <c r="AA184" s="397"/>
      <c r="AB184" s="397"/>
      <c r="AC184" s="397"/>
      <c r="AD184" s="397"/>
      <c r="AE184" s="397"/>
      <c r="AF184" s="397"/>
      <c r="AG184" s="397"/>
      <c r="AH184" s="397"/>
      <c r="AI184" s="397"/>
      <c r="AJ184" s="397"/>
      <c r="AK184" s="397"/>
      <c r="AL184" s="397"/>
      <c r="AM184" s="397"/>
      <c r="AN184" s="397"/>
      <c r="AO184" s="397"/>
      <c r="AP184" s="397"/>
      <c r="AQ184" s="397"/>
      <c r="AR184" s="397"/>
      <c r="AS184" s="397"/>
      <c r="AT184" s="397"/>
      <c r="AU184" s="397"/>
      <c r="AV184" s="397"/>
      <c r="AW184" s="397"/>
      <c r="AX184" s="397"/>
      <c r="AY184" s="397"/>
      <c r="AZ184" s="397"/>
      <c r="BA184" s="397"/>
      <c r="BB184" s="397"/>
      <c r="BC184" s="397"/>
      <c r="BD184" s="397"/>
      <c r="BE184" s="397"/>
      <c r="BF184" s="397"/>
      <c r="BG184" s="397"/>
      <c r="BH184" s="397"/>
      <c r="BI184" s="397"/>
      <c r="BJ184" s="397"/>
      <c r="BK184" s="397"/>
      <c r="BL184" s="397"/>
      <c r="BM184" s="397"/>
      <c r="BN184" s="397"/>
      <c r="BO184" s="397"/>
      <c r="BP184" s="397"/>
      <c r="BQ184" s="397"/>
      <c r="BR184" s="397"/>
      <c r="BS184" s="397"/>
      <c r="BT184" s="397"/>
      <c r="BU184" s="397"/>
      <c r="BV184" s="397"/>
      <c r="BW184" s="397"/>
      <c r="BX184" s="397"/>
      <c r="BY184" s="397"/>
      <c r="BZ184" s="397"/>
      <c r="CA184" s="397"/>
      <c r="CB184" s="397"/>
      <c r="CC184" s="397"/>
      <c r="CD184" s="397"/>
      <c r="CE184" s="397"/>
      <c r="CF184" s="397"/>
      <c r="CG184" s="397"/>
      <c r="CH184" s="397"/>
      <c r="CI184" s="397"/>
      <c r="CJ184" s="397"/>
      <c r="CK184" s="397"/>
      <c r="CL184" s="397"/>
      <c r="CM184" s="397"/>
      <c r="CN184" s="397"/>
      <c r="CO184" s="397"/>
      <c r="CP184" s="397"/>
      <c r="CQ184" s="397"/>
      <c r="CR184" s="397"/>
      <c r="CS184" s="397"/>
      <c r="CT184" s="397"/>
      <c r="CU184" s="397"/>
      <c r="CV184" s="397"/>
      <c r="CW184" s="397"/>
      <c r="CX184" s="397"/>
      <c r="CY184" s="397"/>
      <c r="CZ184" s="397"/>
      <c r="DA184" s="397"/>
      <c r="DB184" s="397"/>
      <c r="DC184" s="397"/>
      <c r="DD184" s="397"/>
      <c r="DE184" s="397"/>
      <c r="DF184" s="397"/>
      <c r="DG184" s="397"/>
      <c r="DH184" s="397"/>
      <c r="DI184" s="397"/>
      <c r="DJ184" s="397"/>
      <c r="DK184" s="397"/>
      <c r="DL184" s="397"/>
      <c r="DM184" s="397"/>
      <c r="DN184" s="397"/>
      <c r="DO184" s="397"/>
      <c r="DP184" s="397"/>
      <c r="DQ184" s="397"/>
      <c r="DR184" s="397"/>
      <c r="DS184" s="397"/>
      <c r="DT184" s="397"/>
      <c r="DU184" s="397"/>
      <c r="DV184" s="397"/>
      <c r="DW184" s="397"/>
      <c r="DX184" s="397"/>
      <c r="DY184" s="397"/>
      <c r="DZ184" s="397"/>
      <c r="EA184" s="397"/>
      <c r="EB184" s="397"/>
      <c r="EC184" s="397"/>
      <c r="ED184" s="397"/>
      <c r="EE184" s="397"/>
      <c r="EF184" s="397"/>
      <c r="EG184" s="397"/>
      <c r="EH184" s="397"/>
      <c r="EI184" s="397"/>
      <c r="EJ184" s="397"/>
      <c r="EK184" s="397"/>
      <c r="EL184" s="397"/>
      <c r="EM184" s="397"/>
      <c r="EN184" s="397"/>
      <c r="EO184" s="397"/>
      <c r="EP184" s="397"/>
      <c r="EQ184" s="397"/>
      <c r="ER184" s="397"/>
      <c r="ES184" s="397"/>
      <c r="ET184" s="397"/>
      <c r="EU184" s="397"/>
      <c r="EV184" s="397"/>
      <c r="EW184" s="397"/>
      <c r="EX184" s="397"/>
      <c r="EY184" s="397"/>
      <c r="EZ184" s="397"/>
      <c r="FA184" s="397"/>
      <c r="FB184" s="397"/>
      <c r="FC184" s="397"/>
      <c r="FD184" s="397"/>
      <c r="FE184" s="397"/>
      <c r="FF184" s="397"/>
      <c r="FG184" s="397"/>
      <c r="FH184" s="397"/>
      <c r="FI184" s="397"/>
      <c r="FJ184" s="397"/>
      <c r="FK184" s="397"/>
      <c r="FL184" s="397"/>
      <c r="FM184" s="397"/>
      <c r="FN184" s="397"/>
      <c r="FO184" s="397"/>
      <c r="FP184" s="397"/>
      <c r="FQ184" s="397"/>
      <c r="FR184" s="397"/>
      <c r="FS184" s="397"/>
      <c r="FT184" s="397"/>
      <c r="FU184" s="397"/>
      <c r="FV184" s="397"/>
      <c r="FW184" s="397"/>
      <c r="FX184" s="397"/>
      <c r="FY184" s="397"/>
      <c r="FZ184" s="397"/>
      <c r="GA184" s="397"/>
      <c r="GB184" s="397"/>
      <c r="GC184" s="397"/>
      <c r="GD184" s="397"/>
      <c r="GE184" s="397"/>
      <c r="GF184" s="397"/>
      <c r="GG184" s="397"/>
      <c r="GH184" s="397"/>
      <c r="GI184" s="397"/>
      <c r="GJ184" s="397"/>
      <c r="GK184" s="397"/>
      <c r="GL184" s="397"/>
      <c r="GM184" s="397"/>
      <c r="GN184" s="397"/>
      <c r="GO184" s="397"/>
      <c r="GP184" s="397"/>
      <c r="GQ184" s="397"/>
      <c r="GR184" s="397"/>
      <c r="GS184" s="397"/>
      <c r="GT184" s="397"/>
      <c r="GU184" s="397"/>
      <c r="GV184" s="397"/>
      <c r="GW184" s="397"/>
      <c r="GX184" s="397"/>
      <c r="GY184" s="397"/>
      <c r="GZ184" s="397"/>
      <c r="HA184" s="397"/>
      <c r="HB184" s="397"/>
      <c r="HC184" s="397"/>
      <c r="HD184" s="397"/>
      <c r="HE184" s="397"/>
      <c r="HF184" s="397"/>
      <c r="HG184" s="397"/>
      <c r="HH184" s="397"/>
      <c r="HI184" s="397"/>
      <c r="HJ184" s="397"/>
      <c r="HK184" s="397"/>
      <c r="HL184" s="397"/>
      <c r="HM184" s="397"/>
      <c r="HN184" s="397"/>
      <c r="HO184" s="397"/>
      <c r="HP184" s="397"/>
      <c r="HQ184" s="397"/>
      <c r="HR184" s="397"/>
      <c r="HS184" s="397"/>
      <c r="HT184" s="397"/>
      <c r="HU184" s="397"/>
      <c r="HV184" s="397"/>
      <c r="HW184" s="397"/>
      <c r="HX184" s="397"/>
      <c r="HY184" s="397"/>
      <c r="HZ184" s="397"/>
      <c r="IA184" s="397"/>
      <c r="IB184" s="397"/>
      <c r="IC184" s="397"/>
      <c r="ID184" s="397"/>
      <c r="IE184" s="397"/>
      <c r="IF184" s="397"/>
      <c r="IG184" s="397"/>
      <c r="IH184" s="397"/>
      <c r="II184" s="397"/>
      <c r="IJ184" s="397"/>
      <c r="IK184" s="397"/>
      <c r="IL184" s="397"/>
      <c r="IM184" s="397"/>
      <c r="IN184" s="397"/>
      <c r="IO184" s="397"/>
      <c r="IP184" s="397"/>
      <c r="IQ184" s="397"/>
      <c r="IR184" s="397"/>
    </row>
    <row r="185" spans="2:252" s="183" customFormat="1" ht="25.15" customHeight="1" x14ac:dyDescent="0.25">
      <c r="B185" s="85">
        <v>40664</v>
      </c>
      <c r="C185" s="184">
        <v>390084.23931999999</v>
      </c>
      <c r="D185" s="184">
        <f>NetWorth[[#This Row],[Worth]]-C186</f>
        <v>-970.0523600000306</v>
      </c>
      <c r="E185" s="1"/>
      <c r="V185" s="397"/>
      <c r="W185" s="397"/>
      <c r="X185" s="397"/>
      <c r="Y185" s="397"/>
      <c r="Z185" s="397"/>
      <c r="AA185" s="397"/>
      <c r="AB185" s="397"/>
      <c r="AC185" s="397"/>
      <c r="AD185" s="397"/>
      <c r="AE185" s="397"/>
      <c r="AF185" s="397"/>
      <c r="AG185" s="397"/>
      <c r="AH185" s="397"/>
      <c r="AI185" s="397"/>
      <c r="AJ185" s="397"/>
      <c r="AK185" s="397"/>
      <c r="AL185" s="397"/>
      <c r="AM185" s="397"/>
      <c r="AN185" s="397"/>
      <c r="AO185" s="397"/>
      <c r="AP185" s="397"/>
      <c r="AQ185" s="397"/>
      <c r="AR185" s="397"/>
      <c r="AS185" s="397"/>
      <c r="AT185" s="397"/>
      <c r="AU185" s="397"/>
      <c r="AV185" s="397"/>
      <c r="AW185" s="397"/>
      <c r="AX185" s="397"/>
      <c r="AY185" s="397"/>
      <c r="AZ185" s="397"/>
      <c r="BA185" s="397"/>
      <c r="BB185" s="397"/>
      <c r="BC185" s="397"/>
      <c r="BD185" s="397"/>
      <c r="BE185" s="397"/>
      <c r="BF185" s="397"/>
      <c r="BG185" s="397"/>
      <c r="BH185" s="397"/>
      <c r="BI185" s="397"/>
      <c r="BJ185" s="397"/>
      <c r="BK185" s="397"/>
      <c r="BL185" s="397"/>
      <c r="BM185" s="397"/>
      <c r="BN185" s="397"/>
      <c r="BO185" s="397"/>
      <c r="BP185" s="397"/>
      <c r="BQ185" s="397"/>
      <c r="BR185" s="397"/>
      <c r="BS185" s="397"/>
      <c r="BT185" s="397"/>
      <c r="BU185" s="397"/>
      <c r="BV185" s="397"/>
      <c r="BW185" s="397"/>
      <c r="BX185" s="397"/>
      <c r="BY185" s="397"/>
      <c r="BZ185" s="397"/>
      <c r="CA185" s="397"/>
      <c r="CB185" s="397"/>
      <c r="CC185" s="397"/>
      <c r="CD185" s="397"/>
      <c r="CE185" s="397"/>
      <c r="CF185" s="397"/>
      <c r="CG185" s="397"/>
      <c r="CH185" s="397"/>
      <c r="CI185" s="397"/>
      <c r="CJ185" s="397"/>
      <c r="CK185" s="397"/>
      <c r="CL185" s="397"/>
      <c r="CM185" s="397"/>
      <c r="CN185" s="397"/>
      <c r="CO185" s="397"/>
      <c r="CP185" s="397"/>
      <c r="CQ185" s="397"/>
      <c r="CR185" s="397"/>
      <c r="CS185" s="397"/>
      <c r="CT185" s="397"/>
      <c r="CU185" s="397"/>
      <c r="CV185" s="397"/>
      <c r="CW185" s="397"/>
      <c r="CX185" s="397"/>
      <c r="CY185" s="397"/>
      <c r="CZ185" s="397"/>
      <c r="DA185" s="397"/>
      <c r="DB185" s="397"/>
      <c r="DC185" s="397"/>
      <c r="DD185" s="397"/>
      <c r="DE185" s="397"/>
      <c r="DF185" s="397"/>
      <c r="DG185" s="397"/>
      <c r="DH185" s="397"/>
      <c r="DI185" s="397"/>
      <c r="DJ185" s="397"/>
      <c r="DK185" s="397"/>
      <c r="DL185" s="397"/>
      <c r="DM185" s="397"/>
      <c r="DN185" s="397"/>
      <c r="DO185" s="397"/>
      <c r="DP185" s="397"/>
      <c r="DQ185" s="397"/>
      <c r="DR185" s="397"/>
      <c r="DS185" s="397"/>
      <c r="DT185" s="397"/>
      <c r="DU185" s="397"/>
      <c r="DV185" s="397"/>
      <c r="DW185" s="397"/>
      <c r="DX185" s="397"/>
      <c r="DY185" s="397"/>
      <c r="DZ185" s="397"/>
      <c r="EA185" s="397"/>
      <c r="EB185" s="397"/>
      <c r="EC185" s="397"/>
      <c r="ED185" s="397"/>
      <c r="EE185" s="397"/>
      <c r="EF185" s="397"/>
      <c r="EG185" s="397"/>
      <c r="EH185" s="397"/>
      <c r="EI185" s="397"/>
      <c r="EJ185" s="397"/>
      <c r="EK185" s="397"/>
      <c r="EL185" s="397"/>
      <c r="EM185" s="397"/>
      <c r="EN185" s="397"/>
      <c r="EO185" s="397"/>
      <c r="EP185" s="397"/>
      <c r="EQ185" s="397"/>
      <c r="ER185" s="397"/>
      <c r="ES185" s="397"/>
      <c r="ET185" s="397"/>
      <c r="EU185" s="397"/>
      <c r="EV185" s="397"/>
      <c r="EW185" s="397"/>
      <c r="EX185" s="397"/>
      <c r="EY185" s="397"/>
      <c r="EZ185" s="397"/>
      <c r="FA185" s="397"/>
      <c r="FB185" s="397"/>
      <c r="FC185" s="397"/>
      <c r="FD185" s="397"/>
      <c r="FE185" s="397"/>
      <c r="FF185" s="397"/>
      <c r="FG185" s="397"/>
      <c r="FH185" s="397"/>
      <c r="FI185" s="397"/>
      <c r="FJ185" s="397"/>
      <c r="FK185" s="397"/>
      <c r="FL185" s="397"/>
      <c r="FM185" s="397"/>
      <c r="FN185" s="397"/>
      <c r="FO185" s="397"/>
      <c r="FP185" s="397"/>
      <c r="FQ185" s="397"/>
      <c r="FR185" s="397"/>
      <c r="FS185" s="397"/>
      <c r="FT185" s="397"/>
      <c r="FU185" s="397"/>
      <c r="FV185" s="397"/>
      <c r="FW185" s="397"/>
      <c r="FX185" s="397"/>
      <c r="FY185" s="397"/>
      <c r="FZ185" s="397"/>
      <c r="GA185" s="397"/>
      <c r="GB185" s="397"/>
      <c r="GC185" s="397"/>
      <c r="GD185" s="397"/>
      <c r="GE185" s="397"/>
      <c r="GF185" s="397"/>
      <c r="GG185" s="397"/>
      <c r="GH185" s="397"/>
      <c r="GI185" s="397"/>
      <c r="GJ185" s="397"/>
      <c r="GK185" s="397"/>
      <c r="GL185" s="397"/>
      <c r="GM185" s="397"/>
      <c r="GN185" s="397"/>
      <c r="GO185" s="397"/>
      <c r="GP185" s="397"/>
      <c r="GQ185" s="397"/>
      <c r="GR185" s="397"/>
      <c r="GS185" s="397"/>
      <c r="GT185" s="397"/>
      <c r="GU185" s="397"/>
      <c r="GV185" s="397"/>
      <c r="GW185" s="397"/>
      <c r="GX185" s="397"/>
      <c r="GY185" s="397"/>
      <c r="GZ185" s="397"/>
      <c r="HA185" s="397"/>
      <c r="HB185" s="397"/>
      <c r="HC185" s="397"/>
      <c r="HD185" s="397"/>
      <c r="HE185" s="397"/>
      <c r="HF185" s="397"/>
      <c r="HG185" s="397"/>
      <c r="HH185" s="397"/>
      <c r="HI185" s="397"/>
      <c r="HJ185" s="397"/>
      <c r="HK185" s="397"/>
      <c r="HL185" s="397"/>
      <c r="HM185" s="397"/>
      <c r="HN185" s="397"/>
      <c r="HO185" s="397"/>
      <c r="HP185" s="397"/>
      <c r="HQ185" s="397"/>
      <c r="HR185" s="397"/>
      <c r="HS185" s="397"/>
      <c r="HT185" s="397"/>
      <c r="HU185" s="397"/>
      <c r="HV185" s="397"/>
      <c r="HW185" s="397"/>
      <c r="HX185" s="397"/>
      <c r="HY185" s="397"/>
      <c r="HZ185" s="397"/>
      <c r="IA185" s="397"/>
      <c r="IB185" s="397"/>
      <c r="IC185" s="397"/>
      <c r="ID185" s="397"/>
      <c r="IE185" s="397"/>
      <c r="IF185" s="397"/>
      <c r="IG185" s="397"/>
      <c r="IH185" s="397"/>
      <c r="II185" s="397"/>
      <c r="IJ185" s="397"/>
      <c r="IK185" s="397"/>
      <c r="IL185" s="397"/>
      <c r="IM185" s="397"/>
      <c r="IN185" s="397"/>
      <c r="IO185" s="397"/>
      <c r="IP185" s="397"/>
      <c r="IQ185" s="397"/>
      <c r="IR185" s="397"/>
    </row>
    <row r="186" spans="2:252" s="183" customFormat="1" ht="25.15" customHeight="1" x14ac:dyDescent="0.25">
      <c r="B186" s="85">
        <v>40634</v>
      </c>
      <c r="C186" s="184">
        <v>391054.29168000002</v>
      </c>
      <c r="D186" s="184">
        <f>NetWorth[[#This Row],[Worth]]-C187</f>
        <v>-2010.1214349999791</v>
      </c>
      <c r="E186" s="1"/>
      <c r="V186" s="397"/>
      <c r="W186" s="397"/>
      <c r="X186" s="397"/>
      <c r="Y186" s="397"/>
      <c r="Z186" s="397"/>
      <c r="AA186" s="397"/>
      <c r="AB186" s="397"/>
      <c r="AC186" s="397"/>
      <c r="AD186" s="397"/>
      <c r="AE186" s="397"/>
      <c r="AF186" s="397"/>
      <c r="AG186" s="397"/>
      <c r="AH186" s="397"/>
      <c r="AI186" s="397"/>
      <c r="AJ186" s="397"/>
      <c r="AK186" s="397"/>
      <c r="AL186" s="397"/>
      <c r="AM186" s="397"/>
      <c r="AN186" s="397"/>
      <c r="AO186" s="397"/>
      <c r="AP186" s="397"/>
      <c r="AQ186" s="397"/>
      <c r="AR186" s="397"/>
      <c r="AS186" s="397"/>
      <c r="AT186" s="397"/>
      <c r="AU186" s="397"/>
      <c r="AV186" s="397"/>
      <c r="AW186" s="397"/>
      <c r="AX186" s="397"/>
      <c r="AY186" s="397"/>
      <c r="AZ186" s="397"/>
      <c r="BA186" s="397"/>
      <c r="BB186" s="397"/>
      <c r="BC186" s="397"/>
      <c r="BD186" s="397"/>
      <c r="BE186" s="397"/>
      <c r="BF186" s="397"/>
      <c r="BG186" s="397"/>
      <c r="BH186" s="397"/>
      <c r="BI186" s="397"/>
      <c r="BJ186" s="397"/>
      <c r="BK186" s="397"/>
      <c r="BL186" s="397"/>
      <c r="BM186" s="397"/>
      <c r="BN186" s="397"/>
      <c r="BO186" s="397"/>
      <c r="BP186" s="397"/>
      <c r="BQ186" s="397"/>
      <c r="BR186" s="397"/>
      <c r="BS186" s="397"/>
      <c r="BT186" s="397"/>
      <c r="BU186" s="397"/>
      <c r="BV186" s="397"/>
      <c r="BW186" s="397"/>
      <c r="BX186" s="397"/>
      <c r="BY186" s="397"/>
      <c r="BZ186" s="397"/>
      <c r="CA186" s="397"/>
      <c r="CB186" s="397"/>
      <c r="CC186" s="397"/>
      <c r="CD186" s="397"/>
      <c r="CE186" s="397"/>
      <c r="CF186" s="397"/>
      <c r="CG186" s="397"/>
      <c r="CH186" s="397"/>
      <c r="CI186" s="397"/>
      <c r="CJ186" s="397"/>
      <c r="CK186" s="397"/>
      <c r="CL186" s="397"/>
      <c r="CM186" s="397"/>
      <c r="CN186" s="397"/>
      <c r="CO186" s="397"/>
      <c r="CP186" s="397"/>
      <c r="CQ186" s="397"/>
      <c r="CR186" s="397"/>
      <c r="CS186" s="397"/>
      <c r="CT186" s="397"/>
      <c r="CU186" s="397"/>
      <c r="CV186" s="397"/>
      <c r="CW186" s="397"/>
      <c r="CX186" s="397"/>
      <c r="CY186" s="397"/>
      <c r="CZ186" s="397"/>
      <c r="DA186" s="397"/>
      <c r="DB186" s="397"/>
      <c r="DC186" s="397"/>
      <c r="DD186" s="397"/>
      <c r="DE186" s="397"/>
      <c r="DF186" s="397"/>
      <c r="DG186" s="397"/>
      <c r="DH186" s="397"/>
      <c r="DI186" s="397"/>
      <c r="DJ186" s="397"/>
      <c r="DK186" s="397"/>
      <c r="DL186" s="397"/>
      <c r="DM186" s="397"/>
      <c r="DN186" s="397"/>
      <c r="DO186" s="397"/>
      <c r="DP186" s="397"/>
      <c r="DQ186" s="397"/>
      <c r="DR186" s="397"/>
      <c r="DS186" s="397"/>
      <c r="DT186" s="397"/>
      <c r="DU186" s="397"/>
      <c r="DV186" s="397"/>
      <c r="DW186" s="397"/>
      <c r="DX186" s="397"/>
      <c r="DY186" s="397"/>
      <c r="DZ186" s="397"/>
      <c r="EA186" s="397"/>
      <c r="EB186" s="397"/>
      <c r="EC186" s="397"/>
      <c r="ED186" s="397"/>
      <c r="EE186" s="397"/>
      <c r="EF186" s="397"/>
      <c r="EG186" s="397"/>
      <c r="EH186" s="397"/>
      <c r="EI186" s="397"/>
      <c r="EJ186" s="397"/>
      <c r="EK186" s="397"/>
      <c r="EL186" s="397"/>
      <c r="EM186" s="397"/>
      <c r="EN186" s="397"/>
      <c r="EO186" s="397"/>
      <c r="EP186" s="397"/>
      <c r="EQ186" s="397"/>
      <c r="ER186" s="397"/>
      <c r="ES186" s="397"/>
      <c r="ET186" s="397"/>
      <c r="EU186" s="397"/>
      <c r="EV186" s="397"/>
      <c r="EW186" s="397"/>
      <c r="EX186" s="397"/>
      <c r="EY186" s="397"/>
      <c r="EZ186" s="397"/>
      <c r="FA186" s="397"/>
      <c r="FB186" s="397"/>
      <c r="FC186" s="397"/>
      <c r="FD186" s="397"/>
      <c r="FE186" s="397"/>
      <c r="FF186" s="397"/>
      <c r="FG186" s="397"/>
      <c r="FH186" s="397"/>
      <c r="FI186" s="397"/>
      <c r="FJ186" s="397"/>
      <c r="FK186" s="397"/>
      <c r="FL186" s="397"/>
      <c r="FM186" s="397"/>
      <c r="FN186" s="397"/>
      <c r="FO186" s="397"/>
      <c r="FP186" s="397"/>
      <c r="FQ186" s="397"/>
      <c r="FR186" s="397"/>
      <c r="FS186" s="397"/>
      <c r="FT186" s="397"/>
      <c r="FU186" s="397"/>
      <c r="FV186" s="397"/>
      <c r="FW186" s="397"/>
      <c r="FX186" s="397"/>
      <c r="FY186" s="397"/>
      <c r="FZ186" s="397"/>
      <c r="GA186" s="397"/>
      <c r="GB186" s="397"/>
      <c r="GC186" s="397"/>
      <c r="GD186" s="397"/>
      <c r="GE186" s="397"/>
      <c r="GF186" s="397"/>
      <c r="GG186" s="397"/>
      <c r="GH186" s="397"/>
      <c r="GI186" s="397"/>
      <c r="GJ186" s="397"/>
      <c r="GK186" s="397"/>
      <c r="GL186" s="397"/>
      <c r="GM186" s="397"/>
      <c r="GN186" s="397"/>
      <c r="GO186" s="397"/>
      <c r="GP186" s="397"/>
      <c r="GQ186" s="397"/>
      <c r="GR186" s="397"/>
      <c r="GS186" s="397"/>
      <c r="GT186" s="397"/>
      <c r="GU186" s="397"/>
      <c r="GV186" s="397"/>
      <c r="GW186" s="397"/>
      <c r="GX186" s="397"/>
      <c r="GY186" s="397"/>
      <c r="GZ186" s="397"/>
      <c r="HA186" s="397"/>
      <c r="HB186" s="397"/>
      <c r="HC186" s="397"/>
      <c r="HD186" s="397"/>
      <c r="HE186" s="397"/>
      <c r="HF186" s="397"/>
      <c r="HG186" s="397"/>
      <c r="HH186" s="397"/>
      <c r="HI186" s="397"/>
      <c r="HJ186" s="397"/>
      <c r="HK186" s="397"/>
      <c r="HL186" s="397"/>
      <c r="HM186" s="397"/>
      <c r="HN186" s="397"/>
      <c r="HO186" s="397"/>
      <c r="HP186" s="397"/>
      <c r="HQ186" s="397"/>
      <c r="HR186" s="397"/>
      <c r="HS186" s="397"/>
      <c r="HT186" s="397"/>
      <c r="HU186" s="397"/>
      <c r="HV186" s="397"/>
      <c r="HW186" s="397"/>
      <c r="HX186" s="397"/>
      <c r="HY186" s="397"/>
      <c r="HZ186" s="397"/>
      <c r="IA186" s="397"/>
      <c r="IB186" s="397"/>
      <c r="IC186" s="397"/>
      <c r="ID186" s="397"/>
      <c r="IE186" s="397"/>
      <c r="IF186" s="397"/>
      <c r="IG186" s="397"/>
      <c r="IH186" s="397"/>
      <c r="II186" s="397"/>
      <c r="IJ186" s="397"/>
      <c r="IK186" s="397"/>
      <c r="IL186" s="397"/>
      <c r="IM186" s="397"/>
      <c r="IN186" s="397"/>
      <c r="IO186" s="397"/>
      <c r="IP186" s="397"/>
      <c r="IQ186" s="397"/>
      <c r="IR186" s="397"/>
    </row>
    <row r="187" spans="2:252" s="183" customFormat="1" ht="25.15" customHeight="1" x14ac:dyDescent="0.25">
      <c r="B187" s="85">
        <v>40603</v>
      </c>
      <c r="C187" s="184">
        <v>393064.413115</v>
      </c>
      <c r="D187" s="184">
        <f>NetWorth[[#This Row],[Worth]]-C188</f>
        <v>2064.413115000003</v>
      </c>
      <c r="E187" s="1"/>
      <c r="V187" s="397"/>
      <c r="W187" s="397"/>
      <c r="X187" s="397"/>
      <c r="Y187" s="397"/>
      <c r="Z187" s="397"/>
      <c r="AA187" s="397"/>
      <c r="AB187" s="397"/>
      <c r="AC187" s="397"/>
      <c r="AD187" s="397"/>
      <c r="AE187" s="397"/>
      <c r="AF187" s="397"/>
      <c r="AG187" s="397"/>
      <c r="AH187" s="397"/>
      <c r="AI187" s="397"/>
      <c r="AJ187" s="397"/>
      <c r="AK187" s="397"/>
      <c r="AL187" s="397"/>
      <c r="AM187" s="397"/>
      <c r="AN187" s="397"/>
      <c r="AO187" s="397"/>
      <c r="AP187" s="397"/>
      <c r="AQ187" s="397"/>
      <c r="AR187" s="397"/>
      <c r="AS187" s="397"/>
      <c r="AT187" s="397"/>
      <c r="AU187" s="397"/>
      <c r="AV187" s="397"/>
      <c r="AW187" s="397"/>
      <c r="AX187" s="397"/>
      <c r="AY187" s="397"/>
      <c r="AZ187" s="397"/>
      <c r="BA187" s="397"/>
      <c r="BB187" s="397"/>
      <c r="BC187" s="397"/>
      <c r="BD187" s="397"/>
      <c r="BE187" s="397"/>
      <c r="BF187" s="397"/>
      <c r="BG187" s="397"/>
      <c r="BH187" s="397"/>
      <c r="BI187" s="397"/>
      <c r="BJ187" s="397"/>
      <c r="BK187" s="397"/>
      <c r="BL187" s="397"/>
      <c r="BM187" s="397"/>
      <c r="BN187" s="397"/>
      <c r="BO187" s="397"/>
      <c r="BP187" s="397"/>
      <c r="BQ187" s="397"/>
      <c r="BR187" s="397"/>
      <c r="BS187" s="397"/>
      <c r="BT187" s="397"/>
      <c r="BU187" s="397"/>
      <c r="BV187" s="397"/>
      <c r="BW187" s="397"/>
      <c r="BX187" s="397"/>
      <c r="BY187" s="397"/>
      <c r="BZ187" s="397"/>
      <c r="CA187" s="397"/>
      <c r="CB187" s="397"/>
      <c r="CC187" s="397"/>
      <c r="CD187" s="397"/>
      <c r="CE187" s="397"/>
      <c r="CF187" s="397"/>
      <c r="CG187" s="397"/>
      <c r="CH187" s="397"/>
      <c r="CI187" s="397"/>
      <c r="CJ187" s="397"/>
      <c r="CK187" s="397"/>
      <c r="CL187" s="397"/>
      <c r="CM187" s="397"/>
      <c r="CN187" s="397"/>
      <c r="CO187" s="397"/>
      <c r="CP187" s="397"/>
      <c r="CQ187" s="397"/>
      <c r="CR187" s="397"/>
      <c r="CS187" s="397"/>
      <c r="CT187" s="397"/>
      <c r="CU187" s="397"/>
      <c r="CV187" s="397"/>
      <c r="CW187" s="397"/>
      <c r="CX187" s="397"/>
      <c r="CY187" s="397"/>
      <c r="CZ187" s="397"/>
      <c r="DA187" s="397"/>
      <c r="DB187" s="397"/>
      <c r="DC187" s="397"/>
      <c r="DD187" s="397"/>
      <c r="DE187" s="397"/>
      <c r="DF187" s="397"/>
      <c r="DG187" s="397"/>
      <c r="DH187" s="397"/>
      <c r="DI187" s="397"/>
      <c r="DJ187" s="397"/>
      <c r="DK187" s="397"/>
      <c r="DL187" s="397"/>
      <c r="DM187" s="397"/>
      <c r="DN187" s="397"/>
      <c r="DO187" s="397"/>
      <c r="DP187" s="397"/>
      <c r="DQ187" s="397"/>
      <c r="DR187" s="397"/>
      <c r="DS187" s="397"/>
      <c r="DT187" s="397"/>
      <c r="DU187" s="397"/>
      <c r="DV187" s="397"/>
      <c r="DW187" s="397"/>
      <c r="DX187" s="397"/>
      <c r="DY187" s="397"/>
      <c r="DZ187" s="397"/>
      <c r="EA187" s="397"/>
      <c r="EB187" s="397"/>
      <c r="EC187" s="397"/>
      <c r="ED187" s="397"/>
      <c r="EE187" s="397"/>
      <c r="EF187" s="397"/>
      <c r="EG187" s="397"/>
      <c r="EH187" s="397"/>
      <c r="EI187" s="397"/>
      <c r="EJ187" s="397"/>
      <c r="EK187" s="397"/>
      <c r="EL187" s="397"/>
      <c r="EM187" s="397"/>
      <c r="EN187" s="397"/>
      <c r="EO187" s="397"/>
      <c r="EP187" s="397"/>
      <c r="EQ187" s="397"/>
      <c r="ER187" s="397"/>
      <c r="ES187" s="397"/>
      <c r="ET187" s="397"/>
      <c r="EU187" s="397"/>
      <c r="EV187" s="397"/>
      <c r="EW187" s="397"/>
      <c r="EX187" s="397"/>
      <c r="EY187" s="397"/>
      <c r="EZ187" s="397"/>
      <c r="FA187" s="397"/>
      <c r="FB187" s="397"/>
      <c r="FC187" s="397"/>
      <c r="FD187" s="397"/>
      <c r="FE187" s="397"/>
      <c r="FF187" s="397"/>
      <c r="FG187" s="397"/>
      <c r="FH187" s="397"/>
      <c r="FI187" s="397"/>
      <c r="FJ187" s="397"/>
      <c r="FK187" s="397"/>
      <c r="FL187" s="397"/>
      <c r="FM187" s="397"/>
      <c r="FN187" s="397"/>
      <c r="FO187" s="397"/>
      <c r="FP187" s="397"/>
      <c r="FQ187" s="397"/>
      <c r="FR187" s="397"/>
      <c r="FS187" s="397"/>
      <c r="FT187" s="397"/>
      <c r="FU187" s="397"/>
      <c r="FV187" s="397"/>
      <c r="FW187" s="397"/>
      <c r="FX187" s="397"/>
      <c r="FY187" s="397"/>
      <c r="FZ187" s="397"/>
      <c r="GA187" s="397"/>
      <c r="GB187" s="397"/>
      <c r="GC187" s="397"/>
      <c r="GD187" s="397"/>
      <c r="GE187" s="397"/>
      <c r="GF187" s="397"/>
      <c r="GG187" s="397"/>
      <c r="GH187" s="397"/>
      <c r="GI187" s="397"/>
      <c r="GJ187" s="397"/>
      <c r="GK187" s="397"/>
      <c r="GL187" s="397"/>
      <c r="GM187" s="397"/>
      <c r="GN187" s="397"/>
      <c r="GO187" s="397"/>
      <c r="GP187" s="397"/>
      <c r="GQ187" s="397"/>
      <c r="GR187" s="397"/>
      <c r="GS187" s="397"/>
      <c r="GT187" s="397"/>
      <c r="GU187" s="397"/>
      <c r="GV187" s="397"/>
      <c r="GW187" s="397"/>
      <c r="GX187" s="397"/>
      <c r="GY187" s="397"/>
      <c r="GZ187" s="397"/>
      <c r="HA187" s="397"/>
      <c r="HB187" s="397"/>
      <c r="HC187" s="397"/>
      <c r="HD187" s="397"/>
      <c r="HE187" s="397"/>
      <c r="HF187" s="397"/>
      <c r="HG187" s="397"/>
      <c r="HH187" s="397"/>
      <c r="HI187" s="397"/>
      <c r="HJ187" s="397"/>
      <c r="HK187" s="397"/>
      <c r="HL187" s="397"/>
      <c r="HM187" s="397"/>
      <c r="HN187" s="397"/>
      <c r="HO187" s="397"/>
      <c r="HP187" s="397"/>
      <c r="HQ187" s="397"/>
      <c r="HR187" s="397"/>
      <c r="HS187" s="397"/>
      <c r="HT187" s="397"/>
      <c r="HU187" s="397"/>
      <c r="HV187" s="397"/>
      <c r="HW187" s="397"/>
      <c r="HX187" s="397"/>
      <c r="HY187" s="397"/>
      <c r="HZ187" s="397"/>
      <c r="IA187" s="397"/>
      <c r="IB187" s="397"/>
      <c r="IC187" s="397"/>
      <c r="ID187" s="397"/>
      <c r="IE187" s="397"/>
      <c r="IF187" s="397"/>
      <c r="IG187" s="397"/>
      <c r="IH187" s="397"/>
      <c r="II187" s="397"/>
      <c r="IJ187" s="397"/>
      <c r="IK187" s="397"/>
      <c r="IL187" s="397"/>
      <c r="IM187" s="397"/>
      <c r="IN187" s="397"/>
      <c r="IO187" s="397"/>
      <c r="IP187" s="397"/>
      <c r="IQ187" s="397"/>
      <c r="IR187" s="397"/>
    </row>
    <row r="188" spans="2:252" s="183" customFormat="1" ht="25.15" customHeight="1" x14ac:dyDescent="0.25">
      <c r="B188" s="85">
        <v>40575</v>
      </c>
      <c r="C188" s="184">
        <v>391000</v>
      </c>
      <c r="D188" s="184">
        <f>NetWorth[[#This Row],[Worth]]-C189</f>
        <v>10099.876159999985</v>
      </c>
      <c r="E188" s="1" t="s">
        <v>99</v>
      </c>
      <c r="V188" s="397"/>
      <c r="W188" s="397"/>
      <c r="X188" s="397"/>
      <c r="Y188" s="397"/>
      <c r="Z188" s="397"/>
      <c r="AA188" s="397"/>
      <c r="AB188" s="397"/>
      <c r="AC188" s="397"/>
      <c r="AD188" s="397"/>
      <c r="AE188" s="397"/>
      <c r="AF188" s="397"/>
      <c r="AG188" s="397"/>
      <c r="AH188" s="397"/>
      <c r="AI188" s="397"/>
      <c r="AJ188" s="397"/>
      <c r="AK188" s="397"/>
      <c r="AL188" s="397"/>
      <c r="AM188" s="397"/>
      <c r="AN188" s="397"/>
      <c r="AO188" s="397"/>
      <c r="AP188" s="397"/>
      <c r="AQ188" s="397"/>
      <c r="AR188" s="397"/>
      <c r="AS188" s="397"/>
      <c r="AT188" s="397"/>
      <c r="AU188" s="397"/>
      <c r="AV188" s="397"/>
      <c r="AW188" s="397"/>
      <c r="AX188" s="397"/>
      <c r="AY188" s="397"/>
      <c r="AZ188" s="397"/>
      <c r="BA188" s="397"/>
      <c r="BB188" s="397"/>
      <c r="BC188" s="397"/>
      <c r="BD188" s="397"/>
      <c r="BE188" s="397"/>
      <c r="BF188" s="397"/>
      <c r="BG188" s="397"/>
      <c r="BH188" s="397"/>
      <c r="BI188" s="397"/>
      <c r="BJ188" s="397"/>
      <c r="BK188" s="397"/>
      <c r="BL188" s="397"/>
      <c r="BM188" s="397"/>
      <c r="BN188" s="397"/>
      <c r="BO188" s="397"/>
      <c r="BP188" s="397"/>
      <c r="BQ188" s="397"/>
      <c r="BR188" s="397"/>
      <c r="BS188" s="397"/>
      <c r="BT188" s="397"/>
      <c r="BU188" s="397"/>
      <c r="BV188" s="397"/>
      <c r="BW188" s="397"/>
      <c r="BX188" s="397"/>
      <c r="BY188" s="397"/>
      <c r="BZ188" s="397"/>
      <c r="CA188" s="397"/>
      <c r="CB188" s="397"/>
      <c r="CC188" s="397"/>
      <c r="CD188" s="397"/>
      <c r="CE188" s="397"/>
      <c r="CF188" s="397"/>
      <c r="CG188" s="397"/>
      <c r="CH188" s="397"/>
      <c r="CI188" s="397"/>
      <c r="CJ188" s="397"/>
      <c r="CK188" s="397"/>
      <c r="CL188" s="397"/>
      <c r="CM188" s="397"/>
      <c r="CN188" s="397"/>
      <c r="CO188" s="397"/>
      <c r="CP188" s="397"/>
      <c r="CQ188" s="397"/>
      <c r="CR188" s="397"/>
      <c r="CS188" s="397"/>
      <c r="CT188" s="397"/>
      <c r="CU188" s="397"/>
      <c r="CV188" s="397"/>
      <c r="CW188" s="397"/>
      <c r="CX188" s="397"/>
      <c r="CY188" s="397"/>
      <c r="CZ188" s="397"/>
      <c r="DA188" s="397"/>
      <c r="DB188" s="397"/>
      <c r="DC188" s="397"/>
      <c r="DD188" s="397"/>
      <c r="DE188" s="397"/>
      <c r="DF188" s="397"/>
      <c r="DG188" s="397"/>
      <c r="DH188" s="397"/>
      <c r="DI188" s="397"/>
      <c r="DJ188" s="397"/>
      <c r="DK188" s="397"/>
      <c r="DL188" s="397"/>
      <c r="DM188" s="397"/>
      <c r="DN188" s="397"/>
      <c r="DO188" s="397"/>
      <c r="DP188" s="397"/>
      <c r="DQ188" s="397"/>
      <c r="DR188" s="397"/>
      <c r="DS188" s="397"/>
      <c r="DT188" s="397"/>
      <c r="DU188" s="397"/>
      <c r="DV188" s="397"/>
      <c r="DW188" s="397"/>
      <c r="DX188" s="397"/>
      <c r="DY188" s="397"/>
      <c r="DZ188" s="397"/>
      <c r="EA188" s="397"/>
      <c r="EB188" s="397"/>
      <c r="EC188" s="397"/>
      <c r="ED188" s="397"/>
      <c r="EE188" s="397"/>
      <c r="EF188" s="397"/>
      <c r="EG188" s="397"/>
      <c r="EH188" s="397"/>
      <c r="EI188" s="397"/>
      <c r="EJ188" s="397"/>
      <c r="EK188" s="397"/>
      <c r="EL188" s="397"/>
      <c r="EM188" s="397"/>
      <c r="EN188" s="397"/>
      <c r="EO188" s="397"/>
      <c r="EP188" s="397"/>
      <c r="EQ188" s="397"/>
      <c r="ER188" s="397"/>
      <c r="ES188" s="397"/>
      <c r="ET188" s="397"/>
      <c r="EU188" s="397"/>
      <c r="EV188" s="397"/>
      <c r="EW188" s="397"/>
      <c r="EX188" s="397"/>
      <c r="EY188" s="397"/>
      <c r="EZ188" s="397"/>
      <c r="FA188" s="397"/>
      <c r="FB188" s="397"/>
      <c r="FC188" s="397"/>
      <c r="FD188" s="397"/>
      <c r="FE188" s="397"/>
      <c r="FF188" s="397"/>
      <c r="FG188" s="397"/>
      <c r="FH188" s="397"/>
      <c r="FI188" s="397"/>
      <c r="FJ188" s="397"/>
      <c r="FK188" s="397"/>
      <c r="FL188" s="397"/>
      <c r="FM188" s="397"/>
      <c r="FN188" s="397"/>
      <c r="FO188" s="397"/>
      <c r="FP188" s="397"/>
      <c r="FQ188" s="397"/>
      <c r="FR188" s="397"/>
      <c r="FS188" s="397"/>
      <c r="FT188" s="397"/>
      <c r="FU188" s="397"/>
      <c r="FV188" s="397"/>
      <c r="FW188" s="397"/>
      <c r="FX188" s="397"/>
      <c r="FY188" s="397"/>
      <c r="FZ188" s="397"/>
      <c r="GA188" s="397"/>
      <c r="GB188" s="397"/>
      <c r="GC188" s="397"/>
      <c r="GD188" s="397"/>
      <c r="GE188" s="397"/>
      <c r="GF188" s="397"/>
      <c r="GG188" s="397"/>
      <c r="GH188" s="397"/>
      <c r="GI188" s="397"/>
      <c r="GJ188" s="397"/>
      <c r="GK188" s="397"/>
      <c r="GL188" s="397"/>
      <c r="GM188" s="397"/>
      <c r="GN188" s="397"/>
      <c r="GO188" s="397"/>
      <c r="GP188" s="397"/>
      <c r="GQ188" s="397"/>
      <c r="GR188" s="397"/>
      <c r="GS188" s="397"/>
      <c r="GT188" s="397"/>
      <c r="GU188" s="397"/>
      <c r="GV188" s="397"/>
      <c r="GW188" s="397"/>
      <c r="GX188" s="397"/>
      <c r="GY188" s="397"/>
      <c r="GZ188" s="397"/>
      <c r="HA188" s="397"/>
      <c r="HB188" s="397"/>
      <c r="HC188" s="397"/>
      <c r="HD188" s="397"/>
      <c r="HE188" s="397"/>
      <c r="HF188" s="397"/>
      <c r="HG188" s="397"/>
      <c r="HH188" s="397"/>
      <c r="HI188" s="397"/>
      <c r="HJ188" s="397"/>
      <c r="HK188" s="397"/>
      <c r="HL188" s="397"/>
      <c r="HM188" s="397"/>
      <c r="HN188" s="397"/>
      <c r="HO188" s="397"/>
      <c r="HP188" s="397"/>
      <c r="HQ188" s="397"/>
      <c r="HR188" s="397"/>
      <c r="HS188" s="397"/>
      <c r="HT188" s="397"/>
      <c r="HU188" s="397"/>
      <c r="HV188" s="397"/>
      <c r="HW188" s="397"/>
      <c r="HX188" s="397"/>
      <c r="HY188" s="397"/>
      <c r="HZ188" s="397"/>
      <c r="IA188" s="397"/>
      <c r="IB188" s="397"/>
      <c r="IC188" s="397"/>
      <c r="ID188" s="397"/>
      <c r="IE188" s="397"/>
      <c r="IF188" s="397"/>
      <c r="IG188" s="397"/>
      <c r="IH188" s="397"/>
      <c r="II188" s="397"/>
      <c r="IJ188" s="397"/>
      <c r="IK188" s="397"/>
      <c r="IL188" s="397"/>
      <c r="IM188" s="397"/>
      <c r="IN188" s="397"/>
      <c r="IO188" s="397"/>
      <c r="IP188" s="397"/>
      <c r="IQ188" s="397"/>
      <c r="IR188" s="397"/>
    </row>
    <row r="189" spans="2:252" s="183" customFormat="1" ht="25.15" customHeight="1" x14ac:dyDescent="0.25">
      <c r="B189" s="85">
        <v>40544</v>
      </c>
      <c r="C189" s="184">
        <v>380900.12384000001</v>
      </c>
      <c r="D189" s="184">
        <f>NetWorth[[#This Row],[Worth]]-C190</f>
        <v>-1831.5908019999624</v>
      </c>
      <c r="E189" s="1" t="s">
        <v>100</v>
      </c>
      <c r="V189" s="397"/>
      <c r="W189" s="397"/>
      <c r="X189" s="397"/>
      <c r="Y189" s="397"/>
      <c r="Z189" s="397"/>
      <c r="AA189" s="397"/>
      <c r="AB189" s="397"/>
      <c r="AC189" s="397"/>
      <c r="AD189" s="397"/>
      <c r="AE189" s="397"/>
      <c r="AF189" s="397"/>
      <c r="AG189" s="397"/>
      <c r="AH189" s="397"/>
      <c r="AI189" s="397"/>
      <c r="AJ189" s="397"/>
      <c r="AK189" s="397"/>
      <c r="AL189" s="397"/>
      <c r="AM189" s="397"/>
      <c r="AN189" s="397"/>
      <c r="AO189" s="397"/>
      <c r="AP189" s="397"/>
      <c r="AQ189" s="397"/>
      <c r="AR189" s="397"/>
      <c r="AS189" s="397"/>
      <c r="AT189" s="397"/>
      <c r="AU189" s="397"/>
      <c r="AV189" s="397"/>
      <c r="AW189" s="397"/>
      <c r="AX189" s="397"/>
      <c r="AY189" s="397"/>
      <c r="AZ189" s="397"/>
      <c r="BA189" s="397"/>
      <c r="BB189" s="397"/>
      <c r="BC189" s="397"/>
      <c r="BD189" s="397"/>
      <c r="BE189" s="397"/>
      <c r="BF189" s="397"/>
      <c r="BG189" s="397"/>
      <c r="BH189" s="397"/>
      <c r="BI189" s="397"/>
      <c r="BJ189" s="397"/>
      <c r="BK189" s="397"/>
      <c r="BL189" s="397"/>
      <c r="BM189" s="397"/>
      <c r="BN189" s="397"/>
      <c r="BO189" s="397"/>
      <c r="BP189" s="397"/>
      <c r="BQ189" s="397"/>
      <c r="BR189" s="397"/>
      <c r="BS189" s="397"/>
      <c r="BT189" s="397"/>
      <c r="BU189" s="397"/>
      <c r="BV189" s="397"/>
      <c r="BW189" s="397"/>
      <c r="BX189" s="397"/>
      <c r="BY189" s="397"/>
      <c r="BZ189" s="397"/>
      <c r="CA189" s="397"/>
      <c r="CB189" s="397"/>
      <c r="CC189" s="397"/>
      <c r="CD189" s="397"/>
      <c r="CE189" s="397"/>
      <c r="CF189" s="397"/>
      <c r="CG189" s="397"/>
      <c r="CH189" s="397"/>
      <c r="CI189" s="397"/>
      <c r="CJ189" s="397"/>
      <c r="CK189" s="397"/>
      <c r="CL189" s="397"/>
      <c r="CM189" s="397"/>
      <c r="CN189" s="397"/>
      <c r="CO189" s="397"/>
      <c r="CP189" s="397"/>
      <c r="CQ189" s="397"/>
      <c r="CR189" s="397"/>
      <c r="CS189" s="397"/>
      <c r="CT189" s="397"/>
      <c r="CU189" s="397"/>
      <c r="CV189" s="397"/>
      <c r="CW189" s="397"/>
      <c r="CX189" s="397"/>
      <c r="CY189" s="397"/>
      <c r="CZ189" s="397"/>
      <c r="DA189" s="397"/>
      <c r="DB189" s="397"/>
      <c r="DC189" s="397"/>
      <c r="DD189" s="397"/>
      <c r="DE189" s="397"/>
      <c r="DF189" s="397"/>
      <c r="DG189" s="397"/>
      <c r="DH189" s="397"/>
      <c r="DI189" s="397"/>
      <c r="DJ189" s="397"/>
      <c r="DK189" s="397"/>
      <c r="DL189" s="397"/>
      <c r="DM189" s="397"/>
      <c r="DN189" s="397"/>
      <c r="DO189" s="397"/>
      <c r="DP189" s="397"/>
      <c r="DQ189" s="397"/>
      <c r="DR189" s="397"/>
      <c r="DS189" s="397"/>
      <c r="DT189" s="397"/>
      <c r="DU189" s="397"/>
      <c r="DV189" s="397"/>
      <c r="DW189" s="397"/>
      <c r="DX189" s="397"/>
      <c r="DY189" s="397"/>
      <c r="DZ189" s="397"/>
      <c r="EA189" s="397"/>
      <c r="EB189" s="397"/>
      <c r="EC189" s="397"/>
      <c r="ED189" s="397"/>
      <c r="EE189" s="397"/>
      <c r="EF189" s="397"/>
      <c r="EG189" s="397"/>
      <c r="EH189" s="397"/>
      <c r="EI189" s="397"/>
      <c r="EJ189" s="397"/>
      <c r="EK189" s="397"/>
      <c r="EL189" s="397"/>
      <c r="EM189" s="397"/>
      <c r="EN189" s="397"/>
      <c r="EO189" s="397"/>
      <c r="EP189" s="397"/>
      <c r="EQ189" s="397"/>
      <c r="ER189" s="397"/>
      <c r="ES189" s="397"/>
      <c r="ET189" s="397"/>
      <c r="EU189" s="397"/>
      <c r="EV189" s="397"/>
      <c r="EW189" s="397"/>
      <c r="EX189" s="397"/>
      <c r="EY189" s="397"/>
      <c r="EZ189" s="397"/>
      <c r="FA189" s="397"/>
      <c r="FB189" s="397"/>
      <c r="FC189" s="397"/>
      <c r="FD189" s="397"/>
      <c r="FE189" s="397"/>
      <c r="FF189" s="397"/>
      <c r="FG189" s="397"/>
      <c r="FH189" s="397"/>
      <c r="FI189" s="397"/>
      <c r="FJ189" s="397"/>
      <c r="FK189" s="397"/>
      <c r="FL189" s="397"/>
      <c r="FM189" s="397"/>
      <c r="FN189" s="397"/>
      <c r="FO189" s="397"/>
      <c r="FP189" s="397"/>
      <c r="FQ189" s="397"/>
      <c r="FR189" s="397"/>
      <c r="FS189" s="397"/>
      <c r="FT189" s="397"/>
      <c r="FU189" s="397"/>
      <c r="FV189" s="397"/>
      <c r="FW189" s="397"/>
      <c r="FX189" s="397"/>
      <c r="FY189" s="397"/>
      <c r="FZ189" s="397"/>
      <c r="GA189" s="397"/>
      <c r="GB189" s="397"/>
      <c r="GC189" s="397"/>
      <c r="GD189" s="397"/>
      <c r="GE189" s="397"/>
      <c r="GF189" s="397"/>
      <c r="GG189" s="397"/>
      <c r="GH189" s="397"/>
      <c r="GI189" s="397"/>
      <c r="GJ189" s="397"/>
      <c r="GK189" s="397"/>
      <c r="GL189" s="397"/>
      <c r="GM189" s="397"/>
      <c r="GN189" s="397"/>
      <c r="GO189" s="397"/>
      <c r="GP189" s="397"/>
      <c r="GQ189" s="397"/>
      <c r="GR189" s="397"/>
      <c r="GS189" s="397"/>
      <c r="GT189" s="397"/>
      <c r="GU189" s="397"/>
      <c r="GV189" s="397"/>
      <c r="GW189" s="397"/>
      <c r="GX189" s="397"/>
      <c r="GY189" s="397"/>
      <c r="GZ189" s="397"/>
      <c r="HA189" s="397"/>
      <c r="HB189" s="397"/>
      <c r="HC189" s="397"/>
      <c r="HD189" s="397"/>
      <c r="HE189" s="397"/>
      <c r="HF189" s="397"/>
      <c r="HG189" s="397"/>
      <c r="HH189" s="397"/>
      <c r="HI189" s="397"/>
      <c r="HJ189" s="397"/>
      <c r="HK189" s="397"/>
      <c r="HL189" s="397"/>
      <c r="HM189" s="397"/>
      <c r="HN189" s="397"/>
      <c r="HO189" s="397"/>
      <c r="HP189" s="397"/>
      <c r="HQ189" s="397"/>
      <c r="HR189" s="397"/>
      <c r="HS189" s="397"/>
      <c r="HT189" s="397"/>
      <c r="HU189" s="397"/>
      <c r="HV189" s="397"/>
      <c r="HW189" s="397"/>
      <c r="HX189" s="397"/>
      <c r="HY189" s="397"/>
      <c r="HZ189" s="397"/>
      <c r="IA189" s="397"/>
      <c r="IB189" s="397"/>
      <c r="IC189" s="397"/>
      <c r="ID189" s="397"/>
      <c r="IE189" s="397"/>
      <c r="IF189" s="397"/>
      <c r="IG189" s="397"/>
      <c r="IH189" s="397"/>
      <c r="II189" s="397"/>
      <c r="IJ189" s="397"/>
      <c r="IK189" s="397"/>
      <c r="IL189" s="397"/>
      <c r="IM189" s="397"/>
      <c r="IN189" s="397"/>
      <c r="IO189" s="397"/>
      <c r="IP189" s="397"/>
      <c r="IQ189" s="397"/>
      <c r="IR189" s="397"/>
    </row>
    <row r="190" spans="2:252" s="183" customFormat="1" ht="25.15" customHeight="1" x14ac:dyDescent="0.25">
      <c r="B190" s="85">
        <v>40513</v>
      </c>
      <c r="C190" s="184">
        <v>382731.71464199998</v>
      </c>
      <c r="D190" s="184">
        <f>NetWorth[[#This Row],[Worth]]-C191</f>
        <v>6135.0274150000187</v>
      </c>
      <c r="E190" s="1"/>
      <c r="V190" s="397"/>
      <c r="W190" s="397"/>
      <c r="X190" s="397"/>
      <c r="Y190" s="397"/>
      <c r="Z190" s="397"/>
      <c r="AA190" s="397"/>
      <c r="AB190" s="397"/>
      <c r="AC190" s="397"/>
      <c r="AD190" s="397"/>
      <c r="AE190" s="397"/>
      <c r="AF190" s="397"/>
      <c r="AG190" s="397"/>
      <c r="AH190" s="397"/>
      <c r="AI190" s="397"/>
      <c r="AJ190" s="397"/>
      <c r="AK190" s="397"/>
      <c r="AL190" s="397"/>
      <c r="AM190" s="397"/>
      <c r="AN190" s="397"/>
      <c r="AO190" s="397"/>
      <c r="AP190" s="397"/>
      <c r="AQ190" s="397"/>
      <c r="AR190" s="397"/>
      <c r="AS190" s="397"/>
      <c r="AT190" s="397"/>
      <c r="AU190" s="397"/>
      <c r="AV190" s="397"/>
      <c r="AW190" s="397"/>
      <c r="AX190" s="397"/>
      <c r="AY190" s="397"/>
      <c r="AZ190" s="397"/>
      <c r="BA190" s="397"/>
      <c r="BB190" s="397"/>
      <c r="BC190" s="397"/>
      <c r="BD190" s="397"/>
      <c r="BE190" s="397"/>
      <c r="BF190" s="397"/>
      <c r="BG190" s="397"/>
      <c r="BH190" s="397"/>
      <c r="BI190" s="397"/>
      <c r="BJ190" s="397"/>
      <c r="BK190" s="397"/>
      <c r="BL190" s="397"/>
      <c r="BM190" s="397"/>
      <c r="BN190" s="397"/>
      <c r="BO190" s="397"/>
      <c r="BP190" s="397"/>
      <c r="BQ190" s="397"/>
      <c r="BR190" s="397"/>
      <c r="BS190" s="397"/>
      <c r="BT190" s="397"/>
      <c r="BU190" s="397"/>
      <c r="BV190" s="397"/>
      <c r="BW190" s="397"/>
      <c r="BX190" s="397"/>
      <c r="BY190" s="397"/>
      <c r="BZ190" s="397"/>
      <c r="CA190" s="397"/>
      <c r="CB190" s="397"/>
      <c r="CC190" s="397"/>
      <c r="CD190" s="397"/>
      <c r="CE190" s="397"/>
      <c r="CF190" s="397"/>
      <c r="CG190" s="397"/>
      <c r="CH190" s="397"/>
      <c r="CI190" s="397"/>
      <c r="CJ190" s="397"/>
      <c r="CK190" s="397"/>
      <c r="CL190" s="397"/>
      <c r="CM190" s="397"/>
      <c r="CN190" s="397"/>
      <c r="CO190" s="397"/>
      <c r="CP190" s="397"/>
      <c r="CQ190" s="397"/>
      <c r="CR190" s="397"/>
      <c r="CS190" s="397"/>
      <c r="CT190" s="397"/>
      <c r="CU190" s="397"/>
      <c r="CV190" s="397"/>
      <c r="CW190" s="397"/>
      <c r="CX190" s="397"/>
      <c r="CY190" s="397"/>
      <c r="CZ190" s="397"/>
      <c r="DA190" s="397"/>
      <c r="DB190" s="397"/>
      <c r="DC190" s="397"/>
      <c r="DD190" s="397"/>
      <c r="DE190" s="397"/>
      <c r="DF190" s="397"/>
      <c r="DG190" s="397"/>
      <c r="DH190" s="397"/>
      <c r="DI190" s="397"/>
      <c r="DJ190" s="397"/>
      <c r="DK190" s="397"/>
      <c r="DL190" s="397"/>
      <c r="DM190" s="397"/>
      <c r="DN190" s="397"/>
      <c r="DO190" s="397"/>
      <c r="DP190" s="397"/>
      <c r="DQ190" s="397"/>
      <c r="DR190" s="397"/>
      <c r="DS190" s="397"/>
      <c r="DT190" s="397"/>
      <c r="DU190" s="397"/>
      <c r="DV190" s="397"/>
      <c r="DW190" s="397"/>
      <c r="DX190" s="397"/>
      <c r="DY190" s="397"/>
      <c r="DZ190" s="397"/>
      <c r="EA190" s="397"/>
      <c r="EB190" s="397"/>
      <c r="EC190" s="397"/>
      <c r="ED190" s="397"/>
      <c r="EE190" s="397"/>
      <c r="EF190" s="397"/>
      <c r="EG190" s="397"/>
      <c r="EH190" s="397"/>
      <c r="EI190" s="397"/>
      <c r="EJ190" s="397"/>
      <c r="EK190" s="397"/>
      <c r="EL190" s="397"/>
      <c r="EM190" s="397"/>
      <c r="EN190" s="397"/>
      <c r="EO190" s="397"/>
      <c r="EP190" s="397"/>
      <c r="EQ190" s="397"/>
      <c r="ER190" s="397"/>
      <c r="ES190" s="397"/>
      <c r="ET190" s="397"/>
      <c r="EU190" s="397"/>
      <c r="EV190" s="397"/>
      <c r="EW190" s="397"/>
      <c r="EX190" s="397"/>
      <c r="EY190" s="397"/>
      <c r="EZ190" s="397"/>
      <c r="FA190" s="397"/>
      <c r="FB190" s="397"/>
      <c r="FC190" s="397"/>
      <c r="FD190" s="397"/>
      <c r="FE190" s="397"/>
      <c r="FF190" s="397"/>
      <c r="FG190" s="397"/>
      <c r="FH190" s="397"/>
      <c r="FI190" s="397"/>
      <c r="FJ190" s="397"/>
      <c r="FK190" s="397"/>
      <c r="FL190" s="397"/>
      <c r="FM190" s="397"/>
      <c r="FN190" s="397"/>
      <c r="FO190" s="397"/>
      <c r="FP190" s="397"/>
      <c r="FQ190" s="397"/>
      <c r="FR190" s="397"/>
      <c r="FS190" s="397"/>
      <c r="FT190" s="397"/>
      <c r="FU190" s="397"/>
      <c r="FV190" s="397"/>
      <c r="FW190" s="397"/>
      <c r="FX190" s="397"/>
      <c r="FY190" s="397"/>
      <c r="FZ190" s="397"/>
      <c r="GA190" s="397"/>
      <c r="GB190" s="397"/>
      <c r="GC190" s="397"/>
      <c r="GD190" s="397"/>
      <c r="GE190" s="397"/>
      <c r="GF190" s="397"/>
      <c r="GG190" s="397"/>
      <c r="GH190" s="397"/>
      <c r="GI190" s="397"/>
      <c r="GJ190" s="397"/>
      <c r="GK190" s="397"/>
      <c r="GL190" s="397"/>
      <c r="GM190" s="397"/>
      <c r="GN190" s="397"/>
      <c r="GO190" s="397"/>
      <c r="GP190" s="397"/>
      <c r="GQ190" s="397"/>
      <c r="GR190" s="397"/>
      <c r="GS190" s="397"/>
      <c r="GT190" s="397"/>
      <c r="GU190" s="397"/>
      <c r="GV190" s="397"/>
      <c r="GW190" s="397"/>
      <c r="GX190" s="397"/>
      <c r="GY190" s="397"/>
      <c r="GZ190" s="397"/>
      <c r="HA190" s="397"/>
      <c r="HB190" s="397"/>
      <c r="HC190" s="397"/>
      <c r="HD190" s="397"/>
      <c r="HE190" s="397"/>
      <c r="HF190" s="397"/>
      <c r="HG190" s="397"/>
      <c r="HH190" s="397"/>
      <c r="HI190" s="397"/>
      <c r="HJ190" s="397"/>
      <c r="HK190" s="397"/>
      <c r="HL190" s="397"/>
      <c r="HM190" s="397"/>
      <c r="HN190" s="397"/>
      <c r="HO190" s="397"/>
      <c r="HP190" s="397"/>
      <c r="HQ190" s="397"/>
      <c r="HR190" s="397"/>
      <c r="HS190" s="397"/>
      <c r="HT190" s="397"/>
      <c r="HU190" s="397"/>
      <c r="HV190" s="397"/>
      <c r="HW190" s="397"/>
      <c r="HX190" s="397"/>
      <c r="HY190" s="397"/>
      <c r="HZ190" s="397"/>
      <c r="IA190" s="397"/>
      <c r="IB190" s="397"/>
      <c r="IC190" s="397"/>
      <c r="ID190" s="397"/>
      <c r="IE190" s="397"/>
      <c r="IF190" s="397"/>
      <c r="IG190" s="397"/>
      <c r="IH190" s="397"/>
      <c r="II190" s="397"/>
      <c r="IJ190" s="397"/>
      <c r="IK190" s="397"/>
      <c r="IL190" s="397"/>
      <c r="IM190" s="397"/>
      <c r="IN190" s="397"/>
      <c r="IO190" s="397"/>
      <c r="IP190" s="397"/>
      <c r="IQ190" s="397"/>
      <c r="IR190" s="397"/>
    </row>
    <row r="191" spans="2:252" s="183" customFormat="1" ht="25.15" customHeight="1" x14ac:dyDescent="0.25">
      <c r="B191" s="85">
        <v>40483</v>
      </c>
      <c r="C191" s="184">
        <v>376596.68722699996</v>
      </c>
      <c r="D191" s="184">
        <f>NetWorth[[#This Row],[Worth]]-C192</f>
        <v>8994.628362999938</v>
      </c>
      <c r="E191" s="1" t="s">
        <v>96</v>
      </c>
      <c r="V191" s="397"/>
      <c r="W191" s="397"/>
      <c r="X191" s="397"/>
      <c r="Y191" s="397"/>
      <c r="Z191" s="397"/>
      <c r="AA191" s="397"/>
      <c r="AB191" s="397"/>
      <c r="AC191" s="397"/>
      <c r="AD191" s="397"/>
      <c r="AE191" s="397"/>
      <c r="AF191" s="397"/>
      <c r="AG191" s="397"/>
      <c r="AH191" s="397"/>
      <c r="AI191" s="397"/>
      <c r="AJ191" s="397"/>
      <c r="AK191" s="397"/>
      <c r="AL191" s="397"/>
      <c r="AM191" s="397"/>
      <c r="AN191" s="397"/>
      <c r="AO191" s="397"/>
      <c r="AP191" s="397"/>
      <c r="AQ191" s="397"/>
      <c r="AR191" s="397"/>
      <c r="AS191" s="397"/>
      <c r="AT191" s="397"/>
      <c r="AU191" s="397"/>
      <c r="AV191" s="397"/>
      <c r="AW191" s="397"/>
      <c r="AX191" s="397"/>
      <c r="AY191" s="397"/>
      <c r="AZ191" s="397"/>
      <c r="BA191" s="397"/>
      <c r="BB191" s="397"/>
      <c r="BC191" s="397"/>
      <c r="BD191" s="397"/>
      <c r="BE191" s="397"/>
      <c r="BF191" s="397"/>
      <c r="BG191" s="397"/>
      <c r="BH191" s="397"/>
      <c r="BI191" s="397"/>
      <c r="BJ191" s="397"/>
      <c r="BK191" s="397"/>
      <c r="BL191" s="397"/>
      <c r="BM191" s="397"/>
      <c r="BN191" s="397"/>
      <c r="BO191" s="397"/>
      <c r="BP191" s="397"/>
      <c r="BQ191" s="397"/>
      <c r="BR191" s="397"/>
      <c r="BS191" s="397"/>
      <c r="BT191" s="397"/>
      <c r="BU191" s="397"/>
      <c r="BV191" s="397"/>
      <c r="BW191" s="397"/>
      <c r="BX191" s="397"/>
      <c r="BY191" s="397"/>
      <c r="BZ191" s="397"/>
      <c r="CA191" s="397"/>
      <c r="CB191" s="397"/>
      <c r="CC191" s="397"/>
      <c r="CD191" s="397"/>
      <c r="CE191" s="397"/>
      <c r="CF191" s="397"/>
      <c r="CG191" s="397"/>
      <c r="CH191" s="397"/>
      <c r="CI191" s="397"/>
      <c r="CJ191" s="397"/>
      <c r="CK191" s="397"/>
      <c r="CL191" s="397"/>
      <c r="CM191" s="397"/>
      <c r="CN191" s="397"/>
      <c r="CO191" s="397"/>
      <c r="CP191" s="397"/>
      <c r="CQ191" s="397"/>
      <c r="CR191" s="397"/>
      <c r="CS191" s="397"/>
      <c r="CT191" s="397"/>
      <c r="CU191" s="397"/>
      <c r="CV191" s="397"/>
      <c r="CW191" s="397"/>
      <c r="CX191" s="397"/>
      <c r="CY191" s="397"/>
      <c r="CZ191" s="397"/>
      <c r="DA191" s="397"/>
      <c r="DB191" s="397"/>
      <c r="DC191" s="397"/>
      <c r="DD191" s="397"/>
      <c r="DE191" s="397"/>
      <c r="DF191" s="397"/>
      <c r="DG191" s="397"/>
      <c r="DH191" s="397"/>
      <c r="DI191" s="397"/>
      <c r="DJ191" s="397"/>
      <c r="DK191" s="397"/>
      <c r="DL191" s="397"/>
      <c r="DM191" s="397"/>
      <c r="DN191" s="397"/>
      <c r="DO191" s="397"/>
      <c r="DP191" s="397"/>
      <c r="DQ191" s="397"/>
      <c r="DR191" s="397"/>
      <c r="DS191" s="397"/>
      <c r="DT191" s="397"/>
      <c r="DU191" s="397"/>
      <c r="DV191" s="397"/>
      <c r="DW191" s="397"/>
      <c r="DX191" s="397"/>
      <c r="DY191" s="397"/>
      <c r="DZ191" s="397"/>
      <c r="EA191" s="397"/>
      <c r="EB191" s="397"/>
      <c r="EC191" s="397"/>
      <c r="ED191" s="397"/>
      <c r="EE191" s="397"/>
      <c r="EF191" s="397"/>
      <c r="EG191" s="397"/>
      <c r="EH191" s="397"/>
      <c r="EI191" s="397"/>
      <c r="EJ191" s="397"/>
      <c r="EK191" s="397"/>
      <c r="EL191" s="397"/>
      <c r="EM191" s="397"/>
      <c r="EN191" s="397"/>
      <c r="EO191" s="397"/>
      <c r="EP191" s="397"/>
      <c r="EQ191" s="397"/>
      <c r="ER191" s="397"/>
      <c r="ES191" s="397"/>
      <c r="ET191" s="397"/>
      <c r="EU191" s="397"/>
      <c r="EV191" s="397"/>
      <c r="EW191" s="397"/>
      <c r="EX191" s="397"/>
      <c r="EY191" s="397"/>
      <c r="EZ191" s="397"/>
      <c r="FA191" s="397"/>
      <c r="FB191" s="397"/>
      <c r="FC191" s="397"/>
      <c r="FD191" s="397"/>
      <c r="FE191" s="397"/>
      <c r="FF191" s="397"/>
      <c r="FG191" s="397"/>
      <c r="FH191" s="397"/>
      <c r="FI191" s="397"/>
      <c r="FJ191" s="397"/>
      <c r="FK191" s="397"/>
      <c r="FL191" s="397"/>
      <c r="FM191" s="397"/>
      <c r="FN191" s="397"/>
      <c r="FO191" s="397"/>
      <c r="FP191" s="397"/>
      <c r="FQ191" s="397"/>
      <c r="FR191" s="397"/>
      <c r="FS191" s="397"/>
      <c r="FT191" s="397"/>
      <c r="FU191" s="397"/>
      <c r="FV191" s="397"/>
      <c r="FW191" s="397"/>
      <c r="FX191" s="397"/>
      <c r="FY191" s="397"/>
      <c r="FZ191" s="397"/>
      <c r="GA191" s="397"/>
      <c r="GB191" s="397"/>
      <c r="GC191" s="397"/>
      <c r="GD191" s="397"/>
      <c r="GE191" s="397"/>
      <c r="GF191" s="397"/>
      <c r="GG191" s="397"/>
      <c r="GH191" s="397"/>
      <c r="GI191" s="397"/>
      <c r="GJ191" s="397"/>
      <c r="GK191" s="397"/>
      <c r="GL191" s="397"/>
      <c r="GM191" s="397"/>
      <c r="GN191" s="397"/>
      <c r="GO191" s="397"/>
      <c r="GP191" s="397"/>
      <c r="GQ191" s="397"/>
      <c r="GR191" s="397"/>
      <c r="GS191" s="397"/>
      <c r="GT191" s="397"/>
      <c r="GU191" s="397"/>
      <c r="GV191" s="397"/>
      <c r="GW191" s="397"/>
      <c r="GX191" s="397"/>
      <c r="GY191" s="397"/>
      <c r="GZ191" s="397"/>
      <c r="HA191" s="397"/>
      <c r="HB191" s="397"/>
      <c r="HC191" s="397"/>
      <c r="HD191" s="397"/>
      <c r="HE191" s="397"/>
      <c r="HF191" s="397"/>
      <c r="HG191" s="397"/>
      <c r="HH191" s="397"/>
      <c r="HI191" s="397"/>
      <c r="HJ191" s="397"/>
      <c r="HK191" s="397"/>
      <c r="HL191" s="397"/>
      <c r="HM191" s="397"/>
      <c r="HN191" s="397"/>
      <c r="HO191" s="397"/>
      <c r="HP191" s="397"/>
      <c r="HQ191" s="397"/>
      <c r="HR191" s="397"/>
      <c r="HS191" s="397"/>
      <c r="HT191" s="397"/>
      <c r="HU191" s="397"/>
      <c r="HV191" s="397"/>
      <c r="HW191" s="397"/>
      <c r="HX191" s="397"/>
      <c r="HY191" s="397"/>
      <c r="HZ191" s="397"/>
      <c r="IA191" s="397"/>
      <c r="IB191" s="397"/>
      <c r="IC191" s="397"/>
      <c r="ID191" s="397"/>
      <c r="IE191" s="397"/>
      <c r="IF191" s="397"/>
      <c r="IG191" s="397"/>
      <c r="IH191" s="397"/>
      <c r="II191" s="397"/>
      <c r="IJ191" s="397"/>
      <c r="IK191" s="397"/>
      <c r="IL191" s="397"/>
      <c r="IM191" s="397"/>
      <c r="IN191" s="397"/>
      <c r="IO191" s="397"/>
      <c r="IP191" s="397"/>
      <c r="IQ191" s="397"/>
      <c r="IR191" s="397"/>
    </row>
    <row r="192" spans="2:252" s="183" customFormat="1" ht="25.15" customHeight="1" x14ac:dyDescent="0.25">
      <c r="B192" s="85">
        <v>40452</v>
      </c>
      <c r="C192" s="184">
        <v>367602.05886400002</v>
      </c>
      <c r="D192" s="184">
        <f>NetWorth[[#This Row],[Worth]]-C193</f>
        <v>4030.3382720000809</v>
      </c>
      <c r="E192" s="1"/>
      <c r="V192" s="397"/>
      <c r="W192" s="397"/>
      <c r="X192" s="397"/>
      <c r="Y192" s="397"/>
      <c r="Z192" s="397"/>
      <c r="AA192" s="397"/>
      <c r="AB192" s="397"/>
      <c r="AC192" s="397"/>
      <c r="AD192" s="397"/>
      <c r="AE192" s="397"/>
      <c r="AF192" s="397"/>
      <c r="AG192" s="397"/>
      <c r="AH192" s="397"/>
      <c r="AI192" s="397"/>
      <c r="AJ192" s="397"/>
      <c r="AK192" s="397"/>
      <c r="AL192" s="397"/>
      <c r="AM192" s="397"/>
      <c r="AN192" s="397"/>
      <c r="AO192" s="397"/>
      <c r="AP192" s="397"/>
      <c r="AQ192" s="397"/>
      <c r="AR192" s="397"/>
      <c r="AS192" s="397"/>
      <c r="AT192" s="397"/>
      <c r="AU192" s="397"/>
      <c r="AV192" s="397"/>
      <c r="AW192" s="397"/>
      <c r="AX192" s="397"/>
      <c r="AY192" s="397"/>
      <c r="AZ192" s="397"/>
      <c r="BA192" s="397"/>
      <c r="BB192" s="397"/>
      <c r="BC192" s="397"/>
      <c r="BD192" s="397"/>
      <c r="BE192" s="397"/>
      <c r="BF192" s="397"/>
      <c r="BG192" s="397"/>
      <c r="BH192" s="397"/>
      <c r="BI192" s="397"/>
      <c r="BJ192" s="397"/>
      <c r="BK192" s="397"/>
      <c r="BL192" s="397"/>
      <c r="BM192" s="397"/>
      <c r="BN192" s="397"/>
      <c r="BO192" s="397"/>
      <c r="BP192" s="397"/>
      <c r="BQ192" s="397"/>
      <c r="BR192" s="397"/>
      <c r="BS192" s="397"/>
      <c r="BT192" s="397"/>
      <c r="BU192" s="397"/>
      <c r="BV192" s="397"/>
      <c r="BW192" s="397"/>
      <c r="BX192" s="397"/>
      <c r="BY192" s="397"/>
      <c r="BZ192" s="397"/>
      <c r="CA192" s="397"/>
      <c r="CB192" s="397"/>
      <c r="CC192" s="397"/>
      <c r="CD192" s="397"/>
      <c r="CE192" s="397"/>
      <c r="CF192" s="397"/>
      <c r="CG192" s="397"/>
      <c r="CH192" s="397"/>
      <c r="CI192" s="397"/>
      <c r="CJ192" s="397"/>
      <c r="CK192" s="397"/>
      <c r="CL192" s="397"/>
      <c r="CM192" s="397"/>
      <c r="CN192" s="397"/>
      <c r="CO192" s="397"/>
      <c r="CP192" s="397"/>
      <c r="CQ192" s="397"/>
      <c r="CR192" s="397"/>
      <c r="CS192" s="397"/>
      <c r="CT192" s="397"/>
      <c r="CU192" s="397"/>
      <c r="CV192" s="397"/>
      <c r="CW192" s="397"/>
      <c r="CX192" s="397"/>
      <c r="CY192" s="397"/>
      <c r="CZ192" s="397"/>
      <c r="DA192" s="397"/>
      <c r="DB192" s="397"/>
      <c r="DC192" s="397"/>
      <c r="DD192" s="397"/>
      <c r="DE192" s="397"/>
      <c r="DF192" s="397"/>
      <c r="DG192" s="397"/>
      <c r="DH192" s="397"/>
      <c r="DI192" s="397"/>
      <c r="DJ192" s="397"/>
      <c r="DK192" s="397"/>
      <c r="DL192" s="397"/>
      <c r="DM192" s="397"/>
      <c r="DN192" s="397"/>
      <c r="DO192" s="397"/>
      <c r="DP192" s="397"/>
      <c r="DQ192" s="397"/>
      <c r="DR192" s="397"/>
      <c r="DS192" s="397"/>
      <c r="DT192" s="397"/>
      <c r="DU192" s="397"/>
      <c r="DV192" s="397"/>
      <c r="DW192" s="397"/>
      <c r="DX192" s="397"/>
      <c r="DY192" s="397"/>
      <c r="DZ192" s="397"/>
      <c r="EA192" s="397"/>
      <c r="EB192" s="397"/>
      <c r="EC192" s="397"/>
      <c r="ED192" s="397"/>
      <c r="EE192" s="397"/>
      <c r="EF192" s="397"/>
      <c r="EG192" s="397"/>
      <c r="EH192" s="397"/>
      <c r="EI192" s="397"/>
      <c r="EJ192" s="397"/>
      <c r="EK192" s="397"/>
      <c r="EL192" s="397"/>
      <c r="EM192" s="397"/>
      <c r="EN192" s="397"/>
      <c r="EO192" s="397"/>
      <c r="EP192" s="397"/>
      <c r="EQ192" s="397"/>
      <c r="ER192" s="397"/>
      <c r="ES192" s="397"/>
      <c r="ET192" s="397"/>
      <c r="EU192" s="397"/>
      <c r="EV192" s="397"/>
      <c r="EW192" s="397"/>
      <c r="EX192" s="397"/>
      <c r="EY192" s="397"/>
      <c r="EZ192" s="397"/>
      <c r="FA192" s="397"/>
      <c r="FB192" s="397"/>
      <c r="FC192" s="397"/>
      <c r="FD192" s="397"/>
      <c r="FE192" s="397"/>
      <c r="FF192" s="397"/>
      <c r="FG192" s="397"/>
      <c r="FH192" s="397"/>
      <c r="FI192" s="397"/>
      <c r="FJ192" s="397"/>
      <c r="FK192" s="397"/>
      <c r="FL192" s="397"/>
      <c r="FM192" s="397"/>
      <c r="FN192" s="397"/>
      <c r="FO192" s="397"/>
      <c r="FP192" s="397"/>
      <c r="FQ192" s="397"/>
      <c r="FR192" s="397"/>
      <c r="FS192" s="397"/>
      <c r="FT192" s="397"/>
      <c r="FU192" s="397"/>
      <c r="FV192" s="397"/>
      <c r="FW192" s="397"/>
      <c r="FX192" s="397"/>
      <c r="FY192" s="397"/>
      <c r="FZ192" s="397"/>
      <c r="GA192" s="397"/>
      <c r="GB192" s="397"/>
      <c r="GC192" s="397"/>
      <c r="GD192" s="397"/>
      <c r="GE192" s="397"/>
      <c r="GF192" s="397"/>
      <c r="GG192" s="397"/>
      <c r="GH192" s="397"/>
      <c r="GI192" s="397"/>
      <c r="GJ192" s="397"/>
      <c r="GK192" s="397"/>
      <c r="GL192" s="397"/>
      <c r="GM192" s="397"/>
      <c r="GN192" s="397"/>
      <c r="GO192" s="397"/>
      <c r="GP192" s="397"/>
      <c r="GQ192" s="397"/>
      <c r="GR192" s="397"/>
      <c r="GS192" s="397"/>
      <c r="GT192" s="397"/>
      <c r="GU192" s="397"/>
      <c r="GV192" s="397"/>
      <c r="GW192" s="397"/>
      <c r="GX192" s="397"/>
      <c r="GY192" s="397"/>
      <c r="GZ192" s="397"/>
      <c r="HA192" s="397"/>
      <c r="HB192" s="397"/>
      <c r="HC192" s="397"/>
      <c r="HD192" s="397"/>
      <c r="HE192" s="397"/>
      <c r="HF192" s="397"/>
      <c r="HG192" s="397"/>
      <c r="HH192" s="397"/>
      <c r="HI192" s="397"/>
      <c r="HJ192" s="397"/>
      <c r="HK192" s="397"/>
      <c r="HL192" s="397"/>
      <c r="HM192" s="397"/>
      <c r="HN192" s="397"/>
      <c r="HO192" s="397"/>
      <c r="HP192" s="397"/>
      <c r="HQ192" s="397"/>
      <c r="HR192" s="397"/>
      <c r="HS192" s="397"/>
      <c r="HT192" s="397"/>
      <c r="HU192" s="397"/>
      <c r="HV192" s="397"/>
      <c r="HW192" s="397"/>
      <c r="HX192" s="397"/>
      <c r="HY192" s="397"/>
      <c r="HZ192" s="397"/>
      <c r="IA192" s="397"/>
      <c r="IB192" s="397"/>
      <c r="IC192" s="397"/>
      <c r="ID192" s="397"/>
      <c r="IE192" s="397"/>
      <c r="IF192" s="397"/>
      <c r="IG192" s="397"/>
      <c r="IH192" s="397"/>
      <c r="II192" s="397"/>
      <c r="IJ192" s="397"/>
      <c r="IK192" s="397"/>
      <c r="IL192" s="397"/>
      <c r="IM192" s="397"/>
      <c r="IN192" s="397"/>
      <c r="IO192" s="397"/>
      <c r="IP192" s="397"/>
      <c r="IQ192" s="397"/>
      <c r="IR192" s="397"/>
    </row>
    <row r="193" spans="2:252" s="183" customFormat="1" ht="25.15" customHeight="1" x14ac:dyDescent="0.25">
      <c r="B193" s="85">
        <v>40422</v>
      </c>
      <c r="C193" s="184">
        <v>363571.72059199994</v>
      </c>
      <c r="D193" s="184">
        <f>NetWorth[[#This Row],[Worth]]-C194</f>
        <v>18916.72059199994</v>
      </c>
      <c r="E193" s="1"/>
      <c r="V193" s="397"/>
      <c r="W193" s="397"/>
      <c r="X193" s="397"/>
      <c r="Y193" s="397"/>
      <c r="Z193" s="397"/>
      <c r="AA193" s="397"/>
      <c r="AB193" s="397"/>
      <c r="AC193" s="397"/>
      <c r="AD193" s="397"/>
      <c r="AE193" s="397"/>
      <c r="AF193" s="397"/>
      <c r="AG193" s="397"/>
      <c r="AH193" s="397"/>
      <c r="AI193" s="397"/>
      <c r="AJ193" s="397"/>
      <c r="AK193" s="397"/>
      <c r="AL193" s="397"/>
      <c r="AM193" s="397"/>
      <c r="AN193" s="397"/>
      <c r="AO193" s="397"/>
      <c r="AP193" s="397"/>
      <c r="AQ193" s="397"/>
      <c r="AR193" s="397"/>
      <c r="AS193" s="397"/>
      <c r="AT193" s="397"/>
      <c r="AU193" s="397"/>
      <c r="AV193" s="397"/>
      <c r="AW193" s="397"/>
      <c r="AX193" s="397"/>
      <c r="AY193" s="397"/>
      <c r="AZ193" s="397"/>
      <c r="BA193" s="397"/>
      <c r="BB193" s="397"/>
      <c r="BC193" s="397"/>
      <c r="BD193" s="397"/>
      <c r="BE193" s="397"/>
      <c r="BF193" s="397"/>
      <c r="BG193" s="397"/>
      <c r="BH193" s="397"/>
      <c r="BI193" s="397"/>
      <c r="BJ193" s="397"/>
      <c r="BK193" s="397"/>
      <c r="BL193" s="397"/>
      <c r="BM193" s="397"/>
      <c r="BN193" s="397"/>
      <c r="BO193" s="397"/>
      <c r="BP193" s="397"/>
      <c r="BQ193" s="397"/>
      <c r="BR193" s="397"/>
      <c r="BS193" s="397"/>
      <c r="BT193" s="397"/>
      <c r="BU193" s="397"/>
      <c r="BV193" s="397"/>
      <c r="BW193" s="397"/>
      <c r="BX193" s="397"/>
      <c r="BY193" s="397"/>
      <c r="BZ193" s="397"/>
      <c r="CA193" s="397"/>
      <c r="CB193" s="397"/>
      <c r="CC193" s="397"/>
      <c r="CD193" s="397"/>
      <c r="CE193" s="397"/>
      <c r="CF193" s="397"/>
      <c r="CG193" s="397"/>
      <c r="CH193" s="397"/>
      <c r="CI193" s="397"/>
      <c r="CJ193" s="397"/>
      <c r="CK193" s="397"/>
      <c r="CL193" s="397"/>
      <c r="CM193" s="397"/>
      <c r="CN193" s="397"/>
      <c r="CO193" s="397"/>
      <c r="CP193" s="397"/>
      <c r="CQ193" s="397"/>
      <c r="CR193" s="397"/>
      <c r="CS193" s="397"/>
      <c r="CT193" s="397"/>
      <c r="CU193" s="397"/>
      <c r="CV193" s="397"/>
      <c r="CW193" s="397"/>
      <c r="CX193" s="397"/>
      <c r="CY193" s="397"/>
      <c r="CZ193" s="397"/>
      <c r="DA193" s="397"/>
      <c r="DB193" s="397"/>
      <c r="DC193" s="397"/>
      <c r="DD193" s="397"/>
      <c r="DE193" s="397"/>
      <c r="DF193" s="397"/>
      <c r="DG193" s="397"/>
      <c r="DH193" s="397"/>
      <c r="DI193" s="397"/>
      <c r="DJ193" s="397"/>
      <c r="DK193" s="397"/>
      <c r="DL193" s="397"/>
      <c r="DM193" s="397"/>
      <c r="DN193" s="397"/>
      <c r="DO193" s="397"/>
      <c r="DP193" s="397"/>
      <c r="DQ193" s="397"/>
      <c r="DR193" s="397"/>
      <c r="DS193" s="397"/>
      <c r="DT193" s="397"/>
      <c r="DU193" s="397"/>
      <c r="DV193" s="397"/>
      <c r="DW193" s="397"/>
      <c r="DX193" s="397"/>
      <c r="DY193" s="397"/>
      <c r="DZ193" s="397"/>
      <c r="EA193" s="397"/>
      <c r="EB193" s="397"/>
      <c r="EC193" s="397"/>
      <c r="ED193" s="397"/>
      <c r="EE193" s="397"/>
      <c r="EF193" s="397"/>
      <c r="EG193" s="397"/>
      <c r="EH193" s="397"/>
      <c r="EI193" s="397"/>
      <c r="EJ193" s="397"/>
      <c r="EK193" s="397"/>
      <c r="EL193" s="397"/>
      <c r="EM193" s="397"/>
      <c r="EN193" s="397"/>
      <c r="EO193" s="397"/>
      <c r="EP193" s="397"/>
      <c r="EQ193" s="397"/>
      <c r="ER193" s="397"/>
      <c r="ES193" s="397"/>
      <c r="ET193" s="397"/>
      <c r="EU193" s="397"/>
      <c r="EV193" s="397"/>
      <c r="EW193" s="397"/>
      <c r="EX193" s="397"/>
      <c r="EY193" s="397"/>
      <c r="EZ193" s="397"/>
      <c r="FA193" s="397"/>
      <c r="FB193" s="397"/>
      <c r="FC193" s="397"/>
      <c r="FD193" s="397"/>
      <c r="FE193" s="397"/>
      <c r="FF193" s="397"/>
      <c r="FG193" s="397"/>
      <c r="FH193" s="397"/>
      <c r="FI193" s="397"/>
      <c r="FJ193" s="397"/>
      <c r="FK193" s="397"/>
      <c r="FL193" s="397"/>
      <c r="FM193" s="397"/>
      <c r="FN193" s="397"/>
      <c r="FO193" s="397"/>
      <c r="FP193" s="397"/>
      <c r="FQ193" s="397"/>
      <c r="FR193" s="397"/>
      <c r="FS193" s="397"/>
      <c r="FT193" s="397"/>
      <c r="FU193" s="397"/>
      <c r="FV193" s="397"/>
      <c r="FW193" s="397"/>
      <c r="FX193" s="397"/>
      <c r="FY193" s="397"/>
      <c r="FZ193" s="397"/>
      <c r="GA193" s="397"/>
      <c r="GB193" s="397"/>
      <c r="GC193" s="397"/>
      <c r="GD193" s="397"/>
      <c r="GE193" s="397"/>
      <c r="GF193" s="397"/>
      <c r="GG193" s="397"/>
      <c r="GH193" s="397"/>
      <c r="GI193" s="397"/>
      <c r="GJ193" s="397"/>
      <c r="GK193" s="397"/>
      <c r="GL193" s="397"/>
      <c r="GM193" s="397"/>
      <c r="GN193" s="397"/>
      <c r="GO193" s="397"/>
      <c r="GP193" s="397"/>
      <c r="GQ193" s="397"/>
      <c r="GR193" s="397"/>
      <c r="GS193" s="397"/>
      <c r="GT193" s="397"/>
      <c r="GU193" s="397"/>
      <c r="GV193" s="397"/>
      <c r="GW193" s="397"/>
      <c r="GX193" s="397"/>
      <c r="GY193" s="397"/>
      <c r="GZ193" s="397"/>
      <c r="HA193" s="397"/>
      <c r="HB193" s="397"/>
      <c r="HC193" s="397"/>
      <c r="HD193" s="397"/>
      <c r="HE193" s="397"/>
      <c r="HF193" s="397"/>
      <c r="HG193" s="397"/>
      <c r="HH193" s="397"/>
      <c r="HI193" s="397"/>
      <c r="HJ193" s="397"/>
      <c r="HK193" s="397"/>
      <c r="HL193" s="397"/>
      <c r="HM193" s="397"/>
      <c r="HN193" s="397"/>
      <c r="HO193" s="397"/>
      <c r="HP193" s="397"/>
      <c r="HQ193" s="397"/>
      <c r="HR193" s="397"/>
      <c r="HS193" s="397"/>
      <c r="HT193" s="397"/>
      <c r="HU193" s="397"/>
      <c r="HV193" s="397"/>
      <c r="HW193" s="397"/>
      <c r="HX193" s="397"/>
      <c r="HY193" s="397"/>
      <c r="HZ193" s="397"/>
      <c r="IA193" s="397"/>
      <c r="IB193" s="397"/>
      <c r="IC193" s="397"/>
      <c r="ID193" s="397"/>
      <c r="IE193" s="397"/>
      <c r="IF193" s="397"/>
      <c r="IG193" s="397"/>
      <c r="IH193" s="397"/>
      <c r="II193" s="397"/>
      <c r="IJ193" s="397"/>
      <c r="IK193" s="397"/>
      <c r="IL193" s="397"/>
      <c r="IM193" s="397"/>
      <c r="IN193" s="397"/>
      <c r="IO193" s="397"/>
      <c r="IP193" s="397"/>
      <c r="IQ193" s="397"/>
      <c r="IR193" s="397"/>
    </row>
    <row r="194" spans="2:252" s="183" customFormat="1" ht="25.15" customHeight="1" x14ac:dyDescent="0.25">
      <c r="B194" s="85">
        <v>40391</v>
      </c>
      <c r="C194" s="184">
        <v>344655</v>
      </c>
      <c r="D194" s="184">
        <f>NetWorth[[#This Row],[Worth]]-C195</f>
        <v>-14744</v>
      </c>
      <c r="E194" s="1" t="s">
        <v>101</v>
      </c>
      <c r="V194" s="397"/>
      <c r="W194" s="397"/>
      <c r="X194" s="397"/>
      <c r="Y194" s="397"/>
      <c r="Z194" s="397"/>
      <c r="AA194" s="397"/>
      <c r="AB194" s="397"/>
      <c r="AC194" s="397"/>
      <c r="AD194" s="397"/>
      <c r="AE194" s="397"/>
      <c r="AF194" s="397"/>
      <c r="AG194" s="397"/>
      <c r="AH194" s="397"/>
      <c r="AI194" s="397"/>
      <c r="AJ194" s="397"/>
      <c r="AK194" s="397"/>
      <c r="AL194" s="397"/>
      <c r="AM194" s="397"/>
      <c r="AN194" s="397"/>
      <c r="AO194" s="397"/>
      <c r="AP194" s="397"/>
      <c r="AQ194" s="397"/>
      <c r="AR194" s="397"/>
      <c r="AS194" s="397"/>
      <c r="AT194" s="397"/>
      <c r="AU194" s="397"/>
      <c r="AV194" s="397"/>
      <c r="AW194" s="397"/>
      <c r="AX194" s="397"/>
      <c r="AY194" s="397"/>
      <c r="AZ194" s="397"/>
      <c r="BA194" s="397"/>
      <c r="BB194" s="397"/>
      <c r="BC194" s="397"/>
      <c r="BD194" s="397"/>
      <c r="BE194" s="397"/>
      <c r="BF194" s="397"/>
      <c r="BG194" s="397"/>
      <c r="BH194" s="397"/>
      <c r="BI194" s="397"/>
      <c r="BJ194" s="397"/>
      <c r="BK194" s="397"/>
      <c r="BL194" s="397"/>
      <c r="BM194" s="397"/>
      <c r="BN194" s="397"/>
      <c r="BO194" s="397"/>
      <c r="BP194" s="397"/>
      <c r="BQ194" s="397"/>
      <c r="BR194" s="397"/>
      <c r="BS194" s="397"/>
      <c r="BT194" s="397"/>
      <c r="BU194" s="397"/>
      <c r="BV194" s="397"/>
      <c r="BW194" s="397"/>
      <c r="BX194" s="397"/>
      <c r="BY194" s="397"/>
      <c r="BZ194" s="397"/>
      <c r="CA194" s="397"/>
      <c r="CB194" s="397"/>
      <c r="CC194" s="397"/>
      <c r="CD194" s="397"/>
      <c r="CE194" s="397"/>
      <c r="CF194" s="397"/>
      <c r="CG194" s="397"/>
      <c r="CH194" s="397"/>
      <c r="CI194" s="397"/>
      <c r="CJ194" s="397"/>
      <c r="CK194" s="397"/>
      <c r="CL194" s="397"/>
      <c r="CM194" s="397"/>
      <c r="CN194" s="397"/>
      <c r="CO194" s="397"/>
      <c r="CP194" s="397"/>
      <c r="CQ194" s="397"/>
      <c r="CR194" s="397"/>
      <c r="CS194" s="397"/>
      <c r="CT194" s="397"/>
      <c r="CU194" s="397"/>
      <c r="CV194" s="397"/>
      <c r="CW194" s="397"/>
      <c r="CX194" s="397"/>
      <c r="CY194" s="397"/>
      <c r="CZ194" s="397"/>
      <c r="DA194" s="397"/>
      <c r="DB194" s="397"/>
      <c r="DC194" s="397"/>
      <c r="DD194" s="397"/>
      <c r="DE194" s="397"/>
      <c r="DF194" s="397"/>
      <c r="DG194" s="397"/>
      <c r="DH194" s="397"/>
      <c r="DI194" s="397"/>
      <c r="DJ194" s="397"/>
      <c r="DK194" s="397"/>
      <c r="DL194" s="397"/>
      <c r="DM194" s="397"/>
      <c r="DN194" s="397"/>
      <c r="DO194" s="397"/>
      <c r="DP194" s="397"/>
      <c r="DQ194" s="397"/>
      <c r="DR194" s="397"/>
      <c r="DS194" s="397"/>
      <c r="DT194" s="397"/>
      <c r="DU194" s="397"/>
      <c r="DV194" s="397"/>
      <c r="DW194" s="397"/>
      <c r="DX194" s="397"/>
      <c r="DY194" s="397"/>
      <c r="DZ194" s="397"/>
      <c r="EA194" s="397"/>
      <c r="EB194" s="397"/>
      <c r="EC194" s="397"/>
      <c r="ED194" s="397"/>
      <c r="EE194" s="397"/>
      <c r="EF194" s="397"/>
      <c r="EG194" s="397"/>
      <c r="EH194" s="397"/>
      <c r="EI194" s="397"/>
      <c r="EJ194" s="397"/>
      <c r="EK194" s="397"/>
      <c r="EL194" s="397"/>
      <c r="EM194" s="397"/>
      <c r="EN194" s="397"/>
      <c r="EO194" s="397"/>
      <c r="EP194" s="397"/>
      <c r="EQ194" s="397"/>
      <c r="ER194" s="397"/>
      <c r="ES194" s="397"/>
      <c r="ET194" s="397"/>
      <c r="EU194" s="397"/>
      <c r="EV194" s="397"/>
      <c r="EW194" s="397"/>
      <c r="EX194" s="397"/>
      <c r="EY194" s="397"/>
      <c r="EZ194" s="397"/>
      <c r="FA194" s="397"/>
      <c r="FB194" s="397"/>
      <c r="FC194" s="397"/>
      <c r="FD194" s="397"/>
      <c r="FE194" s="397"/>
      <c r="FF194" s="397"/>
      <c r="FG194" s="397"/>
      <c r="FH194" s="397"/>
      <c r="FI194" s="397"/>
      <c r="FJ194" s="397"/>
      <c r="FK194" s="397"/>
      <c r="FL194" s="397"/>
      <c r="FM194" s="397"/>
      <c r="FN194" s="397"/>
      <c r="FO194" s="397"/>
      <c r="FP194" s="397"/>
      <c r="FQ194" s="397"/>
      <c r="FR194" s="397"/>
      <c r="FS194" s="397"/>
      <c r="FT194" s="397"/>
      <c r="FU194" s="397"/>
      <c r="FV194" s="397"/>
      <c r="FW194" s="397"/>
      <c r="FX194" s="397"/>
      <c r="FY194" s="397"/>
      <c r="FZ194" s="397"/>
      <c r="GA194" s="397"/>
      <c r="GB194" s="397"/>
      <c r="GC194" s="397"/>
      <c r="GD194" s="397"/>
      <c r="GE194" s="397"/>
      <c r="GF194" s="397"/>
      <c r="GG194" s="397"/>
      <c r="GH194" s="397"/>
      <c r="GI194" s="397"/>
      <c r="GJ194" s="397"/>
      <c r="GK194" s="397"/>
      <c r="GL194" s="397"/>
      <c r="GM194" s="397"/>
      <c r="GN194" s="397"/>
      <c r="GO194" s="397"/>
      <c r="GP194" s="397"/>
      <c r="GQ194" s="397"/>
      <c r="GR194" s="397"/>
      <c r="GS194" s="397"/>
      <c r="GT194" s="397"/>
      <c r="GU194" s="397"/>
      <c r="GV194" s="397"/>
      <c r="GW194" s="397"/>
      <c r="GX194" s="397"/>
      <c r="GY194" s="397"/>
      <c r="GZ194" s="397"/>
      <c r="HA194" s="397"/>
      <c r="HB194" s="397"/>
      <c r="HC194" s="397"/>
      <c r="HD194" s="397"/>
      <c r="HE194" s="397"/>
      <c r="HF194" s="397"/>
      <c r="HG194" s="397"/>
      <c r="HH194" s="397"/>
      <c r="HI194" s="397"/>
      <c r="HJ194" s="397"/>
      <c r="HK194" s="397"/>
      <c r="HL194" s="397"/>
      <c r="HM194" s="397"/>
      <c r="HN194" s="397"/>
      <c r="HO194" s="397"/>
      <c r="HP194" s="397"/>
      <c r="HQ194" s="397"/>
      <c r="HR194" s="397"/>
      <c r="HS194" s="397"/>
      <c r="HT194" s="397"/>
      <c r="HU194" s="397"/>
      <c r="HV194" s="397"/>
      <c r="HW194" s="397"/>
      <c r="HX194" s="397"/>
      <c r="HY194" s="397"/>
      <c r="HZ194" s="397"/>
      <c r="IA194" s="397"/>
      <c r="IB194" s="397"/>
      <c r="IC194" s="397"/>
      <c r="ID194" s="397"/>
      <c r="IE194" s="397"/>
      <c r="IF194" s="397"/>
      <c r="IG194" s="397"/>
      <c r="IH194" s="397"/>
      <c r="II194" s="397"/>
      <c r="IJ194" s="397"/>
      <c r="IK194" s="397"/>
      <c r="IL194" s="397"/>
      <c r="IM194" s="397"/>
      <c r="IN194" s="397"/>
      <c r="IO194" s="397"/>
      <c r="IP194" s="397"/>
      <c r="IQ194" s="397"/>
      <c r="IR194" s="397"/>
    </row>
    <row r="195" spans="2:252" s="183" customFormat="1" ht="25.15" customHeight="1" x14ac:dyDescent="0.25">
      <c r="B195" s="85">
        <v>40360</v>
      </c>
      <c r="C195" s="184">
        <v>359399</v>
      </c>
      <c r="D195" s="184">
        <f>NetWorth[[#This Row],[Worth]]-C196</f>
        <v>5420</v>
      </c>
      <c r="E195" s="1"/>
      <c r="V195" s="397"/>
      <c r="W195" s="397"/>
      <c r="X195" s="397"/>
      <c r="Y195" s="397"/>
      <c r="Z195" s="397"/>
      <c r="AA195" s="397"/>
      <c r="AB195" s="397"/>
      <c r="AC195" s="397"/>
      <c r="AD195" s="397"/>
      <c r="AE195" s="397"/>
      <c r="AF195" s="397"/>
      <c r="AG195" s="397"/>
      <c r="AH195" s="397"/>
      <c r="AI195" s="397"/>
      <c r="AJ195" s="397"/>
      <c r="AK195" s="397"/>
      <c r="AL195" s="397"/>
      <c r="AM195" s="397"/>
      <c r="AN195" s="397"/>
      <c r="AO195" s="397"/>
      <c r="AP195" s="397"/>
      <c r="AQ195" s="397"/>
      <c r="AR195" s="397"/>
      <c r="AS195" s="397"/>
      <c r="AT195" s="397"/>
      <c r="AU195" s="397"/>
      <c r="AV195" s="397"/>
      <c r="AW195" s="397"/>
      <c r="AX195" s="397"/>
      <c r="AY195" s="397"/>
      <c r="AZ195" s="397"/>
      <c r="BA195" s="397"/>
      <c r="BB195" s="397"/>
      <c r="BC195" s="397"/>
      <c r="BD195" s="397"/>
      <c r="BE195" s="397"/>
      <c r="BF195" s="397"/>
      <c r="BG195" s="397"/>
      <c r="BH195" s="397"/>
      <c r="BI195" s="397"/>
      <c r="BJ195" s="397"/>
      <c r="BK195" s="397"/>
      <c r="BL195" s="397"/>
      <c r="BM195" s="397"/>
      <c r="BN195" s="397"/>
      <c r="BO195" s="397"/>
      <c r="BP195" s="397"/>
      <c r="BQ195" s="397"/>
      <c r="BR195" s="397"/>
      <c r="BS195" s="397"/>
      <c r="BT195" s="397"/>
      <c r="BU195" s="397"/>
      <c r="BV195" s="397"/>
      <c r="BW195" s="397"/>
      <c r="BX195" s="397"/>
      <c r="BY195" s="397"/>
      <c r="BZ195" s="397"/>
      <c r="CA195" s="397"/>
      <c r="CB195" s="397"/>
      <c r="CC195" s="397"/>
      <c r="CD195" s="397"/>
      <c r="CE195" s="397"/>
      <c r="CF195" s="397"/>
      <c r="CG195" s="397"/>
      <c r="CH195" s="397"/>
      <c r="CI195" s="397"/>
      <c r="CJ195" s="397"/>
      <c r="CK195" s="397"/>
      <c r="CL195" s="397"/>
      <c r="CM195" s="397"/>
      <c r="CN195" s="397"/>
      <c r="CO195" s="397"/>
      <c r="CP195" s="397"/>
      <c r="CQ195" s="397"/>
      <c r="CR195" s="397"/>
      <c r="CS195" s="397"/>
      <c r="CT195" s="397"/>
      <c r="CU195" s="397"/>
      <c r="CV195" s="397"/>
      <c r="CW195" s="397"/>
      <c r="CX195" s="397"/>
      <c r="CY195" s="397"/>
      <c r="CZ195" s="397"/>
      <c r="DA195" s="397"/>
      <c r="DB195" s="397"/>
      <c r="DC195" s="397"/>
      <c r="DD195" s="397"/>
      <c r="DE195" s="397"/>
      <c r="DF195" s="397"/>
      <c r="DG195" s="397"/>
      <c r="DH195" s="397"/>
      <c r="DI195" s="397"/>
      <c r="DJ195" s="397"/>
      <c r="DK195" s="397"/>
      <c r="DL195" s="397"/>
      <c r="DM195" s="397"/>
      <c r="DN195" s="397"/>
      <c r="DO195" s="397"/>
      <c r="DP195" s="397"/>
      <c r="DQ195" s="397"/>
      <c r="DR195" s="397"/>
      <c r="DS195" s="397"/>
      <c r="DT195" s="397"/>
      <c r="DU195" s="397"/>
      <c r="DV195" s="397"/>
      <c r="DW195" s="397"/>
      <c r="DX195" s="397"/>
      <c r="DY195" s="397"/>
      <c r="DZ195" s="397"/>
      <c r="EA195" s="397"/>
      <c r="EB195" s="397"/>
      <c r="EC195" s="397"/>
      <c r="ED195" s="397"/>
      <c r="EE195" s="397"/>
      <c r="EF195" s="397"/>
      <c r="EG195" s="397"/>
      <c r="EH195" s="397"/>
      <c r="EI195" s="397"/>
      <c r="EJ195" s="397"/>
      <c r="EK195" s="397"/>
      <c r="EL195" s="397"/>
      <c r="EM195" s="397"/>
      <c r="EN195" s="397"/>
      <c r="EO195" s="397"/>
      <c r="EP195" s="397"/>
      <c r="EQ195" s="397"/>
      <c r="ER195" s="397"/>
      <c r="ES195" s="397"/>
      <c r="ET195" s="397"/>
      <c r="EU195" s="397"/>
      <c r="EV195" s="397"/>
      <c r="EW195" s="397"/>
      <c r="EX195" s="397"/>
      <c r="EY195" s="397"/>
      <c r="EZ195" s="397"/>
      <c r="FA195" s="397"/>
      <c r="FB195" s="397"/>
      <c r="FC195" s="397"/>
      <c r="FD195" s="397"/>
      <c r="FE195" s="397"/>
      <c r="FF195" s="397"/>
      <c r="FG195" s="397"/>
      <c r="FH195" s="397"/>
      <c r="FI195" s="397"/>
      <c r="FJ195" s="397"/>
      <c r="FK195" s="397"/>
      <c r="FL195" s="397"/>
      <c r="FM195" s="397"/>
      <c r="FN195" s="397"/>
      <c r="FO195" s="397"/>
      <c r="FP195" s="397"/>
      <c r="FQ195" s="397"/>
      <c r="FR195" s="397"/>
      <c r="FS195" s="397"/>
      <c r="FT195" s="397"/>
      <c r="FU195" s="397"/>
      <c r="FV195" s="397"/>
      <c r="FW195" s="397"/>
      <c r="FX195" s="397"/>
      <c r="FY195" s="397"/>
      <c r="FZ195" s="397"/>
      <c r="GA195" s="397"/>
      <c r="GB195" s="397"/>
      <c r="GC195" s="397"/>
      <c r="GD195" s="397"/>
      <c r="GE195" s="397"/>
      <c r="GF195" s="397"/>
      <c r="GG195" s="397"/>
      <c r="GH195" s="397"/>
      <c r="GI195" s="397"/>
      <c r="GJ195" s="397"/>
      <c r="GK195" s="397"/>
      <c r="GL195" s="397"/>
      <c r="GM195" s="397"/>
      <c r="GN195" s="397"/>
      <c r="GO195" s="397"/>
      <c r="GP195" s="397"/>
      <c r="GQ195" s="397"/>
      <c r="GR195" s="397"/>
      <c r="GS195" s="397"/>
      <c r="GT195" s="397"/>
      <c r="GU195" s="397"/>
      <c r="GV195" s="397"/>
      <c r="GW195" s="397"/>
      <c r="GX195" s="397"/>
      <c r="GY195" s="397"/>
      <c r="GZ195" s="397"/>
      <c r="HA195" s="397"/>
      <c r="HB195" s="397"/>
      <c r="HC195" s="397"/>
      <c r="HD195" s="397"/>
      <c r="HE195" s="397"/>
      <c r="HF195" s="397"/>
      <c r="HG195" s="397"/>
      <c r="HH195" s="397"/>
      <c r="HI195" s="397"/>
      <c r="HJ195" s="397"/>
      <c r="HK195" s="397"/>
      <c r="HL195" s="397"/>
      <c r="HM195" s="397"/>
      <c r="HN195" s="397"/>
      <c r="HO195" s="397"/>
      <c r="HP195" s="397"/>
      <c r="HQ195" s="397"/>
      <c r="HR195" s="397"/>
      <c r="HS195" s="397"/>
      <c r="HT195" s="397"/>
      <c r="HU195" s="397"/>
      <c r="HV195" s="397"/>
      <c r="HW195" s="397"/>
      <c r="HX195" s="397"/>
      <c r="HY195" s="397"/>
      <c r="HZ195" s="397"/>
      <c r="IA195" s="397"/>
      <c r="IB195" s="397"/>
      <c r="IC195" s="397"/>
      <c r="ID195" s="397"/>
      <c r="IE195" s="397"/>
      <c r="IF195" s="397"/>
      <c r="IG195" s="397"/>
      <c r="IH195" s="397"/>
      <c r="II195" s="397"/>
      <c r="IJ195" s="397"/>
      <c r="IK195" s="397"/>
      <c r="IL195" s="397"/>
      <c r="IM195" s="397"/>
      <c r="IN195" s="397"/>
      <c r="IO195" s="397"/>
      <c r="IP195" s="397"/>
      <c r="IQ195" s="397"/>
      <c r="IR195" s="397"/>
    </row>
    <row r="196" spans="2:252" s="183" customFormat="1" ht="25.15" customHeight="1" x14ac:dyDescent="0.25">
      <c r="B196" s="85">
        <v>40330</v>
      </c>
      <c r="C196" s="184">
        <v>353979</v>
      </c>
      <c r="D196" s="184">
        <f>NetWorth[[#This Row],[Worth]]-C197</f>
        <v>-3744</v>
      </c>
      <c r="E196" s="1"/>
      <c r="V196" s="397"/>
      <c r="W196" s="397"/>
      <c r="X196" s="397"/>
      <c r="Y196" s="397"/>
      <c r="Z196" s="397"/>
      <c r="AA196" s="397"/>
      <c r="AB196" s="397"/>
      <c r="AC196" s="397"/>
      <c r="AD196" s="397"/>
      <c r="AE196" s="397"/>
      <c r="AF196" s="397"/>
      <c r="AG196" s="397"/>
      <c r="AH196" s="397"/>
      <c r="AI196" s="397"/>
      <c r="AJ196" s="397"/>
      <c r="AK196" s="397"/>
      <c r="AL196" s="397"/>
      <c r="AM196" s="397"/>
      <c r="AN196" s="397"/>
      <c r="AO196" s="397"/>
      <c r="AP196" s="397"/>
      <c r="AQ196" s="397"/>
      <c r="AR196" s="397"/>
      <c r="AS196" s="397"/>
      <c r="AT196" s="397"/>
      <c r="AU196" s="397"/>
      <c r="AV196" s="397"/>
      <c r="AW196" s="397"/>
      <c r="AX196" s="397"/>
      <c r="AY196" s="397"/>
      <c r="AZ196" s="397"/>
      <c r="BA196" s="397"/>
      <c r="BB196" s="397"/>
      <c r="BC196" s="397"/>
      <c r="BD196" s="397"/>
      <c r="BE196" s="397"/>
      <c r="BF196" s="397"/>
      <c r="BG196" s="397"/>
      <c r="BH196" s="397"/>
      <c r="BI196" s="397"/>
      <c r="BJ196" s="397"/>
      <c r="BK196" s="397"/>
      <c r="BL196" s="397"/>
      <c r="BM196" s="397"/>
      <c r="BN196" s="397"/>
      <c r="BO196" s="397"/>
      <c r="BP196" s="397"/>
      <c r="BQ196" s="397"/>
      <c r="BR196" s="397"/>
      <c r="BS196" s="397"/>
      <c r="BT196" s="397"/>
      <c r="BU196" s="397"/>
      <c r="BV196" s="397"/>
      <c r="BW196" s="397"/>
      <c r="BX196" s="397"/>
      <c r="BY196" s="397"/>
      <c r="BZ196" s="397"/>
      <c r="CA196" s="397"/>
      <c r="CB196" s="397"/>
      <c r="CC196" s="397"/>
      <c r="CD196" s="397"/>
      <c r="CE196" s="397"/>
      <c r="CF196" s="397"/>
      <c r="CG196" s="397"/>
      <c r="CH196" s="397"/>
      <c r="CI196" s="397"/>
      <c r="CJ196" s="397"/>
      <c r="CK196" s="397"/>
      <c r="CL196" s="397"/>
      <c r="CM196" s="397"/>
      <c r="CN196" s="397"/>
      <c r="CO196" s="397"/>
      <c r="CP196" s="397"/>
      <c r="CQ196" s="397"/>
      <c r="CR196" s="397"/>
      <c r="CS196" s="397"/>
      <c r="CT196" s="397"/>
      <c r="CU196" s="397"/>
      <c r="CV196" s="397"/>
      <c r="CW196" s="397"/>
      <c r="CX196" s="397"/>
      <c r="CY196" s="397"/>
      <c r="CZ196" s="397"/>
      <c r="DA196" s="397"/>
      <c r="DB196" s="397"/>
      <c r="DC196" s="397"/>
      <c r="DD196" s="397"/>
      <c r="DE196" s="397"/>
      <c r="DF196" s="397"/>
      <c r="DG196" s="397"/>
      <c r="DH196" s="397"/>
      <c r="DI196" s="397"/>
      <c r="DJ196" s="397"/>
      <c r="DK196" s="397"/>
      <c r="DL196" s="397"/>
      <c r="DM196" s="397"/>
      <c r="DN196" s="397"/>
      <c r="DO196" s="397"/>
      <c r="DP196" s="397"/>
      <c r="DQ196" s="397"/>
      <c r="DR196" s="397"/>
      <c r="DS196" s="397"/>
      <c r="DT196" s="397"/>
      <c r="DU196" s="397"/>
      <c r="DV196" s="397"/>
      <c r="DW196" s="397"/>
      <c r="DX196" s="397"/>
      <c r="DY196" s="397"/>
      <c r="DZ196" s="397"/>
      <c r="EA196" s="397"/>
      <c r="EB196" s="397"/>
      <c r="EC196" s="397"/>
      <c r="ED196" s="397"/>
      <c r="EE196" s="397"/>
      <c r="EF196" s="397"/>
      <c r="EG196" s="397"/>
      <c r="EH196" s="397"/>
      <c r="EI196" s="397"/>
      <c r="EJ196" s="397"/>
      <c r="EK196" s="397"/>
      <c r="EL196" s="397"/>
      <c r="EM196" s="397"/>
      <c r="EN196" s="397"/>
      <c r="EO196" s="397"/>
      <c r="EP196" s="397"/>
      <c r="EQ196" s="397"/>
      <c r="ER196" s="397"/>
      <c r="ES196" s="397"/>
      <c r="ET196" s="397"/>
      <c r="EU196" s="397"/>
      <c r="EV196" s="397"/>
      <c r="EW196" s="397"/>
      <c r="EX196" s="397"/>
      <c r="EY196" s="397"/>
      <c r="EZ196" s="397"/>
      <c r="FA196" s="397"/>
      <c r="FB196" s="397"/>
      <c r="FC196" s="397"/>
      <c r="FD196" s="397"/>
      <c r="FE196" s="397"/>
      <c r="FF196" s="397"/>
      <c r="FG196" s="397"/>
      <c r="FH196" s="397"/>
      <c r="FI196" s="397"/>
      <c r="FJ196" s="397"/>
      <c r="FK196" s="397"/>
      <c r="FL196" s="397"/>
      <c r="FM196" s="397"/>
      <c r="FN196" s="397"/>
      <c r="FO196" s="397"/>
      <c r="FP196" s="397"/>
      <c r="FQ196" s="397"/>
      <c r="FR196" s="397"/>
      <c r="FS196" s="397"/>
      <c r="FT196" s="397"/>
      <c r="FU196" s="397"/>
      <c r="FV196" s="397"/>
      <c r="FW196" s="397"/>
      <c r="FX196" s="397"/>
      <c r="FY196" s="397"/>
      <c r="FZ196" s="397"/>
      <c r="GA196" s="397"/>
      <c r="GB196" s="397"/>
      <c r="GC196" s="397"/>
      <c r="GD196" s="397"/>
      <c r="GE196" s="397"/>
      <c r="GF196" s="397"/>
      <c r="GG196" s="397"/>
      <c r="GH196" s="397"/>
      <c r="GI196" s="397"/>
      <c r="GJ196" s="397"/>
      <c r="GK196" s="397"/>
      <c r="GL196" s="397"/>
      <c r="GM196" s="397"/>
      <c r="GN196" s="397"/>
      <c r="GO196" s="397"/>
      <c r="GP196" s="397"/>
      <c r="GQ196" s="397"/>
      <c r="GR196" s="397"/>
      <c r="GS196" s="397"/>
      <c r="GT196" s="397"/>
      <c r="GU196" s="397"/>
      <c r="GV196" s="397"/>
      <c r="GW196" s="397"/>
      <c r="GX196" s="397"/>
      <c r="GY196" s="397"/>
      <c r="GZ196" s="397"/>
      <c r="HA196" s="397"/>
      <c r="HB196" s="397"/>
      <c r="HC196" s="397"/>
      <c r="HD196" s="397"/>
      <c r="HE196" s="397"/>
      <c r="HF196" s="397"/>
      <c r="HG196" s="397"/>
      <c r="HH196" s="397"/>
      <c r="HI196" s="397"/>
      <c r="HJ196" s="397"/>
      <c r="HK196" s="397"/>
      <c r="HL196" s="397"/>
      <c r="HM196" s="397"/>
      <c r="HN196" s="397"/>
      <c r="HO196" s="397"/>
      <c r="HP196" s="397"/>
      <c r="HQ196" s="397"/>
      <c r="HR196" s="397"/>
      <c r="HS196" s="397"/>
      <c r="HT196" s="397"/>
      <c r="HU196" s="397"/>
      <c r="HV196" s="397"/>
      <c r="HW196" s="397"/>
      <c r="HX196" s="397"/>
      <c r="HY196" s="397"/>
      <c r="HZ196" s="397"/>
      <c r="IA196" s="397"/>
      <c r="IB196" s="397"/>
      <c r="IC196" s="397"/>
      <c r="ID196" s="397"/>
      <c r="IE196" s="397"/>
      <c r="IF196" s="397"/>
      <c r="IG196" s="397"/>
      <c r="IH196" s="397"/>
      <c r="II196" s="397"/>
      <c r="IJ196" s="397"/>
      <c r="IK196" s="397"/>
      <c r="IL196" s="397"/>
      <c r="IM196" s="397"/>
      <c r="IN196" s="397"/>
      <c r="IO196" s="397"/>
      <c r="IP196" s="397"/>
      <c r="IQ196" s="397"/>
      <c r="IR196" s="397"/>
    </row>
    <row r="197" spans="2:252" s="183" customFormat="1" ht="25.15" customHeight="1" x14ac:dyDescent="0.25">
      <c r="B197" s="85">
        <v>40299</v>
      </c>
      <c r="C197" s="184">
        <v>357723</v>
      </c>
      <c r="D197" s="184">
        <f>NetWorth[[#This Row],[Worth]]-C198</f>
        <v>1439</v>
      </c>
      <c r="E197" s="1"/>
      <c r="V197" s="397"/>
      <c r="W197" s="397"/>
      <c r="X197" s="397"/>
      <c r="Y197" s="397"/>
      <c r="Z197" s="397"/>
      <c r="AA197" s="397"/>
      <c r="AB197" s="397"/>
      <c r="AC197" s="397"/>
      <c r="AD197" s="397"/>
      <c r="AE197" s="397"/>
      <c r="AF197" s="397"/>
      <c r="AG197" s="397"/>
      <c r="AH197" s="397"/>
      <c r="AI197" s="397"/>
      <c r="AJ197" s="397"/>
      <c r="AK197" s="397"/>
      <c r="AL197" s="397"/>
      <c r="AM197" s="397"/>
      <c r="AN197" s="397"/>
      <c r="AO197" s="397"/>
      <c r="AP197" s="397"/>
      <c r="AQ197" s="397"/>
      <c r="AR197" s="397"/>
      <c r="AS197" s="397"/>
      <c r="AT197" s="397"/>
      <c r="AU197" s="397"/>
      <c r="AV197" s="397"/>
      <c r="AW197" s="397"/>
      <c r="AX197" s="397"/>
      <c r="AY197" s="397"/>
      <c r="AZ197" s="397"/>
      <c r="BA197" s="397"/>
      <c r="BB197" s="397"/>
      <c r="BC197" s="397"/>
      <c r="BD197" s="397"/>
      <c r="BE197" s="397"/>
      <c r="BF197" s="397"/>
      <c r="BG197" s="397"/>
      <c r="BH197" s="397"/>
      <c r="BI197" s="397"/>
      <c r="BJ197" s="397"/>
      <c r="BK197" s="397"/>
      <c r="BL197" s="397"/>
      <c r="BM197" s="397"/>
      <c r="BN197" s="397"/>
      <c r="BO197" s="397"/>
      <c r="BP197" s="397"/>
      <c r="BQ197" s="397"/>
      <c r="BR197" s="397"/>
      <c r="BS197" s="397"/>
      <c r="BT197" s="397"/>
      <c r="BU197" s="397"/>
      <c r="BV197" s="397"/>
      <c r="BW197" s="397"/>
      <c r="BX197" s="397"/>
      <c r="BY197" s="397"/>
      <c r="BZ197" s="397"/>
      <c r="CA197" s="397"/>
      <c r="CB197" s="397"/>
      <c r="CC197" s="397"/>
      <c r="CD197" s="397"/>
      <c r="CE197" s="397"/>
      <c r="CF197" s="397"/>
      <c r="CG197" s="397"/>
      <c r="CH197" s="397"/>
      <c r="CI197" s="397"/>
      <c r="CJ197" s="397"/>
      <c r="CK197" s="397"/>
      <c r="CL197" s="397"/>
      <c r="CM197" s="397"/>
      <c r="CN197" s="397"/>
      <c r="CO197" s="397"/>
      <c r="CP197" s="397"/>
      <c r="CQ197" s="397"/>
      <c r="CR197" s="397"/>
      <c r="CS197" s="397"/>
      <c r="CT197" s="397"/>
      <c r="CU197" s="397"/>
      <c r="CV197" s="397"/>
      <c r="CW197" s="397"/>
      <c r="CX197" s="397"/>
      <c r="CY197" s="397"/>
      <c r="CZ197" s="397"/>
      <c r="DA197" s="397"/>
      <c r="DB197" s="397"/>
      <c r="DC197" s="397"/>
      <c r="DD197" s="397"/>
      <c r="DE197" s="397"/>
      <c r="DF197" s="397"/>
      <c r="DG197" s="397"/>
      <c r="DH197" s="397"/>
      <c r="DI197" s="397"/>
      <c r="DJ197" s="397"/>
      <c r="DK197" s="397"/>
      <c r="DL197" s="397"/>
      <c r="DM197" s="397"/>
      <c r="DN197" s="397"/>
      <c r="DO197" s="397"/>
      <c r="DP197" s="397"/>
      <c r="DQ197" s="397"/>
      <c r="DR197" s="397"/>
      <c r="DS197" s="397"/>
      <c r="DT197" s="397"/>
      <c r="DU197" s="397"/>
      <c r="DV197" s="397"/>
      <c r="DW197" s="397"/>
      <c r="DX197" s="397"/>
      <c r="DY197" s="397"/>
      <c r="DZ197" s="397"/>
      <c r="EA197" s="397"/>
      <c r="EB197" s="397"/>
      <c r="EC197" s="397"/>
      <c r="ED197" s="397"/>
      <c r="EE197" s="397"/>
      <c r="EF197" s="397"/>
      <c r="EG197" s="397"/>
      <c r="EH197" s="397"/>
      <c r="EI197" s="397"/>
      <c r="EJ197" s="397"/>
      <c r="EK197" s="397"/>
      <c r="EL197" s="397"/>
      <c r="EM197" s="397"/>
      <c r="EN197" s="397"/>
      <c r="EO197" s="397"/>
      <c r="EP197" s="397"/>
      <c r="EQ197" s="397"/>
      <c r="ER197" s="397"/>
      <c r="ES197" s="397"/>
      <c r="ET197" s="397"/>
      <c r="EU197" s="397"/>
      <c r="EV197" s="397"/>
      <c r="EW197" s="397"/>
      <c r="EX197" s="397"/>
      <c r="EY197" s="397"/>
      <c r="EZ197" s="397"/>
      <c r="FA197" s="397"/>
      <c r="FB197" s="397"/>
      <c r="FC197" s="397"/>
      <c r="FD197" s="397"/>
      <c r="FE197" s="397"/>
      <c r="FF197" s="397"/>
      <c r="FG197" s="397"/>
      <c r="FH197" s="397"/>
      <c r="FI197" s="397"/>
      <c r="FJ197" s="397"/>
      <c r="FK197" s="397"/>
      <c r="FL197" s="397"/>
      <c r="FM197" s="397"/>
      <c r="FN197" s="397"/>
      <c r="FO197" s="397"/>
      <c r="FP197" s="397"/>
      <c r="FQ197" s="397"/>
      <c r="FR197" s="397"/>
      <c r="FS197" s="397"/>
      <c r="FT197" s="397"/>
      <c r="FU197" s="397"/>
      <c r="FV197" s="397"/>
      <c r="FW197" s="397"/>
      <c r="FX197" s="397"/>
      <c r="FY197" s="397"/>
      <c r="FZ197" s="397"/>
      <c r="GA197" s="397"/>
      <c r="GB197" s="397"/>
      <c r="GC197" s="397"/>
      <c r="GD197" s="397"/>
      <c r="GE197" s="397"/>
      <c r="GF197" s="397"/>
      <c r="GG197" s="397"/>
      <c r="GH197" s="397"/>
      <c r="GI197" s="397"/>
      <c r="GJ197" s="397"/>
      <c r="GK197" s="397"/>
      <c r="GL197" s="397"/>
      <c r="GM197" s="397"/>
      <c r="GN197" s="397"/>
      <c r="GO197" s="397"/>
      <c r="GP197" s="397"/>
      <c r="GQ197" s="397"/>
      <c r="GR197" s="397"/>
      <c r="GS197" s="397"/>
      <c r="GT197" s="397"/>
      <c r="GU197" s="397"/>
      <c r="GV197" s="397"/>
      <c r="GW197" s="397"/>
      <c r="GX197" s="397"/>
      <c r="GY197" s="397"/>
      <c r="GZ197" s="397"/>
      <c r="HA197" s="397"/>
      <c r="HB197" s="397"/>
      <c r="HC197" s="397"/>
      <c r="HD197" s="397"/>
      <c r="HE197" s="397"/>
      <c r="HF197" s="397"/>
      <c r="HG197" s="397"/>
      <c r="HH197" s="397"/>
      <c r="HI197" s="397"/>
      <c r="HJ197" s="397"/>
      <c r="HK197" s="397"/>
      <c r="HL197" s="397"/>
      <c r="HM197" s="397"/>
      <c r="HN197" s="397"/>
      <c r="HO197" s="397"/>
      <c r="HP197" s="397"/>
      <c r="HQ197" s="397"/>
      <c r="HR197" s="397"/>
      <c r="HS197" s="397"/>
      <c r="HT197" s="397"/>
      <c r="HU197" s="397"/>
      <c r="HV197" s="397"/>
      <c r="HW197" s="397"/>
      <c r="HX197" s="397"/>
      <c r="HY197" s="397"/>
      <c r="HZ197" s="397"/>
      <c r="IA197" s="397"/>
      <c r="IB197" s="397"/>
      <c r="IC197" s="397"/>
      <c r="ID197" s="397"/>
      <c r="IE197" s="397"/>
      <c r="IF197" s="397"/>
      <c r="IG197" s="397"/>
      <c r="IH197" s="397"/>
      <c r="II197" s="397"/>
      <c r="IJ197" s="397"/>
      <c r="IK197" s="397"/>
      <c r="IL197" s="397"/>
      <c r="IM197" s="397"/>
      <c r="IN197" s="397"/>
      <c r="IO197" s="397"/>
      <c r="IP197" s="397"/>
      <c r="IQ197" s="397"/>
      <c r="IR197" s="397"/>
    </row>
    <row r="198" spans="2:252" s="183" customFormat="1" ht="25.15" customHeight="1" x14ac:dyDescent="0.25">
      <c r="B198" s="85">
        <v>40269</v>
      </c>
      <c r="C198" s="184">
        <v>356284</v>
      </c>
      <c r="D198" s="184">
        <f>NetWorth[[#This Row],[Worth]]-C199</f>
        <v>3397</v>
      </c>
      <c r="E198" s="1"/>
      <c r="V198" s="397"/>
      <c r="W198" s="397"/>
      <c r="X198" s="397"/>
      <c r="Y198" s="397"/>
      <c r="Z198" s="397"/>
      <c r="AA198" s="397"/>
      <c r="AB198" s="397"/>
      <c r="AC198" s="397"/>
      <c r="AD198" s="397"/>
      <c r="AE198" s="397"/>
      <c r="AF198" s="397"/>
      <c r="AG198" s="397"/>
      <c r="AH198" s="397"/>
      <c r="AI198" s="397"/>
      <c r="AJ198" s="397"/>
      <c r="AK198" s="397"/>
      <c r="AL198" s="397"/>
      <c r="AM198" s="397"/>
      <c r="AN198" s="397"/>
      <c r="AO198" s="397"/>
      <c r="AP198" s="397"/>
      <c r="AQ198" s="397"/>
      <c r="AR198" s="397"/>
      <c r="AS198" s="397"/>
      <c r="AT198" s="397"/>
      <c r="AU198" s="397"/>
      <c r="AV198" s="397"/>
      <c r="AW198" s="397"/>
      <c r="AX198" s="397"/>
      <c r="AY198" s="397"/>
      <c r="AZ198" s="397"/>
      <c r="BA198" s="397"/>
      <c r="BB198" s="397"/>
      <c r="BC198" s="397"/>
      <c r="BD198" s="397"/>
      <c r="BE198" s="397"/>
      <c r="BF198" s="397"/>
      <c r="BG198" s="397"/>
      <c r="BH198" s="397"/>
      <c r="BI198" s="397"/>
      <c r="BJ198" s="397"/>
      <c r="BK198" s="397"/>
      <c r="BL198" s="397"/>
      <c r="BM198" s="397"/>
      <c r="BN198" s="397"/>
      <c r="BO198" s="397"/>
      <c r="BP198" s="397"/>
      <c r="BQ198" s="397"/>
      <c r="BR198" s="397"/>
      <c r="BS198" s="397"/>
      <c r="BT198" s="397"/>
      <c r="BU198" s="397"/>
      <c r="BV198" s="397"/>
      <c r="BW198" s="397"/>
      <c r="BX198" s="397"/>
      <c r="BY198" s="397"/>
      <c r="BZ198" s="397"/>
      <c r="CA198" s="397"/>
      <c r="CB198" s="397"/>
      <c r="CC198" s="397"/>
      <c r="CD198" s="397"/>
      <c r="CE198" s="397"/>
      <c r="CF198" s="397"/>
      <c r="CG198" s="397"/>
      <c r="CH198" s="397"/>
      <c r="CI198" s="397"/>
      <c r="CJ198" s="397"/>
      <c r="CK198" s="397"/>
      <c r="CL198" s="397"/>
      <c r="CM198" s="397"/>
      <c r="CN198" s="397"/>
      <c r="CO198" s="397"/>
      <c r="CP198" s="397"/>
      <c r="CQ198" s="397"/>
      <c r="CR198" s="397"/>
      <c r="CS198" s="397"/>
      <c r="CT198" s="397"/>
      <c r="CU198" s="397"/>
      <c r="CV198" s="397"/>
      <c r="CW198" s="397"/>
      <c r="CX198" s="397"/>
      <c r="CY198" s="397"/>
      <c r="CZ198" s="397"/>
      <c r="DA198" s="397"/>
      <c r="DB198" s="397"/>
      <c r="DC198" s="397"/>
      <c r="DD198" s="397"/>
      <c r="DE198" s="397"/>
      <c r="DF198" s="397"/>
      <c r="DG198" s="397"/>
      <c r="DH198" s="397"/>
      <c r="DI198" s="397"/>
      <c r="DJ198" s="397"/>
      <c r="DK198" s="397"/>
      <c r="DL198" s="397"/>
      <c r="DM198" s="397"/>
      <c r="DN198" s="397"/>
      <c r="DO198" s="397"/>
      <c r="DP198" s="397"/>
      <c r="DQ198" s="397"/>
      <c r="DR198" s="397"/>
      <c r="DS198" s="397"/>
      <c r="DT198" s="397"/>
      <c r="DU198" s="397"/>
      <c r="DV198" s="397"/>
      <c r="DW198" s="397"/>
      <c r="DX198" s="397"/>
      <c r="DY198" s="397"/>
      <c r="DZ198" s="397"/>
      <c r="EA198" s="397"/>
      <c r="EB198" s="397"/>
      <c r="EC198" s="397"/>
      <c r="ED198" s="397"/>
      <c r="EE198" s="397"/>
      <c r="EF198" s="397"/>
      <c r="EG198" s="397"/>
      <c r="EH198" s="397"/>
      <c r="EI198" s="397"/>
      <c r="EJ198" s="397"/>
      <c r="EK198" s="397"/>
      <c r="EL198" s="397"/>
      <c r="EM198" s="397"/>
      <c r="EN198" s="397"/>
      <c r="EO198" s="397"/>
      <c r="EP198" s="397"/>
      <c r="EQ198" s="397"/>
      <c r="ER198" s="397"/>
      <c r="ES198" s="397"/>
      <c r="ET198" s="397"/>
      <c r="EU198" s="397"/>
      <c r="EV198" s="397"/>
      <c r="EW198" s="397"/>
      <c r="EX198" s="397"/>
      <c r="EY198" s="397"/>
      <c r="EZ198" s="397"/>
      <c r="FA198" s="397"/>
      <c r="FB198" s="397"/>
      <c r="FC198" s="397"/>
      <c r="FD198" s="397"/>
      <c r="FE198" s="397"/>
      <c r="FF198" s="397"/>
      <c r="FG198" s="397"/>
      <c r="FH198" s="397"/>
      <c r="FI198" s="397"/>
      <c r="FJ198" s="397"/>
      <c r="FK198" s="397"/>
      <c r="FL198" s="397"/>
      <c r="FM198" s="397"/>
      <c r="FN198" s="397"/>
      <c r="FO198" s="397"/>
      <c r="FP198" s="397"/>
      <c r="FQ198" s="397"/>
      <c r="FR198" s="397"/>
      <c r="FS198" s="397"/>
      <c r="FT198" s="397"/>
      <c r="FU198" s="397"/>
      <c r="FV198" s="397"/>
      <c r="FW198" s="397"/>
      <c r="FX198" s="397"/>
      <c r="FY198" s="397"/>
      <c r="FZ198" s="397"/>
      <c r="GA198" s="397"/>
      <c r="GB198" s="397"/>
      <c r="GC198" s="397"/>
      <c r="GD198" s="397"/>
      <c r="GE198" s="397"/>
      <c r="GF198" s="397"/>
      <c r="GG198" s="397"/>
      <c r="GH198" s="397"/>
      <c r="GI198" s="397"/>
      <c r="GJ198" s="397"/>
      <c r="GK198" s="397"/>
      <c r="GL198" s="397"/>
      <c r="GM198" s="397"/>
      <c r="GN198" s="397"/>
      <c r="GO198" s="397"/>
      <c r="GP198" s="397"/>
      <c r="GQ198" s="397"/>
      <c r="GR198" s="397"/>
      <c r="GS198" s="397"/>
      <c r="GT198" s="397"/>
      <c r="GU198" s="397"/>
      <c r="GV198" s="397"/>
      <c r="GW198" s="397"/>
      <c r="GX198" s="397"/>
      <c r="GY198" s="397"/>
      <c r="GZ198" s="397"/>
      <c r="HA198" s="397"/>
      <c r="HB198" s="397"/>
      <c r="HC198" s="397"/>
      <c r="HD198" s="397"/>
      <c r="HE198" s="397"/>
      <c r="HF198" s="397"/>
      <c r="HG198" s="397"/>
      <c r="HH198" s="397"/>
      <c r="HI198" s="397"/>
      <c r="HJ198" s="397"/>
      <c r="HK198" s="397"/>
      <c r="HL198" s="397"/>
      <c r="HM198" s="397"/>
      <c r="HN198" s="397"/>
      <c r="HO198" s="397"/>
      <c r="HP198" s="397"/>
      <c r="HQ198" s="397"/>
      <c r="HR198" s="397"/>
      <c r="HS198" s="397"/>
      <c r="HT198" s="397"/>
      <c r="HU198" s="397"/>
      <c r="HV198" s="397"/>
      <c r="HW198" s="397"/>
      <c r="HX198" s="397"/>
      <c r="HY198" s="397"/>
      <c r="HZ198" s="397"/>
      <c r="IA198" s="397"/>
      <c r="IB198" s="397"/>
      <c r="IC198" s="397"/>
      <c r="ID198" s="397"/>
      <c r="IE198" s="397"/>
      <c r="IF198" s="397"/>
      <c r="IG198" s="397"/>
      <c r="IH198" s="397"/>
      <c r="II198" s="397"/>
      <c r="IJ198" s="397"/>
      <c r="IK198" s="397"/>
      <c r="IL198" s="397"/>
      <c r="IM198" s="397"/>
      <c r="IN198" s="397"/>
      <c r="IO198" s="397"/>
      <c r="IP198" s="397"/>
      <c r="IQ198" s="397"/>
      <c r="IR198" s="397"/>
    </row>
    <row r="199" spans="2:252" s="183" customFormat="1" ht="25.15" customHeight="1" x14ac:dyDescent="0.25">
      <c r="B199" s="85">
        <v>40238</v>
      </c>
      <c r="C199" s="184">
        <v>352887</v>
      </c>
      <c r="D199" s="184">
        <f>NetWorth[[#This Row],[Worth]]-C200</f>
        <v>1538</v>
      </c>
      <c r="E199" s="1"/>
      <c r="V199" s="397"/>
      <c r="W199" s="397"/>
      <c r="X199" s="397"/>
      <c r="Y199" s="397"/>
      <c r="Z199" s="397"/>
      <c r="AA199" s="397"/>
      <c r="AB199" s="397"/>
      <c r="AC199" s="397"/>
      <c r="AD199" s="397"/>
      <c r="AE199" s="397"/>
      <c r="AF199" s="397"/>
      <c r="AG199" s="397"/>
      <c r="AH199" s="397"/>
      <c r="AI199" s="397"/>
      <c r="AJ199" s="397"/>
      <c r="AK199" s="397"/>
      <c r="AL199" s="397"/>
      <c r="AM199" s="397"/>
      <c r="AN199" s="397"/>
      <c r="AO199" s="397"/>
      <c r="AP199" s="397"/>
      <c r="AQ199" s="397"/>
      <c r="AR199" s="397"/>
      <c r="AS199" s="397"/>
      <c r="AT199" s="397"/>
      <c r="AU199" s="397"/>
      <c r="AV199" s="397"/>
      <c r="AW199" s="397"/>
      <c r="AX199" s="397"/>
      <c r="AY199" s="397"/>
      <c r="AZ199" s="397"/>
      <c r="BA199" s="397"/>
      <c r="BB199" s="397"/>
      <c r="BC199" s="397"/>
      <c r="BD199" s="397"/>
      <c r="BE199" s="397"/>
      <c r="BF199" s="397"/>
      <c r="BG199" s="397"/>
      <c r="BH199" s="397"/>
      <c r="BI199" s="397"/>
      <c r="BJ199" s="397"/>
      <c r="BK199" s="397"/>
      <c r="BL199" s="397"/>
      <c r="BM199" s="397"/>
      <c r="BN199" s="397"/>
      <c r="BO199" s="397"/>
      <c r="BP199" s="397"/>
      <c r="BQ199" s="397"/>
      <c r="BR199" s="397"/>
      <c r="BS199" s="397"/>
      <c r="BT199" s="397"/>
      <c r="BU199" s="397"/>
      <c r="BV199" s="397"/>
      <c r="BW199" s="397"/>
      <c r="BX199" s="397"/>
      <c r="BY199" s="397"/>
      <c r="BZ199" s="397"/>
      <c r="CA199" s="397"/>
      <c r="CB199" s="397"/>
      <c r="CC199" s="397"/>
      <c r="CD199" s="397"/>
      <c r="CE199" s="397"/>
      <c r="CF199" s="397"/>
      <c r="CG199" s="397"/>
      <c r="CH199" s="397"/>
      <c r="CI199" s="397"/>
      <c r="CJ199" s="397"/>
      <c r="CK199" s="397"/>
      <c r="CL199" s="397"/>
      <c r="CM199" s="397"/>
      <c r="CN199" s="397"/>
      <c r="CO199" s="397"/>
      <c r="CP199" s="397"/>
      <c r="CQ199" s="397"/>
      <c r="CR199" s="397"/>
      <c r="CS199" s="397"/>
      <c r="CT199" s="397"/>
      <c r="CU199" s="397"/>
      <c r="CV199" s="397"/>
      <c r="CW199" s="397"/>
      <c r="CX199" s="397"/>
      <c r="CY199" s="397"/>
      <c r="CZ199" s="397"/>
      <c r="DA199" s="397"/>
      <c r="DB199" s="397"/>
      <c r="DC199" s="397"/>
      <c r="DD199" s="397"/>
      <c r="DE199" s="397"/>
      <c r="DF199" s="397"/>
      <c r="DG199" s="397"/>
      <c r="DH199" s="397"/>
      <c r="DI199" s="397"/>
      <c r="DJ199" s="397"/>
      <c r="DK199" s="397"/>
      <c r="DL199" s="397"/>
      <c r="DM199" s="397"/>
      <c r="DN199" s="397"/>
      <c r="DO199" s="397"/>
      <c r="DP199" s="397"/>
      <c r="DQ199" s="397"/>
      <c r="DR199" s="397"/>
      <c r="DS199" s="397"/>
      <c r="DT199" s="397"/>
      <c r="DU199" s="397"/>
      <c r="DV199" s="397"/>
      <c r="DW199" s="397"/>
      <c r="DX199" s="397"/>
      <c r="DY199" s="397"/>
      <c r="DZ199" s="397"/>
      <c r="EA199" s="397"/>
      <c r="EB199" s="397"/>
      <c r="EC199" s="397"/>
      <c r="ED199" s="397"/>
      <c r="EE199" s="397"/>
      <c r="EF199" s="397"/>
      <c r="EG199" s="397"/>
      <c r="EH199" s="397"/>
      <c r="EI199" s="397"/>
      <c r="EJ199" s="397"/>
      <c r="EK199" s="397"/>
      <c r="EL199" s="397"/>
      <c r="EM199" s="397"/>
      <c r="EN199" s="397"/>
      <c r="EO199" s="397"/>
      <c r="EP199" s="397"/>
      <c r="EQ199" s="397"/>
      <c r="ER199" s="397"/>
      <c r="ES199" s="397"/>
      <c r="ET199" s="397"/>
      <c r="EU199" s="397"/>
      <c r="EV199" s="397"/>
      <c r="EW199" s="397"/>
      <c r="EX199" s="397"/>
      <c r="EY199" s="397"/>
      <c r="EZ199" s="397"/>
      <c r="FA199" s="397"/>
      <c r="FB199" s="397"/>
      <c r="FC199" s="397"/>
      <c r="FD199" s="397"/>
      <c r="FE199" s="397"/>
      <c r="FF199" s="397"/>
      <c r="FG199" s="397"/>
      <c r="FH199" s="397"/>
      <c r="FI199" s="397"/>
      <c r="FJ199" s="397"/>
      <c r="FK199" s="397"/>
      <c r="FL199" s="397"/>
      <c r="FM199" s="397"/>
      <c r="FN199" s="397"/>
      <c r="FO199" s="397"/>
      <c r="FP199" s="397"/>
      <c r="FQ199" s="397"/>
      <c r="FR199" s="397"/>
      <c r="FS199" s="397"/>
      <c r="FT199" s="397"/>
      <c r="FU199" s="397"/>
      <c r="FV199" s="397"/>
      <c r="FW199" s="397"/>
      <c r="FX199" s="397"/>
      <c r="FY199" s="397"/>
      <c r="FZ199" s="397"/>
      <c r="GA199" s="397"/>
      <c r="GB199" s="397"/>
      <c r="GC199" s="397"/>
      <c r="GD199" s="397"/>
      <c r="GE199" s="397"/>
      <c r="GF199" s="397"/>
      <c r="GG199" s="397"/>
      <c r="GH199" s="397"/>
      <c r="GI199" s="397"/>
      <c r="GJ199" s="397"/>
      <c r="GK199" s="397"/>
      <c r="GL199" s="397"/>
      <c r="GM199" s="397"/>
      <c r="GN199" s="397"/>
      <c r="GO199" s="397"/>
      <c r="GP199" s="397"/>
      <c r="GQ199" s="397"/>
      <c r="GR199" s="397"/>
      <c r="GS199" s="397"/>
      <c r="GT199" s="397"/>
      <c r="GU199" s="397"/>
      <c r="GV199" s="397"/>
      <c r="GW199" s="397"/>
      <c r="GX199" s="397"/>
      <c r="GY199" s="397"/>
      <c r="GZ199" s="397"/>
      <c r="HA199" s="397"/>
      <c r="HB199" s="397"/>
      <c r="HC199" s="397"/>
      <c r="HD199" s="397"/>
      <c r="HE199" s="397"/>
      <c r="HF199" s="397"/>
      <c r="HG199" s="397"/>
      <c r="HH199" s="397"/>
      <c r="HI199" s="397"/>
      <c r="HJ199" s="397"/>
      <c r="HK199" s="397"/>
      <c r="HL199" s="397"/>
      <c r="HM199" s="397"/>
      <c r="HN199" s="397"/>
      <c r="HO199" s="397"/>
      <c r="HP199" s="397"/>
      <c r="HQ199" s="397"/>
      <c r="HR199" s="397"/>
      <c r="HS199" s="397"/>
      <c r="HT199" s="397"/>
      <c r="HU199" s="397"/>
      <c r="HV199" s="397"/>
      <c r="HW199" s="397"/>
      <c r="HX199" s="397"/>
      <c r="HY199" s="397"/>
      <c r="HZ199" s="397"/>
      <c r="IA199" s="397"/>
      <c r="IB199" s="397"/>
      <c r="IC199" s="397"/>
      <c r="ID199" s="397"/>
      <c r="IE199" s="397"/>
      <c r="IF199" s="397"/>
      <c r="IG199" s="397"/>
      <c r="IH199" s="397"/>
      <c r="II199" s="397"/>
      <c r="IJ199" s="397"/>
      <c r="IK199" s="397"/>
      <c r="IL199" s="397"/>
      <c r="IM199" s="397"/>
      <c r="IN199" s="397"/>
      <c r="IO199" s="397"/>
      <c r="IP199" s="397"/>
      <c r="IQ199" s="397"/>
      <c r="IR199" s="397"/>
    </row>
    <row r="200" spans="2:252" s="183" customFormat="1" ht="25.15" customHeight="1" x14ac:dyDescent="0.25">
      <c r="B200" s="85">
        <v>40210</v>
      </c>
      <c r="C200" s="184">
        <v>351349</v>
      </c>
      <c r="D200" s="184">
        <f>NetWorth[[#This Row],[Worth]]-C201</f>
        <v>-5071</v>
      </c>
      <c r="E200" s="1"/>
      <c r="V200" s="397"/>
      <c r="W200" s="397"/>
      <c r="X200" s="397"/>
      <c r="Y200" s="397"/>
      <c r="Z200" s="397"/>
      <c r="AA200" s="397"/>
      <c r="AB200" s="397"/>
      <c r="AC200" s="397"/>
      <c r="AD200" s="397"/>
      <c r="AE200" s="397"/>
      <c r="AF200" s="397"/>
      <c r="AG200" s="397"/>
      <c r="AH200" s="397"/>
      <c r="AI200" s="397"/>
      <c r="AJ200" s="397"/>
      <c r="AK200" s="397"/>
      <c r="AL200" s="397"/>
      <c r="AM200" s="397"/>
      <c r="AN200" s="397"/>
      <c r="AO200" s="397"/>
      <c r="AP200" s="397"/>
      <c r="AQ200" s="397"/>
      <c r="AR200" s="397"/>
      <c r="AS200" s="397"/>
      <c r="AT200" s="397"/>
      <c r="AU200" s="397"/>
      <c r="AV200" s="397"/>
      <c r="AW200" s="397"/>
      <c r="AX200" s="397"/>
      <c r="AY200" s="397"/>
      <c r="AZ200" s="397"/>
      <c r="BA200" s="397"/>
      <c r="BB200" s="397"/>
      <c r="BC200" s="397"/>
      <c r="BD200" s="397"/>
      <c r="BE200" s="397"/>
      <c r="BF200" s="397"/>
      <c r="BG200" s="397"/>
      <c r="BH200" s="397"/>
      <c r="BI200" s="397"/>
      <c r="BJ200" s="397"/>
      <c r="BK200" s="397"/>
      <c r="BL200" s="397"/>
      <c r="BM200" s="397"/>
      <c r="BN200" s="397"/>
      <c r="BO200" s="397"/>
      <c r="BP200" s="397"/>
      <c r="BQ200" s="397"/>
      <c r="BR200" s="397"/>
      <c r="BS200" s="397"/>
      <c r="BT200" s="397"/>
      <c r="BU200" s="397"/>
      <c r="BV200" s="397"/>
      <c r="BW200" s="397"/>
      <c r="BX200" s="397"/>
      <c r="BY200" s="397"/>
      <c r="BZ200" s="397"/>
      <c r="CA200" s="397"/>
      <c r="CB200" s="397"/>
      <c r="CC200" s="397"/>
      <c r="CD200" s="397"/>
      <c r="CE200" s="397"/>
      <c r="CF200" s="397"/>
      <c r="CG200" s="397"/>
      <c r="CH200" s="397"/>
      <c r="CI200" s="397"/>
      <c r="CJ200" s="397"/>
      <c r="CK200" s="397"/>
      <c r="CL200" s="397"/>
      <c r="CM200" s="397"/>
      <c r="CN200" s="397"/>
      <c r="CO200" s="397"/>
      <c r="CP200" s="397"/>
      <c r="CQ200" s="397"/>
      <c r="CR200" s="397"/>
      <c r="CS200" s="397"/>
      <c r="CT200" s="397"/>
      <c r="CU200" s="397"/>
      <c r="CV200" s="397"/>
      <c r="CW200" s="397"/>
      <c r="CX200" s="397"/>
      <c r="CY200" s="397"/>
      <c r="CZ200" s="397"/>
      <c r="DA200" s="397"/>
      <c r="DB200" s="397"/>
      <c r="DC200" s="397"/>
      <c r="DD200" s="397"/>
      <c r="DE200" s="397"/>
      <c r="DF200" s="397"/>
      <c r="DG200" s="397"/>
      <c r="DH200" s="397"/>
      <c r="DI200" s="397"/>
      <c r="DJ200" s="397"/>
      <c r="DK200" s="397"/>
      <c r="DL200" s="397"/>
      <c r="DM200" s="397"/>
      <c r="DN200" s="397"/>
      <c r="DO200" s="397"/>
      <c r="DP200" s="397"/>
      <c r="DQ200" s="397"/>
      <c r="DR200" s="397"/>
      <c r="DS200" s="397"/>
      <c r="DT200" s="397"/>
      <c r="DU200" s="397"/>
      <c r="DV200" s="397"/>
      <c r="DW200" s="397"/>
      <c r="DX200" s="397"/>
      <c r="DY200" s="397"/>
      <c r="DZ200" s="397"/>
      <c r="EA200" s="397"/>
      <c r="EB200" s="397"/>
      <c r="EC200" s="397"/>
      <c r="ED200" s="397"/>
      <c r="EE200" s="397"/>
      <c r="EF200" s="397"/>
      <c r="EG200" s="397"/>
      <c r="EH200" s="397"/>
      <c r="EI200" s="397"/>
      <c r="EJ200" s="397"/>
      <c r="EK200" s="397"/>
      <c r="EL200" s="397"/>
      <c r="EM200" s="397"/>
      <c r="EN200" s="397"/>
      <c r="EO200" s="397"/>
      <c r="EP200" s="397"/>
      <c r="EQ200" s="397"/>
      <c r="ER200" s="397"/>
      <c r="ES200" s="397"/>
      <c r="ET200" s="397"/>
      <c r="EU200" s="397"/>
      <c r="EV200" s="397"/>
      <c r="EW200" s="397"/>
      <c r="EX200" s="397"/>
      <c r="EY200" s="397"/>
      <c r="EZ200" s="397"/>
      <c r="FA200" s="397"/>
      <c r="FB200" s="397"/>
      <c r="FC200" s="397"/>
      <c r="FD200" s="397"/>
      <c r="FE200" s="397"/>
      <c r="FF200" s="397"/>
      <c r="FG200" s="397"/>
      <c r="FH200" s="397"/>
      <c r="FI200" s="397"/>
      <c r="FJ200" s="397"/>
      <c r="FK200" s="397"/>
      <c r="FL200" s="397"/>
      <c r="FM200" s="397"/>
      <c r="FN200" s="397"/>
      <c r="FO200" s="397"/>
      <c r="FP200" s="397"/>
      <c r="FQ200" s="397"/>
      <c r="FR200" s="397"/>
      <c r="FS200" s="397"/>
      <c r="FT200" s="397"/>
      <c r="FU200" s="397"/>
      <c r="FV200" s="397"/>
      <c r="FW200" s="397"/>
      <c r="FX200" s="397"/>
      <c r="FY200" s="397"/>
      <c r="FZ200" s="397"/>
      <c r="GA200" s="397"/>
      <c r="GB200" s="397"/>
      <c r="GC200" s="397"/>
      <c r="GD200" s="397"/>
      <c r="GE200" s="397"/>
      <c r="GF200" s="397"/>
      <c r="GG200" s="397"/>
      <c r="GH200" s="397"/>
      <c r="GI200" s="397"/>
      <c r="GJ200" s="397"/>
      <c r="GK200" s="397"/>
      <c r="GL200" s="397"/>
      <c r="GM200" s="397"/>
      <c r="GN200" s="397"/>
      <c r="GO200" s="397"/>
      <c r="GP200" s="397"/>
      <c r="GQ200" s="397"/>
      <c r="GR200" s="397"/>
      <c r="GS200" s="397"/>
      <c r="GT200" s="397"/>
      <c r="GU200" s="397"/>
      <c r="GV200" s="397"/>
      <c r="GW200" s="397"/>
      <c r="GX200" s="397"/>
      <c r="GY200" s="397"/>
      <c r="GZ200" s="397"/>
      <c r="HA200" s="397"/>
      <c r="HB200" s="397"/>
      <c r="HC200" s="397"/>
      <c r="HD200" s="397"/>
      <c r="HE200" s="397"/>
      <c r="HF200" s="397"/>
      <c r="HG200" s="397"/>
      <c r="HH200" s="397"/>
      <c r="HI200" s="397"/>
      <c r="HJ200" s="397"/>
      <c r="HK200" s="397"/>
      <c r="HL200" s="397"/>
      <c r="HM200" s="397"/>
      <c r="HN200" s="397"/>
      <c r="HO200" s="397"/>
      <c r="HP200" s="397"/>
      <c r="HQ200" s="397"/>
      <c r="HR200" s="397"/>
      <c r="HS200" s="397"/>
      <c r="HT200" s="397"/>
      <c r="HU200" s="397"/>
      <c r="HV200" s="397"/>
      <c r="HW200" s="397"/>
      <c r="HX200" s="397"/>
      <c r="HY200" s="397"/>
      <c r="HZ200" s="397"/>
      <c r="IA200" s="397"/>
      <c r="IB200" s="397"/>
      <c r="IC200" s="397"/>
      <c r="ID200" s="397"/>
      <c r="IE200" s="397"/>
      <c r="IF200" s="397"/>
      <c r="IG200" s="397"/>
      <c r="IH200" s="397"/>
      <c r="II200" s="397"/>
      <c r="IJ200" s="397"/>
      <c r="IK200" s="397"/>
      <c r="IL200" s="397"/>
      <c r="IM200" s="397"/>
      <c r="IN200" s="397"/>
      <c r="IO200" s="397"/>
      <c r="IP200" s="397"/>
      <c r="IQ200" s="397"/>
      <c r="IR200" s="397"/>
    </row>
    <row r="201" spans="2:252" s="183" customFormat="1" ht="25.15" customHeight="1" x14ac:dyDescent="0.25">
      <c r="B201" s="85">
        <v>40179</v>
      </c>
      <c r="C201" s="184">
        <v>356420</v>
      </c>
      <c r="D201" s="184">
        <f>NetWorth[[#This Row],[Worth]]-C202</f>
        <v>6974</v>
      </c>
      <c r="E201" s="1"/>
      <c r="V201" s="397"/>
      <c r="W201" s="397"/>
      <c r="X201" s="397"/>
      <c r="Y201" s="397"/>
      <c r="Z201" s="397"/>
      <c r="AA201" s="397"/>
      <c r="AB201" s="397"/>
      <c r="AC201" s="397"/>
      <c r="AD201" s="397"/>
      <c r="AE201" s="397"/>
      <c r="AF201" s="397"/>
      <c r="AG201" s="397"/>
      <c r="AH201" s="397"/>
      <c r="AI201" s="397"/>
      <c r="AJ201" s="397"/>
      <c r="AK201" s="397"/>
      <c r="AL201" s="397"/>
      <c r="AM201" s="397"/>
      <c r="AN201" s="397"/>
      <c r="AO201" s="397"/>
      <c r="AP201" s="397"/>
      <c r="AQ201" s="397"/>
      <c r="AR201" s="397"/>
      <c r="AS201" s="397"/>
      <c r="AT201" s="397"/>
      <c r="AU201" s="397"/>
      <c r="AV201" s="397"/>
      <c r="AW201" s="397"/>
      <c r="AX201" s="397"/>
      <c r="AY201" s="397"/>
      <c r="AZ201" s="397"/>
      <c r="BA201" s="397"/>
      <c r="BB201" s="397"/>
      <c r="BC201" s="397"/>
      <c r="BD201" s="397"/>
      <c r="BE201" s="397"/>
      <c r="BF201" s="397"/>
      <c r="BG201" s="397"/>
      <c r="BH201" s="397"/>
      <c r="BI201" s="397"/>
      <c r="BJ201" s="397"/>
      <c r="BK201" s="397"/>
      <c r="BL201" s="397"/>
      <c r="BM201" s="397"/>
      <c r="BN201" s="397"/>
      <c r="BO201" s="397"/>
      <c r="BP201" s="397"/>
      <c r="BQ201" s="397"/>
      <c r="BR201" s="397"/>
      <c r="BS201" s="397"/>
      <c r="BT201" s="397"/>
      <c r="BU201" s="397"/>
      <c r="BV201" s="397"/>
      <c r="BW201" s="397"/>
      <c r="BX201" s="397"/>
      <c r="BY201" s="397"/>
      <c r="BZ201" s="397"/>
      <c r="CA201" s="397"/>
      <c r="CB201" s="397"/>
      <c r="CC201" s="397"/>
      <c r="CD201" s="397"/>
      <c r="CE201" s="397"/>
      <c r="CF201" s="397"/>
      <c r="CG201" s="397"/>
      <c r="CH201" s="397"/>
      <c r="CI201" s="397"/>
      <c r="CJ201" s="397"/>
      <c r="CK201" s="397"/>
      <c r="CL201" s="397"/>
      <c r="CM201" s="397"/>
      <c r="CN201" s="397"/>
      <c r="CO201" s="397"/>
      <c r="CP201" s="397"/>
      <c r="CQ201" s="397"/>
      <c r="CR201" s="397"/>
      <c r="CS201" s="397"/>
      <c r="CT201" s="397"/>
      <c r="CU201" s="397"/>
      <c r="CV201" s="397"/>
      <c r="CW201" s="397"/>
      <c r="CX201" s="397"/>
      <c r="CY201" s="397"/>
      <c r="CZ201" s="397"/>
      <c r="DA201" s="397"/>
      <c r="DB201" s="397"/>
      <c r="DC201" s="397"/>
      <c r="DD201" s="397"/>
      <c r="DE201" s="397"/>
      <c r="DF201" s="397"/>
      <c r="DG201" s="397"/>
      <c r="DH201" s="397"/>
      <c r="DI201" s="397"/>
      <c r="DJ201" s="397"/>
      <c r="DK201" s="397"/>
      <c r="DL201" s="397"/>
      <c r="DM201" s="397"/>
      <c r="DN201" s="397"/>
      <c r="DO201" s="397"/>
      <c r="DP201" s="397"/>
      <c r="DQ201" s="397"/>
      <c r="DR201" s="397"/>
      <c r="DS201" s="397"/>
      <c r="DT201" s="397"/>
      <c r="DU201" s="397"/>
      <c r="DV201" s="397"/>
      <c r="DW201" s="397"/>
      <c r="DX201" s="397"/>
      <c r="DY201" s="397"/>
      <c r="DZ201" s="397"/>
      <c r="EA201" s="397"/>
      <c r="EB201" s="397"/>
      <c r="EC201" s="397"/>
      <c r="ED201" s="397"/>
      <c r="EE201" s="397"/>
      <c r="EF201" s="397"/>
      <c r="EG201" s="397"/>
      <c r="EH201" s="397"/>
      <c r="EI201" s="397"/>
      <c r="EJ201" s="397"/>
      <c r="EK201" s="397"/>
      <c r="EL201" s="397"/>
      <c r="EM201" s="397"/>
      <c r="EN201" s="397"/>
      <c r="EO201" s="397"/>
      <c r="EP201" s="397"/>
      <c r="EQ201" s="397"/>
      <c r="ER201" s="397"/>
      <c r="ES201" s="397"/>
      <c r="ET201" s="397"/>
      <c r="EU201" s="397"/>
      <c r="EV201" s="397"/>
      <c r="EW201" s="397"/>
      <c r="EX201" s="397"/>
      <c r="EY201" s="397"/>
      <c r="EZ201" s="397"/>
      <c r="FA201" s="397"/>
      <c r="FB201" s="397"/>
      <c r="FC201" s="397"/>
      <c r="FD201" s="397"/>
      <c r="FE201" s="397"/>
      <c r="FF201" s="397"/>
      <c r="FG201" s="397"/>
      <c r="FH201" s="397"/>
      <c r="FI201" s="397"/>
      <c r="FJ201" s="397"/>
      <c r="FK201" s="397"/>
      <c r="FL201" s="397"/>
      <c r="FM201" s="397"/>
      <c r="FN201" s="397"/>
      <c r="FO201" s="397"/>
      <c r="FP201" s="397"/>
      <c r="FQ201" s="397"/>
      <c r="FR201" s="397"/>
      <c r="FS201" s="397"/>
      <c r="FT201" s="397"/>
      <c r="FU201" s="397"/>
      <c r="FV201" s="397"/>
      <c r="FW201" s="397"/>
      <c r="FX201" s="397"/>
      <c r="FY201" s="397"/>
      <c r="FZ201" s="397"/>
      <c r="GA201" s="397"/>
      <c r="GB201" s="397"/>
      <c r="GC201" s="397"/>
      <c r="GD201" s="397"/>
      <c r="GE201" s="397"/>
      <c r="GF201" s="397"/>
      <c r="GG201" s="397"/>
      <c r="GH201" s="397"/>
      <c r="GI201" s="397"/>
      <c r="GJ201" s="397"/>
      <c r="GK201" s="397"/>
      <c r="GL201" s="397"/>
      <c r="GM201" s="397"/>
      <c r="GN201" s="397"/>
      <c r="GO201" s="397"/>
      <c r="GP201" s="397"/>
      <c r="GQ201" s="397"/>
      <c r="GR201" s="397"/>
      <c r="GS201" s="397"/>
      <c r="GT201" s="397"/>
      <c r="GU201" s="397"/>
      <c r="GV201" s="397"/>
      <c r="GW201" s="397"/>
      <c r="GX201" s="397"/>
      <c r="GY201" s="397"/>
      <c r="GZ201" s="397"/>
      <c r="HA201" s="397"/>
      <c r="HB201" s="397"/>
      <c r="HC201" s="397"/>
      <c r="HD201" s="397"/>
      <c r="HE201" s="397"/>
      <c r="HF201" s="397"/>
      <c r="HG201" s="397"/>
      <c r="HH201" s="397"/>
      <c r="HI201" s="397"/>
      <c r="HJ201" s="397"/>
      <c r="HK201" s="397"/>
      <c r="HL201" s="397"/>
      <c r="HM201" s="397"/>
      <c r="HN201" s="397"/>
      <c r="HO201" s="397"/>
      <c r="HP201" s="397"/>
      <c r="HQ201" s="397"/>
      <c r="HR201" s="397"/>
      <c r="HS201" s="397"/>
      <c r="HT201" s="397"/>
      <c r="HU201" s="397"/>
      <c r="HV201" s="397"/>
      <c r="HW201" s="397"/>
      <c r="HX201" s="397"/>
      <c r="HY201" s="397"/>
      <c r="HZ201" s="397"/>
      <c r="IA201" s="397"/>
      <c r="IB201" s="397"/>
      <c r="IC201" s="397"/>
      <c r="ID201" s="397"/>
      <c r="IE201" s="397"/>
      <c r="IF201" s="397"/>
      <c r="IG201" s="397"/>
      <c r="IH201" s="397"/>
      <c r="II201" s="397"/>
      <c r="IJ201" s="397"/>
      <c r="IK201" s="397"/>
      <c r="IL201" s="397"/>
      <c r="IM201" s="397"/>
      <c r="IN201" s="397"/>
      <c r="IO201" s="397"/>
      <c r="IP201" s="397"/>
      <c r="IQ201" s="397"/>
      <c r="IR201" s="397"/>
    </row>
    <row r="202" spans="2:252" s="183" customFormat="1" ht="25.15" customHeight="1" x14ac:dyDescent="0.25">
      <c r="B202" s="85">
        <v>40148</v>
      </c>
      <c r="C202" s="184">
        <v>349446</v>
      </c>
      <c r="D202" s="184">
        <f>NetWorth[[#This Row],[Worth]]-C203</f>
        <v>-7682</v>
      </c>
      <c r="E202" s="1"/>
      <c r="V202" s="397"/>
      <c r="W202" s="397"/>
      <c r="X202" s="397"/>
      <c r="Y202" s="397"/>
      <c r="Z202" s="397"/>
      <c r="AA202" s="397"/>
      <c r="AB202" s="397"/>
      <c r="AC202" s="397"/>
      <c r="AD202" s="397"/>
      <c r="AE202" s="397"/>
      <c r="AF202" s="397"/>
      <c r="AG202" s="397"/>
      <c r="AH202" s="397"/>
      <c r="AI202" s="397"/>
      <c r="AJ202" s="397"/>
      <c r="AK202" s="397"/>
      <c r="AL202" s="397"/>
      <c r="AM202" s="397"/>
      <c r="AN202" s="397"/>
      <c r="AO202" s="397"/>
      <c r="AP202" s="397"/>
      <c r="AQ202" s="397"/>
      <c r="AR202" s="397"/>
      <c r="AS202" s="397"/>
      <c r="AT202" s="397"/>
      <c r="AU202" s="397"/>
      <c r="AV202" s="397"/>
      <c r="AW202" s="397"/>
      <c r="AX202" s="397"/>
      <c r="AY202" s="397"/>
      <c r="AZ202" s="397"/>
      <c r="BA202" s="397"/>
      <c r="BB202" s="397"/>
      <c r="BC202" s="397"/>
      <c r="BD202" s="397"/>
      <c r="BE202" s="397"/>
      <c r="BF202" s="397"/>
      <c r="BG202" s="397"/>
      <c r="BH202" s="397"/>
      <c r="BI202" s="397"/>
      <c r="BJ202" s="397"/>
      <c r="BK202" s="397"/>
      <c r="BL202" s="397"/>
      <c r="BM202" s="397"/>
      <c r="BN202" s="397"/>
      <c r="BO202" s="397"/>
      <c r="BP202" s="397"/>
      <c r="BQ202" s="397"/>
      <c r="BR202" s="397"/>
      <c r="BS202" s="397"/>
      <c r="BT202" s="397"/>
      <c r="BU202" s="397"/>
      <c r="BV202" s="397"/>
      <c r="BW202" s="397"/>
      <c r="BX202" s="397"/>
      <c r="BY202" s="397"/>
      <c r="BZ202" s="397"/>
      <c r="CA202" s="397"/>
      <c r="CB202" s="397"/>
      <c r="CC202" s="397"/>
      <c r="CD202" s="397"/>
      <c r="CE202" s="397"/>
      <c r="CF202" s="397"/>
      <c r="CG202" s="397"/>
      <c r="CH202" s="397"/>
      <c r="CI202" s="397"/>
      <c r="CJ202" s="397"/>
      <c r="CK202" s="397"/>
      <c r="CL202" s="397"/>
      <c r="CM202" s="397"/>
      <c r="CN202" s="397"/>
      <c r="CO202" s="397"/>
      <c r="CP202" s="397"/>
      <c r="CQ202" s="397"/>
      <c r="CR202" s="397"/>
      <c r="CS202" s="397"/>
      <c r="CT202" s="397"/>
      <c r="CU202" s="397"/>
      <c r="CV202" s="397"/>
      <c r="CW202" s="397"/>
      <c r="CX202" s="397"/>
      <c r="CY202" s="397"/>
      <c r="CZ202" s="397"/>
      <c r="DA202" s="397"/>
      <c r="DB202" s="397"/>
      <c r="DC202" s="397"/>
      <c r="DD202" s="397"/>
      <c r="DE202" s="397"/>
      <c r="DF202" s="397"/>
      <c r="DG202" s="397"/>
      <c r="DH202" s="397"/>
      <c r="DI202" s="397"/>
      <c r="DJ202" s="397"/>
      <c r="DK202" s="397"/>
      <c r="DL202" s="397"/>
      <c r="DM202" s="397"/>
      <c r="DN202" s="397"/>
      <c r="DO202" s="397"/>
      <c r="DP202" s="397"/>
      <c r="DQ202" s="397"/>
      <c r="DR202" s="397"/>
      <c r="DS202" s="397"/>
      <c r="DT202" s="397"/>
      <c r="DU202" s="397"/>
      <c r="DV202" s="397"/>
      <c r="DW202" s="397"/>
      <c r="DX202" s="397"/>
      <c r="DY202" s="397"/>
      <c r="DZ202" s="397"/>
      <c r="EA202" s="397"/>
      <c r="EB202" s="397"/>
      <c r="EC202" s="397"/>
      <c r="ED202" s="397"/>
      <c r="EE202" s="397"/>
      <c r="EF202" s="397"/>
      <c r="EG202" s="397"/>
      <c r="EH202" s="397"/>
      <c r="EI202" s="397"/>
      <c r="EJ202" s="397"/>
      <c r="EK202" s="397"/>
      <c r="EL202" s="397"/>
      <c r="EM202" s="397"/>
      <c r="EN202" s="397"/>
      <c r="EO202" s="397"/>
      <c r="EP202" s="397"/>
      <c r="EQ202" s="397"/>
      <c r="ER202" s="397"/>
      <c r="ES202" s="397"/>
      <c r="ET202" s="397"/>
      <c r="EU202" s="397"/>
      <c r="EV202" s="397"/>
      <c r="EW202" s="397"/>
      <c r="EX202" s="397"/>
      <c r="EY202" s="397"/>
      <c r="EZ202" s="397"/>
      <c r="FA202" s="397"/>
      <c r="FB202" s="397"/>
      <c r="FC202" s="397"/>
      <c r="FD202" s="397"/>
      <c r="FE202" s="397"/>
      <c r="FF202" s="397"/>
      <c r="FG202" s="397"/>
      <c r="FH202" s="397"/>
      <c r="FI202" s="397"/>
      <c r="FJ202" s="397"/>
      <c r="FK202" s="397"/>
      <c r="FL202" s="397"/>
      <c r="FM202" s="397"/>
      <c r="FN202" s="397"/>
      <c r="FO202" s="397"/>
      <c r="FP202" s="397"/>
      <c r="FQ202" s="397"/>
      <c r="FR202" s="397"/>
      <c r="FS202" s="397"/>
      <c r="FT202" s="397"/>
      <c r="FU202" s="397"/>
      <c r="FV202" s="397"/>
      <c r="FW202" s="397"/>
      <c r="FX202" s="397"/>
      <c r="FY202" s="397"/>
      <c r="FZ202" s="397"/>
      <c r="GA202" s="397"/>
      <c r="GB202" s="397"/>
      <c r="GC202" s="397"/>
      <c r="GD202" s="397"/>
      <c r="GE202" s="397"/>
      <c r="GF202" s="397"/>
      <c r="GG202" s="397"/>
      <c r="GH202" s="397"/>
      <c r="GI202" s="397"/>
      <c r="GJ202" s="397"/>
      <c r="GK202" s="397"/>
      <c r="GL202" s="397"/>
      <c r="GM202" s="397"/>
      <c r="GN202" s="397"/>
      <c r="GO202" s="397"/>
      <c r="GP202" s="397"/>
      <c r="GQ202" s="397"/>
      <c r="GR202" s="397"/>
      <c r="GS202" s="397"/>
      <c r="GT202" s="397"/>
      <c r="GU202" s="397"/>
      <c r="GV202" s="397"/>
      <c r="GW202" s="397"/>
      <c r="GX202" s="397"/>
      <c r="GY202" s="397"/>
      <c r="GZ202" s="397"/>
      <c r="HA202" s="397"/>
      <c r="HB202" s="397"/>
      <c r="HC202" s="397"/>
      <c r="HD202" s="397"/>
      <c r="HE202" s="397"/>
      <c r="HF202" s="397"/>
      <c r="HG202" s="397"/>
      <c r="HH202" s="397"/>
      <c r="HI202" s="397"/>
      <c r="HJ202" s="397"/>
      <c r="HK202" s="397"/>
      <c r="HL202" s="397"/>
      <c r="HM202" s="397"/>
      <c r="HN202" s="397"/>
      <c r="HO202" s="397"/>
      <c r="HP202" s="397"/>
      <c r="HQ202" s="397"/>
      <c r="HR202" s="397"/>
      <c r="HS202" s="397"/>
      <c r="HT202" s="397"/>
      <c r="HU202" s="397"/>
      <c r="HV202" s="397"/>
      <c r="HW202" s="397"/>
      <c r="HX202" s="397"/>
      <c r="HY202" s="397"/>
      <c r="HZ202" s="397"/>
      <c r="IA202" s="397"/>
      <c r="IB202" s="397"/>
      <c r="IC202" s="397"/>
      <c r="ID202" s="397"/>
      <c r="IE202" s="397"/>
      <c r="IF202" s="397"/>
      <c r="IG202" s="397"/>
      <c r="IH202" s="397"/>
      <c r="II202" s="397"/>
      <c r="IJ202" s="397"/>
      <c r="IK202" s="397"/>
      <c r="IL202" s="397"/>
      <c r="IM202" s="397"/>
      <c r="IN202" s="397"/>
      <c r="IO202" s="397"/>
      <c r="IP202" s="397"/>
      <c r="IQ202" s="397"/>
      <c r="IR202" s="397"/>
    </row>
    <row r="203" spans="2:252" s="183" customFormat="1" ht="25.15" customHeight="1" x14ac:dyDescent="0.25">
      <c r="B203" s="85">
        <v>40126</v>
      </c>
      <c r="C203" s="184">
        <v>357128</v>
      </c>
      <c r="D203" s="184">
        <f>NetWorth[[#This Row],[Worth]]-C204</f>
        <v>-4496.8872061399743</v>
      </c>
      <c r="E203" s="1"/>
      <c r="V203" s="397"/>
      <c r="W203" s="397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7"/>
      <c r="AK203" s="397"/>
      <c r="AL203" s="397"/>
      <c r="AM203" s="397"/>
      <c r="AN203" s="397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7"/>
      <c r="BA203" s="397"/>
      <c r="BB203" s="397"/>
      <c r="BC203" s="397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7"/>
      <c r="BS203" s="397"/>
      <c r="BT203" s="397"/>
      <c r="BU203" s="397"/>
      <c r="BV203" s="397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397"/>
      <c r="CI203" s="397"/>
      <c r="CJ203" s="397"/>
      <c r="CK203" s="397"/>
      <c r="CL203" s="397"/>
      <c r="CM203" s="397"/>
      <c r="CN203" s="397"/>
      <c r="CO203" s="397"/>
      <c r="CP203" s="397"/>
      <c r="CQ203" s="397"/>
      <c r="CR203" s="397"/>
      <c r="CS203" s="397"/>
      <c r="CT203" s="397"/>
      <c r="CU203" s="397"/>
      <c r="CV203" s="397"/>
      <c r="CW203" s="397"/>
      <c r="CX203" s="397"/>
      <c r="CY203" s="397"/>
      <c r="CZ203" s="397"/>
      <c r="DA203" s="397"/>
      <c r="DB203" s="397"/>
      <c r="DC203" s="397"/>
      <c r="DD203" s="397"/>
      <c r="DE203" s="397"/>
      <c r="DF203" s="397"/>
      <c r="DG203" s="397"/>
      <c r="DH203" s="397"/>
      <c r="DI203" s="397"/>
      <c r="DJ203" s="397"/>
      <c r="DK203" s="397"/>
      <c r="DL203" s="397"/>
      <c r="DM203" s="397"/>
      <c r="DN203" s="397"/>
      <c r="DO203" s="397"/>
      <c r="DP203" s="397"/>
      <c r="DQ203" s="397"/>
      <c r="DR203" s="397"/>
      <c r="DS203" s="397"/>
      <c r="DT203" s="397"/>
      <c r="DU203" s="397"/>
      <c r="DV203" s="397"/>
      <c r="DW203" s="397"/>
      <c r="DX203" s="397"/>
      <c r="DY203" s="397"/>
      <c r="DZ203" s="397"/>
      <c r="EA203" s="397"/>
      <c r="EB203" s="397"/>
      <c r="EC203" s="397"/>
      <c r="ED203" s="397"/>
      <c r="EE203" s="397"/>
      <c r="EF203" s="397"/>
      <c r="EG203" s="397"/>
      <c r="EH203" s="397"/>
      <c r="EI203" s="397"/>
      <c r="EJ203" s="397"/>
      <c r="EK203" s="397"/>
      <c r="EL203" s="397"/>
      <c r="EM203" s="397"/>
      <c r="EN203" s="397"/>
      <c r="EO203" s="397"/>
      <c r="EP203" s="397"/>
      <c r="EQ203" s="397"/>
      <c r="ER203" s="397"/>
      <c r="ES203" s="397"/>
      <c r="ET203" s="397"/>
      <c r="EU203" s="397"/>
      <c r="EV203" s="397"/>
      <c r="EW203" s="397"/>
      <c r="EX203" s="397"/>
      <c r="EY203" s="397"/>
      <c r="EZ203" s="397"/>
      <c r="FA203" s="397"/>
      <c r="FB203" s="397"/>
      <c r="FC203" s="397"/>
      <c r="FD203" s="397"/>
      <c r="FE203" s="397"/>
      <c r="FF203" s="397"/>
      <c r="FG203" s="397"/>
      <c r="FH203" s="397"/>
      <c r="FI203" s="397"/>
      <c r="FJ203" s="397"/>
      <c r="FK203" s="397"/>
      <c r="FL203" s="397"/>
      <c r="FM203" s="397"/>
      <c r="FN203" s="397"/>
      <c r="FO203" s="397"/>
      <c r="FP203" s="397"/>
      <c r="FQ203" s="397"/>
      <c r="FR203" s="397"/>
      <c r="FS203" s="397"/>
      <c r="FT203" s="397"/>
      <c r="FU203" s="397"/>
      <c r="FV203" s="397"/>
      <c r="FW203" s="397"/>
      <c r="FX203" s="397"/>
      <c r="FY203" s="397"/>
      <c r="FZ203" s="397"/>
      <c r="GA203" s="397"/>
      <c r="GB203" s="397"/>
      <c r="GC203" s="397"/>
      <c r="GD203" s="397"/>
      <c r="GE203" s="397"/>
      <c r="GF203" s="397"/>
      <c r="GG203" s="397"/>
      <c r="GH203" s="397"/>
      <c r="GI203" s="397"/>
      <c r="GJ203" s="397"/>
      <c r="GK203" s="397"/>
      <c r="GL203" s="397"/>
      <c r="GM203" s="397"/>
      <c r="GN203" s="397"/>
      <c r="GO203" s="397"/>
      <c r="GP203" s="397"/>
      <c r="GQ203" s="397"/>
      <c r="GR203" s="397"/>
      <c r="GS203" s="397"/>
      <c r="GT203" s="397"/>
      <c r="GU203" s="397"/>
      <c r="GV203" s="397"/>
      <c r="GW203" s="397"/>
      <c r="GX203" s="397"/>
      <c r="GY203" s="397"/>
      <c r="GZ203" s="397"/>
      <c r="HA203" s="397"/>
      <c r="HB203" s="397"/>
      <c r="HC203" s="397"/>
      <c r="HD203" s="397"/>
      <c r="HE203" s="397"/>
      <c r="HF203" s="397"/>
      <c r="HG203" s="397"/>
      <c r="HH203" s="397"/>
      <c r="HI203" s="397"/>
      <c r="HJ203" s="397"/>
      <c r="HK203" s="397"/>
      <c r="HL203" s="397"/>
      <c r="HM203" s="397"/>
      <c r="HN203" s="397"/>
      <c r="HO203" s="397"/>
      <c r="HP203" s="397"/>
      <c r="HQ203" s="397"/>
      <c r="HR203" s="397"/>
      <c r="HS203" s="397"/>
      <c r="HT203" s="397"/>
      <c r="HU203" s="397"/>
      <c r="HV203" s="397"/>
      <c r="HW203" s="397"/>
      <c r="HX203" s="397"/>
      <c r="HY203" s="397"/>
      <c r="HZ203" s="397"/>
      <c r="IA203" s="397"/>
      <c r="IB203" s="397"/>
      <c r="IC203" s="397"/>
      <c r="ID203" s="397"/>
      <c r="IE203" s="397"/>
      <c r="IF203" s="397"/>
      <c r="IG203" s="397"/>
      <c r="IH203" s="397"/>
      <c r="II203" s="397"/>
      <c r="IJ203" s="397"/>
      <c r="IK203" s="397"/>
      <c r="IL203" s="397"/>
      <c r="IM203" s="397"/>
      <c r="IN203" s="397"/>
      <c r="IO203" s="397"/>
      <c r="IP203" s="397"/>
      <c r="IQ203" s="397"/>
      <c r="IR203" s="397"/>
    </row>
    <row r="204" spans="2:252" s="183" customFormat="1" ht="25.15" customHeight="1" x14ac:dyDescent="0.25">
      <c r="B204" s="85">
        <v>40087</v>
      </c>
      <c r="C204" s="184">
        <v>361624.88720613997</v>
      </c>
      <c r="D204" s="184">
        <f>NetWorth[[#This Row],[Worth]]-C205</f>
        <v>30745.208514309488</v>
      </c>
      <c r="E204" s="1"/>
      <c r="V204" s="397"/>
      <c r="W204" s="397"/>
      <c r="X204" s="397"/>
      <c r="Y204" s="397"/>
      <c r="Z204" s="397"/>
      <c r="AA204" s="397"/>
      <c r="AB204" s="397"/>
      <c r="AC204" s="397"/>
      <c r="AD204" s="397"/>
      <c r="AE204" s="397"/>
      <c r="AF204" s="397"/>
      <c r="AG204" s="397"/>
      <c r="AH204" s="397"/>
      <c r="AI204" s="397"/>
      <c r="AJ204" s="397"/>
      <c r="AK204" s="397"/>
      <c r="AL204" s="397"/>
      <c r="AM204" s="397"/>
      <c r="AN204" s="397"/>
      <c r="AO204" s="397"/>
      <c r="AP204" s="397"/>
      <c r="AQ204" s="397"/>
      <c r="AR204" s="397"/>
      <c r="AS204" s="397"/>
      <c r="AT204" s="397"/>
      <c r="AU204" s="397"/>
      <c r="AV204" s="397"/>
      <c r="AW204" s="397"/>
      <c r="AX204" s="397"/>
      <c r="AY204" s="397"/>
      <c r="AZ204" s="397"/>
      <c r="BA204" s="397"/>
      <c r="BB204" s="397"/>
      <c r="BC204" s="397"/>
      <c r="BD204" s="397"/>
      <c r="BE204" s="397"/>
      <c r="BF204" s="397"/>
      <c r="BG204" s="397"/>
      <c r="BH204" s="397"/>
      <c r="BI204" s="397"/>
      <c r="BJ204" s="397"/>
      <c r="BK204" s="397"/>
      <c r="BL204" s="397"/>
      <c r="BM204" s="397"/>
      <c r="BN204" s="397"/>
      <c r="BO204" s="397"/>
      <c r="BP204" s="397"/>
      <c r="BQ204" s="397"/>
      <c r="BR204" s="397"/>
      <c r="BS204" s="397"/>
      <c r="BT204" s="397"/>
      <c r="BU204" s="397"/>
      <c r="BV204" s="397"/>
      <c r="BW204" s="397"/>
      <c r="BX204" s="397"/>
      <c r="BY204" s="397"/>
      <c r="BZ204" s="397"/>
      <c r="CA204" s="397"/>
      <c r="CB204" s="397"/>
      <c r="CC204" s="397"/>
      <c r="CD204" s="397"/>
      <c r="CE204" s="397"/>
      <c r="CF204" s="397"/>
      <c r="CG204" s="397"/>
      <c r="CH204" s="397"/>
      <c r="CI204" s="397"/>
      <c r="CJ204" s="397"/>
      <c r="CK204" s="397"/>
      <c r="CL204" s="397"/>
      <c r="CM204" s="397"/>
      <c r="CN204" s="397"/>
      <c r="CO204" s="397"/>
      <c r="CP204" s="397"/>
      <c r="CQ204" s="397"/>
      <c r="CR204" s="397"/>
      <c r="CS204" s="397"/>
      <c r="CT204" s="397"/>
      <c r="CU204" s="397"/>
      <c r="CV204" s="397"/>
      <c r="CW204" s="397"/>
      <c r="CX204" s="397"/>
      <c r="CY204" s="397"/>
      <c r="CZ204" s="397"/>
      <c r="DA204" s="397"/>
      <c r="DB204" s="397"/>
      <c r="DC204" s="397"/>
      <c r="DD204" s="397"/>
      <c r="DE204" s="397"/>
      <c r="DF204" s="397"/>
      <c r="DG204" s="397"/>
      <c r="DH204" s="397"/>
      <c r="DI204" s="397"/>
      <c r="DJ204" s="397"/>
      <c r="DK204" s="397"/>
      <c r="DL204" s="397"/>
      <c r="DM204" s="397"/>
      <c r="DN204" s="397"/>
      <c r="DO204" s="397"/>
      <c r="DP204" s="397"/>
      <c r="DQ204" s="397"/>
      <c r="DR204" s="397"/>
      <c r="DS204" s="397"/>
      <c r="DT204" s="397"/>
      <c r="DU204" s="397"/>
      <c r="DV204" s="397"/>
      <c r="DW204" s="397"/>
      <c r="DX204" s="397"/>
      <c r="DY204" s="397"/>
      <c r="DZ204" s="397"/>
      <c r="EA204" s="397"/>
      <c r="EB204" s="397"/>
      <c r="EC204" s="397"/>
      <c r="ED204" s="397"/>
      <c r="EE204" s="397"/>
      <c r="EF204" s="397"/>
      <c r="EG204" s="397"/>
      <c r="EH204" s="397"/>
      <c r="EI204" s="397"/>
      <c r="EJ204" s="397"/>
      <c r="EK204" s="397"/>
      <c r="EL204" s="397"/>
      <c r="EM204" s="397"/>
      <c r="EN204" s="397"/>
      <c r="EO204" s="397"/>
      <c r="EP204" s="397"/>
      <c r="EQ204" s="397"/>
      <c r="ER204" s="397"/>
      <c r="ES204" s="397"/>
      <c r="ET204" s="397"/>
      <c r="EU204" s="397"/>
      <c r="EV204" s="397"/>
      <c r="EW204" s="397"/>
      <c r="EX204" s="397"/>
      <c r="EY204" s="397"/>
      <c r="EZ204" s="397"/>
      <c r="FA204" s="397"/>
      <c r="FB204" s="397"/>
      <c r="FC204" s="397"/>
      <c r="FD204" s="397"/>
      <c r="FE204" s="397"/>
      <c r="FF204" s="397"/>
      <c r="FG204" s="397"/>
      <c r="FH204" s="397"/>
      <c r="FI204" s="397"/>
      <c r="FJ204" s="397"/>
      <c r="FK204" s="397"/>
      <c r="FL204" s="397"/>
      <c r="FM204" s="397"/>
      <c r="FN204" s="397"/>
      <c r="FO204" s="397"/>
      <c r="FP204" s="397"/>
      <c r="FQ204" s="397"/>
      <c r="FR204" s="397"/>
      <c r="FS204" s="397"/>
      <c r="FT204" s="397"/>
      <c r="FU204" s="397"/>
      <c r="FV204" s="397"/>
      <c r="FW204" s="397"/>
      <c r="FX204" s="397"/>
      <c r="FY204" s="397"/>
      <c r="FZ204" s="397"/>
      <c r="GA204" s="397"/>
      <c r="GB204" s="397"/>
      <c r="GC204" s="397"/>
      <c r="GD204" s="397"/>
      <c r="GE204" s="397"/>
      <c r="GF204" s="397"/>
      <c r="GG204" s="397"/>
      <c r="GH204" s="397"/>
      <c r="GI204" s="397"/>
      <c r="GJ204" s="397"/>
      <c r="GK204" s="397"/>
      <c r="GL204" s="397"/>
      <c r="GM204" s="397"/>
      <c r="GN204" s="397"/>
      <c r="GO204" s="397"/>
      <c r="GP204" s="397"/>
      <c r="GQ204" s="397"/>
      <c r="GR204" s="397"/>
      <c r="GS204" s="397"/>
      <c r="GT204" s="397"/>
      <c r="GU204" s="397"/>
      <c r="GV204" s="397"/>
      <c r="GW204" s="397"/>
      <c r="GX204" s="397"/>
      <c r="GY204" s="397"/>
      <c r="GZ204" s="397"/>
      <c r="HA204" s="397"/>
      <c r="HB204" s="397"/>
      <c r="HC204" s="397"/>
      <c r="HD204" s="397"/>
      <c r="HE204" s="397"/>
      <c r="HF204" s="397"/>
      <c r="HG204" s="397"/>
      <c r="HH204" s="397"/>
      <c r="HI204" s="397"/>
      <c r="HJ204" s="397"/>
      <c r="HK204" s="397"/>
      <c r="HL204" s="397"/>
      <c r="HM204" s="397"/>
      <c r="HN204" s="397"/>
      <c r="HO204" s="397"/>
      <c r="HP204" s="397"/>
      <c r="HQ204" s="397"/>
      <c r="HR204" s="397"/>
      <c r="HS204" s="397"/>
      <c r="HT204" s="397"/>
      <c r="HU204" s="397"/>
      <c r="HV204" s="397"/>
      <c r="HW204" s="397"/>
      <c r="HX204" s="397"/>
      <c r="HY204" s="397"/>
      <c r="HZ204" s="397"/>
      <c r="IA204" s="397"/>
      <c r="IB204" s="397"/>
      <c r="IC204" s="397"/>
      <c r="ID204" s="397"/>
      <c r="IE204" s="397"/>
      <c r="IF204" s="397"/>
      <c r="IG204" s="397"/>
      <c r="IH204" s="397"/>
      <c r="II204" s="397"/>
      <c r="IJ204" s="397"/>
      <c r="IK204" s="397"/>
      <c r="IL204" s="397"/>
      <c r="IM204" s="397"/>
      <c r="IN204" s="397"/>
      <c r="IO204" s="397"/>
      <c r="IP204" s="397"/>
      <c r="IQ204" s="397"/>
      <c r="IR204" s="397"/>
    </row>
    <row r="205" spans="2:252" s="183" customFormat="1" ht="25.15" customHeight="1" x14ac:dyDescent="0.25">
      <c r="B205" s="85">
        <v>40065</v>
      </c>
      <c r="C205" s="184">
        <v>330879.67869183049</v>
      </c>
      <c r="D205" s="184">
        <f>NetWorth[[#This Row],[Worth]]-C206</f>
        <v>0</v>
      </c>
      <c r="E205" s="1"/>
      <c r="V205" s="397"/>
      <c r="W205" s="397"/>
      <c r="X205" s="397"/>
      <c r="Y205" s="397"/>
      <c r="Z205" s="397"/>
      <c r="AA205" s="397"/>
      <c r="AB205" s="397"/>
      <c r="AC205" s="397"/>
      <c r="AD205" s="397"/>
      <c r="AE205" s="397"/>
      <c r="AF205" s="397"/>
      <c r="AG205" s="397"/>
      <c r="AH205" s="397"/>
      <c r="AI205" s="397"/>
      <c r="AJ205" s="397"/>
      <c r="AK205" s="397"/>
      <c r="AL205" s="397"/>
      <c r="AM205" s="397"/>
      <c r="AN205" s="397"/>
      <c r="AO205" s="397"/>
      <c r="AP205" s="397"/>
      <c r="AQ205" s="397"/>
      <c r="AR205" s="397"/>
      <c r="AS205" s="397"/>
      <c r="AT205" s="397"/>
      <c r="AU205" s="397"/>
      <c r="AV205" s="397"/>
      <c r="AW205" s="397"/>
      <c r="AX205" s="397"/>
      <c r="AY205" s="397"/>
      <c r="AZ205" s="397"/>
      <c r="BA205" s="397"/>
      <c r="BB205" s="397"/>
      <c r="BC205" s="397"/>
      <c r="BD205" s="397"/>
      <c r="BE205" s="397"/>
      <c r="BF205" s="397"/>
      <c r="BG205" s="397"/>
      <c r="BH205" s="397"/>
      <c r="BI205" s="397"/>
      <c r="BJ205" s="397"/>
      <c r="BK205" s="397"/>
      <c r="BL205" s="397"/>
      <c r="BM205" s="397"/>
      <c r="BN205" s="397"/>
      <c r="BO205" s="397"/>
      <c r="BP205" s="397"/>
      <c r="BQ205" s="397"/>
      <c r="BR205" s="397"/>
      <c r="BS205" s="397"/>
      <c r="BT205" s="397"/>
      <c r="BU205" s="397"/>
      <c r="BV205" s="397"/>
      <c r="BW205" s="397"/>
      <c r="BX205" s="397"/>
      <c r="BY205" s="397"/>
      <c r="BZ205" s="397"/>
      <c r="CA205" s="397"/>
      <c r="CB205" s="397"/>
      <c r="CC205" s="397"/>
      <c r="CD205" s="397"/>
      <c r="CE205" s="397"/>
      <c r="CF205" s="397"/>
      <c r="CG205" s="397"/>
      <c r="CH205" s="397"/>
      <c r="CI205" s="397"/>
      <c r="CJ205" s="397"/>
      <c r="CK205" s="397"/>
      <c r="CL205" s="397"/>
      <c r="CM205" s="397"/>
      <c r="CN205" s="397"/>
      <c r="CO205" s="397"/>
      <c r="CP205" s="397"/>
      <c r="CQ205" s="397"/>
      <c r="CR205" s="397"/>
      <c r="CS205" s="397"/>
      <c r="CT205" s="397"/>
      <c r="CU205" s="397"/>
      <c r="CV205" s="397"/>
      <c r="CW205" s="397"/>
      <c r="CX205" s="397"/>
      <c r="CY205" s="397"/>
      <c r="CZ205" s="397"/>
      <c r="DA205" s="397"/>
      <c r="DB205" s="397"/>
      <c r="DC205" s="397"/>
      <c r="DD205" s="397"/>
      <c r="DE205" s="397"/>
      <c r="DF205" s="397"/>
      <c r="DG205" s="397"/>
      <c r="DH205" s="397"/>
      <c r="DI205" s="397"/>
      <c r="DJ205" s="397"/>
      <c r="DK205" s="397"/>
      <c r="DL205" s="397"/>
      <c r="DM205" s="397"/>
      <c r="DN205" s="397"/>
      <c r="DO205" s="397"/>
      <c r="DP205" s="397"/>
      <c r="DQ205" s="397"/>
      <c r="DR205" s="397"/>
      <c r="DS205" s="397"/>
      <c r="DT205" s="397"/>
      <c r="DU205" s="397"/>
      <c r="DV205" s="397"/>
      <c r="DW205" s="397"/>
      <c r="DX205" s="397"/>
      <c r="DY205" s="397"/>
      <c r="DZ205" s="397"/>
      <c r="EA205" s="397"/>
      <c r="EB205" s="397"/>
      <c r="EC205" s="397"/>
      <c r="ED205" s="397"/>
      <c r="EE205" s="397"/>
      <c r="EF205" s="397"/>
      <c r="EG205" s="397"/>
      <c r="EH205" s="397"/>
      <c r="EI205" s="397"/>
      <c r="EJ205" s="397"/>
      <c r="EK205" s="397"/>
      <c r="EL205" s="397"/>
      <c r="EM205" s="397"/>
      <c r="EN205" s="397"/>
      <c r="EO205" s="397"/>
      <c r="EP205" s="397"/>
      <c r="EQ205" s="397"/>
      <c r="ER205" s="397"/>
      <c r="ES205" s="397"/>
      <c r="ET205" s="397"/>
      <c r="EU205" s="397"/>
      <c r="EV205" s="397"/>
      <c r="EW205" s="397"/>
      <c r="EX205" s="397"/>
      <c r="EY205" s="397"/>
      <c r="EZ205" s="397"/>
      <c r="FA205" s="397"/>
      <c r="FB205" s="397"/>
      <c r="FC205" s="397"/>
      <c r="FD205" s="397"/>
      <c r="FE205" s="397"/>
      <c r="FF205" s="397"/>
      <c r="FG205" s="397"/>
      <c r="FH205" s="397"/>
      <c r="FI205" s="397"/>
      <c r="FJ205" s="397"/>
      <c r="FK205" s="397"/>
      <c r="FL205" s="397"/>
      <c r="FM205" s="397"/>
      <c r="FN205" s="397"/>
      <c r="FO205" s="397"/>
      <c r="FP205" s="397"/>
      <c r="FQ205" s="397"/>
      <c r="FR205" s="397"/>
      <c r="FS205" s="397"/>
      <c r="FT205" s="397"/>
      <c r="FU205" s="397"/>
      <c r="FV205" s="397"/>
      <c r="FW205" s="397"/>
      <c r="FX205" s="397"/>
      <c r="FY205" s="397"/>
      <c r="FZ205" s="397"/>
      <c r="GA205" s="397"/>
      <c r="GB205" s="397"/>
      <c r="GC205" s="397"/>
      <c r="GD205" s="397"/>
      <c r="GE205" s="397"/>
      <c r="GF205" s="397"/>
      <c r="GG205" s="397"/>
      <c r="GH205" s="397"/>
      <c r="GI205" s="397"/>
      <c r="GJ205" s="397"/>
      <c r="GK205" s="397"/>
      <c r="GL205" s="397"/>
      <c r="GM205" s="397"/>
      <c r="GN205" s="397"/>
      <c r="GO205" s="397"/>
      <c r="GP205" s="397"/>
      <c r="GQ205" s="397"/>
      <c r="GR205" s="397"/>
      <c r="GS205" s="397"/>
      <c r="GT205" s="397"/>
      <c r="GU205" s="397"/>
      <c r="GV205" s="397"/>
      <c r="GW205" s="397"/>
      <c r="GX205" s="397"/>
      <c r="GY205" s="397"/>
      <c r="GZ205" s="397"/>
      <c r="HA205" s="397"/>
      <c r="HB205" s="397"/>
      <c r="HC205" s="397"/>
      <c r="HD205" s="397"/>
      <c r="HE205" s="397"/>
      <c r="HF205" s="397"/>
      <c r="HG205" s="397"/>
      <c r="HH205" s="397"/>
      <c r="HI205" s="397"/>
      <c r="HJ205" s="397"/>
      <c r="HK205" s="397"/>
      <c r="HL205" s="397"/>
      <c r="HM205" s="397"/>
      <c r="HN205" s="397"/>
      <c r="HO205" s="397"/>
      <c r="HP205" s="397"/>
      <c r="HQ205" s="397"/>
      <c r="HR205" s="397"/>
      <c r="HS205" s="397"/>
      <c r="HT205" s="397"/>
      <c r="HU205" s="397"/>
      <c r="HV205" s="397"/>
      <c r="HW205" s="397"/>
      <c r="HX205" s="397"/>
      <c r="HY205" s="397"/>
      <c r="HZ205" s="397"/>
      <c r="IA205" s="397"/>
      <c r="IB205" s="397"/>
      <c r="IC205" s="397"/>
      <c r="ID205" s="397"/>
      <c r="IE205" s="397"/>
      <c r="IF205" s="397"/>
      <c r="IG205" s="397"/>
      <c r="IH205" s="397"/>
      <c r="II205" s="397"/>
      <c r="IJ205" s="397"/>
      <c r="IK205" s="397"/>
      <c r="IL205" s="397"/>
      <c r="IM205" s="397"/>
      <c r="IN205" s="397"/>
      <c r="IO205" s="397"/>
      <c r="IP205" s="397"/>
      <c r="IQ205" s="397"/>
      <c r="IR205" s="397"/>
    </row>
    <row r="206" spans="2:252" s="183" customFormat="1" ht="25.15" customHeight="1" x14ac:dyDescent="0.25">
      <c r="B206" s="85">
        <v>40026</v>
      </c>
      <c r="C206" s="184">
        <v>330879.67869183049</v>
      </c>
      <c r="D206" s="184">
        <f>NetWorth[[#This Row],[Worth]]-C207</f>
        <v>-711.95183400000678</v>
      </c>
      <c r="E206" s="1"/>
      <c r="V206" s="397"/>
      <c r="W206" s="397"/>
      <c r="X206" s="397"/>
      <c r="Y206" s="397"/>
      <c r="Z206" s="397"/>
      <c r="AA206" s="397"/>
      <c r="AB206" s="397"/>
      <c r="AC206" s="397"/>
      <c r="AD206" s="397"/>
      <c r="AE206" s="397"/>
      <c r="AF206" s="397"/>
      <c r="AG206" s="397"/>
      <c r="AH206" s="397"/>
      <c r="AI206" s="397"/>
      <c r="AJ206" s="397"/>
      <c r="AK206" s="397"/>
      <c r="AL206" s="397"/>
      <c r="AM206" s="397"/>
      <c r="AN206" s="397"/>
      <c r="AO206" s="397"/>
      <c r="AP206" s="397"/>
      <c r="AQ206" s="397"/>
      <c r="AR206" s="397"/>
      <c r="AS206" s="397"/>
      <c r="AT206" s="397"/>
      <c r="AU206" s="397"/>
      <c r="AV206" s="397"/>
      <c r="AW206" s="397"/>
      <c r="AX206" s="397"/>
      <c r="AY206" s="397"/>
      <c r="AZ206" s="397"/>
      <c r="BA206" s="397"/>
      <c r="BB206" s="397"/>
      <c r="BC206" s="397"/>
      <c r="BD206" s="397"/>
      <c r="BE206" s="397"/>
      <c r="BF206" s="397"/>
      <c r="BG206" s="397"/>
      <c r="BH206" s="397"/>
      <c r="BI206" s="397"/>
      <c r="BJ206" s="397"/>
      <c r="BK206" s="397"/>
      <c r="BL206" s="397"/>
      <c r="BM206" s="397"/>
      <c r="BN206" s="397"/>
      <c r="BO206" s="397"/>
      <c r="BP206" s="397"/>
      <c r="BQ206" s="397"/>
      <c r="BR206" s="397"/>
      <c r="BS206" s="397"/>
      <c r="BT206" s="397"/>
      <c r="BU206" s="397"/>
      <c r="BV206" s="397"/>
      <c r="BW206" s="397"/>
      <c r="BX206" s="397"/>
      <c r="BY206" s="397"/>
      <c r="BZ206" s="397"/>
      <c r="CA206" s="397"/>
      <c r="CB206" s="397"/>
      <c r="CC206" s="397"/>
      <c r="CD206" s="397"/>
      <c r="CE206" s="397"/>
      <c r="CF206" s="397"/>
      <c r="CG206" s="397"/>
      <c r="CH206" s="397"/>
      <c r="CI206" s="397"/>
      <c r="CJ206" s="397"/>
      <c r="CK206" s="397"/>
      <c r="CL206" s="397"/>
      <c r="CM206" s="397"/>
      <c r="CN206" s="397"/>
      <c r="CO206" s="397"/>
      <c r="CP206" s="397"/>
      <c r="CQ206" s="397"/>
      <c r="CR206" s="397"/>
      <c r="CS206" s="397"/>
      <c r="CT206" s="397"/>
      <c r="CU206" s="397"/>
      <c r="CV206" s="397"/>
      <c r="CW206" s="397"/>
      <c r="CX206" s="397"/>
      <c r="CY206" s="397"/>
      <c r="CZ206" s="397"/>
      <c r="DA206" s="397"/>
      <c r="DB206" s="397"/>
      <c r="DC206" s="397"/>
      <c r="DD206" s="397"/>
      <c r="DE206" s="397"/>
      <c r="DF206" s="397"/>
      <c r="DG206" s="397"/>
      <c r="DH206" s="397"/>
      <c r="DI206" s="397"/>
      <c r="DJ206" s="397"/>
      <c r="DK206" s="397"/>
      <c r="DL206" s="397"/>
      <c r="DM206" s="397"/>
      <c r="DN206" s="397"/>
      <c r="DO206" s="397"/>
      <c r="DP206" s="397"/>
      <c r="DQ206" s="397"/>
      <c r="DR206" s="397"/>
      <c r="DS206" s="397"/>
      <c r="DT206" s="397"/>
      <c r="DU206" s="397"/>
      <c r="DV206" s="397"/>
      <c r="DW206" s="397"/>
      <c r="DX206" s="397"/>
      <c r="DY206" s="397"/>
      <c r="DZ206" s="397"/>
      <c r="EA206" s="397"/>
      <c r="EB206" s="397"/>
      <c r="EC206" s="397"/>
      <c r="ED206" s="397"/>
      <c r="EE206" s="397"/>
      <c r="EF206" s="397"/>
      <c r="EG206" s="397"/>
      <c r="EH206" s="397"/>
      <c r="EI206" s="397"/>
      <c r="EJ206" s="397"/>
      <c r="EK206" s="397"/>
      <c r="EL206" s="397"/>
      <c r="EM206" s="397"/>
      <c r="EN206" s="397"/>
      <c r="EO206" s="397"/>
      <c r="EP206" s="397"/>
      <c r="EQ206" s="397"/>
      <c r="ER206" s="397"/>
      <c r="ES206" s="397"/>
      <c r="ET206" s="397"/>
      <c r="EU206" s="397"/>
      <c r="EV206" s="397"/>
      <c r="EW206" s="397"/>
      <c r="EX206" s="397"/>
      <c r="EY206" s="397"/>
      <c r="EZ206" s="397"/>
      <c r="FA206" s="397"/>
      <c r="FB206" s="397"/>
      <c r="FC206" s="397"/>
      <c r="FD206" s="397"/>
      <c r="FE206" s="397"/>
      <c r="FF206" s="397"/>
      <c r="FG206" s="397"/>
      <c r="FH206" s="397"/>
      <c r="FI206" s="397"/>
      <c r="FJ206" s="397"/>
      <c r="FK206" s="397"/>
      <c r="FL206" s="397"/>
      <c r="FM206" s="397"/>
      <c r="FN206" s="397"/>
      <c r="FO206" s="397"/>
      <c r="FP206" s="397"/>
      <c r="FQ206" s="397"/>
      <c r="FR206" s="397"/>
      <c r="FS206" s="397"/>
      <c r="FT206" s="397"/>
      <c r="FU206" s="397"/>
      <c r="FV206" s="397"/>
      <c r="FW206" s="397"/>
      <c r="FX206" s="397"/>
      <c r="FY206" s="397"/>
      <c r="FZ206" s="397"/>
      <c r="GA206" s="397"/>
      <c r="GB206" s="397"/>
      <c r="GC206" s="397"/>
      <c r="GD206" s="397"/>
      <c r="GE206" s="397"/>
      <c r="GF206" s="397"/>
      <c r="GG206" s="397"/>
      <c r="GH206" s="397"/>
      <c r="GI206" s="397"/>
      <c r="GJ206" s="397"/>
      <c r="GK206" s="397"/>
      <c r="GL206" s="397"/>
      <c r="GM206" s="397"/>
      <c r="GN206" s="397"/>
      <c r="GO206" s="397"/>
      <c r="GP206" s="397"/>
      <c r="GQ206" s="397"/>
      <c r="GR206" s="397"/>
      <c r="GS206" s="397"/>
      <c r="GT206" s="397"/>
      <c r="GU206" s="397"/>
      <c r="GV206" s="397"/>
      <c r="GW206" s="397"/>
      <c r="GX206" s="397"/>
      <c r="GY206" s="397"/>
      <c r="GZ206" s="397"/>
      <c r="HA206" s="397"/>
      <c r="HB206" s="397"/>
      <c r="HC206" s="397"/>
      <c r="HD206" s="397"/>
      <c r="HE206" s="397"/>
      <c r="HF206" s="397"/>
      <c r="HG206" s="397"/>
      <c r="HH206" s="397"/>
      <c r="HI206" s="397"/>
      <c r="HJ206" s="397"/>
      <c r="HK206" s="397"/>
      <c r="HL206" s="397"/>
      <c r="HM206" s="397"/>
      <c r="HN206" s="397"/>
      <c r="HO206" s="397"/>
      <c r="HP206" s="397"/>
      <c r="HQ206" s="397"/>
      <c r="HR206" s="397"/>
      <c r="HS206" s="397"/>
      <c r="HT206" s="397"/>
      <c r="HU206" s="397"/>
      <c r="HV206" s="397"/>
      <c r="HW206" s="397"/>
      <c r="HX206" s="397"/>
      <c r="HY206" s="397"/>
      <c r="HZ206" s="397"/>
      <c r="IA206" s="397"/>
      <c r="IB206" s="397"/>
      <c r="IC206" s="397"/>
      <c r="ID206" s="397"/>
      <c r="IE206" s="397"/>
      <c r="IF206" s="397"/>
      <c r="IG206" s="397"/>
      <c r="IH206" s="397"/>
      <c r="II206" s="397"/>
      <c r="IJ206" s="397"/>
      <c r="IK206" s="397"/>
      <c r="IL206" s="397"/>
      <c r="IM206" s="397"/>
      <c r="IN206" s="397"/>
      <c r="IO206" s="397"/>
      <c r="IP206" s="397"/>
      <c r="IQ206" s="397"/>
      <c r="IR206" s="397"/>
    </row>
    <row r="207" spans="2:252" s="183" customFormat="1" ht="25.15" customHeight="1" x14ac:dyDescent="0.25">
      <c r="B207" s="85">
        <v>39995</v>
      </c>
      <c r="C207" s="184">
        <v>331591.63052583049</v>
      </c>
      <c r="D207" s="184">
        <f>NetWorth[[#This Row],[Worth]]-C208</f>
        <v>0</v>
      </c>
      <c r="E207" s="1"/>
      <c r="V207" s="397"/>
      <c r="W207" s="397"/>
      <c r="X207" s="397"/>
      <c r="Y207" s="397"/>
      <c r="Z207" s="397"/>
      <c r="AA207" s="397"/>
      <c r="AB207" s="397"/>
      <c r="AC207" s="397"/>
      <c r="AD207" s="397"/>
      <c r="AE207" s="397"/>
      <c r="AF207" s="397"/>
      <c r="AG207" s="397"/>
      <c r="AH207" s="397"/>
      <c r="AI207" s="397"/>
      <c r="AJ207" s="397"/>
      <c r="AK207" s="397"/>
      <c r="AL207" s="397"/>
      <c r="AM207" s="397"/>
      <c r="AN207" s="397"/>
      <c r="AO207" s="397"/>
      <c r="AP207" s="397"/>
      <c r="AQ207" s="397"/>
      <c r="AR207" s="397"/>
      <c r="AS207" s="397"/>
      <c r="AT207" s="397"/>
      <c r="AU207" s="397"/>
      <c r="AV207" s="397"/>
      <c r="AW207" s="397"/>
      <c r="AX207" s="397"/>
      <c r="AY207" s="397"/>
      <c r="AZ207" s="397"/>
      <c r="BA207" s="397"/>
      <c r="BB207" s="397"/>
      <c r="BC207" s="397"/>
      <c r="BD207" s="397"/>
      <c r="BE207" s="397"/>
      <c r="BF207" s="397"/>
      <c r="BG207" s="397"/>
      <c r="BH207" s="397"/>
      <c r="BI207" s="397"/>
      <c r="BJ207" s="397"/>
      <c r="BK207" s="397"/>
      <c r="BL207" s="397"/>
      <c r="BM207" s="397"/>
      <c r="BN207" s="397"/>
      <c r="BO207" s="397"/>
      <c r="BP207" s="397"/>
      <c r="BQ207" s="397"/>
      <c r="BR207" s="397"/>
      <c r="BS207" s="397"/>
      <c r="BT207" s="397"/>
      <c r="BU207" s="397"/>
      <c r="BV207" s="397"/>
      <c r="BW207" s="397"/>
      <c r="BX207" s="397"/>
      <c r="BY207" s="397"/>
      <c r="BZ207" s="397"/>
      <c r="CA207" s="397"/>
      <c r="CB207" s="397"/>
      <c r="CC207" s="397"/>
      <c r="CD207" s="397"/>
      <c r="CE207" s="397"/>
      <c r="CF207" s="397"/>
      <c r="CG207" s="397"/>
      <c r="CH207" s="397"/>
      <c r="CI207" s="397"/>
      <c r="CJ207" s="397"/>
      <c r="CK207" s="397"/>
      <c r="CL207" s="397"/>
      <c r="CM207" s="397"/>
      <c r="CN207" s="397"/>
      <c r="CO207" s="397"/>
      <c r="CP207" s="397"/>
      <c r="CQ207" s="397"/>
      <c r="CR207" s="397"/>
      <c r="CS207" s="397"/>
      <c r="CT207" s="397"/>
      <c r="CU207" s="397"/>
      <c r="CV207" s="397"/>
      <c r="CW207" s="397"/>
      <c r="CX207" s="397"/>
      <c r="CY207" s="397"/>
      <c r="CZ207" s="397"/>
      <c r="DA207" s="397"/>
      <c r="DB207" s="397"/>
      <c r="DC207" s="397"/>
      <c r="DD207" s="397"/>
      <c r="DE207" s="397"/>
      <c r="DF207" s="397"/>
      <c r="DG207" s="397"/>
      <c r="DH207" s="397"/>
      <c r="DI207" s="397"/>
      <c r="DJ207" s="397"/>
      <c r="DK207" s="397"/>
      <c r="DL207" s="397"/>
      <c r="DM207" s="397"/>
      <c r="DN207" s="397"/>
      <c r="DO207" s="397"/>
      <c r="DP207" s="397"/>
      <c r="DQ207" s="397"/>
      <c r="DR207" s="397"/>
      <c r="DS207" s="397"/>
      <c r="DT207" s="397"/>
      <c r="DU207" s="397"/>
      <c r="DV207" s="397"/>
      <c r="DW207" s="397"/>
      <c r="DX207" s="397"/>
      <c r="DY207" s="397"/>
      <c r="DZ207" s="397"/>
      <c r="EA207" s="397"/>
      <c r="EB207" s="397"/>
      <c r="EC207" s="397"/>
      <c r="ED207" s="397"/>
      <c r="EE207" s="397"/>
      <c r="EF207" s="397"/>
      <c r="EG207" s="397"/>
      <c r="EH207" s="397"/>
      <c r="EI207" s="397"/>
      <c r="EJ207" s="397"/>
      <c r="EK207" s="397"/>
      <c r="EL207" s="397"/>
      <c r="EM207" s="397"/>
      <c r="EN207" s="397"/>
      <c r="EO207" s="397"/>
      <c r="EP207" s="397"/>
      <c r="EQ207" s="397"/>
      <c r="ER207" s="397"/>
      <c r="ES207" s="397"/>
      <c r="ET207" s="397"/>
      <c r="EU207" s="397"/>
      <c r="EV207" s="397"/>
      <c r="EW207" s="397"/>
      <c r="EX207" s="397"/>
      <c r="EY207" s="397"/>
      <c r="EZ207" s="397"/>
      <c r="FA207" s="397"/>
      <c r="FB207" s="397"/>
      <c r="FC207" s="397"/>
      <c r="FD207" s="397"/>
      <c r="FE207" s="397"/>
      <c r="FF207" s="397"/>
      <c r="FG207" s="397"/>
      <c r="FH207" s="397"/>
      <c r="FI207" s="397"/>
      <c r="FJ207" s="397"/>
      <c r="FK207" s="397"/>
      <c r="FL207" s="397"/>
      <c r="FM207" s="397"/>
      <c r="FN207" s="397"/>
      <c r="FO207" s="397"/>
      <c r="FP207" s="397"/>
      <c r="FQ207" s="397"/>
      <c r="FR207" s="397"/>
      <c r="FS207" s="397"/>
      <c r="FT207" s="397"/>
      <c r="FU207" s="397"/>
      <c r="FV207" s="397"/>
      <c r="FW207" s="397"/>
      <c r="FX207" s="397"/>
      <c r="FY207" s="397"/>
      <c r="FZ207" s="397"/>
      <c r="GA207" s="397"/>
      <c r="GB207" s="397"/>
      <c r="GC207" s="397"/>
      <c r="GD207" s="397"/>
      <c r="GE207" s="397"/>
      <c r="GF207" s="397"/>
      <c r="GG207" s="397"/>
      <c r="GH207" s="397"/>
      <c r="GI207" s="397"/>
      <c r="GJ207" s="397"/>
      <c r="GK207" s="397"/>
      <c r="GL207" s="397"/>
      <c r="GM207" s="397"/>
      <c r="GN207" s="397"/>
      <c r="GO207" s="397"/>
      <c r="GP207" s="397"/>
      <c r="GQ207" s="397"/>
      <c r="GR207" s="397"/>
      <c r="GS207" s="397"/>
      <c r="GT207" s="397"/>
      <c r="GU207" s="397"/>
      <c r="GV207" s="397"/>
      <c r="GW207" s="397"/>
      <c r="GX207" s="397"/>
      <c r="GY207" s="397"/>
      <c r="GZ207" s="397"/>
      <c r="HA207" s="397"/>
      <c r="HB207" s="397"/>
      <c r="HC207" s="397"/>
      <c r="HD207" s="397"/>
      <c r="HE207" s="397"/>
      <c r="HF207" s="397"/>
      <c r="HG207" s="397"/>
      <c r="HH207" s="397"/>
      <c r="HI207" s="397"/>
      <c r="HJ207" s="397"/>
      <c r="HK207" s="397"/>
      <c r="HL207" s="397"/>
      <c r="HM207" s="397"/>
      <c r="HN207" s="397"/>
      <c r="HO207" s="397"/>
      <c r="HP207" s="397"/>
      <c r="HQ207" s="397"/>
      <c r="HR207" s="397"/>
      <c r="HS207" s="397"/>
      <c r="HT207" s="397"/>
      <c r="HU207" s="397"/>
      <c r="HV207" s="397"/>
      <c r="HW207" s="397"/>
      <c r="HX207" s="397"/>
      <c r="HY207" s="397"/>
      <c r="HZ207" s="397"/>
      <c r="IA207" s="397"/>
      <c r="IB207" s="397"/>
      <c r="IC207" s="397"/>
      <c r="ID207" s="397"/>
      <c r="IE207" s="397"/>
      <c r="IF207" s="397"/>
      <c r="IG207" s="397"/>
      <c r="IH207" s="397"/>
      <c r="II207" s="397"/>
      <c r="IJ207" s="397"/>
      <c r="IK207" s="397"/>
      <c r="IL207" s="397"/>
      <c r="IM207" s="397"/>
      <c r="IN207" s="397"/>
      <c r="IO207" s="397"/>
      <c r="IP207" s="397"/>
      <c r="IQ207" s="397"/>
      <c r="IR207" s="397"/>
    </row>
    <row r="208" spans="2:252" s="183" customFormat="1" ht="25.15" customHeight="1" x14ac:dyDescent="0.25">
      <c r="B208" s="85">
        <v>39965</v>
      </c>
      <c r="C208" s="184">
        <v>331591.63052583049</v>
      </c>
      <c r="D208" s="184">
        <f>NetWorth[[#This Row],[Worth]]-C209</f>
        <v>-24356.121018675796</v>
      </c>
      <c r="E208" s="1"/>
      <c r="V208" s="397"/>
      <c r="W208" s="397"/>
      <c r="X208" s="397"/>
      <c r="Y208" s="397"/>
      <c r="Z208" s="397"/>
      <c r="AA208" s="397"/>
      <c r="AB208" s="397"/>
      <c r="AC208" s="397"/>
      <c r="AD208" s="397"/>
      <c r="AE208" s="397"/>
      <c r="AF208" s="397"/>
      <c r="AG208" s="397"/>
      <c r="AH208" s="397"/>
      <c r="AI208" s="397"/>
      <c r="AJ208" s="397"/>
      <c r="AK208" s="397"/>
      <c r="AL208" s="397"/>
      <c r="AM208" s="397"/>
      <c r="AN208" s="397"/>
      <c r="AO208" s="397"/>
      <c r="AP208" s="397"/>
      <c r="AQ208" s="397"/>
      <c r="AR208" s="397"/>
      <c r="AS208" s="397"/>
      <c r="AT208" s="397"/>
      <c r="AU208" s="397"/>
      <c r="AV208" s="397"/>
      <c r="AW208" s="397"/>
      <c r="AX208" s="397"/>
      <c r="AY208" s="397"/>
      <c r="AZ208" s="397"/>
      <c r="BA208" s="397"/>
      <c r="BB208" s="397"/>
      <c r="BC208" s="397"/>
      <c r="BD208" s="397"/>
      <c r="BE208" s="397"/>
      <c r="BF208" s="397"/>
      <c r="BG208" s="397"/>
      <c r="BH208" s="397"/>
      <c r="BI208" s="397"/>
      <c r="BJ208" s="397"/>
      <c r="BK208" s="397"/>
      <c r="BL208" s="397"/>
      <c r="BM208" s="397"/>
      <c r="BN208" s="397"/>
      <c r="BO208" s="397"/>
      <c r="BP208" s="397"/>
      <c r="BQ208" s="397"/>
      <c r="BR208" s="397"/>
      <c r="BS208" s="397"/>
      <c r="BT208" s="397"/>
      <c r="BU208" s="397"/>
      <c r="BV208" s="397"/>
      <c r="BW208" s="397"/>
      <c r="BX208" s="397"/>
      <c r="BY208" s="397"/>
      <c r="BZ208" s="397"/>
      <c r="CA208" s="397"/>
      <c r="CB208" s="397"/>
      <c r="CC208" s="397"/>
      <c r="CD208" s="397"/>
      <c r="CE208" s="397"/>
      <c r="CF208" s="397"/>
      <c r="CG208" s="397"/>
      <c r="CH208" s="397"/>
      <c r="CI208" s="397"/>
      <c r="CJ208" s="397"/>
      <c r="CK208" s="397"/>
      <c r="CL208" s="397"/>
      <c r="CM208" s="397"/>
      <c r="CN208" s="397"/>
      <c r="CO208" s="397"/>
      <c r="CP208" s="397"/>
      <c r="CQ208" s="397"/>
      <c r="CR208" s="397"/>
      <c r="CS208" s="397"/>
      <c r="CT208" s="397"/>
      <c r="CU208" s="397"/>
      <c r="CV208" s="397"/>
      <c r="CW208" s="397"/>
      <c r="CX208" s="397"/>
      <c r="CY208" s="397"/>
      <c r="CZ208" s="397"/>
      <c r="DA208" s="397"/>
      <c r="DB208" s="397"/>
      <c r="DC208" s="397"/>
      <c r="DD208" s="397"/>
      <c r="DE208" s="397"/>
      <c r="DF208" s="397"/>
      <c r="DG208" s="397"/>
      <c r="DH208" s="397"/>
      <c r="DI208" s="397"/>
      <c r="DJ208" s="397"/>
      <c r="DK208" s="397"/>
      <c r="DL208" s="397"/>
      <c r="DM208" s="397"/>
      <c r="DN208" s="397"/>
      <c r="DO208" s="397"/>
      <c r="DP208" s="397"/>
      <c r="DQ208" s="397"/>
      <c r="DR208" s="397"/>
      <c r="DS208" s="397"/>
      <c r="DT208" s="397"/>
      <c r="DU208" s="397"/>
      <c r="DV208" s="397"/>
      <c r="DW208" s="397"/>
      <c r="DX208" s="397"/>
      <c r="DY208" s="397"/>
      <c r="DZ208" s="397"/>
      <c r="EA208" s="397"/>
      <c r="EB208" s="397"/>
      <c r="EC208" s="397"/>
      <c r="ED208" s="397"/>
      <c r="EE208" s="397"/>
      <c r="EF208" s="397"/>
      <c r="EG208" s="397"/>
      <c r="EH208" s="397"/>
      <c r="EI208" s="397"/>
      <c r="EJ208" s="397"/>
      <c r="EK208" s="397"/>
      <c r="EL208" s="397"/>
      <c r="EM208" s="397"/>
      <c r="EN208" s="397"/>
      <c r="EO208" s="397"/>
      <c r="EP208" s="397"/>
      <c r="EQ208" s="397"/>
      <c r="ER208" s="397"/>
      <c r="ES208" s="397"/>
      <c r="ET208" s="397"/>
      <c r="EU208" s="397"/>
      <c r="EV208" s="397"/>
      <c r="EW208" s="397"/>
      <c r="EX208" s="397"/>
      <c r="EY208" s="397"/>
      <c r="EZ208" s="397"/>
      <c r="FA208" s="397"/>
      <c r="FB208" s="397"/>
      <c r="FC208" s="397"/>
      <c r="FD208" s="397"/>
      <c r="FE208" s="397"/>
      <c r="FF208" s="397"/>
      <c r="FG208" s="397"/>
      <c r="FH208" s="397"/>
      <c r="FI208" s="397"/>
      <c r="FJ208" s="397"/>
      <c r="FK208" s="397"/>
      <c r="FL208" s="397"/>
      <c r="FM208" s="397"/>
      <c r="FN208" s="397"/>
      <c r="FO208" s="397"/>
      <c r="FP208" s="397"/>
      <c r="FQ208" s="397"/>
      <c r="FR208" s="397"/>
      <c r="FS208" s="397"/>
      <c r="FT208" s="397"/>
      <c r="FU208" s="397"/>
      <c r="FV208" s="397"/>
      <c r="FW208" s="397"/>
      <c r="FX208" s="397"/>
      <c r="FY208" s="397"/>
      <c r="FZ208" s="397"/>
      <c r="GA208" s="397"/>
      <c r="GB208" s="397"/>
      <c r="GC208" s="397"/>
      <c r="GD208" s="397"/>
      <c r="GE208" s="397"/>
      <c r="GF208" s="397"/>
      <c r="GG208" s="397"/>
      <c r="GH208" s="397"/>
      <c r="GI208" s="397"/>
      <c r="GJ208" s="397"/>
      <c r="GK208" s="397"/>
      <c r="GL208" s="397"/>
      <c r="GM208" s="397"/>
      <c r="GN208" s="397"/>
      <c r="GO208" s="397"/>
      <c r="GP208" s="397"/>
      <c r="GQ208" s="397"/>
      <c r="GR208" s="397"/>
      <c r="GS208" s="397"/>
      <c r="GT208" s="397"/>
      <c r="GU208" s="397"/>
      <c r="GV208" s="397"/>
      <c r="GW208" s="397"/>
      <c r="GX208" s="397"/>
      <c r="GY208" s="397"/>
      <c r="GZ208" s="397"/>
      <c r="HA208" s="397"/>
      <c r="HB208" s="397"/>
      <c r="HC208" s="397"/>
      <c r="HD208" s="397"/>
      <c r="HE208" s="397"/>
      <c r="HF208" s="397"/>
      <c r="HG208" s="397"/>
      <c r="HH208" s="397"/>
      <c r="HI208" s="397"/>
      <c r="HJ208" s="397"/>
      <c r="HK208" s="397"/>
      <c r="HL208" s="397"/>
      <c r="HM208" s="397"/>
      <c r="HN208" s="397"/>
      <c r="HO208" s="397"/>
      <c r="HP208" s="397"/>
      <c r="HQ208" s="397"/>
      <c r="HR208" s="397"/>
      <c r="HS208" s="397"/>
      <c r="HT208" s="397"/>
      <c r="HU208" s="397"/>
      <c r="HV208" s="397"/>
      <c r="HW208" s="397"/>
      <c r="HX208" s="397"/>
      <c r="HY208" s="397"/>
      <c r="HZ208" s="397"/>
      <c r="IA208" s="397"/>
      <c r="IB208" s="397"/>
      <c r="IC208" s="397"/>
      <c r="ID208" s="397"/>
      <c r="IE208" s="397"/>
      <c r="IF208" s="397"/>
      <c r="IG208" s="397"/>
      <c r="IH208" s="397"/>
      <c r="II208" s="397"/>
      <c r="IJ208" s="397"/>
      <c r="IK208" s="397"/>
      <c r="IL208" s="397"/>
      <c r="IM208" s="397"/>
      <c r="IN208" s="397"/>
      <c r="IO208" s="397"/>
      <c r="IP208" s="397"/>
      <c r="IQ208" s="397"/>
      <c r="IR208" s="397"/>
    </row>
    <row r="209" spans="2:252" s="183" customFormat="1" ht="25.15" customHeight="1" x14ac:dyDescent="0.25">
      <c r="B209" s="85">
        <v>39934</v>
      </c>
      <c r="C209" s="184">
        <v>355947.75154450629</v>
      </c>
      <c r="D209" s="184">
        <f>NetWorth[[#This Row],[Worth]]-C210</f>
        <v>28560.245153866243</v>
      </c>
      <c r="E209" s="1"/>
      <c r="V209" s="397"/>
      <c r="W209" s="397"/>
      <c r="X209" s="397"/>
      <c r="Y209" s="397"/>
      <c r="Z209" s="397"/>
      <c r="AA209" s="397"/>
      <c r="AB209" s="397"/>
      <c r="AC209" s="397"/>
      <c r="AD209" s="397"/>
      <c r="AE209" s="397"/>
      <c r="AF209" s="397"/>
      <c r="AG209" s="397"/>
      <c r="AH209" s="397"/>
      <c r="AI209" s="397"/>
      <c r="AJ209" s="397"/>
      <c r="AK209" s="397"/>
      <c r="AL209" s="397"/>
      <c r="AM209" s="397"/>
      <c r="AN209" s="397"/>
      <c r="AO209" s="397"/>
      <c r="AP209" s="397"/>
      <c r="AQ209" s="397"/>
      <c r="AR209" s="397"/>
      <c r="AS209" s="397"/>
      <c r="AT209" s="397"/>
      <c r="AU209" s="397"/>
      <c r="AV209" s="397"/>
      <c r="AW209" s="397"/>
      <c r="AX209" s="397"/>
      <c r="AY209" s="397"/>
      <c r="AZ209" s="397"/>
      <c r="BA209" s="397"/>
      <c r="BB209" s="397"/>
      <c r="BC209" s="397"/>
      <c r="BD209" s="397"/>
      <c r="BE209" s="397"/>
      <c r="BF209" s="397"/>
      <c r="BG209" s="397"/>
      <c r="BH209" s="397"/>
      <c r="BI209" s="397"/>
      <c r="BJ209" s="397"/>
      <c r="BK209" s="397"/>
      <c r="BL209" s="397"/>
      <c r="BM209" s="397"/>
      <c r="BN209" s="397"/>
      <c r="BO209" s="397"/>
      <c r="BP209" s="397"/>
      <c r="BQ209" s="397"/>
      <c r="BR209" s="397"/>
      <c r="BS209" s="397"/>
      <c r="BT209" s="397"/>
      <c r="BU209" s="397"/>
      <c r="BV209" s="397"/>
      <c r="BW209" s="397"/>
      <c r="BX209" s="397"/>
      <c r="BY209" s="397"/>
      <c r="BZ209" s="397"/>
      <c r="CA209" s="397"/>
      <c r="CB209" s="397"/>
      <c r="CC209" s="397"/>
      <c r="CD209" s="397"/>
      <c r="CE209" s="397"/>
      <c r="CF209" s="397"/>
      <c r="CG209" s="397"/>
      <c r="CH209" s="397"/>
      <c r="CI209" s="397"/>
      <c r="CJ209" s="397"/>
      <c r="CK209" s="397"/>
      <c r="CL209" s="397"/>
      <c r="CM209" s="397"/>
      <c r="CN209" s="397"/>
      <c r="CO209" s="397"/>
      <c r="CP209" s="397"/>
      <c r="CQ209" s="397"/>
      <c r="CR209" s="397"/>
      <c r="CS209" s="397"/>
      <c r="CT209" s="397"/>
      <c r="CU209" s="397"/>
      <c r="CV209" s="397"/>
      <c r="CW209" s="397"/>
      <c r="CX209" s="397"/>
      <c r="CY209" s="397"/>
      <c r="CZ209" s="397"/>
      <c r="DA209" s="397"/>
      <c r="DB209" s="397"/>
      <c r="DC209" s="397"/>
      <c r="DD209" s="397"/>
      <c r="DE209" s="397"/>
      <c r="DF209" s="397"/>
      <c r="DG209" s="397"/>
      <c r="DH209" s="397"/>
      <c r="DI209" s="397"/>
      <c r="DJ209" s="397"/>
      <c r="DK209" s="397"/>
      <c r="DL209" s="397"/>
      <c r="DM209" s="397"/>
      <c r="DN209" s="397"/>
      <c r="DO209" s="397"/>
      <c r="DP209" s="397"/>
      <c r="DQ209" s="397"/>
      <c r="DR209" s="397"/>
      <c r="DS209" s="397"/>
      <c r="DT209" s="397"/>
      <c r="DU209" s="397"/>
      <c r="DV209" s="397"/>
      <c r="DW209" s="397"/>
      <c r="DX209" s="397"/>
      <c r="DY209" s="397"/>
      <c r="DZ209" s="397"/>
      <c r="EA209" s="397"/>
      <c r="EB209" s="397"/>
      <c r="EC209" s="397"/>
      <c r="ED209" s="397"/>
      <c r="EE209" s="397"/>
      <c r="EF209" s="397"/>
      <c r="EG209" s="397"/>
      <c r="EH209" s="397"/>
      <c r="EI209" s="397"/>
      <c r="EJ209" s="397"/>
      <c r="EK209" s="397"/>
      <c r="EL209" s="397"/>
      <c r="EM209" s="397"/>
      <c r="EN209" s="397"/>
      <c r="EO209" s="397"/>
      <c r="EP209" s="397"/>
      <c r="EQ209" s="397"/>
      <c r="ER209" s="397"/>
      <c r="ES209" s="397"/>
      <c r="ET209" s="397"/>
      <c r="EU209" s="397"/>
      <c r="EV209" s="397"/>
      <c r="EW209" s="397"/>
      <c r="EX209" s="397"/>
      <c r="EY209" s="397"/>
      <c r="EZ209" s="397"/>
      <c r="FA209" s="397"/>
      <c r="FB209" s="397"/>
      <c r="FC209" s="397"/>
      <c r="FD209" s="397"/>
      <c r="FE209" s="397"/>
      <c r="FF209" s="397"/>
      <c r="FG209" s="397"/>
      <c r="FH209" s="397"/>
      <c r="FI209" s="397"/>
      <c r="FJ209" s="397"/>
      <c r="FK209" s="397"/>
      <c r="FL209" s="397"/>
      <c r="FM209" s="397"/>
      <c r="FN209" s="397"/>
      <c r="FO209" s="397"/>
      <c r="FP209" s="397"/>
      <c r="FQ209" s="397"/>
      <c r="FR209" s="397"/>
      <c r="FS209" s="397"/>
      <c r="FT209" s="397"/>
      <c r="FU209" s="397"/>
      <c r="FV209" s="397"/>
      <c r="FW209" s="397"/>
      <c r="FX209" s="397"/>
      <c r="FY209" s="397"/>
      <c r="FZ209" s="397"/>
      <c r="GA209" s="397"/>
      <c r="GB209" s="397"/>
      <c r="GC209" s="397"/>
      <c r="GD209" s="397"/>
      <c r="GE209" s="397"/>
      <c r="GF209" s="397"/>
      <c r="GG209" s="397"/>
      <c r="GH209" s="397"/>
      <c r="GI209" s="397"/>
      <c r="GJ209" s="397"/>
      <c r="GK209" s="397"/>
      <c r="GL209" s="397"/>
      <c r="GM209" s="397"/>
      <c r="GN209" s="397"/>
      <c r="GO209" s="397"/>
      <c r="GP209" s="397"/>
      <c r="GQ209" s="397"/>
      <c r="GR209" s="397"/>
      <c r="GS209" s="397"/>
      <c r="GT209" s="397"/>
      <c r="GU209" s="397"/>
      <c r="GV209" s="397"/>
      <c r="GW209" s="397"/>
      <c r="GX209" s="397"/>
      <c r="GY209" s="397"/>
      <c r="GZ209" s="397"/>
      <c r="HA209" s="397"/>
      <c r="HB209" s="397"/>
      <c r="HC209" s="397"/>
      <c r="HD209" s="397"/>
      <c r="HE209" s="397"/>
      <c r="HF209" s="397"/>
      <c r="HG209" s="397"/>
      <c r="HH209" s="397"/>
      <c r="HI209" s="397"/>
      <c r="HJ209" s="397"/>
      <c r="HK209" s="397"/>
      <c r="HL209" s="397"/>
      <c r="HM209" s="397"/>
      <c r="HN209" s="397"/>
      <c r="HO209" s="397"/>
      <c r="HP209" s="397"/>
      <c r="HQ209" s="397"/>
      <c r="HR209" s="397"/>
      <c r="HS209" s="397"/>
      <c r="HT209" s="397"/>
      <c r="HU209" s="397"/>
      <c r="HV209" s="397"/>
      <c r="HW209" s="397"/>
      <c r="HX209" s="397"/>
      <c r="HY209" s="397"/>
      <c r="HZ209" s="397"/>
      <c r="IA209" s="397"/>
      <c r="IB209" s="397"/>
      <c r="IC209" s="397"/>
      <c r="ID209" s="397"/>
      <c r="IE209" s="397"/>
      <c r="IF209" s="397"/>
      <c r="IG209" s="397"/>
      <c r="IH209" s="397"/>
      <c r="II209" s="397"/>
      <c r="IJ209" s="397"/>
      <c r="IK209" s="397"/>
      <c r="IL209" s="397"/>
      <c r="IM209" s="397"/>
      <c r="IN209" s="397"/>
      <c r="IO209" s="397"/>
      <c r="IP209" s="397"/>
      <c r="IQ209" s="397"/>
      <c r="IR209" s="397"/>
    </row>
    <row r="210" spans="2:252" s="183" customFormat="1" ht="25.15" customHeight="1" x14ac:dyDescent="0.25">
      <c r="B210" s="85">
        <v>39904</v>
      </c>
      <c r="C210" s="184">
        <v>327387.50639064005</v>
      </c>
      <c r="D210" s="184">
        <f>NetWorth[[#This Row],[Worth]]-C211</f>
        <v>0</v>
      </c>
      <c r="E210" s="1"/>
      <c r="V210" s="397"/>
      <c r="W210" s="397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7"/>
      <c r="AK210" s="397"/>
      <c r="AL210" s="397"/>
      <c r="AM210" s="397"/>
      <c r="AN210" s="397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7"/>
      <c r="BA210" s="397"/>
      <c r="BB210" s="397"/>
      <c r="BC210" s="397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7"/>
      <c r="BS210" s="397"/>
      <c r="BT210" s="397"/>
      <c r="BU210" s="397"/>
      <c r="BV210" s="397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397"/>
      <c r="CI210" s="397"/>
      <c r="CJ210" s="397"/>
      <c r="CK210" s="397"/>
      <c r="CL210" s="397"/>
      <c r="CM210" s="397"/>
      <c r="CN210" s="397"/>
      <c r="CO210" s="397"/>
      <c r="CP210" s="397"/>
      <c r="CQ210" s="397"/>
      <c r="CR210" s="397"/>
      <c r="CS210" s="397"/>
      <c r="CT210" s="397"/>
      <c r="CU210" s="397"/>
      <c r="CV210" s="397"/>
      <c r="CW210" s="397"/>
      <c r="CX210" s="397"/>
      <c r="CY210" s="397"/>
      <c r="CZ210" s="397"/>
      <c r="DA210" s="397"/>
      <c r="DB210" s="397"/>
      <c r="DC210" s="397"/>
      <c r="DD210" s="397"/>
      <c r="DE210" s="397"/>
      <c r="DF210" s="397"/>
      <c r="DG210" s="397"/>
      <c r="DH210" s="397"/>
      <c r="DI210" s="397"/>
      <c r="DJ210" s="397"/>
      <c r="DK210" s="397"/>
      <c r="DL210" s="397"/>
      <c r="DM210" s="397"/>
      <c r="DN210" s="397"/>
      <c r="DO210" s="397"/>
      <c r="DP210" s="397"/>
      <c r="DQ210" s="397"/>
      <c r="DR210" s="397"/>
      <c r="DS210" s="397"/>
      <c r="DT210" s="397"/>
      <c r="DU210" s="397"/>
      <c r="DV210" s="397"/>
      <c r="DW210" s="397"/>
      <c r="DX210" s="397"/>
      <c r="DY210" s="397"/>
      <c r="DZ210" s="397"/>
      <c r="EA210" s="397"/>
      <c r="EB210" s="397"/>
      <c r="EC210" s="397"/>
      <c r="ED210" s="397"/>
      <c r="EE210" s="397"/>
      <c r="EF210" s="397"/>
      <c r="EG210" s="397"/>
      <c r="EH210" s="397"/>
      <c r="EI210" s="397"/>
      <c r="EJ210" s="397"/>
      <c r="EK210" s="397"/>
      <c r="EL210" s="397"/>
      <c r="EM210" s="397"/>
      <c r="EN210" s="397"/>
      <c r="EO210" s="397"/>
      <c r="EP210" s="397"/>
      <c r="EQ210" s="397"/>
      <c r="ER210" s="397"/>
      <c r="ES210" s="397"/>
      <c r="ET210" s="397"/>
      <c r="EU210" s="397"/>
      <c r="EV210" s="397"/>
      <c r="EW210" s="397"/>
      <c r="EX210" s="397"/>
      <c r="EY210" s="397"/>
      <c r="EZ210" s="397"/>
      <c r="FA210" s="397"/>
      <c r="FB210" s="397"/>
      <c r="FC210" s="397"/>
      <c r="FD210" s="397"/>
      <c r="FE210" s="397"/>
      <c r="FF210" s="397"/>
      <c r="FG210" s="397"/>
      <c r="FH210" s="397"/>
      <c r="FI210" s="397"/>
      <c r="FJ210" s="397"/>
      <c r="FK210" s="397"/>
      <c r="FL210" s="397"/>
      <c r="FM210" s="397"/>
      <c r="FN210" s="397"/>
      <c r="FO210" s="397"/>
      <c r="FP210" s="397"/>
      <c r="FQ210" s="397"/>
      <c r="FR210" s="397"/>
      <c r="FS210" s="397"/>
      <c r="FT210" s="397"/>
      <c r="FU210" s="397"/>
      <c r="FV210" s="397"/>
      <c r="FW210" s="397"/>
      <c r="FX210" s="397"/>
      <c r="FY210" s="397"/>
      <c r="FZ210" s="397"/>
      <c r="GA210" s="397"/>
      <c r="GB210" s="397"/>
      <c r="GC210" s="397"/>
      <c r="GD210" s="397"/>
      <c r="GE210" s="397"/>
      <c r="GF210" s="397"/>
      <c r="GG210" s="397"/>
      <c r="GH210" s="397"/>
      <c r="GI210" s="397"/>
      <c r="GJ210" s="397"/>
      <c r="GK210" s="397"/>
      <c r="GL210" s="397"/>
      <c r="GM210" s="397"/>
      <c r="GN210" s="397"/>
      <c r="GO210" s="397"/>
      <c r="GP210" s="397"/>
      <c r="GQ210" s="397"/>
      <c r="GR210" s="397"/>
      <c r="GS210" s="397"/>
      <c r="GT210" s="397"/>
      <c r="GU210" s="397"/>
      <c r="GV210" s="397"/>
      <c r="GW210" s="397"/>
      <c r="GX210" s="397"/>
      <c r="GY210" s="397"/>
      <c r="GZ210" s="397"/>
      <c r="HA210" s="397"/>
      <c r="HB210" s="397"/>
      <c r="HC210" s="397"/>
      <c r="HD210" s="397"/>
      <c r="HE210" s="397"/>
      <c r="HF210" s="397"/>
      <c r="HG210" s="397"/>
      <c r="HH210" s="397"/>
      <c r="HI210" s="397"/>
      <c r="HJ210" s="397"/>
      <c r="HK210" s="397"/>
      <c r="HL210" s="397"/>
      <c r="HM210" s="397"/>
      <c r="HN210" s="397"/>
      <c r="HO210" s="397"/>
      <c r="HP210" s="397"/>
      <c r="HQ210" s="397"/>
      <c r="HR210" s="397"/>
      <c r="HS210" s="397"/>
      <c r="HT210" s="397"/>
      <c r="HU210" s="397"/>
      <c r="HV210" s="397"/>
      <c r="HW210" s="397"/>
      <c r="HX210" s="397"/>
      <c r="HY210" s="397"/>
      <c r="HZ210" s="397"/>
      <c r="IA210" s="397"/>
      <c r="IB210" s="397"/>
      <c r="IC210" s="397"/>
      <c r="ID210" s="397"/>
      <c r="IE210" s="397"/>
      <c r="IF210" s="397"/>
      <c r="IG210" s="397"/>
      <c r="IH210" s="397"/>
      <c r="II210" s="397"/>
      <c r="IJ210" s="397"/>
      <c r="IK210" s="397"/>
      <c r="IL210" s="397"/>
      <c r="IM210" s="397"/>
      <c r="IN210" s="397"/>
      <c r="IO210" s="397"/>
      <c r="IP210" s="397"/>
      <c r="IQ210" s="397"/>
      <c r="IR210" s="397"/>
    </row>
    <row r="211" spans="2:252" s="183" customFormat="1" ht="25.15" customHeight="1" x14ac:dyDescent="0.25">
      <c r="B211" s="85">
        <v>39873</v>
      </c>
      <c r="C211" s="184">
        <v>327387.50639064005</v>
      </c>
      <c r="D211" s="184">
        <f>NetWorth[[#This Row],[Worth]]-C212</f>
        <v>0</v>
      </c>
      <c r="E211" s="1"/>
      <c r="V211" s="397"/>
      <c r="W211" s="397"/>
      <c r="X211" s="397"/>
      <c r="Y211" s="397"/>
      <c r="Z211" s="397"/>
      <c r="AA211" s="397"/>
      <c r="AB211" s="397"/>
      <c r="AC211" s="397"/>
      <c r="AD211" s="397"/>
      <c r="AE211" s="397"/>
      <c r="AF211" s="397"/>
      <c r="AG211" s="397"/>
      <c r="AH211" s="397"/>
      <c r="AI211" s="397"/>
      <c r="AJ211" s="397"/>
      <c r="AK211" s="397"/>
      <c r="AL211" s="397"/>
      <c r="AM211" s="397"/>
      <c r="AN211" s="397"/>
      <c r="AO211" s="397"/>
      <c r="AP211" s="397"/>
      <c r="AQ211" s="397"/>
      <c r="AR211" s="397"/>
      <c r="AS211" s="397"/>
      <c r="AT211" s="397"/>
      <c r="AU211" s="397"/>
      <c r="AV211" s="397"/>
      <c r="AW211" s="397"/>
      <c r="AX211" s="397"/>
      <c r="AY211" s="397"/>
      <c r="AZ211" s="397"/>
      <c r="BA211" s="397"/>
      <c r="BB211" s="397"/>
      <c r="BC211" s="397"/>
      <c r="BD211" s="397"/>
      <c r="BE211" s="397"/>
      <c r="BF211" s="397"/>
      <c r="BG211" s="397"/>
      <c r="BH211" s="397"/>
      <c r="BI211" s="397"/>
      <c r="BJ211" s="397"/>
      <c r="BK211" s="397"/>
      <c r="BL211" s="397"/>
      <c r="BM211" s="397"/>
      <c r="BN211" s="397"/>
      <c r="BO211" s="397"/>
      <c r="BP211" s="397"/>
      <c r="BQ211" s="397"/>
      <c r="BR211" s="397"/>
      <c r="BS211" s="397"/>
      <c r="BT211" s="397"/>
      <c r="BU211" s="397"/>
      <c r="BV211" s="397"/>
      <c r="BW211" s="397"/>
      <c r="BX211" s="397"/>
      <c r="BY211" s="397"/>
      <c r="BZ211" s="397"/>
      <c r="CA211" s="397"/>
      <c r="CB211" s="397"/>
      <c r="CC211" s="397"/>
      <c r="CD211" s="397"/>
      <c r="CE211" s="397"/>
      <c r="CF211" s="397"/>
      <c r="CG211" s="397"/>
      <c r="CH211" s="397"/>
      <c r="CI211" s="397"/>
      <c r="CJ211" s="397"/>
      <c r="CK211" s="397"/>
      <c r="CL211" s="397"/>
      <c r="CM211" s="397"/>
      <c r="CN211" s="397"/>
      <c r="CO211" s="397"/>
      <c r="CP211" s="397"/>
      <c r="CQ211" s="397"/>
      <c r="CR211" s="397"/>
      <c r="CS211" s="397"/>
      <c r="CT211" s="397"/>
      <c r="CU211" s="397"/>
      <c r="CV211" s="397"/>
      <c r="CW211" s="397"/>
      <c r="CX211" s="397"/>
      <c r="CY211" s="397"/>
      <c r="CZ211" s="397"/>
      <c r="DA211" s="397"/>
      <c r="DB211" s="397"/>
      <c r="DC211" s="397"/>
      <c r="DD211" s="397"/>
      <c r="DE211" s="397"/>
      <c r="DF211" s="397"/>
      <c r="DG211" s="397"/>
      <c r="DH211" s="397"/>
      <c r="DI211" s="397"/>
      <c r="DJ211" s="397"/>
      <c r="DK211" s="397"/>
      <c r="DL211" s="397"/>
      <c r="DM211" s="397"/>
      <c r="DN211" s="397"/>
      <c r="DO211" s="397"/>
      <c r="DP211" s="397"/>
      <c r="DQ211" s="397"/>
      <c r="DR211" s="397"/>
      <c r="DS211" s="397"/>
      <c r="DT211" s="397"/>
      <c r="DU211" s="397"/>
      <c r="DV211" s="397"/>
      <c r="DW211" s="397"/>
      <c r="DX211" s="397"/>
      <c r="DY211" s="397"/>
      <c r="DZ211" s="397"/>
      <c r="EA211" s="397"/>
      <c r="EB211" s="397"/>
      <c r="EC211" s="397"/>
      <c r="ED211" s="397"/>
      <c r="EE211" s="397"/>
      <c r="EF211" s="397"/>
      <c r="EG211" s="397"/>
      <c r="EH211" s="397"/>
      <c r="EI211" s="397"/>
      <c r="EJ211" s="397"/>
      <c r="EK211" s="397"/>
      <c r="EL211" s="397"/>
      <c r="EM211" s="397"/>
      <c r="EN211" s="397"/>
      <c r="EO211" s="397"/>
      <c r="EP211" s="397"/>
      <c r="EQ211" s="397"/>
      <c r="ER211" s="397"/>
      <c r="ES211" s="397"/>
      <c r="ET211" s="397"/>
      <c r="EU211" s="397"/>
      <c r="EV211" s="397"/>
      <c r="EW211" s="397"/>
      <c r="EX211" s="397"/>
      <c r="EY211" s="397"/>
      <c r="EZ211" s="397"/>
      <c r="FA211" s="397"/>
      <c r="FB211" s="397"/>
      <c r="FC211" s="397"/>
      <c r="FD211" s="397"/>
      <c r="FE211" s="397"/>
      <c r="FF211" s="397"/>
      <c r="FG211" s="397"/>
      <c r="FH211" s="397"/>
      <c r="FI211" s="397"/>
      <c r="FJ211" s="397"/>
      <c r="FK211" s="397"/>
      <c r="FL211" s="397"/>
      <c r="FM211" s="397"/>
      <c r="FN211" s="397"/>
      <c r="FO211" s="397"/>
      <c r="FP211" s="397"/>
      <c r="FQ211" s="397"/>
      <c r="FR211" s="397"/>
      <c r="FS211" s="397"/>
      <c r="FT211" s="397"/>
      <c r="FU211" s="397"/>
      <c r="FV211" s="397"/>
      <c r="FW211" s="397"/>
      <c r="FX211" s="397"/>
      <c r="FY211" s="397"/>
      <c r="FZ211" s="397"/>
      <c r="GA211" s="397"/>
      <c r="GB211" s="397"/>
      <c r="GC211" s="397"/>
      <c r="GD211" s="397"/>
      <c r="GE211" s="397"/>
      <c r="GF211" s="397"/>
      <c r="GG211" s="397"/>
      <c r="GH211" s="397"/>
      <c r="GI211" s="397"/>
      <c r="GJ211" s="397"/>
      <c r="GK211" s="397"/>
      <c r="GL211" s="397"/>
      <c r="GM211" s="397"/>
      <c r="GN211" s="397"/>
      <c r="GO211" s="397"/>
      <c r="GP211" s="397"/>
      <c r="GQ211" s="397"/>
      <c r="GR211" s="397"/>
      <c r="GS211" s="397"/>
      <c r="GT211" s="397"/>
      <c r="GU211" s="397"/>
      <c r="GV211" s="397"/>
      <c r="GW211" s="397"/>
      <c r="GX211" s="397"/>
      <c r="GY211" s="397"/>
      <c r="GZ211" s="397"/>
      <c r="HA211" s="397"/>
      <c r="HB211" s="397"/>
      <c r="HC211" s="397"/>
      <c r="HD211" s="397"/>
      <c r="HE211" s="397"/>
      <c r="HF211" s="397"/>
      <c r="HG211" s="397"/>
      <c r="HH211" s="397"/>
      <c r="HI211" s="397"/>
      <c r="HJ211" s="397"/>
      <c r="HK211" s="397"/>
      <c r="HL211" s="397"/>
      <c r="HM211" s="397"/>
      <c r="HN211" s="397"/>
      <c r="HO211" s="397"/>
      <c r="HP211" s="397"/>
      <c r="HQ211" s="397"/>
      <c r="HR211" s="397"/>
      <c r="HS211" s="397"/>
      <c r="HT211" s="397"/>
      <c r="HU211" s="397"/>
      <c r="HV211" s="397"/>
      <c r="HW211" s="397"/>
      <c r="HX211" s="397"/>
      <c r="HY211" s="397"/>
      <c r="HZ211" s="397"/>
      <c r="IA211" s="397"/>
      <c r="IB211" s="397"/>
      <c r="IC211" s="397"/>
      <c r="ID211" s="397"/>
      <c r="IE211" s="397"/>
      <c r="IF211" s="397"/>
      <c r="IG211" s="397"/>
      <c r="IH211" s="397"/>
      <c r="II211" s="397"/>
      <c r="IJ211" s="397"/>
      <c r="IK211" s="397"/>
      <c r="IL211" s="397"/>
      <c r="IM211" s="397"/>
      <c r="IN211" s="397"/>
      <c r="IO211" s="397"/>
      <c r="IP211" s="397"/>
      <c r="IQ211" s="397"/>
      <c r="IR211" s="397"/>
    </row>
    <row r="212" spans="2:252" s="183" customFormat="1" ht="25.15" customHeight="1" x14ac:dyDescent="0.25">
      <c r="B212" s="85">
        <v>39845</v>
      </c>
      <c r="C212" s="184">
        <v>327387.50639064005</v>
      </c>
      <c r="D212" s="184">
        <f>NetWorth[[#This Row],[Worth]]-C213</f>
        <v>0</v>
      </c>
      <c r="E212" s="1"/>
      <c r="V212" s="397"/>
      <c r="W212" s="397"/>
      <c r="X212" s="397"/>
      <c r="Y212" s="397"/>
      <c r="Z212" s="397"/>
      <c r="AA212" s="397"/>
      <c r="AB212" s="397"/>
      <c r="AC212" s="397"/>
      <c r="AD212" s="397"/>
      <c r="AE212" s="397"/>
      <c r="AF212" s="397"/>
      <c r="AG212" s="397"/>
      <c r="AH212" s="397"/>
      <c r="AI212" s="397"/>
      <c r="AJ212" s="397"/>
      <c r="AK212" s="397"/>
      <c r="AL212" s="397"/>
      <c r="AM212" s="397"/>
      <c r="AN212" s="397"/>
      <c r="AO212" s="397"/>
      <c r="AP212" s="397"/>
      <c r="AQ212" s="397"/>
      <c r="AR212" s="397"/>
      <c r="AS212" s="397"/>
      <c r="AT212" s="397"/>
      <c r="AU212" s="397"/>
      <c r="AV212" s="397"/>
      <c r="AW212" s="397"/>
      <c r="AX212" s="397"/>
      <c r="AY212" s="397"/>
      <c r="AZ212" s="397"/>
      <c r="BA212" s="397"/>
      <c r="BB212" s="397"/>
      <c r="BC212" s="397"/>
      <c r="BD212" s="397"/>
      <c r="BE212" s="397"/>
      <c r="BF212" s="397"/>
      <c r="BG212" s="397"/>
      <c r="BH212" s="397"/>
      <c r="BI212" s="397"/>
      <c r="BJ212" s="397"/>
      <c r="BK212" s="397"/>
      <c r="BL212" s="397"/>
      <c r="BM212" s="397"/>
      <c r="BN212" s="397"/>
      <c r="BO212" s="397"/>
      <c r="BP212" s="397"/>
      <c r="BQ212" s="397"/>
      <c r="BR212" s="397"/>
      <c r="BS212" s="397"/>
      <c r="BT212" s="397"/>
      <c r="BU212" s="397"/>
      <c r="BV212" s="397"/>
      <c r="BW212" s="397"/>
      <c r="BX212" s="397"/>
      <c r="BY212" s="397"/>
      <c r="BZ212" s="397"/>
      <c r="CA212" s="397"/>
      <c r="CB212" s="397"/>
      <c r="CC212" s="397"/>
      <c r="CD212" s="397"/>
      <c r="CE212" s="397"/>
      <c r="CF212" s="397"/>
      <c r="CG212" s="397"/>
      <c r="CH212" s="397"/>
      <c r="CI212" s="397"/>
      <c r="CJ212" s="397"/>
      <c r="CK212" s="397"/>
      <c r="CL212" s="397"/>
      <c r="CM212" s="397"/>
      <c r="CN212" s="397"/>
      <c r="CO212" s="397"/>
      <c r="CP212" s="397"/>
      <c r="CQ212" s="397"/>
      <c r="CR212" s="397"/>
      <c r="CS212" s="397"/>
      <c r="CT212" s="397"/>
      <c r="CU212" s="397"/>
      <c r="CV212" s="397"/>
      <c r="CW212" s="397"/>
      <c r="CX212" s="397"/>
      <c r="CY212" s="397"/>
      <c r="CZ212" s="397"/>
      <c r="DA212" s="397"/>
      <c r="DB212" s="397"/>
      <c r="DC212" s="397"/>
      <c r="DD212" s="397"/>
      <c r="DE212" s="397"/>
      <c r="DF212" s="397"/>
      <c r="DG212" s="397"/>
      <c r="DH212" s="397"/>
      <c r="DI212" s="397"/>
      <c r="DJ212" s="397"/>
      <c r="DK212" s="397"/>
      <c r="DL212" s="397"/>
      <c r="DM212" s="397"/>
      <c r="DN212" s="397"/>
      <c r="DO212" s="397"/>
      <c r="DP212" s="397"/>
      <c r="DQ212" s="397"/>
      <c r="DR212" s="397"/>
      <c r="DS212" s="397"/>
      <c r="DT212" s="397"/>
      <c r="DU212" s="397"/>
      <c r="DV212" s="397"/>
      <c r="DW212" s="397"/>
      <c r="DX212" s="397"/>
      <c r="DY212" s="397"/>
      <c r="DZ212" s="397"/>
      <c r="EA212" s="397"/>
      <c r="EB212" s="397"/>
      <c r="EC212" s="397"/>
      <c r="ED212" s="397"/>
      <c r="EE212" s="397"/>
      <c r="EF212" s="397"/>
      <c r="EG212" s="397"/>
      <c r="EH212" s="397"/>
      <c r="EI212" s="397"/>
      <c r="EJ212" s="397"/>
      <c r="EK212" s="397"/>
      <c r="EL212" s="397"/>
      <c r="EM212" s="397"/>
      <c r="EN212" s="397"/>
      <c r="EO212" s="397"/>
      <c r="EP212" s="397"/>
      <c r="EQ212" s="397"/>
      <c r="ER212" s="397"/>
      <c r="ES212" s="397"/>
      <c r="ET212" s="397"/>
      <c r="EU212" s="397"/>
      <c r="EV212" s="397"/>
      <c r="EW212" s="397"/>
      <c r="EX212" s="397"/>
      <c r="EY212" s="397"/>
      <c r="EZ212" s="397"/>
      <c r="FA212" s="397"/>
      <c r="FB212" s="397"/>
      <c r="FC212" s="397"/>
      <c r="FD212" s="397"/>
      <c r="FE212" s="397"/>
      <c r="FF212" s="397"/>
      <c r="FG212" s="397"/>
      <c r="FH212" s="397"/>
      <c r="FI212" s="397"/>
      <c r="FJ212" s="397"/>
      <c r="FK212" s="397"/>
      <c r="FL212" s="397"/>
      <c r="FM212" s="397"/>
      <c r="FN212" s="397"/>
      <c r="FO212" s="397"/>
      <c r="FP212" s="397"/>
      <c r="FQ212" s="397"/>
      <c r="FR212" s="397"/>
      <c r="FS212" s="397"/>
      <c r="FT212" s="397"/>
      <c r="FU212" s="397"/>
      <c r="FV212" s="397"/>
      <c r="FW212" s="397"/>
      <c r="FX212" s="397"/>
      <c r="FY212" s="397"/>
      <c r="FZ212" s="397"/>
      <c r="GA212" s="397"/>
      <c r="GB212" s="397"/>
      <c r="GC212" s="397"/>
      <c r="GD212" s="397"/>
      <c r="GE212" s="397"/>
      <c r="GF212" s="397"/>
      <c r="GG212" s="397"/>
      <c r="GH212" s="397"/>
      <c r="GI212" s="397"/>
      <c r="GJ212" s="397"/>
      <c r="GK212" s="397"/>
      <c r="GL212" s="397"/>
      <c r="GM212" s="397"/>
      <c r="GN212" s="397"/>
      <c r="GO212" s="397"/>
      <c r="GP212" s="397"/>
      <c r="GQ212" s="397"/>
      <c r="GR212" s="397"/>
      <c r="GS212" s="397"/>
      <c r="GT212" s="397"/>
      <c r="GU212" s="397"/>
      <c r="GV212" s="397"/>
      <c r="GW212" s="397"/>
      <c r="GX212" s="397"/>
      <c r="GY212" s="397"/>
      <c r="GZ212" s="397"/>
      <c r="HA212" s="397"/>
      <c r="HB212" s="397"/>
      <c r="HC212" s="397"/>
      <c r="HD212" s="397"/>
      <c r="HE212" s="397"/>
      <c r="HF212" s="397"/>
      <c r="HG212" s="397"/>
      <c r="HH212" s="397"/>
      <c r="HI212" s="397"/>
      <c r="HJ212" s="397"/>
      <c r="HK212" s="397"/>
      <c r="HL212" s="397"/>
      <c r="HM212" s="397"/>
      <c r="HN212" s="397"/>
      <c r="HO212" s="397"/>
      <c r="HP212" s="397"/>
      <c r="HQ212" s="397"/>
      <c r="HR212" s="397"/>
      <c r="HS212" s="397"/>
      <c r="HT212" s="397"/>
      <c r="HU212" s="397"/>
      <c r="HV212" s="397"/>
      <c r="HW212" s="397"/>
      <c r="HX212" s="397"/>
      <c r="HY212" s="397"/>
      <c r="HZ212" s="397"/>
      <c r="IA212" s="397"/>
      <c r="IB212" s="397"/>
      <c r="IC212" s="397"/>
      <c r="ID212" s="397"/>
      <c r="IE212" s="397"/>
      <c r="IF212" s="397"/>
      <c r="IG212" s="397"/>
      <c r="IH212" s="397"/>
      <c r="II212" s="397"/>
      <c r="IJ212" s="397"/>
      <c r="IK212" s="397"/>
      <c r="IL212" s="397"/>
      <c r="IM212" s="397"/>
      <c r="IN212" s="397"/>
      <c r="IO212" s="397"/>
      <c r="IP212" s="397"/>
      <c r="IQ212" s="397"/>
      <c r="IR212" s="397"/>
    </row>
    <row r="213" spans="2:252" s="183" customFormat="1" ht="25.15" customHeight="1" x14ac:dyDescent="0.25">
      <c r="B213" s="85">
        <v>39814</v>
      </c>
      <c r="C213" s="184">
        <v>327387.50639064005</v>
      </c>
      <c r="D213" s="184">
        <f>NetWorth[[#This Row],[Worth]]-C214</f>
        <v>0</v>
      </c>
      <c r="E213" s="1"/>
      <c r="V213" s="397"/>
      <c r="W213" s="397"/>
      <c r="X213" s="397"/>
      <c r="Y213" s="397"/>
      <c r="Z213" s="397"/>
      <c r="AA213" s="397"/>
      <c r="AB213" s="397"/>
      <c r="AC213" s="397"/>
      <c r="AD213" s="397"/>
      <c r="AE213" s="397"/>
      <c r="AF213" s="397"/>
      <c r="AG213" s="397"/>
      <c r="AH213" s="397"/>
      <c r="AI213" s="397"/>
      <c r="AJ213" s="397"/>
      <c r="AK213" s="397"/>
      <c r="AL213" s="397"/>
      <c r="AM213" s="397"/>
      <c r="AN213" s="397"/>
      <c r="AO213" s="397"/>
      <c r="AP213" s="397"/>
      <c r="AQ213" s="397"/>
      <c r="AR213" s="397"/>
      <c r="AS213" s="397"/>
      <c r="AT213" s="397"/>
      <c r="AU213" s="397"/>
      <c r="AV213" s="397"/>
      <c r="AW213" s="397"/>
      <c r="AX213" s="397"/>
      <c r="AY213" s="397"/>
      <c r="AZ213" s="397"/>
      <c r="BA213" s="397"/>
      <c r="BB213" s="397"/>
      <c r="BC213" s="397"/>
      <c r="BD213" s="397"/>
      <c r="BE213" s="397"/>
      <c r="BF213" s="397"/>
      <c r="BG213" s="397"/>
      <c r="BH213" s="397"/>
      <c r="BI213" s="397"/>
      <c r="BJ213" s="397"/>
      <c r="BK213" s="397"/>
      <c r="BL213" s="397"/>
      <c r="BM213" s="397"/>
      <c r="BN213" s="397"/>
      <c r="BO213" s="397"/>
      <c r="BP213" s="397"/>
      <c r="BQ213" s="397"/>
      <c r="BR213" s="397"/>
      <c r="BS213" s="397"/>
      <c r="BT213" s="397"/>
      <c r="BU213" s="397"/>
      <c r="BV213" s="397"/>
      <c r="BW213" s="397"/>
      <c r="BX213" s="397"/>
      <c r="BY213" s="397"/>
      <c r="BZ213" s="397"/>
      <c r="CA213" s="397"/>
      <c r="CB213" s="397"/>
      <c r="CC213" s="397"/>
      <c r="CD213" s="397"/>
      <c r="CE213" s="397"/>
      <c r="CF213" s="397"/>
      <c r="CG213" s="397"/>
      <c r="CH213" s="397"/>
      <c r="CI213" s="397"/>
      <c r="CJ213" s="397"/>
      <c r="CK213" s="397"/>
      <c r="CL213" s="397"/>
      <c r="CM213" s="397"/>
      <c r="CN213" s="397"/>
      <c r="CO213" s="397"/>
      <c r="CP213" s="397"/>
      <c r="CQ213" s="397"/>
      <c r="CR213" s="397"/>
      <c r="CS213" s="397"/>
      <c r="CT213" s="397"/>
      <c r="CU213" s="397"/>
      <c r="CV213" s="397"/>
      <c r="CW213" s="397"/>
      <c r="CX213" s="397"/>
      <c r="CY213" s="397"/>
      <c r="CZ213" s="397"/>
      <c r="DA213" s="397"/>
      <c r="DB213" s="397"/>
      <c r="DC213" s="397"/>
      <c r="DD213" s="397"/>
      <c r="DE213" s="397"/>
      <c r="DF213" s="397"/>
      <c r="DG213" s="397"/>
      <c r="DH213" s="397"/>
      <c r="DI213" s="397"/>
      <c r="DJ213" s="397"/>
      <c r="DK213" s="397"/>
      <c r="DL213" s="397"/>
      <c r="DM213" s="397"/>
      <c r="DN213" s="397"/>
      <c r="DO213" s="397"/>
      <c r="DP213" s="397"/>
      <c r="DQ213" s="397"/>
      <c r="DR213" s="397"/>
      <c r="DS213" s="397"/>
      <c r="DT213" s="397"/>
      <c r="DU213" s="397"/>
      <c r="DV213" s="397"/>
      <c r="DW213" s="397"/>
      <c r="DX213" s="397"/>
      <c r="DY213" s="397"/>
      <c r="DZ213" s="397"/>
      <c r="EA213" s="397"/>
      <c r="EB213" s="397"/>
      <c r="EC213" s="397"/>
      <c r="ED213" s="397"/>
      <c r="EE213" s="397"/>
      <c r="EF213" s="397"/>
      <c r="EG213" s="397"/>
      <c r="EH213" s="397"/>
      <c r="EI213" s="397"/>
      <c r="EJ213" s="397"/>
      <c r="EK213" s="397"/>
      <c r="EL213" s="397"/>
      <c r="EM213" s="397"/>
      <c r="EN213" s="397"/>
      <c r="EO213" s="397"/>
      <c r="EP213" s="397"/>
      <c r="EQ213" s="397"/>
      <c r="ER213" s="397"/>
      <c r="ES213" s="397"/>
      <c r="ET213" s="397"/>
      <c r="EU213" s="397"/>
      <c r="EV213" s="397"/>
      <c r="EW213" s="397"/>
      <c r="EX213" s="397"/>
      <c r="EY213" s="397"/>
      <c r="EZ213" s="397"/>
      <c r="FA213" s="397"/>
      <c r="FB213" s="397"/>
      <c r="FC213" s="397"/>
      <c r="FD213" s="397"/>
      <c r="FE213" s="397"/>
      <c r="FF213" s="397"/>
      <c r="FG213" s="397"/>
      <c r="FH213" s="397"/>
      <c r="FI213" s="397"/>
      <c r="FJ213" s="397"/>
      <c r="FK213" s="397"/>
      <c r="FL213" s="397"/>
      <c r="FM213" s="397"/>
      <c r="FN213" s="397"/>
      <c r="FO213" s="397"/>
      <c r="FP213" s="397"/>
      <c r="FQ213" s="397"/>
      <c r="FR213" s="397"/>
      <c r="FS213" s="397"/>
      <c r="FT213" s="397"/>
      <c r="FU213" s="397"/>
      <c r="FV213" s="397"/>
      <c r="FW213" s="397"/>
      <c r="FX213" s="397"/>
      <c r="FY213" s="397"/>
      <c r="FZ213" s="397"/>
      <c r="GA213" s="397"/>
      <c r="GB213" s="397"/>
      <c r="GC213" s="397"/>
      <c r="GD213" s="397"/>
      <c r="GE213" s="397"/>
      <c r="GF213" s="397"/>
      <c r="GG213" s="397"/>
      <c r="GH213" s="397"/>
      <c r="GI213" s="397"/>
      <c r="GJ213" s="397"/>
      <c r="GK213" s="397"/>
      <c r="GL213" s="397"/>
      <c r="GM213" s="397"/>
      <c r="GN213" s="397"/>
      <c r="GO213" s="397"/>
      <c r="GP213" s="397"/>
      <c r="GQ213" s="397"/>
      <c r="GR213" s="397"/>
      <c r="GS213" s="397"/>
      <c r="GT213" s="397"/>
      <c r="GU213" s="397"/>
      <c r="GV213" s="397"/>
      <c r="GW213" s="397"/>
      <c r="GX213" s="397"/>
      <c r="GY213" s="397"/>
      <c r="GZ213" s="397"/>
      <c r="HA213" s="397"/>
      <c r="HB213" s="397"/>
      <c r="HC213" s="397"/>
      <c r="HD213" s="397"/>
      <c r="HE213" s="397"/>
      <c r="HF213" s="397"/>
      <c r="HG213" s="397"/>
      <c r="HH213" s="397"/>
      <c r="HI213" s="397"/>
      <c r="HJ213" s="397"/>
      <c r="HK213" s="397"/>
      <c r="HL213" s="397"/>
      <c r="HM213" s="397"/>
      <c r="HN213" s="397"/>
      <c r="HO213" s="397"/>
      <c r="HP213" s="397"/>
      <c r="HQ213" s="397"/>
      <c r="HR213" s="397"/>
      <c r="HS213" s="397"/>
      <c r="HT213" s="397"/>
      <c r="HU213" s="397"/>
      <c r="HV213" s="397"/>
      <c r="HW213" s="397"/>
      <c r="HX213" s="397"/>
      <c r="HY213" s="397"/>
      <c r="HZ213" s="397"/>
      <c r="IA213" s="397"/>
      <c r="IB213" s="397"/>
      <c r="IC213" s="397"/>
      <c r="ID213" s="397"/>
      <c r="IE213" s="397"/>
      <c r="IF213" s="397"/>
      <c r="IG213" s="397"/>
      <c r="IH213" s="397"/>
      <c r="II213" s="397"/>
      <c r="IJ213" s="397"/>
      <c r="IK213" s="397"/>
      <c r="IL213" s="397"/>
      <c r="IM213" s="397"/>
      <c r="IN213" s="397"/>
      <c r="IO213" s="397"/>
      <c r="IP213" s="397"/>
      <c r="IQ213" s="397"/>
      <c r="IR213" s="397"/>
    </row>
    <row r="214" spans="2:252" s="183" customFormat="1" ht="25.15" customHeight="1" x14ac:dyDescent="0.25">
      <c r="B214" s="85">
        <v>39783</v>
      </c>
      <c r="C214" s="184">
        <v>327387.50639064005</v>
      </c>
      <c r="D214" s="184">
        <f>NetWorth[[#This Row],[Worth]]-C215</f>
        <v>0</v>
      </c>
      <c r="E214" s="1"/>
      <c r="V214" s="397"/>
      <c r="W214" s="397"/>
      <c r="X214" s="397"/>
      <c r="Y214" s="397"/>
      <c r="Z214" s="397"/>
      <c r="AA214" s="397"/>
      <c r="AB214" s="397"/>
      <c r="AC214" s="397"/>
      <c r="AD214" s="397"/>
      <c r="AE214" s="397"/>
      <c r="AF214" s="397"/>
      <c r="AG214" s="397"/>
      <c r="AH214" s="397"/>
      <c r="AI214" s="397"/>
      <c r="AJ214" s="397"/>
      <c r="AK214" s="397"/>
      <c r="AL214" s="397"/>
      <c r="AM214" s="397"/>
      <c r="AN214" s="397"/>
      <c r="AO214" s="397"/>
      <c r="AP214" s="397"/>
      <c r="AQ214" s="397"/>
      <c r="AR214" s="397"/>
      <c r="AS214" s="397"/>
      <c r="AT214" s="397"/>
      <c r="AU214" s="397"/>
      <c r="AV214" s="397"/>
      <c r="AW214" s="397"/>
      <c r="AX214" s="397"/>
      <c r="AY214" s="397"/>
      <c r="AZ214" s="397"/>
      <c r="BA214" s="397"/>
      <c r="BB214" s="397"/>
      <c r="BC214" s="397"/>
      <c r="BD214" s="397"/>
      <c r="BE214" s="397"/>
      <c r="BF214" s="397"/>
      <c r="BG214" s="397"/>
      <c r="BH214" s="397"/>
      <c r="BI214" s="397"/>
      <c r="BJ214" s="397"/>
      <c r="BK214" s="397"/>
      <c r="BL214" s="397"/>
      <c r="BM214" s="397"/>
      <c r="BN214" s="397"/>
      <c r="BO214" s="397"/>
      <c r="BP214" s="397"/>
      <c r="BQ214" s="397"/>
      <c r="BR214" s="397"/>
      <c r="BS214" s="397"/>
      <c r="BT214" s="397"/>
      <c r="BU214" s="397"/>
      <c r="BV214" s="397"/>
      <c r="BW214" s="397"/>
      <c r="BX214" s="397"/>
      <c r="BY214" s="397"/>
      <c r="BZ214" s="397"/>
      <c r="CA214" s="397"/>
      <c r="CB214" s="397"/>
      <c r="CC214" s="397"/>
      <c r="CD214" s="397"/>
      <c r="CE214" s="397"/>
      <c r="CF214" s="397"/>
      <c r="CG214" s="397"/>
      <c r="CH214" s="397"/>
      <c r="CI214" s="397"/>
      <c r="CJ214" s="397"/>
      <c r="CK214" s="397"/>
      <c r="CL214" s="397"/>
      <c r="CM214" s="397"/>
      <c r="CN214" s="397"/>
      <c r="CO214" s="397"/>
      <c r="CP214" s="397"/>
      <c r="CQ214" s="397"/>
      <c r="CR214" s="397"/>
      <c r="CS214" s="397"/>
      <c r="CT214" s="397"/>
      <c r="CU214" s="397"/>
      <c r="CV214" s="397"/>
      <c r="CW214" s="397"/>
      <c r="CX214" s="397"/>
      <c r="CY214" s="397"/>
      <c r="CZ214" s="397"/>
      <c r="DA214" s="397"/>
      <c r="DB214" s="397"/>
      <c r="DC214" s="397"/>
      <c r="DD214" s="397"/>
      <c r="DE214" s="397"/>
      <c r="DF214" s="397"/>
      <c r="DG214" s="397"/>
      <c r="DH214" s="397"/>
      <c r="DI214" s="397"/>
      <c r="DJ214" s="397"/>
      <c r="DK214" s="397"/>
      <c r="DL214" s="397"/>
      <c r="DM214" s="397"/>
      <c r="DN214" s="397"/>
      <c r="DO214" s="397"/>
      <c r="DP214" s="397"/>
      <c r="DQ214" s="397"/>
      <c r="DR214" s="397"/>
      <c r="DS214" s="397"/>
      <c r="DT214" s="397"/>
      <c r="DU214" s="397"/>
      <c r="DV214" s="397"/>
      <c r="DW214" s="397"/>
      <c r="DX214" s="397"/>
      <c r="DY214" s="397"/>
      <c r="DZ214" s="397"/>
      <c r="EA214" s="397"/>
      <c r="EB214" s="397"/>
      <c r="EC214" s="397"/>
      <c r="ED214" s="397"/>
      <c r="EE214" s="397"/>
      <c r="EF214" s="397"/>
      <c r="EG214" s="397"/>
      <c r="EH214" s="397"/>
      <c r="EI214" s="397"/>
      <c r="EJ214" s="397"/>
      <c r="EK214" s="397"/>
      <c r="EL214" s="397"/>
      <c r="EM214" s="397"/>
      <c r="EN214" s="397"/>
      <c r="EO214" s="397"/>
      <c r="EP214" s="397"/>
      <c r="EQ214" s="397"/>
      <c r="ER214" s="397"/>
      <c r="ES214" s="397"/>
      <c r="ET214" s="397"/>
      <c r="EU214" s="397"/>
      <c r="EV214" s="397"/>
      <c r="EW214" s="397"/>
      <c r="EX214" s="397"/>
      <c r="EY214" s="397"/>
      <c r="EZ214" s="397"/>
      <c r="FA214" s="397"/>
      <c r="FB214" s="397"/>
      <c r="FC214" s="397"/>
      <c r="FD214" s="397"/>
      <c r="FE214" s="397"/>
      <c r="FF214" s="397"/>
      <c r="FG214" s="397"/>
      <c r="FH214" s="397"/>
      <c r="FI214" s="397"/>
      <c r="FJ214" s="397"/>
      <c r="FK214" s="397"/>
      <c r="FL214" s="397"/>
      <c r="FM214" s="397"/>
      <c r="FN214" s="397"/>
      <c r="FO214" s="397"/>
      <c r="FP214" s="397"/>
      <c r="FQ214" s="397"/>
      <c r="FR214" s="397"/>
      <c r="FS214" s="397"/>
      <c r="FT214" s="397"/>
      <c r="FU214" s="397"/>
      <c r="FV214" s="397"/>
      <c r="FW214" s="397"/>
      <c r="FX214" s="397"/>
      <c r="FY214" s="397"/>
      <c r="FZ214" s="397"/>
      <c r="GA214" s="397"/>
      <c r="GB214" s="397"/>
      <c r="GC214" s="397"/>
      <c r="GD214" s="397"/>
      <c r="GE214" s="397"/>
      <c r="GF214" s="397"/>
      <c r="GG214" s="397"/>
      <c r="GH214" s="397"/>
      <c r="GI214" s="397"/>
      <c r="GJ214" s="397"/>
      <c r="GK214" s="397"/>
      <c r="GL214" s="397"/>
      <c r="GM214" s="397"/>
      <c r="GN214" s="397"/>
      <c r="GO214" s="397"/>
      <c r="GP214" s="397"/>
      <c r="GQ214" s="397"/>
      <c r="GR214" s="397"/>
      <c r="GS214" s="397"/>
      <c r="GT214" s="397"/>
      <c r="GU214" s="397"/>
      <c r="GV214" s="397"/>
      <c r="GW214" s="397"/>
      <c r="GX214" s="397"/>
      <c r="GY214" s="397"/>
      <c r="GZ214" s="397"/>
      <c r="HA214" s="397"/>
      <c r="HB214" s="397"/>
      <c r="HC214" s="397"/>
      <c r="HD214" s="397"/>
      <c r="HE214" s="397"/>
      <c r="HF214" s="397"/>
      <c r="HG214" s="397"/>
      <c r="HH214" s="397"/>
      <c r="HI214" s="397"/>
      <c r="HJ214" s="397"/>
      <c r="HK214" s="397"/>
      <c r="HL214" s="397"/>
      <c r="HM214" s="397"/>
      <c r="HN214" s="397"/>
      <c r="HO214" s="397"/>
      <c r="HP214" s="397"/>
      <c r="HQ214" s="397"/>
      <c r="HR214" s="397"/>
      <c r="HS214" s="397"/>
      <c r="HT214" s="397"/>
      <c r="HU214" s="397"/>
      <c r="HV214" s="397"/>
      <c r="HW214" s="397"/>
      <c r="HX214" s="397"/>
      <c r="HY214" s="397"/>
      <c r="HZ214" s="397"/>
      <c r="IA214" s="397"/>
      <c r="IB214" s="397"/>
      <c r="IC214" s="397"/>
      <c r="ID214" s="397"/>
      <c r="IE214" s="397"/>
      <c r="IF214" s="397"/>
      <c r="IG214" s="397"/>
      <c r="IH214" s="397"/>
      <c r="II214" s="397"/>
      <c r="IJ214" s="397"/>
      <c r="IK214" s="397"/>
      <c r="IL214" s="397"/>
      <c r="IM214" s="397"/>
      <c r="IN214" s="397"/>
      <c r="IO214" s="397"/>
      <c r="IP214" s="397"/>
      <c r="IQ214" s="397"/>
      <c r="IR214" s="397"/>
    </row>
    <row r="215" spans="2:252" s="183" customFormat="1" ht="25.15" customHeight="1" x14ac:dyDescent="0.25">
      <c r="B215" s="85">
        <v>39753</v>
      </c>
      <c r="C215" s="184">
        <v>327387.50639064005</v>
      </c>
      <c r="D215" s="184">
        <f>NetWorth[[#This Row],[Worth]]-C216</f>
        <v>0</v>
      </c>
      <c r="E215" s="1"/>
      <c r="V215" s="397"/>
      <c r="W215" s="397"/>
      <c r="X215" s="397"/>
      <c r="Y215" s="397"/>
      <c r="Z215" s="397"/>
      <c r="AA215" s="397"/>
      <c r="AB215" s="397"/>
      <c r="AC215" s="397"/>
      <c r="AD215" s="397"/>
      <c r="AE215" s="397"/>
      <c r="AF215" s="397"/>
      <c r="AG215" s="397"/>
      <c r="AH215" s="397"/>
      <c r="AI215" s="397"/>
      <c r="AJ215" s="397"/>
      <c r="AK215" s="397"/>
      <c r="AL215" s="397"/>
      <c r="AM215" s="397"/>
      <c r="AN215" s="397"/>
      <c r="AO215" s="397"/>
      <c r="AP215" s="397"/>
      <c r="AQ215" s="397"/>
      <c r="AR215" s="397"/>
      <c r="AS215" s="397"/>
      <c r="AT215" s="397"/>
      <c r="AU215" s="397"/>
      <c r="AV215" s="397"/>
      <c r="AW215" s="397"/>
      <c r="AX215" s="397"/>
      <c r="AY215" s="397"/>
      <c r="AZ215" s="397"/>
      <c r="BA215" s="397"/>
      <c r="BB215" s="397"/>
      <c r="BC215" s="397"/>
      <c r="BD215" s="397"/>
      <c r="BE215" s="397"/>
      <c r="BF215" s="397"/>
      <c r="BG215" s="397"/>
      <c r="BH215" s="397"/>
      <c r="BI215" s="397"/>
      <c r="BJ215" s="397"/>
      <c r="BK215" s="397"/>
      <c r="BL215" s="397"/>
      <c r="BM215" s="397"/>
      <c r="BN215" s="397"/>
      <c r="BO215" s="397"/>
      <c r="BP215" s="397"/>
      <c r="BQ215" s="397"/>
      <c r="BR215" s="397"/>
      <c r="BS215" s="397"/>
      <c r="BT215" s="397"/>
      <c r="BU215" s="397"/>
      <c r="BV215" s="397"/>
      <c r="BW215" s="397"/>
      <c r="BX215" s="397"/>
      <c r="BY215" s="397"/>
      <c r="BZ215" s="397"/>
      <c r="CA215" s="397"/>
      <c r="CB215" s="397"/>
      <c r="CC215" s="397"/>
      <c r="CD215" s="397"/>
      <c r="CE215" s="397"/>
      <c r="CF215" s="397"/>
      <c r="CG215" s="397"/>
      <c r="CH215" s="397"/>
      <c r="CI215" s="397"/>
      <c r="CJ215" s="397"/>
      <c r="CK215" s="397"/>
      <c r="CL215" s="397"/>
      <c r="CM215" s="397"/>
      <c r="CN215" s="397"/>
      <c r="CO215" s="397"/>
      <c r="CP215" s="397"/>
      <c r="CQ215" s="397"/>
      <c r="CR215" s="397"/>
      <c r="CS215" s="397"/>
      <c r="CT215" s="397"/>
      <c r="CU215" s="397"/>
      <c r="CV215" s="397"/>
      <c r="CW215" s="397"/>
      <c r="CX215" s="397"/>
      <c r="CY215" s="397"/>
      <c r="CZ215" s="397"/>
      <c r="DA215" s="397"/>
      <c r="DB215" s="397"/>
      <c r="DC215" s="397"/>
      <c r="DD215" s="397"/>
      <c r="DE215" s="397"/>
      <c r="DF215" s="397"/>
      <c r="DG215" s="397"/>
      <c r="DH215" s="397"/>
      <c r="DI215" s="397"/>
      <c r="DJ215" s="397"/>
      <c r="DK215" s="397"/>
      <c r="DL215" s="397"/>
      <c r="DM215" s="397"/>
      <c r="DN215" s="397"/>
      <c r="DO215" s="397"/>
      <c r="DP215" s="397"/>
      <c r="DQ215" s="397"/>
      <c r="DR215" s="397"/>
      <c r="DS215" s="397"/>
      <c r="DT215" s="397"/>
      <c r="DU215" s="397"/>
      <c r="DV215" s="397"/>
      <c r="DW215" s="397"/>
      <c r="DX215" s="397"/>
      <c r="DY215" s="397"/>
      <c r="DZ215" s="397"/>
      <c r="EA215" s="397"/>
      <c r="EB215" s="397"/>
      <c r="EC215" s="397"/>
      <c r="ED215" s="397"/>
      <c r="EE215" s="397"/>
      <c r="EF215" s="397"/>
      <c r="EG215" s="397"/>
      <c r="EH215" s="397"/>
      <c r="EI215" s="397"/>
      <c r="EJ215" s="397"/>
      <c r="EK215" s="397"/>
      <c r="EL215" s="397"/>
      <c r="EM215" s="397"/>
      <c r="EN215" s="397"/>
      <c r="EO215" s="397"/>
      <c r="EP215" s="397"/>
      <c r="EQ215" s="397"/>
      <c r="ER215" s="397"/>
      <c r="ES215" s="397"/>
      <c r="ET215" s="397"/>
      <c r="EU215" s="397"/>
      <c r="EV215" s="397"/>
      <c r="EW215" s="397"/>
      <c r="EX215" s="397"/>
      <c r="EY215" s="397"/>
      <c r="EZ215" s="397"/>
      <c r="FA215" s="397"/>
      <c r="FB215" s="397"/>
      <c r="FC215" s="397"/>
      <c r="FD215" s="397"/>
      <c r="FE215" s="397"/>
      <c r="FF215" s="397"/>
      <c r="FG215" s="397"/>
      <c r="FH215" s="397"/>
      <c r="FI215" s="397"/>
      <c r="FJ215" s="397"/>
      <c r="FK215" s="397"/>
      <c r="FL215" s="397"/>
      <c r="FM215" s="397"/>
      <c r="FN215" s="397"/>
      <c r="FO215" s="397"/>
      <c r="FP215" s="397"/>
      <c r="FQ215" s="397"/>
      <c r="FR215" s="397"/>
      <c r="FS215" s="397"/>
      <c r="FT215" s="397"/>
      <c r="FU215" s="397"/>
      <c r="FV215" s="397"/>
      <c r="FW215" s="397"/>
      <c r="FX215" s="397"/>
      <c r="FY215" s="397"/>
      <c r="FZ215" s="397"/>
      <c r="GA215" s="397"/>
      <c r="GB215" s="397"/>
      <c r="GC215" s="397"/>
      <c r="GD215" s="397"/>
      <c r="GE215" s="397"/>
      <c r="GF215" s="397"/>
      <c r="GG215" s="397"/>
      <c r="GH215" s="397"/>
      <c r="GI215" s="397"/>
      <c r="GJ215" s="397"/>
      <c r="GK215" s="397"/>
      <c r="GL215" s="397"/>
      <c r="GM215" s="397"/>
      <c r="GN215" s="397"/>
      <c r="GO215" s="397"/>
      <c r="GP215" s="397"/>
      <c r="GQ215" s="397"/>
      <c r="GR215" s="397"/>
      <c r="GS215" s="397"/>
      <c r="GT215" s="397"/>
      <c r="GU215" s="397"/>
      <c r="GV215" s="397"/>
      <c r="GW215" s="397"/>
      <c r="GX215" s="397"/>
      <c r="GY215" s="397"/>
      <c r="GZ215" s="397"/>
      <c r="HA215" s="397"/>
      <c r="HB215" s="397"/>
      <c r="HC215" s="397"/>
      <c r="HD215" s="397"/>
      <c r="HE215" s="397"/>
      <c r="HF215" s="397"/>
      <c r="HG215" s="397"/>
      <c r="HH215" s="397"/>
      <c r="HI215" s="397"/>
      <c r="HJ215" s="397"/>
      <c r="HK215" s="397"/>
      <c r="HL215" s="397"/>
      <c r="HM215" s="397"/>
      <c r="HN215" s="397"/>
      <c r="HO215" s="397"/>
      <c r="HP215" s="397"/>
      <c r="HQ215" s="397"/>
      <c r="HR215" s="397"/>
      <c r="HS215" s="397"/>
      <c r="HT215" s="397"/>
      <c r="HU215" s="397"/>
      <c r="HV215" s="397"/>
      <c r="HW215" s="397"/>
      <c r="HX215" s="397"/>
      <c r="HY215" s="397"/>
      <c r="HZ215" s="397"/>
      <c r="IA215" s="397"/>
      <c r="IB215" s="397"/>
      <c r="IC215" s="397"/>
      <c r="ID215" s="397"/>
      <c r="IE215" s="397"/>
      <c r="IF215" s="397"/>
      <c r="IG215" s="397"/>
      <c r="IH215" s="397"/>
      <c r="II215" s="397"/>
      <c r="IJ215" s="397"/>
      <c r="IK215" s="397"/>
      <c r="IL215" s="397"/>
      <c r="IM215" s="397"/>
      <c r="IN215" s="397"/>
      <c r="IO215" s="397"/>
      <c r="IP215" s="397"/>
      <c r="IQ215" s="397"/>
      <c r="IR215" s="397"/>
    </row>
    <row r="216" spans="2:252" s="183" customFormat="1" ht="25.15" customHeight="1" x14ac:dyDescent="0.25">
      <c r="B216" s="85">
        <v>39722</v>
      </c>
      <c r="C216" s="184">
        <v>327387.50639064005</v>
      </c>
      <c r="D216" s="184">
        <f>NetWorth[[#This Row],[Worth]]-C217</f>
        <v>52641.710091640067</v>
      </c>
      <c r="E216" s="1"/>
      <c r="V216" s="397"/>
      <c r="W216" s="397"/>
      <c r="X216" s="397"/>
      <c r="Y216" s="397"/>
      <c r="Z216" s="397"/>
      <c r="AA216" s="397"/>
      <c r="AB216" s="397"/>
      <c r="AC216" s="397"/>
      <c r="AD216" s="397"/>
      <c r="AE216" s="397"/>
      <c r="AF216" s="397"/>
      <c r="AG216" s="397"/>
      <c r="AH216" s="397"/>
      <c r="AI216" s="397"/>
      <c r="AJ216" s="397"/>
      <c r="AK216" s="397"/>
      <c r="AL216" s="397"/>
      <c r="AM216" s="397"/>
      <c r="AN216" s="397"/>
      <c r="AO216" s="397"/>
      <c r="AP216" s="397"/>
      <c r="AQ216" s="397"/>
      <c r="AR216" s="397"/>
      <c r="AS216" s="397"/>
      <c r="AT216" s="397"/>
      <c r="AU216" s="397"/>
      <c r="AV216" s="397"/>
      <c r="AW216" s="397"/>
      <c r="AX216" s="397"/>
      <c r="AY216" s="397"/>
      <c r="AZ216" s="397"/>
      <c r="BA216" s="397"/>
      <c r="BB216" s="397"/>
      <c r="BC216" s="397"/>
      <c r="BD216" s="397"/>
      <c r="BE216" s="397"/>
      <c r="BF216" s="397"/>
      <c r="BG216" s="397"/>
      <c r="BH216" s="397"/>
      <c r="BI216" s="397"/>
      <c r="BJ216" s="397"/>
      <c r="BK216" s="397"/>
      <c r="BL216" s="397"/>
      <c r="BM216" s="397"/>
      <c r="BN216" s="397"/>
      <c r="BO216" s="397"/>
      <c r="BP216" s="397"/>
      <c r="BQ216" s="397"/>
      <c r="BR216" s="397"/>
      <c r="BS216" s="397"/>
      <c r="BT216" s="397"/>
      <c r="BU216" s="397"/>
      <c r="BV216" s="397"/>
      <c r="BW216" s="397"/>
      <c r="BX216" s="397"/>
      <c r="BY216" s="397"/>
      <c r="BZ216" s="397"/>
      <c r="CA216" s="397"/>
      <c r="CB216" s="397"/>
      <c r="CC216" s="397"/>
      <c r="CD216" s="397"/>
      <c r="CE216" s="397"/>
      <c r="CF216" s="397"/>
      <c r="CG216" s="397"/>
      <c r="CH216" s="397"/>
      <c r="CI216" s="397"/>
      <c r="CJ216" s="397"/>
      <c r="CK216" s="397"/>
      <c r="CL216" s="397"/>
      <c r="CM216" s="397"/>
      <c r="CN216" s="397"/>
      <c r="CO216" s="397"/>
      <c r="CP216" s="397"/>
      <c r="CQ216" s="397"/>
      <c r="CR216" s="397"/>
      <c r="CS216" s="397"/>
      <c r="CT216" s="397"/>
      <c r="CU216" s="397"/>
      <c r="CV216" s="397"/>
      <c r="CW216" s="397"/>
      <c r="CX216" s="397"/>
      <c r="CY216" s="397"/>
      <c r="CZ216" s="397"/>
      <c r="DA216" s="397"/>
      <c r="DB216" s="397"/>
      <c r="DC216" s="397"/>
      <c r="DD216" s="397"/>
      <c r="DE216" s="397"/>
      <c r="DF216" s="397"/>
      <c r="DG216" s="397"/>
      <c r="DH216" s="397"/>
      <c r="DI216" s="397"/>
      <c r="DJ216" s="397"/>
      <c r="DK216" s="397"/>
      <c r="DL216" s="397"/>
      <c r="DM216" s="397"/>
      <c r="DN216" s="397"/>
      <c r="DO216" s="397"/>
      <c r="DP216" s="397"/>
      <c r="DQ216" s="397"/>
      <c r="DR216" s="397"/>
      <c r="DS216" s="397"/>
      <c r="DT216" s="397"/>
      <c r="DU216" s="397"/>
      <c r="DV216" s="397"/>
      <c r="DW216" s="397"/>
      <c r="DX216" s="397"/>
      <c r="DY216" s="397"/>
      <c r="DZ216" s="397"/>
      <c r="EA216" s="397"/>
      <c r="EB216" s="397"/>
      <c r="EC216" s="397"/>
      <c r="ED216" s="397"/>
      <c r="EE216" s="397"/>
      <c r="EF216" s="397"/>
      <c r="EG216" s="397"/>
      <c r="EH216" s="397"/>
      <c r="EI216" s="397"/>
      <c r="EJ216" s="397"/>
      <c r="EK216" s="397"/>
      <c r="EL216" s="397"/>
      <c r="EM216" s="397"/>
      <c r="EN216" s="397"/>
      <c r="EO216" s="397"/>
      <c r="EP216" s="397"/>
      <c r="EQ216" s="397"/>
      <c r="ER216" s="397"/>
      <c r="ES216" s="397"/>
      <c r="ET216" s="397"/>
      <c r="EU216" s="397"/>
      <c r="EV216" s="397"/>
      <c r="EW216" s="397"/>
      <c r="EX216" s="397"/>
      <c r="EY216" s="397"/>
      <c r="EZ216" s="397"/>
      <c r="FA216" s="397"/>
      <c r="FB216" s="397"/>
      <c r="FC216" s="397"/>
      <c r="FD216" s="397"/>
      <c r="FE216" s="397"/>
      <c r="FF216" s="397"/>
      <c r="FG216" s="397"/>
      <c r="FH216" s="397"/>
      <c r="FI216" s="397"/>
      <c r="FJ216" s="397"/>
      <c r="FK216" s="397"/>
      <c r="FL216" s="397"/>
      <c r="FM216" s="397"/>
      <c r="FN216" s="397"/>
      <c r="FO216" s="397"/>
      <c r="FP216" s="397"/>
      <c r="FQ216" s="397"/>
      <c r="FR216" s="397"/>
      <c r="FS216" s="397"/>
      <c r="FT216" s="397"/>
      <c r="FU216" s="397"/>
      <c r="FV216" s="397"/>
      <c r="FW216" s="397"/>
      <c r="FX216" s="397"/>
      <c r="FY216" s="397"/>
      <c r="FZ216" s="397"/>
      <c r="GA216" s="397"/>
      <c r="GB216" s="397"/>
      <c r="GC216" s="397"/>
      <c r="GD216" s="397"/>
      <c r="GE216" s="397"/>
      <c r="GF216" s="397"/>
      <c r="GG216" s="397"/>
      <c r="GH216" s="397"/>
      <c r="GI216" s="397"/>
      <c r="GJ216" s="397"/>
      <c r="GK216" s="397"/>
      <c r="GL216" s="397"/>
      <c r="GM216" s="397"/>
      <c r="GN216" s="397"/>
      <c r="GO216" s="397"/>
      <c r="GP216" s="397"/>
      <c r="GQ216" s="397"/>
      <c r="GR216" s="397"/>
      <c r="GS216" s="397"/>
      <c r="GT216" s="397"/>
      <c r="GU216" s="397"/>
      <c r="GV216" s="397"/>
      <c r="GW216" s="397"/>
      <c r="GX216" s="397"/>
      <c r="GY216" s="397"/>
      <c r="GZ216" s="397"/>
      <c r="HA216" s="397"/>
      <c r="HB216" s="397"/>
      <c r="HC216" s="397"/>
      <c r="HD216" s="397"/>
      <c r="HE216" s="397"/>
      <c r="HF216" s="397"/>
      <c r="HG216" s="397"/>
      <c r="HH216" s="397"/>
      <c r="HI216" s="397"/>
      <c r="HJ216" s="397"/>
      <c r="HK216" s="397"/>
      <c r="HL216" s="397"/>
      <c r="HM216" s="397"/>
      <c r="HN216" s="397"/>
      <c r="HO216" s="397"/>
      <c r="HP216" s="397"/>
      <c r="HQ216" s="397"/>
      <c r="HR216" s="397"/>
      <c r="HS216" s="397"/>
      <c r="HT216" s="397"/>
      <c r="HU216" s="397"/>
      <c r="HV216" s="397"/>
      <c r="HW216" s="397"/>
      <c r="HX216" s="397"/>
      <c r="HY216" s="397"/>
      <c r="HZ216" s="397"/>
      <c r="IA216" s="397"/>
      <c r="IB216" s="397"/>
      <c r="IC216" s="397"/>
      <c r="ID216" s="397"/>
      <c r="IE216" s="397"/>
      <c r="IF216" s="397"/>
      <c r="IG216" s="397"/>
      <c r="IH216" s="397"/>
      <c r="II216" s="397"/>
      <c r="IJ216" s="397"/>
      <c r="IK216" s="397"/>
      <c r="IL216" s="397"/>
      <c r="IM216" s="397"/>
      <c r="IN216" s="397"/>
      <c r="IO216" s="397"/>
      <c r="IP216" s="397"/>
      <c r="IQ216" s="397"/>
      <c r="IR216" s="397"/>
    </row>
    <row r="217" spans="2:252" s="183" customFormat="1" ht="25.15" customHeight="1" x14ac:dyDescent="0.25">
      <c r="B217" s="85">
        <v>39692</v>
      </c>
      <c r="C217" s="184">
        <v>274745.79629899998</v>
      </c>
      <c r="D217" s="184">
        <f>NetWorth[[#This Row],[Worth]]-C218</f>
        <v>0</v>
      </c>
      <c r="E217" s="1" t="s">
        <v>102</v>
      </c>
      <c r="V217" s="397"/>
      <c r="W217" s="397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7"/>
      <c r="AK217" s="397"/>
      <c r="AL217" s="397"/>
      <c r="AM217" s="397"/>
      <c r="AN217" s="397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7"/>
      <c r="BA217" s="397"/>
      <c r="BB217" s="397"/>
      <c r="BC217" s="397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7"/>
      <c r="BS217" s="397"/>
      <c r="BT217" s="397"/>
      <c r="BU217" s="397"/>
      <c r="BV217" s="397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397"/>
      <c r="CI217" s="397"/>
      <c r="CJ217" s="397"/>
      <c r="CK217" s="397"/>
      <c r="CL217" s="397"/>
      <c r="CM217" s="397"/>
      <c r="CN217" s="397"/>
      <c r="CO217" s="397"/>
      <c r="CP217" s="397"/>
      <c r="CQ217" s="397"/>
      <c r="CR217" s="397"/>
      <c r="CS217" s="397"/>
      <c r="CT217" s="397"/>
      <c r="CU217" s="397"/>
      <c r="CV217" s="397"/>
      <c r="CW217" s="397"/>
      <c r="CX217" s="397"/>
      <c r="CY217" s="397"/>
      <c r="CZ217" s="397"/>
      <c r="DA217" s="397"/>
      <c r="DB217" s="397"/>
      <c r="DC217" s="397"/>
      <c r="DD217" s="397"/>
      <c r="DE217" s="397"/>
      <c r="DF217" s="397"/>
      <c r="DG217" s="397"/>
      <c r="DH217" s="397"/>
      <c r="DI217" s="397"/>
      <c r="DJ217" s="397"/>
      <c r="DK217" s="397"/>
      <c r="DL217" s="397"/>
      <c r="DM217" s="397"/>
      <c r="DN217" s="397"/>
      <c r="DO217" s="397"/>
      <c r="DP217" s="397"/>
      <c r="DQ217" s="397"/>
      <c r="DR217" s="397"/>
      <c r="DS217" s="397"/>
      <c r="DT217" s="397"/>
      <c r="DU217" s="397"/>
      <c r="DV217" s="397"/>
      <c r="DW217" s="397"/>
      <c r="DX217" s="397"/>
      <c r="DY217" s="397"/>
      <c r="DZ217" s="397"/>
      <c r="EA217" s="397"/>
      <c r="EB217" s="397"/>
      <c r="EC217" s="397"/>
      <c r="ED217" s="397"/>
      <c r="EE217" s="397"/>
      <c r="EF217" s="397"/>
      <c r="EG217" s="397"/>
      <c r="EH217" s="397"/>
      <c r="EI217" s="397"/>
      <c r="EJ217" s="397"/>
      <c r="EK217" s="397"/>
      <c r="EL217" s="397"/>
      <c r="EM217" s="397"/>
      <c r="EN217" s="397"/>
      <c r="EO217" s="397"/>
      <c r="EP217" s="397"/>
      <c r="EQ217" s="397"/>
      <c r="ER217" s="397"/>
      <c r="ES217" s="397"/>
      <c r="ET217" s="397"/>
      <c r="EU217" s="397"/>
      <c r="EV217" s="397"/>
      <c r="EW217" s="397"/>
      <c r="EX217" s="397"/>
      <c r="EY217" s="397"/>
      <c r="EZ217" s="397"/>
      <c r="FA217" s="397"/>
      <c r="FB217" s="397"/>
      <c r="FC217" s="397"/>
      <c r="FD217" s="397"/>
      <c r="FE217" s="397"/>
      <c r="FF217" s="397"/>
      <c r="FG217" s="397"/>
      <c r="FH217" s="397"/>
      <c r="FI217" s="397"/>
      <c r="FJ217" s="397"/>
      <c r="FK217" s="397"/>
      <c r="FL217" s="397"/>
      <c r="FM217" s="397"/>
      <c r="FN217" s="397"/>
      <c r="FO217" s="397"/>
      <c r="FP217" s="397"/>
      <c r="FQ217" s="397"/>
      <c r="FR217" s="397"/>
      <c r="FS217" s="397"/>
      <c r="FT217" s="397"/>
      <c r="FU217" s="397"/>
      <c r="FV217" s="397"/>
      <c r="FW217" s="397"/>
      <c r="FX217" s="397"/>
      <c r="FY217" s="397"/>
      <c r="FZ217" s="397"/>
      <c r="GA217" s="397"/>
      <c r="GB217" s="397"/>
      <c r="GC217" s="397"/>
      <c r="GD217" s="397"/>
      <c r="GE217" s="397"/>
      <c r="GF217" s="397"/>
      <c r="GG217" s="397"/>
      <c r="GH217" s="397"/>
      <c r="GI217" s="397"/>
      <c r="GJ217" s="397"/>
      <c r="GK217" s="397"/>
      <c r="GL217" s="397"/>
      <c r="GM217" s="397"/>
      <c r="GN217" s="397"/>
      <c r="GO217" s="397"/>
      <c r="GP217" s="397"/>
      <c r="GQ217" s="397"/>
      <c r="GR217" s="397"/>
      <c r="GS217" s="397"/>
      <c r="GT217" s="397"/>
      <c r="GU217" s="397"/>
      <c r="GV217" s="397"/>
      <c r="GW217" s="397"/>
      <c r="GX217" s="397"/>
      <c r="GY217" s="397"/>
      <c r="GZ217" s="397"/>
      <c r="HA217" s="397"/>
      <c r="HB217" s="397"/>
      <c r="HC217" s="397"/>
      <c r="HD217" s="397"/>
      <c r="HE217" s="397"/>
      <c r="HF217" s="397"/>
      <c r="HG217" s="397"/>
      <c r="HH217" s="397"/>
      <c r="HI217" s="397"/>
      <c r="HJ217" s="397"/>
      <c r="HK217" s="397"/>
      <c r="HL217" s="397"/>
      <c r="HM217" s="397"/>
      <c r="HN217" s="397"/>
      <c r="HO217" s="397"/>
      <c r="HP217" s="397"/>
      <c r="HQ217" s="397"/>
      <c r="HR217" s="397"/>
      <c r="HS217" s="397"/>
      <c r="HT217" s="397"/>
      <c r="HU217" s="397"/>
      <c r="HV217" s="397"/>
      <c r="HW217" s="397"/>
      <c r="HX217" s="397"/>
      <c r="HY217" s="397"/>
      <c r="HZ217" s="397"/>
      <c r="IA217" s="397"/>
      <c r="IB217" s="397"/>
      <c r="IC217" s="397"/>
      <c r="ID217" s="397"/>
      <c r="IE217" s="397"/>
      <c r="IF217" s="397"/>
      <c r="IG217" s="397"/>
      <c r="IH217" s="397"/>
      <c r="II217" s="397"/>
      <c r="IJ217" s="397"/>
      <c r="IK217" s="397"/>
      <c r="IL217" s="397"/>
      <c r="IM217" s="397"/>
      <c r="IN217" s="397"/>
      <c r="IO217" s="397"/>
      <c r="IP217" s="397"/>
      <c r="IQ217" s="397"/>
      <c r="IR217" s="397"/>
    </row>
    <row r="218" spans="2:252" s="183" customFormat="1" ht="25.15" customHeight="1" x14ac:dyDescent="0.25">
      <c r="B218" s="85">
        <v>39661</v>
      </c>
      <c r="C218" s="184">
        <v>274745.79629899998</v>
      </c>
      <c r="D218" s="184">
        <f>NetWorth[[#This Row],[Worth]]-C219</f>
        <v>0</v>
      </c>
      <c r="E218" s="1"/>
      <c r="V218" s="397"/>
      <c r="W218" s="397"/>
      <c r="X218" s="397"/>
      <c r="Y218" s="397"/>
      <c r="Z218" s="397"/>
      <c r="AA218" s="397"/>
      <c r="AB218" s="397"/>
      <c r="AC218" s="397"/>
      <c r="AD218" s="397"/>
      <c r="AE218" s="397"/>
      <c r="AF218" s="397"/>
      <c r="AG218" s="397"/>
      <c r="AH218" s="397"/>
      <c r="AI218" s="397"/>
      <c r="AJ218" s="397"/>
      <c r="AK218" s="397"/>
      <c r="AL218" s="397"/>
      <c r="AM218" s="397"/>
      <c r="AN218" s="397"/>
      <c r="AO218" s="397"/>
      <c r="AP218" s="397"/>
      <c r="AQ218" s="397"/>
      <c r="AR218" s="397"/>
      <c r="AS218" s="397"/>
      <c r="AT218" s="397"/>
      <c r="AU218" s="397"/>
      <c r="AV218" s="397"/>
      <c r="AW218" s="397"/>
      <c r="AX218" s="397"/>
      <c r="AY218" s="397"/>
      <c r="AZ218" s="397"/>
      <c r="BA218" s="397"/>
      <c r="BB218" s="397"/>
      <c r="BC218" s="397"/>
      <c r="BD218" s="397"/>
      <c r="BE218" s="397"/>
      <c r="BF218" s="397"/>
      <c r="BG218" s="397"/>
      <c r="BH218" s="397"/>
      <c r="BI218" s="397"/>
      <c r="BJ218" s="397"/>
      <c r="BK218" s="397"/>
      <c r="BL218" s="397"/>
      <c r="BM218" s="397"/>
      <c r="BN218" s="397"/>
      <c r="BO218" s="397"/>
      <c r="BP218" s="397"/>
      <c r="BQ218" s="397"/>
      <c r="BR218" s="397"/>
      <c r="BS218" s="397"/>
      <c r="BT218" s="397"/>
      <c r="BU218" s="397"/>
      <c r="BV218" s="397"/>
      <c r="BW218" s="397"/>
      <c r="BX218" s="397"/>
      <c r="BY218" s="397"/>
      <c r="BZ218" s="397"/>
      <c r="CA218" s="397"/>
      <c r="CB218" s="397"/>
      <c r="CC218" s="397"/>
      <c r="CD218" s="397"/>
      <c r="CE218" s="397"/>
      <c r="CF218" s="397"/>
      <c r="CG218" s="397"/>
      <c r="CH218" s="397"/>
      <c r="CI218" s="397"/>
      <c r="CJ218" s="397"/>
      <c r="CK218" s="397"/>
      <c r="CL218" s="397"/>
      <c r="CM218" s="397"/>
      <c r="CN218" s="397"/>
      <c r="CO218" s="397"/>
      <c r="CP218" s="397"/>
      <c r="CQ218" s="397"/>
      <c r="CR218" s="397"/>
      <c r="CS218" s="397"/>
      <c r="CT218" s="397"/>
      <c r="CU218" s="397"/>
      <c r="CV218" s="397"/>
      <c r="CW218" s="397"/>
      <c r="CX218" s="397"/>
      <c r="CY218" s="397"/>
      <c r="CZ218" s="397"/>
      <c r="DA218" s="397"/>
      <c r="DB218" s="397"/>
      <c r="DC218" s="397"/>
      <c r="DD218" s="397"/>
      <c r="DE218" s="397"/>
      <c r="DF218" s="397"/>
      <c r="DG218" s="397"/>
      <c r="DH218" s="397"/>
      <c r="DI218" s="397"/>
      <c r="DJ218" s="397"/>
      <c r="DK218" s="397"/>
      <c r="DL218" s="397"/>
      <c r="DM218" s="397"/>
      <c r="DN218" s="397"/>
      <c r="DO218" s="397"/>
      <c r="DP218" s="397"/>
      <c r="DQ218" s="397"/>
      <c r="DR218" s="397"/>
      <c r="DS218" s="397"/>
      <c r="DT218" s="397"/>
      <c r="DU218" s="397"/>
      <c r="DV218" s="397"/>
      <c r="DW218" s="397"/>
      <c r="DX218" s="397"/>
      <c r="DY218" s="397"/>
      <c r="DZ218" s="397"/>
      <c r="EA218" s="397"/>
      <c r="EB218" s="397"/>
      <c r="EC218" s="397"/>
      <c r="ED218" s="397"/>
      <c r="EE218" s="397"/>
      <c r="EF218" s="397"/>
      <c r="EG218" s="397"/>
      <c r="EH218" s="397"/>
      <c r="EI218" s="397"/>
      <c r="EJ218" s="397"/>
      <c r="EK218" s="397"/>
      <c r="EL218" s="397"/>
      <c r="EM218" s="397"/>
      <c r="EN218" s="397"/>
      <c r="EO218" s="397"/>
      <c r="EP218" s="397"/>
      <c r="EQ218" s="397"/>
      <c r="ER218" s="397"/>
      <c r="ES218" s="397"/>
      <c r="ET218" s="397"/>
      <c r="EU218" s="397"/>
      <c r="EV218" s="397"/>
      <c r="EW218" s="397"/>
      <c r="EX218" s="397"/>
      <c r="EY218" s="397"/>
      <c r="EZ218" s="397"/>
      <c r="FA218" s="397"/>
      <c r="FB218" s="397"/>
      <c r="FC218" s="397"/>
      <c r="FD218" s="397"/>
      <c r="FE218" s="397"/>
      <c r="FF218" s="397"/>
      <c r="FG218" s="397"/>
      <c r="FH218" s="397"/>
      <c r="FI218" s="397"/>
      <c r="FJ218" s="397"/>
      <c r="FK218" s="397"/>
      <c r="FL218" s="397"/>
      <c r="FM218" s="397"/>
      <c r="FN218" s="397"/>
      <c r="FO218" s="397"/>
      <c r="FP218" s="397"/>
      <c r="FQ218" s="397"/>
      <c r="FR218" s="397"/>
      <c r="FS218" s="397"/>
      <c r="FT218" s="397"/>
      <c r="FU218" s="397"/>
      <c r="FV218" s="397"/>
      <c r="FW218" s="397"/>
      <c r="FX218" s="397"/>
      <c r="FY218" s="397"/>
      <c r="FZ218" s="397"/>
      <c r="GA218" s="397"/>
      <c r="GB218" s="397"/>
      <c r="GC218" s="397"/>
      <c r="GD218" s="397"/>
      <c r="GE218" s="397"/>
      <c r="GF218" s="397"/>
      <c r="GG218" s="397"/>
      <c r="GH218" s="397"/>
      <c r="GI218" s="397"/>
      <c r="GJ218" s="397"/>
      <c r="GK218" s="397"/>
      <c r="GL218" s="397"/>
      <c r="GM218" s="397"/>
      <c r="GN218" s="397"/>
      <c r="GO218" s="397"/>
      <c r="GP218" s="397"/>
      <c r="GQ218" s="397"/>
      <c r="GR218" s="397"/>
      <c r="GS218" s="397"/>
      <c r="GT218" s="397"/>
      <c r="GU218" s="397"/>
      <c r="GV218" s="397"/>
      <c r="GW218" s="397"/>
      <c r="GX218" s="397"/>
      <c r="GY218" s="397"/>
      <c r="GZ218" s="397"/>
      <c r="HA218" s="397"/>
      <c r="HB218" s="397"/>
      <c r="HC218" s="397"/>
      <c r="HD218" s="397"/>
      <c r="HE218" s="397"/>
      <c r="HF218" s="397"/>
      <c r="HG218" s="397"/>
      <c r="HH218" s="397"/>
      <c r="HI218" s="397"/>
      <c r="HJ218" s="397"/>
      <c r="HK218" s="397"/>
      <c r="HL218" s="397"/>
      <c r="HM218" s="397"/>
      <c r="HN218" s="397"/>
      <c r="HO218" s="397"/>
      <c r="HP218" s="397"/>
      <c r="HQ218" s="397"/>
      <c r="HR218" s="397"/>
      <c r="HS218" s="397"/>
      <c r="HT218" s="397"/>
      <c r="HU218" s="397"/>
      <c r="HV218" s="397"/>
      <c r="HW218" s="397"/>
      <c r="HX218" s="397"/>
      <c r="HY218" s="397"/>
      <c r="HZ218" s="397"/>
      <c r="IA218" s="397"/>
      <c r="IB218" s="397"/>
      <c r="IC218" s="397"/>
      <c r="ID218" s="397"/>
      <c r="IE218" s="397"/>
      <c r="IF218" s="397"/>
      <c r="IG218" s="397"/>
      <c r="IH218" s="397"/>
      <c r="II218" s="397"/>
      <c r="IJ218" s="397"/>
      <c r="IK218" s="397"/>
      <c r="IL218" s="397"/>
      <c r="IM218" s="397"/>
      <c r="IN218" s="397"/>
      <c r="IO218" s="397"/>
      <c r="IP218" s="397"/>
      <c r="IQ218" s="397"/>
      <c r="IR218" s="397"/>
    </row>
    <row r="219" spans="2:252" s="183" customFormat="1" ht="25.15" customHeight="1" x14ac:dyDescent="0.25">
      <c r="B219" s="85">
        <v>39630</v>
      </c>
      <c r="C219" s="184">
        <v>274745.79629899998</v>
      </c>
      <c r="D219" s="184">
        <v>0</v>
      </c>
      <c r="E219" s="1" t="s">
        <v>103</v>
      </c>
      <c r="V219" s="397"/>
      <c r="W219" s="397"/>
      <c r="X219" s="397"/>
      <c r="Y219" s="397"/>
      <c r="Z219" s="397"/>
      <c r="AA219" s="397"/>
      <c r="AB219" s="397"/>
      <c r="AC219" s="397"/>
      <c r="AD219" s="397"/>
      <c r="AE219" s="397"/>
      <c r="AF219" s="397"/>
      <c r="AG219" s="397"/>
      <c r="AH219" s="397"/>
      <c r="AI219" s="397"/>
      <c r="AJ219" s="397"/>
      <c r="AK219" s="397"/>
      <c r="AL219" s="397"/>
      <c r="AM219" s="397"/>
      <c r="AN219" s="397"/>
      <c r="AO219" s="397"/>
      <c r="AP219" s="397"/>
      <c r="AQ219" s="397"/>
      <c r="AR219" s="397"/>
      <c r="AS219" s="397"/>
      <c r="AT219" s="397"/>
      <c r="AU219" s="397"/>
      <c r="AV219" s="397"/>
      <c r="AW219" s="397"/>
      <c r="AX219" s="397"/>
      <c r="AY219" s="397"/>
      <c r="AZ219" s="397"/>
      <c r="BA219" s="397"/>
      <c r="BB219" s="397"/>
      <c r="BC219" s="397"/>
      <c r="BD219" s="397"/>
      <c r="BE219" s="397"/>
      <c r="BF219" s="397"/>
      <c r="BG219" s="397"/>
      <c r="BH219" s="397"/>
      <c r="BI219" s="397"/>
      <c r="BJ219" s="397"/>
      <c r="BK219" s="397"/>
      <c r="BL219" s="397"/>
      <c r="BM219" s="397"/>
      <c r="BN219" s="397"/>
      <c r="BO219" s="397"/>
      <c r="BP219" s="397"/>
      <c r="BQ219" s="397"/>
      <c r="BR219" s="397"/>
      <c r="BS219" s="397"/>
      <c r="BT219" s="397"/>
      <c r="BU219" s="397"/>
      <c r="BV219" s="397"/>
      <c r="BW219" s="397"/>
      <c r="BX219" s="397"/>
      <c r="BY219" s="397"/>
      <c r="BZ219" s="397"/>
      <c r="CA219" s="397"/>
      <c r="CB219" s="397"/>
      <c r="CC219" s="397"/>
      <c r="CD219" s="397"/>
      <c r="CE219" s="397"/>
      <c r="CF219" s="397"/>
      <c r="CG219" s="397"/>
      <c r="CH219" s="397"/>
      <c r="CI219" s="397"/>
      <c r="CJ219" s="397"/>
      <c r="CK219" s="397"/>
      <c r="CL219" s="397"/>
      <c r="CM219" s="397"/>
      <c r="CN219" s="397"/>
      <c r="CO219" s="397"/>
      <c r="CP219" s="397"/>
      <c r="CQ219" s="397"/>
      <c r="CR219" s="397"/>
      <c r="CS219" s="397"/>
      <c r="CT219" s="397"/>
      <c r="CU219" s="397"/>
      <c r="CV219" s="397"/>
      <c r="CW219" s="397"/>
      <c r="CX219" s="397"/>
      <c r="CY219" s="397"/>
      <c r="CZ219" s="397"/>
      <c r="DA219" s="397"/>
      <c r="DB219" s="397"/>
      <c r="DC219" s="397"/>
      <c r="DD219" s="397"/>
      <c r="DE219" s="397"/>
      <c r="DF219" s="397"/>
      <c r="DG219" s="397"/>
      <c r="DH219" s="397"/>
      <c r="DI219" s="397"/>
      <c r="DJ219" s="397"/>
      <c r="DK219" s="397"/>
      <c r="DL219" s="397"/>
      <c r="DM219" s="397"/>
      <c r="DN219" s="397"/>
      <c r="DO219" s="397"/>
      <c r="DP219" s="397"/>
      <c r="DQ219" s="397"/>
      <c r="DR219" s="397"/>
      <c r="DS219" s="397"/>
      <c r="DT219" s="397"/>
      <c r="DU219" s="397"/>
      <c r="DV219" s="397"/>
      <c r="DW219" s="397"/>
      <c r="DX219" s="397"/>
      <c r="DY219" s="397"/>
      <c r="DZ219" s="397"/>
      <c r="EA219" s="397"/>
      <c r="EB219" s="397"/>
      <c r="EC219" s="397"/>
      <c r="ED219" s="397"/>
      <c r="EE219" s="397"/>
      <c r="EF219" s="397"/>
      <c r="EG219" s="397"/>
      <c r="EH219" s="397"/>
      <c r="EI219" s="397"/>
      <c r="EJ219" s="397"/>
      <c r="EK219" s="397"/>
      <c r="EL219" s="397"/>
      <c r="EM219" s="397"/>
      <c r="EN219" s="397"/>
      <c r="EO219" s="397"/>
      <c r="EP219" s="397"/>
      <c r="EQ219" s="397"/>
      <c r="ER219" s="397"/>
      <c r="ES219" s="397"/>
      <c r="ET219" s="397"/>
      <c r="EU219" s="397"/>
      <c r="EV219" s="397"/>
      <c r="EW219" s="397"/>
      <c r="EX219" s="397"/>
      <c r="EY219" s="397"/>
      <c r="EZ219" s="397"/>
      <c r="FA219" s="397"/>
      <c r="FB219" s="397"/>
      <c r="FC219" s="397"/>
      <c r="FD219" s="397"/>
      <c r="FE219" s="397"/>
      <c r="FF219" s="397"/>
      <c r="FG219" s="397"/>
      <c r="FH219" s="397"/>
      <c r="FI219" s="397"/>
      <c r="FJ219" s="397"/>
      <c r="FK219" s="397"/>
      <c r="FL219" s="397"/>
      <c r="FM219" s="397"/>
      <c r="FN219" s="397"/>
      <c r="FO219" s="397"/>
      <c r="FP219" s="397"/>
      <c r="FQ219" s="397"/>
      <c r="FR219" s="397"/>
      <c r="FS219" s="397"/>
      <c r="FT219" s="397"/>
      <c r="FU219" s="397"/>
      <c r="FV219" s="397"/>
      <c r="FW219" s="397"/>
      <c r="FX219" s="397"/>
      <c r="FY219" s="397"/>
      <c r="FZ219" s="397"/>
      <c r="GA219" s="397"/>
      <c r="GB219" s="397"/>
      <c r="GC219" s="397"/>
      <c r="GD219" s="397"/>
      <c r="GE219" s="397"/>
      <c r="GF219" s="397"/>
      <c r="GG219" s="397"/>
      <c r="GH219" s="397"/>
      <c r="GI219" s="397"/>
      <c r="GJ219" s="397"/>
      <c r="GK219" s="397"/>
      <c r="GL219" s="397"/>
      <c r="GM219" s="397"/>
      <c r="GN219" s="397"/>
      <c r="GO219" s="397"/>
      <c r="GP219" s="397"/>
      <c r="GQ219" s="397"/>
      <c r="GR219" s="397"/>
      <c r="GS219" s="397"/>
      <c r="GT219" s="397"/>
      <c r="GU219" s="397"/>
      <c r="GV219" s="397"/>
      <c r="GW219" s="397"/>
      <c r="GX219" s="397"/>
      <c r="GY219" s="397"/>
      <c r="GZ219" s="397"/>
      <c r="HA219" s="397"/>
      <c r="HB219" s="397"/>
      <c r="HC219" s="397"/>
      <c r="HD219" s="397"/>
      <c r="HE219" s="397"/>
      <c r="HF219" s="397"/>
      <c r="HG219" s="397"/>
      <c r="HH219" s="397"/>
      <c r="HI219" s="397"/>
      <c r="HJ219" s="397"/>
      <c r="HK219" s="397"/>
      <c r="HL219" s="397"/>
      <c r="HM219" s="397"/>
      <c r="HN219" s="397"/>
      <c r="HO219" s="397"/>
      <c r="HP219" s="397"/>
      <c r="HQ219" s="397"/>
      <c r="HR219" s="397"/>
      <c r="HS219" s="397"/>
      <c r="HT219" s="397"/>
      <c r="HU219" s="397"/>
      <c r="HV219" s="397"/>
      <c r="HW219" s="397"/>
      <c r="HX219" s="397"/>
      <c r="HY219" s="397"/>
      <c r="HZ219" s="397"/>
      <c r="IA219" s="397"/>
      <c r="IB219" s="397"/>
      <c r="IC219" s="397"/>
      <c r="ID219" s="397"/>
      <c r="IE219" s="397"/>
      <c r="IF219" s="397"/>
      <c r="IG219" s="397"/>
      <c r="IH219" s="397"/>
      <c r="II219" s="397"/>
      <c r="IJ219" s="397"/>
      <c r="IK219" s="397"/>
      <c r="IL219" s="397"/>
      <c r="IM219" s="397"/>
      <c r="IN219" s="397"/>
      <c r="IO219" s="397"/>
      <c r="IP219" s="397"/>
      <c r="IQ219" s="397"/>
      <c r="IR219" s="397"/>
    </row>
    <row r="220" spans="2:252" s="183" customFormat="1" ht="25.15" customHeight="1" x14ac:dyDescent="0.25">
      <c r="B220" s="84" t="s">
        <v>58</v>
      </c>
      <c r="C220" s="186">
        <f>SUBTOTAL(104,NetWorth[Worth])</f>
        <v>1177276.58</v>
      </c>
      <c r="D220" s="186">
        <f>SUBTOTAL(101,NetWorth[Delta])</f>
        <v>6540.0781427608699</v>
      </c>
      <c r="E220" s="84"/>
      <c r="V220" s="397"/>
      <c r="W220" s="397"/>
      <c r="X220" s="397"/>
      <c r="Y220" s="397"/>
      <c r="Z220" s="397"/>
      <c r="AA220" s="397"/>
      <c r="AB220" s="397"/>
      <c r="AC220" s="397"/>
      <c r="AD220" s="397"/>
      <c r="AE220" s="397"/>
      <c r="AF220" s="397"/>
      <c r="AG220" s="397"/>
      <c r="AH220" s="397"/>
      <c r="AI220" s="397"/>
      <c r="AJ220" s="397"/>
      <c r="AK220" s="397"/>
      <c r="AL220" s="397"/>
      <c r="AM220" s="397"/>
      <c r="AN220" s="397"/>
      <c r="AO220" s="397"/>
      <c r="AP220" s="397"/>
      <c r="AQ220" s="397"/>
      <c r="AR220" s="397"/>
      <c r="AS220" s="397"/>
      <c r="AT220" s="397"/>
      <c r="AU220" s="397"/>
      <c r="AV220" s="397"/>
      <c r="AW220" s="397"/>
      <c r="AX220" s="397"/>
      <c r="AY220" s="397"/>
      <c r="AZ220" s="397"/>
      <c r="BA220" s="397"/>
      <c r="BB220" s="397"/>
      <c r="BC220" s="397"/>
      <c r="BD220" s="397"/>
      <c r="BE220" s="397"/>
      <c r="BF220" s="397"/>
      <c r="BG220" s="397"/>
      <c r="BH220" s="397"/>
      <c r="BI220" s="397"/>
      <c r="BJ220" s="397"/>
      <c r="BK220" s="397"/>
      <c r="BL220" s="397"/>
      <c r="BM220" s="397"/>
      <c r="BN220" s="397"/>
      <c r="BO220" s="397"/>
      <c r="BP220" s="397"/>
      <c r="BQ220" s="397"/>
      <c r="BR220" s="397"/>
      <c r="BS220" s="397"/>
      <c r="BT220" s="397"/>
      <c r="BU220" s="397"/>
      <c r="BV220" s="397"/>
      <c r="BW220" s="397"/>
      <c r="BX220" s="397"/>
      <c r="BY220" s="397"/>
      <c r="BZ220" s="397"/>
      <c r="CA220" s="397"/>
      <c r="CB220" s="397"/>
      <c r="CC220" s="397"/>
      <c r="CD220" s="397"/>
      <c r="CE220" s="397"/>
      <c r="CF220" s="397"/>
      <c r="CG220" s="397"/>
      <c r="CH220" s="397"/>
      <c r="CI220" s="397"/>
      <c r="CJ220" s="397"/>
      <c r="CK220" s="397"/>
      <c r="CL220" s="397"/>
      <c r="CM220" s="397"/>
      <c r="CN220" s="397"/>
      <c r="CO220" s="397"/>
      <c r="CP220" s="397"/>
      <c r="CQ220" s="397"/>
      <c r="CR220" s="397"/>
      <c r="CS220" s="397"/>
      <c r="CT220" s="397"/>
      <c r="CU220" s="397"/>
      <c r="CV220" s="397"/>
      <c r="CW220" s="397"/>
      <c r="CX220" s="397"/>
      <c r="CY220" s="397"/>
      <c r="CZ220" s="397"/>
      <c r="DA220" s="397"/>
      <c r="DB220" s="397"/>
      <c r="DC220" s="397"/>
      <c r="DD220" s="397"/>
      <c r="DE220" s="397"/>
      <c r="DF220" s="397"/>
      <c r="DG220" s="397"/>
      <c r="DH220" s="397"/>
      <c r="DI220" s="397"/>
      <c r="DJ220" s="397"/>
      <c r="DK220" s="397"/>
      <c r="DL220" s="397"/>
      <c r="DM220" s="397"/>
      <c r="DN220" s="397"/>
      <c r="DO220" s="397"/>
      <c r="DP220" s="397"/>
      <c r="DQ220" s="397"/>
      <c r="DR220" s="397"/>
      <c r="DS220" s="397"/>
      <c r="DT220" s="397"/>
      <c r="DU220" s="397"/>
      <c r="DV220" s="397"/>
      <c r="DW220" s="397"/>
      <c r="DX220" s="397"/>
      <c r="DY220" s="397"/>
      <c r="DZ220" s="397"/>
      <c r="EA220" s="397"/>
      <c r="EB220" s="397"/>
      <c r="EC220" s="397"/>
      <c r="ED220" s="397"/>
      <c r="EE220" s="397"/>
      <c r="EF220" s="397"/>
      <c r="EG220" s="397"/>
      <c r="EH220" s="397"/>
      <c r="EI220" s="397"/>
      <c r="EJ220" s="397"/>
      <c r="EK220" s="397"/>
      <c r="EL220" s="397"/>
      <c r="EM220" s="397"/>
      <c r="EN220" s="397"/>
      <c r="EO220" s="397"/>
      <c r="EP220" s="397"/>
      <c r="EQ220" s="397"/>
      <c r="ER220" s="397"/>
      <c r="ES220" s="397"/>
      <c r="ET220" s="397"/>
      <c r="EU220" s="397"/>
      <c r="EV220" s="397"/>
      <c r="EW220" s="397"/>
      <c r="EX220" s="397"/>
      <c r="EY220" s="397"/>
      <c r="EZ220" s="397"/>
      <c r="FA220" s="397"/>
      <c r="FB220" s="397"/>
      <c r="FC220" s="397"/>
      <c r="FD220" s="397"/>
      <c r="FE220" s="397"/>
      <c r="FF220" s="397"/>
      <c r="FG220" s="397"/>
      <c r="FH220" s="397"/>
      <c r="FI220" s="397"/>
      <c r="FJ220" s="397"/>
      <c r="FK220" s="397"/>
      <c r="FL220" s="397"/>
      <c r="FM220" s="397"/>
      <c r="FN220" s="397"/>
      <c r="FO220" s="397"/>
      <c r="FP220" s="397"/>
      <c r="FQ220" s="397"/>
      <c r="FR220" s="397"/>
      <c r="FS220" s="397"/>
      <c r="FT220" s="397"/>
      <c r="FU220" s="397"/>
      <c r="FV220" s="397"/>
      <c r="FW220" s="397"/>
      <c r="FX220" s="397"/>
      <c r="FY220" s="397"/>
      <c r="FZ220" s="397"/>
      <c r="GA220" s="397"/>
      <c r="GB220" s="397"/>
      <c r="GC220" s="397"/>
      <c r="GD220" s="397"/>
      <c r="GE220" s="397"/>
      <c r="GF220" s="397"/>
      <c r="GG220" s="397"/>
      <c r="GH220" s="397"/>
      <c r="GI220" s="397"/>
      <c r="GJ220" s="397"/>
      <c r="GK220" s="397"/>
      <c r="GL220" s="397"/>
      <c r="GM220" s="397"/>
      <c r="GN220" s="397"/>
      <c r="GO220" s="397"/>
      <c r="GP220" s="397"/>
      <c r="GQ220" s="397"/>
      <c r="GR220" s="397"/>
      <c r="GS220" s="397"/>
      <c r="GT220" s="397"/>
      <c r="GU220" s="397"/>
      <c r="GV220" s="397"/>
      <c r="GW220" s="397"/>
      <c r="GX220" s="397"/>
      <c r="GY220" s="397"/>
      <c r="GZ220" s="397"/>
      <c r="HA220" s="397"/>
      <c r="HB220" s="397"/>
      <c r="HC220" s="397"/>
      <c r="HD220" s="397"/>
      <c r="HE220" s="397"/>
      <c r="HF220" s="397"/>
      <c r="HG220" s="397"/>
      <c r="HH220" s="397"/>
      <c r="HI220" s="397"/>
      <c r="HJ220" s="397"/>
      <c r="HK220" s="397"/>
      <c r="HL220" s="397"/>
      <c r="HM220" s="397"/>
      <c r="HN220" s="397"/>
      <c r="HO220" s="397"/>
      <c r="HP220" s="397"/>
      <c r="HQ220" s="397"/>
      <c r="HR220" s="397"/>
      <c r="HS220" s="397"/>
      <c r="HT220" s="397"/>
      <c r="HU220" s="397"/>
      <c r="HV220" s="397"/>
      <c r="HW220" s="397"/>
      <c r="HX220" s="397"/>
      <c r="HY220" s="397"/>
      <c r="HZ220" s="397"/>
      <c r="IA220" s="397"/>
      <c r="IB220" s="397"/>
      <c r="IC220" s="397"/>
      <c r="ID220" s="397"/>
      <c r="IE220" s="397"/>
      <c r="IF220" s="397"/>
      <c r="IG220" s="397"/>
      <c r="IH220" s="397"/>
      <c r="II220" s="397"/>
      <c r="IJ220" s="397"/>
      <c r="IK220" s="397"/>
      <c r="IL220" s="397"/>
      <c r="IM220" s="397"/>
      <c r="IN220" s="397"/>
      <c r="IO220" s="397"/>
      <c r="IP220" s="397"/>
      <c r="IQ220" s="397"/>
      <c r="IR220" s="397"/>
    </row>
    <row r="221" spans="2:252" s="183" customFormat="1" ht="25.15" customHeight="1" x14ac:dyDescent="0.25">
      <c r="B221" s="85"/>
      <c r="C221" s="187"/>
      <c r="E221" s="1"/>
      <c r="V221" s="397"/>
      <c r="W221" s="397"/>
      <c r="X221" s="397"/>
      <c r="Y221" s="397"/>
      <c r="Z221" s="397"/>
      <c r="AA221" s="397"/>
      <c r="AB221" s="397"/>
      <c r="AC221" s="397"/>
      <c r="AD221" s="397"/>
      <c r="AE221" s="397"/>
      <c r="AF221" s="397"/>
      <c r="AG221" s="397"/>
      <c r="AH221" s="397"/>
      <c r="AI221" s="397"/>
      <c r="AJ221" s="397"/>
      <c r="AK221" s="397"/>
      <c r="AL221" s="397"/>
      <c r="AM221" s="397"/>
      <c r="AN221" s="397"/>
      <c r="AO221" s="397"/>
      <c r="AP221" s="397"/>
      <c r="AQ221" s="397"/>
      <c r="AR221" s="397"/>
      <c r="AS221" s="397"/>
      <c r="AT221" s="397"/>
      <c r="AU221" s="397"/>
      <c r="AV221" s="397"/>
      <c r="AW221" s="397"/>
      <c r="AX221" s="397"/>
      <c r="AY221" s="397"/>
      <c r="AZ221" s="397"/>
      <c r="BA221" s="397"/>
      <c r="BB221" s="397"/>
      <c r="BC221" s="397"/>
      <c r="BD221" s="397"/>
      <c r="BE221" s="397"/>
      <c r="BF221" s="397"/>
      <c r="BG221" s="397"/>
      <c r="BH221" s="397"/>
      <c r="BI221" s="397"/>
      <c r="BJ221" s="397"/>
      <c r="BK221" s="397"/>
      <c r="BL221" s="397"/>
      <c r="BM221" s="397"/>
      <c r="BN221" s="397"/>
      <c r="BO221" s="397"/>
      <c r="BP221" s="397"/>
      <c r="BQ221" s="397"/>
      <c r="BR221" s="397"/>
      <c r="BS221" s="397"/>
      <c r="BT221" s="397"/>
      <c r="BU221" s="397"/>
      <c r="BV221" s="397"/>
      <c r="BW221" s="397"/>
      <c r="BX221" s="397"/>
      <c r="BY221" s="397"/>
      <c r="BZ221" s="397"/>
      <c r="CA221" s="397"/>
      <c r="CB221" s="397"/>
      <c r="CC221" s="397"/>
      <c r="CD221" s="397"/>
      <c r="CE221" s="397"/>
      <c r="CF221" s="397"/>
      <c r="CG221" s="397"/>
      <c r="CH221" s="397"/>
      <c r="CI221" s="397"/>
      <c r="CJ221" s="397"/>
      <c r="CK221" s="397"/>
      <c r="CL221" s="397"/>
      <c r="CM221" s="397"/>
      <c r="CN221" s="397"/>
      <c r="CO221" s="397"/>
      <c r="CP221" s="397"/>
      <c r="CQ221" s="397"/>
      <c r="CR221" s="397"/>
      <c r="CS221" s="397"/>
      <c r="CT221" s="397"/>
      <c r="CU221" s="397"/>
      <c r="CV221" s="397"/>
      <c r="CW221" s="397"/>
      <c r="CX221" s="397"/>
      <c r="CY221" s="397"/>
      <c r="CZ221" s="397"/>
      <c r="DA221" s="397"/>
      <c r="DB221" s="397"/>
      <c r="DC221" s="397"/>
      <c r="DD221" s="397"/>
      <c r="DE221" s="397"/>
      <c r="DF221" s="397"/>
      <c r="DG221" s="397"/>
      <c r="DH221" s="397"/>
      <c r="DI221" s="397"/>
      <c r="DJ221" s="397"/>
      <c r="DK221" s="397"/>
      <c r="DL221" s="397"/>
      <c r="DM221" s="397"/>
      <c r="DN221" s="397"/>
      <c r="DO221" s="397"/>
      <c r="DP221" s="397"/>
      <c r="DQ221" s="397"/>
      <c r="DR221" s="397"/>
      <c r="DS221" s="397"/>
      <c r="DT221" s="397"/>
      <c r="DU221" s="397"/>
      <c r="DV221" s="397"/>
      <c r="DW221" s="397"/>
      <c r="DX221" s="397"/>
      <c r="DY221" s="397"/>
      <c r="DZ221" s="397"/>
      <c r="EA221" s="397"/>
      <c r="EB221" s="397"/>
      <c r="EC221" s="397"/>
      <c r="ED221" s="397"/>
      <c r="EE221" s="397"/>
      <c r="EF221" s="397"/>
      <c r="EG221" s="397"/>
      <c r="EH221" s="397"/>
      <c r="EI221" s="397"/>
      <c r="EJ221" s="397"/>
      <c r="EK221" s="397"/>
      <c r="EL221" s="397"/>
      <c r="EM221" s="397"/>
      <c r="EN221" s="397"/>
      <c r="EO221" s="397"/>
      <c r="EP221" s="397"/>
      <c r="EQ221" s="397"/>
      <c r="ER221" s="397"/>
      <c r="ES221" s="397"/>
      <c r="ET221" s="397"/>
      <c r="EU221" s="397"/>
      <c r="EV221" s="397"/>
      <c r="EW221" s="397"/>
      <c r="EX221" s="397"/>
      <c r="EY221" s="397"/>
      <c r="EZ221" s="397"/>
      <c r="FA221" s="397"/>
      <c r="FB221" s="397"/>
      <c r="FC221" s="397"/>
      <c r="FD221" s="397"/>
      <c r="FE221" s="397"/>
      <c r="FF221" s="397"/>
      <c r="FG221" s="397"/>
      <c r="FH221" s="397"/>
      <c r="FI221" s="397"/>
      <c r="FJ221" s="397"/>
      <c r="FK221" s="397"/>
      <c r="FL221" s="397"/>
      <c r="FM221" s="397"/>
      <c r="FN221" s="397"/>
      <c r="FO221" s="397"/>
      <c r="FP221" s="397"/>
      <c r="FQ221" s="397"/>
      <c r="FR221" s="397"/>
      <c r="FS221" s="397"/>
      <c r="FT221" s="397"/>
      <c r="FU221" s="397"/>
      <c r="FV221" s="397"/>
      <c r="FW221" s="397"/>
      <c r="FX221" s="397"/>
      <c r="FY221" s="397"/>
      <c r="FZ221" s="397"/>
      <c r="GA221" s="397"/>
      <c r="GB221" s="397"/>
      <c r="GC221" s="397"/>
      <c r="GD221" s="397"/>
      <c r="GE221" s="397"/>
      <c r="GF221" s="397"/>
      <c r="GG221" s="397"/>
      <c r="GH221" s="397"/>
      <c r="GI221" s="397"/>
      <c r="GJ221" s="397"/>
      <c r="GK221" s="397"/>
      <c r="GL221" s="397"/>
      <c r="GM221" s="397"/>
      <c r="GN221" s="397"/>
      <c r="GO221" s="397"/>
      <c r="GP221" s="397"/>
      <c r="GQ221" s="397"/>
      <c r="GR221" s="397"/>
      <c r="GS221" s="397"/>
      <c r="GT221" s="397"/>
      <c r="GU221" s="397"/>
      <c r="GV221" s="397"/>
      <c r="GW221" s="397"/>
      <c r="GX221" s="397"/>
      <c r="GY221" s="397"/>
      <c r="GZ221" s="397"/>
      <c r="HA221" s="397"/>
      <c r="HB221" s="397"/>
      <c r="HC221" s="397"/>
      <c r="HD221" s="397"/>
      <c r="HE221" s="397"/>
      <c r="HF221" s="397"/>
      <c r="HG221" s="397"/>
      <c r="HH221" s="397"/>
      <c r="HI221" s="397"/>
      <c r="HJ221" s="397"/>
      <c r="HK221" s="397"/>
      <c r="HL221" s="397"/>
      <c r="HM221" s="397"/>
      <c r="HN221" s="397"/>
      <c r="HO221" s="397"/>
      <c r="HP221" s="397"/>
      <c r="HQ221" s="397"/>
      <c r="HR221" s="397"/>
      <c r="HS221" s="397"/>
      <c r="HT221" s="397"/>
      <c r="HU221" s="397"/>
      <c r="HV221" s="397"/>
      <c r="HW221" s="397"/>
      <c r="HX221" s="397"/>
      <c r="HY221" s="397"/>
      <c r="HZ221" s="397"/>
      <c r="IA221" s="397"/>
      <c r="IB221" s="397"/>
      <c r="IC221" s="397"/>
      <c r="ID221" s="397"/>
      <c r="IE221" s="397"/>
      <c r="IF221" s="397"/>
      <c r="IG221" s="397"/>
      <c r="IH221" s="397"/>
      <c r="II221" s="397"/>
      <c r="IJ221" s="397"/>
      <c r="IK221" s="397"/>
      <c r="IL221" s="397"/>
      <c r="IM221" s="397"/>
      <c r="IN221" s="397"/>
      <c r="IO221" s="397"/>
      <c r="IP221" s="397"/>
      <c r="IQ221" s="397"/>
      <c r="IR221" s="397"/>
    </row>
    <row r="222" spans="2:252" s="58" customFormat="1" ht="25.15" customHeight="1" x14ac:dyDescent="0.5">
      <c r="B222" s="242" t="s">
        <v>251</v>
      </c>
      <c r="V222" s="395"/>
      <c r="W222" s="395"/>
      <c r="X222" s="395"/>
      <c r="Y222" s="395"/>
      <c r="Z222" s="395"/>
      <c r="AA222" s="395"/>
      <c r="AB222" s="395"/>
      <c r="AC222" s="395"/>
      <c r="AD222" s="395"/>
      <c r="AE222" s="395"/>
      <c r="AF222" s="395"/>
      <c r="AG222" s="395"/>
      <c r="AH222" s="395"/>
      <c r="AI222" s="395"/>
      <c r="AJ222" s="395"/>
      <c r="AK222" s="395"/>
      <c r="AL222" s="395"/>
      <c r="AM222" s="395"/>
      <c r="AN222" s="395"/>
      <c r="AO222" s="395"/>
      <c r="AP222" s="395"/>
      <c r="AQ222" s="395"/>
      <c r="AR222" s="395"/>
      <c r="AS222" s="395"/>
      <c r="AT222" s="395"/>
      <c r="AU222" s="395"/>
      <c r="AV222" s="395"/>
      <c r="AW222" s="395"/>
      <c r="AX222" s="395"/>
      <c r="AY222" s="395"/>
      <c r="AZ222" s="395"/>
      <c r="BA222" s="395"/>
      <c r="BB222" s="395"/>
      <c r="BC222" s="395"/>
      <c r="BD222" s="395"/>
      <c r="BE222" s="395"/>
      <c r="BF222" s="395"/>
      <c r="BG222" s="395"/>
      <c r="BH222" s="395"/>
      <c r="BI222" s="395"/>
      <c r="BJ222" s="395"/>
      <c r="BK222" s="395"/>
      <c r="BL222" s="395"/>
      <c r="BM222" s="395"/>
      <c r="BN222" s="395"/>
      <c r="BO222" s="395"/>
      <c r="BP222" s="395"/>
      <c r="BQ222" s="395"/>
      <c r="BR222" s="395"/>
      <c r="BS222" s="395"/>
      <c r="BT222" s="395"/>
      <c r="BU222" s="395"/>
      <c r="BV222" s="395"/>
      <c r="BW222" s="395"/>
      <c r="BX222" s="395"/>
      <c r="BY222" s="395"/>
      <c r="BZ222" s="395"/>
      <c r="CA222" s="395"/>
      <c r="CB222" s="395"/>
      <c r="CC222" s="395"/>
      <c r="CD222" s="395"/>
      <c r="CE222" s="395"/>
      <c r="CF222" s="395"/>
      <c r="CG222" s="395"/>
      <c r="CH222" s="395"/>
      <c r="CI222" s="395"/>
      <c r="CJ222" s="395"/>
      <c r="CK222" s="395"/>
      <c r="CL222" s="395"/>
      <c r="CM222" s="395"/>
      <c r="CN222" s="395"/>
      <c r="CO222" s="395"/>
      <c r="CP222" s="395"/>
      <c r="CQ222" s="395"/>
      <c r="CR222" s="395"/>
      <c r="CS222" s="395"/>
      <c r="CT222" s="395"/>
      <c r="CU222" s="395"/>
      <c r="CV222" s="395"/>
      <c r="CW222" s="395"/>
      <c r="CX222" s="395"/>
      <c r="CY222" s="395"/>
      <c r="CZ222" s="395"/>
      <c r="DA222" s="395"/>
      <c r="DB222" s="395"/>
      <c r="DC222" s="395"/>
      <c r="DD222" s="395"/>
      <c r="DE222" s="395"/>
      <c r="DF222" s="395"/>
      <c r="DG222" s="395"/>
      <c r="DH222" s="395"/>
      <c r="DI222" s="395"/>
      <c r="DJ222" s="395"/>
      <c r="DK222" s="395"/>
      <c r="DL222" s="395"/>
      <c r="DM222" s="395"/>
      <c r="DN222" s="395"/>
      <c r="DO222" s="395"/>
      <c r="DP222" s="395"/>
      <c r="DQ222" s="395"/>
      <c r="DR222" s="395"/>
      <c r="DS222" s="395"/>
      <c r="DT222" s="395"/>
      <c r="DU222" s="395"/>
      <c r="DV222" s="395"/>
      <c r="DW222" s="395"/>
      <c r="DX222" s="395"/>
      <c r="DY222" s="395"/>
      <c r="DZ222" s="395"/>
      <c r="EA222" s="395"/>
      <c r="EB222" s="395"/>
      <c r="EC222" s="395"/>
      <c r="ED222" s="395"/>
      <c r="EE222" s="395"/>
      <c r="EF222" s="395"/>
      <c r="EG222" s="395"/>
      <c r="EH222" s="395"/>
      <c r="EI222" s="395"/>
      <c r="EJ222" s="395"/>
      <c r="EK222" s="395"/>
      <c r="EL222" s="395"/>
      <c r="EM222" s="395"/>
      <c r="EN222" s="395"/>
      <c r="EO222" s="395"/>
      <c r="EP222" s="395"/>
      <c r="EQ222" s="395"/>
      <c r="ER222" s="395"/>
      <c r="ES222" s="395"/>
      <c r="ET222" s="395"/>
      <c r="EU222" s="395"/>
      <c r="EV222" s="395"/>
      <c r="EW222" s="395"/>
      <c r="EX222" s="395"/>
      <c r="EY222" s="395"/>
      <c r="EZ222" s="395"/>
      <c r="FA222" s="395"/>
      <c r="FB222" s="395"/>
      <c r="FC222" s="395"/>
      <c r="FD222" s="395"/>
      <c r="FE222" s="395"/>
      <c r="FF222" s="395"/>
      <c r="FG222" s="395"/>
      <c r="FH222" s="395"/>
      <c r="FI222" s="395"/>
      <c r="FJ222" s="395"/>
      <c r="FK222" s="395"/>
      <c r="FL222" s="395"/>
      <c r="FM222" s="395"/>
      <c r="FN222" s="395"/>
      <c r="FO222" s="395"/>
      <c r="FP222" s="395"/>
      <c r="FQ222" s="395"/>
      <c r="FR222" s="395"/>
      <c r="FS222" s="395"/>
      <c r="FT222" s="395"/>
      <c r="FU222" s="395"/>
      <c r="FV222" s="395"/>
      <c r="FW222" s="395"/>
      <c r="FX222" s="395"/>
      <c r="FY222" s="395"/>
      <c r="FZ222" s="395"/>
      <c r="GA222" s="395"/>
      <c r="GB222" s="395"/>
      <c r="GC222" s="395"/>
      <c r="GD222" s="395"/>
      <c r="GE222" s="395"/>
      <c r="GF222" s="395"/>
      <c r="GG222" s="395"/>
      <c r="GH222" s="395"/>
      <c r="GI222" s="395"/>
      <c r="GJ222" s="395"/>
      <c r="GK222" s="395"/>
      <c r="GL222" s="395"/>
      <c r="GM222" s="395"/>
      <c r="GN222" s="395"/>
      <c r="GO222" s="395"/>
      <c r="GP222" s="395"/>
      <c r="GQ222" s="395"/>
      <c r="GR222" s="395"/>
      <c r="GS222" s="395"/>
      <c r="GT222" s="395"/>
      <c r="GU222" s="395"/>
      <c r="GV222" s="395"/>
      <c r="GW222" s="395"/>
      <c r="GX222" s="395"/>
      <c r="GY222" s="395"/>
      <c r="GZ222" s="395"/>
      <c r="HA222" s="395"/>
      <c r="HB222" s="395"/>
      <c r="HC222" s="395"/>
      <c r="HD222" s="395"/>
      <c r="HE222" s="395"/>
      <c r="HF222" s="395"/>
      <c r="HG222" s="395"/>
      <c r="HH222" s="395"/>
      <c r="HI222" s="395"/>
      <c r="HJ222" s="395"/>
      <c r="HK222" s="395"/>
      <c r="HL222" s="395"/>
      <c r="HM222" s="395"/>
      <c r="HN222" s="395"/>
      <c r="HO222" s="395"/>
      <c r="HP222" s="395"/>
      <c r="HQ222" s="395"/>
      <c r="HR222" s="395"/>
      <c r="HS222" s="395"/>
      <c r="HT222" s="395"/>
      <c r="HU222" s="395"/>
      <c r="HV222" s="395"/>
      <c r="HW222" s="395"/>
      <c r="HX222" s="395"/>
      <c r="HY222" s="395"/>
      <c r="HZ222" s="395"/>
      <c r="IA222" s="395"/>
      <c r="IB222" s="395"/>
      <c r="IC222" s="395"/>
      <c r="ID222" s="395"/>
      <c r="IE222" s="395"/>
      <c r="IF222" s="395"/>
      <c r="IG222" s="395"/>
      <c r="IH222" s="395"/>
      <c r="II222" s="395"/>
      <c r="IJ222" s="395"/>
      <c r="IK222" s="395"/>
      <c r="IL222" s="395"/>
      <c r="IM222" s="395"/>
      <c r="IN222" s="395"/>
      <c r="IO222" s="395"/>
      <c r="IP222" s="395"/>
      <c r="IQ222" s="395"/>
      <c r="IR222" s="395"/>
    </row>
    <row r="223" spans="2:252" s="58" customFormat="1" ht="25.15" customHeight="1" x14ac:dyDescent="0.25">
      <c r="B223" s="181" t="s">
        <v>27</v>
      </c>
      <c r="C223" s="195" t="s">
        <v>256</v>
      </c>
      <c r="D223" s="318" t="s">
        <v>257</v>
      </c>
      <c r="V223" s="395"/>
      <c r="W223" s="395"/>
      <c r="X223" s="395"/>
      <c r="Y223" s="395"/>
      <c r="Z223" s="395"/>
      <c r="AA223" s="395"/>
      <c r="AB223" s="395"/>
      <c r="AC223" s="395"/>
      <c r="AD223" s="395"/>
      <c r="AE223" s="395"/>
      <c r="AF223" s="395"/>
      <c r="AG223" s="395"/>
      <c r="AH223" s="395"/>
      <c r="AI223" s="395"/>
      <c r="AJ223" s="395"/>
      <c r="AK223" s="395"/>
      <c r="AL223" s="395"/>
      <c r="AM223" s="395"/>
      <c r="AN223" s="395"/>
      <c r="AO223" s="395"/>
      <c r="AP223" s="395"/>
      <c r="AQ223" s="395"/>
      <c r="AR223" s="395"/>
      <c r="AS223" s="395"/>
      <c r="AT223" s="395"/>
      <c r="AU223" s="395"/>
      <c r="AV223" s="395"/>
      <c r="AW223" s="395"/>
      <c r="AX223" s="395"/>
      <c r="AY223" s="395"/>
      <c r="AZ223" s="395"/>
      <c r="BA223" s="395"/>
      <c r="BB223" s="395"/>
      <c r="BC223" s="395"/>
      <c r="BD223" s="395"/>
      <c r="BE223" s="395"/>
      <c r="BF223" s="395"/>
      <c r="BG223" s="395"/>
      <c r="BH223" s="395"/>
      <c r="BI223" s="395"/>
      <c r="BJ223" s="395"/>
      <c r="BK223" s="395"/>
      <c r="BL223" s="395"/>
      <c r="BM223" s="395"/>
      <c r="BN223" s="395"/>
      <c r="BO223" s="395"/>
      <c r="BP223" s="395"/>
      <c r="BQ223" s="395"/>
      <c r="BR223" s="395"/>
      <c r="BS223" s="395"/>
      <c r="BT223" s="395"/>
      <c r="BU223" s="395"/>
      <c r="BV223" s="395"/>
      <c r="BW223" s="395"/>
      <c r="BX223" s="395"/>
      <c r="BY223" s="395"/>
      <c r="BZ223" s="395"/>
      <c r="CA223" s="395"/>
      <c r="CB223" s="395"/>
      <c r="CC223" s="395"/>
      <c r="CD223" s="395"/>
      <c r="CE223" s="395"/>
      <c r="CF223" s="395"/>
      <c r="CG223" s="395"/>
      <c r="CH223" s="395"/>
      <c r="CI223" s="395"/>
      <c r="CJ223" s="395"/>
      <c r="CK223" s="395"/>
      <c r="CL223" s="395"/>
      <c r="CM223" s="395"/>
      <c r="CN223" s="395"/>
      <c r="CO223" s="395"/>
      <c r="CP223" s="395"/>
      <c r="CQ223" s="395"/>
      <c r="CR223" s="395"/>
      <c r="CS223" s="395"/>
      <c r="CT223" s="395"/>
      <c r="CU223" s="395"/>
      <c r="CV223" s="395"/>
      <c r="CW223" s="395"/>
      <c r="CX223" s="395"/>
      <c r="CY223" s="395"/>
      <c r="CZ223" s="395"/>
      <c r="DA223" s="395"/>
      <c r="DB223" s="395"/>
      <c r="DC223" s="395"/>
      <c r="DD223" s="395"/>
      <c r="DE223" s="395"/>
      <c r="DF223" s="395"/>
      <c r="DG223" s="395"/>
      <c r="DH223" s="395"/>
      <c r="DI223" s="395"/>
      <c r="DJ223" s="395"/>
      <c r="DK223" s="395"/>
      <c r="DL223" s="395"/>
      <c r="DM223" s="395"/>
      <c r="DN223" s="395"/>
      <c r="DO223" s="395"/>
      <c r="DP223" s="395"/>
      <c r="DQ223" s="395"/>
      <c r="DR223" s="395"/>
      <c r="DS223" s="395"/>
      <c r="DT223" s="395"/>
      <c r="DU223" s="395"/>
      <c r="DV223" s="395"/>
      <c r="DW223" s="395"/>
      <c r="DX223" s="395"/>
      <c r="DY223" s="395"/>
      <c r="DZ223" s="395"/>
      <c r="EA223" s="395"/>
      <c r="EB223" s="395"/>
      <c r="EC223" s="395"/>
      <c r="ED223" s="395"/>
      <c r="EE223" s="395"/>
      <c r="EF223" s="395"/>
      <c r="EG223" s="395"/>
      <c r="EH223" s="395"/>
      <c r="EI223" s="395"/>
      <c r="EJ223" s="395"/>
      <c r="EK223" s="395"/>
      <c r="EL223" s="395"/>
      <c r="EM223" s="395"/>
      <c r="EN223" s="395"/>
      <c r="EO223" s="395"/>
      <c r="EP223" s="395"/>
      <c r="EQ223" s="395"/>
      <c r="ER223" s="395"/>
      <c r="ES223" s="395"/>
      <c r="ET223" s="395"/>
      <c r="EU223" s="395"/>
      <c r="EV223" s="395"/>
      <c r="EW223" s="395"/>
      <c r="EX223" s="395"/>
      <c r="EY223" s="395"/>
      <c r="EZ223" s="395"/>
      <c r="FA223" s="395"/>
      <c r="FB223" s="395"/>
      <c r="FC223" s="395"/>
      <c r="FD223" s="395"/>
      <c r="FE223" s="395"/>
      <c r="FF223" s="395"/>
      <c r="FG223" s="395"/>
      <c r="FH223" s="395"/>
      <c r="FI223" s="395"/>
      <c r="FJ223" s="395"/>
      <c r="FK223" s="395"/>
      <c r="FL223" s="395"/>
      <c r="FM223" s="395"/>
      <c r="FN223" s="395"/>
      <c r="FO223" s="395"/>
      <c r="FP223" s="395"/>
      <c r="FQ223" s="395"/>
      <c r="FR223" s="395"/>
      <c r="FS223" s="395"/>
      <c r="FT223" s="395"/>
      <c r="FU223" s="395"/>
      <c r="FV223" s="395"/>
      <c r="FW223" s="395"/>
      <c r="FX223" s="395"/>
      <c r="FY223" s="395"/>
      <c r="FZ223" s="395"/>
      <c r="GA223" s="395"/>
      <c r="GB223" s="395"/>
      <c r="GC223" s="395"/>
      <c r="GD223" s="395"/>
      <c r="GE223" s="395"/>
      <c r="GF223" s="395"/>
      <c r="GG223" s="395"/>
      <c r="GH223" s="395"/>
      <c r="GI223" s="395"/>
      <c r="GJ223" s="395"/>
      <c r="GK223" s="395"/>
      <c r="GL223" s="395"/>
      <c r="GM223" s="395"/>
      <c r="GN223" s="395"/>
      <c r="GO223" s="395"/>
      <c r="GP223" s="395"/>
      <c r="GQ223" s="395"/>
      <c r="GR223" s="395"/>
      <c r="GS223" s="395"/>
      <c r="GT223" s="395"/>
      <c r="GU223" s="395"/>
      <c r="GV223" s="395"/>
      <c r="GW223" s="395"/>
      <c r="GX223" s="395"/>
      <c r="GY223" s="395"/>
      <c r="GZ223" s="395"/>
      <c r="HA223" s="395"/>
      <c r="HB223" s="395"/>
      <c r="HC223" s="395"/>
      <c r="HD223" s="395"/>
      <c r="HE223" s="395"/>
      <c r="HF223" s="395"/>
      <c r="HG223" s="395"/>
      <c r="HH223" s="395"/>
      <c r="HI223" s="395"/>
      <c r="HJ223" s="395"/>
      <c r="HK223" s="395"/>
      <c r="HL223" s="395"/>
      <c r="HM223" s="395"/>
      <c r="HN223" s="395"/>
      <c r="HO223" s="395"/>
      <c r="HP223" s="395"/>
      <c r="HQ223" s="395"/>
      <c r="HR223" s="395"/>
      <c r="HS223" s="395"/>
      <c r="HT223" s="395"/>
      <c r="HU223" s="395"/>
      <c r="HV223" s="395"/>
      <c r="HW223" s="395"/>
      <c r="HX223" s="395"/>
      <c r="HY223" s="395"/>
      <c r="HZ223" s="395"/>
      <c r="IA223" s="395"/>
      <c r="IB223" s="395"/>
      <c r="IC223" s="395"/>
      <c r="ID223" s="395"/>
      <c r="IE223" s="395"/>
      <c r="IF223" s="395"/>
      <c r="IG223" s="395"/>
      <c r="IH223" s="395"/>
      <c r="II223" s="395"/>
      <c r="IJ223" s="395"/>
      <c r="IK223" s="395"/>
      <c r="IL223" s="395"/>
      <c r="IM223" s="395"/>
      <c r="IN223" s="395"/>
      <c r="IO223" s="395"/>
      <c r="IP223" s="395"/>
      <c r="IQ223" s="395"/>
      <c r="IR223" s="395"/>
    </row>
    <row r="224" spans="2:252" s="58" customFormat="1" ht="25.15" customHeight="1" x14ac:dyDescent="0.25">
      <c r="B224" s="318">
        <v>43011</v>
      </c>
      <c r="C224" s="321">
        <v>40</v>
      </c>
      <c r="D224" s="321">
        <f>IF(ISNUMBER(D223),Table3[[#This Row],[Amount]]+D223,0)</f>
        <v>0</v>
      </c>
      <c r="V224" s="395"/>
      <c r="W224" s="395"/>
      <c r="X224" s="395"/>
      <c r="Y224" s="395"/>
      <c r="Z224" s="395"/>
      <c r="AA224" s="395"/>
      <c r="AB224" s="395"/>
      <c r="AC224" s="395"/>
      <c r="AD224" s="395"/>
      <c r="AE224" s="395"/>
      <c r="AF224" s="395"/>
      <c r="AG224" s="395"/>
      <c r="AH224" s="395"/>
      <c r="AI224" s="395"/>
      <c r="AJ224" s="395"/>
      <c r="AK224" s="395"/>
      <c r="AL224" s="395"/>
      <c r="AM224" s="395"/>
      <c r="AN224" s="395"/>
      <c r="AO224" s="395"/>
      <c r="AP224" s="395"/>
      <c r="AQ224" s="395"/>
      <c r="AR224" s="395"/>
      <c r="AS224" s="395"/>
      <c r="AT224" s="395"/>
      <c r="AU224" s="395"/>
      <c r="AV224" s="395"/>
      <c r="AW224" s="395"/>
      <c r="AX224" s="395"/>
      <c r="AY224" s="395"/>
      <c r="AZ224" s="395"/>
      <c r="BA224" s="395"/>
      <c r="BB224" s="395"/>
      <c r="BC224" s="395"/>
      <c r="BD224" s="395"/>
      <c r="BE224" s="395"/>
      <c r="BF224" s="395"/>
      <c r="BG224" s="395"/>
      <c r="BH224" s="395"/>
      <c r="BI224" s="395"/>
      <c r="BJ224" s="395"/>
      <c r="BK224" s="395"/>
      <c r="BL224" s="395"/>
      <c r="BM224" s="395"/>
      <c r="BN224" s="395"/>
      <c r="BO224" s="395"/>
      <c r="BP224" s="395"/>
      <c r="BQ224" s="395"/>
      <c r="BR224" s="395"/>
      <c r="BS224" s="395"/>
      <c r="BT224" s="395"/>
      <c r="BU224" s="395"/>
      <c r="BV224" s="395"/>
      <c r="BW224" s="395"/>
      <c r="BX224" s="395"/>
      <c r="BY224" s="395"/>
      <c r="BZ224" s="395"/>
      <c r="CA224" s="395"/>
      <c r="CB224" s="395"/>
      <c r="CC224" s="395"/>
      <c r="CD224" s="395"/>
      <c r="CE224" s="395"/>
      <c r="CF224" s="395"/>
      <c r="CG224" s="395"/>
      <c r="CH224" s="395"/>
      <c r="CI224" s="395"/>
      <c r="CJ224" s="395"/>
      <c r="CK224" s="395"/>
      <c r="CL224" s="395"/>
      <c r="CM224" s="395"/>
      <c r="CN224" s="395"/>
      <c r="CO224" s="395"/>
      <c r="CP224" s="395"/>
      <c r="CQ224" s="395"/>
      <c r="CR224" s="395"/>
      <c r="CS224" s="395"/>
      <c r="CT224" s="395"/>
      <c r="CU224" s="395"/>
      <c r="CV224" s="395"/>
      <c r="CW224" s="395"/>
      <c r="CX224" s="395"/>
      <c r="CY224" s="395"/>
      <c r="CZ224" s="395"/>
      <c r="DA224" s="395"/>
      <c r="DB224" s="395"/>
      <c r="DC224" s="395"/>
      <c r="DD224" s="395"/>
      <c r="DE224" s="395"/>
      <c r="DF224" s="395"/>
      <c r="DG224" s="395"/>
      <c r="DH224" s="395"/>
      <c r="DI224" s="395"/>
      <c r="DJ224" s="395"/>
      <c r="DK224" s="395"/>
      <c r="DL224" s="395"/>
      <c r="DM224" s="395"/>
      <c r="DN224" s="395"/>
      <c r="DO224" s="395"/>
      <c r="DP224" s="395"/>
      <c r="DQ224" s="395"/>
      <c r="DR224" s="395"/>
      <c r="DS224" s="395"/>
      <c r="DT224" s="395"/>
      <c r="DU224" s="395"/>
      <c r="DV224" s="395"/>
      <c r="DW224" s="395"/>
      <c r="DX224" s="395"/>
      <c r="DY224" s="395"/>
      <c r="DZ224" s="395"/>
      <c r="EA224" s="395"/>
      <c r="EB224" s="395"/>
      <c r="EC224" s="395"/>
      <c r="ED224" s="395"/>
      <c r="EE224" s="395"/>
      <c r="EF224" s="395"/>
      <c r="EG224" s="395"/>
      <c r="EH224" s="395"/>
      <c r="EI224" s="395"/>
      <c r="EJ224" s="395"/>
      <c r="EK224" s="395"/>
      <c r="EL224" s="395"/>
      <c r="EM224" s="395"/>
      <c r="EN224" s="395"/>
      <c r="EO224" s="395"/>
      <c r="EP224" s="395"/>
      <c r="EQ224" s="395"/>
      <c r="ER224" s="395"/>
      <c r="ES224" s="395"/>
      <c r="ET224" s="395"/>
      <c r="EU224" s="395"/>
      <c r="EV224" s="395"/>
      <c r="EW224" s="395"/>
      <c r="EX224" s="395"/>
      <c r="EY224" s="395"/>
      <c r="EZ224" s="395"/>
      <c r="FA224" s="395"/>
      <c r="FB224" s="395"/>
      <c r="FC224" s="395"/>
      <c r="FD224" s="395"/>
      <c r="FE224" s="395"/>
      <c r="FF224" s="395"/>
      <c r="FG224" s="395"/>
      <c r="FH224" s="395"/>
      <c r="FI224" s="395"/>
      <c r="FJ224" s="395"/>
      <c r="FK224" s="395"/>
      <c r="FL224" s="395"/>
      <c r="FM224" s="395"/>
      <c r="FN224" s="395"/>
      <c r="FO224" s="395"/>
      <c r="FP224" s="395"/>
      <c r="FQ224" s="395"/>
      <c r="FR224" s="395"/>
      <c r="FS224" s="395"/>
      <c r="FT224" s="395"/>
      <c r="FU224" s="395"/>
      <c r="FV224" s="395"/>
      <c r="FW224" s="395"/>
      <c r="FX224" s="395"/>
      <c r="FY224" s="395"/>
      <c r="FZ224" s="395"/>
      <c r="GA224" s="395"/>
      <c r="GB224" s="395"/>
      <c r="GC224" s="395"/>
      <c r="GD224" s="395"/>
      <c r="GE224" s="395"/>
      <c r="GF224" s="395"/>
      <c r="GG224" s="395"/>
      <c r="GH224" s="395"/>
      <c r="GI224" s="395"/>
      <c r="GJ224" s="395"/>
      <c r="GK224" s="395"/>
      <c r="GL224" s="395"/>
      <c r="GM224" s="395"/>
      <c r="GN224" s="395"/>
      <c r="GO224" s="395"/>
      <c r="GP224" s="395"/>
      <c r="GQ224" s="395"/>
      <c r="GR224" s="395"/>
      <c r="GS224" s="395"/>
      <c r="GT224" s="395"/>
      <c r="GU224" s="395"/>
      <c r="GV224" s="395"/>
      <c r="GW224" s="395"/>
      <c r="GX224" s="395"/>
      <c r="GY224" s="395"/>
      <c r="GZ224" s="395"/>
      <c r="HA224" s="395"/>
      <c r="HB224" s="395"/>
      <c r="HC224" s="395"/>
      <c r="HD224" s="395"/>
      <c r="HE224" s="395"/>
      <c r="HF224" s="395"/>
      <c r="HG224" s="395"/>
      <c r="HH224" s="395"/>
      <c r="HI224" s="395"/>
      <c r="HJ224" s="395"/>
      <c r="HK224" s="395"/>
      <c r="HL224" s="395"/>
      <c r="HM224" s="395"/>
      <c r="HN224" s="395"/>
      <c r="HO224" s="395"/>
      <c r="HP224" s="395"/>
      <c r="HQ224" s="395"/>
      <c r="HR224" s="395"/>
      <c r="HS224" s="395"/>
      <c r="HT224" s="395"/>
      <c r="HU224" s="395"/>
      <c r="HV224" s="395"/>
      <c r="HW224" s="395"/>
      <c r="HX224" s="395"/>
      <c r="HY224" s="395"/>
      <c r="HZ224" s="395"/>
      <c r="IA224" s="395"/>
      <c r="IB224" s="395"/>
      <c r="IC224" s="395"/>
      <c r="ID224" s="395"/>
      <c r="IE224" s="395"/>
      <c r="IF224" s="395"/>
      <c r="IG224" s="395"/>
      <c r="IH224" s="395"/>
      <c r="II224" s="395"/>
      <c r="IJ224" s="395"/>
      <c r="IK224" s="395"/>
      <c r="IL224" s="395"/>
      <c r="IM224" s="395"/>
      <c r="IN224" s="395"/>
      <c r="IO224" s="395"/>
      <c r="IP224" s="395"/>
      <c r="IQ224" s="395"/>
      <c r="IR224" s="395"/>
    </row>
    <row r="225" spans="2:252" s="58" customFormat="1" ht="25.15" customHeight="1" x14ac:dyDescent="0.25">
      <c r="B225" s="318">
        <v>43012</v>
      </c>
      <c r="C225" s="321">
        <v>8400</v>
      </c>
      <c r="D225" s="321">
        <f>IF(ISNUMBER(D224),Table3[[#This Row],[Amount]]+D224,0)</f>
        <v>8400</v>
      </c>
      <c r="V225" s="395"/>
      <c r="W225" s="395"/>
      <c r="X225" s="395"/>
      <c r="Y225" s="395"/>
      <c r="Z225" s="395"/>
      <c r="AA225" s="395"/>
      <c r="AB225" s="395"/>
      <c r="AC225" s="395"/>
      <c r="AD225" s="395"/>
      <c r="AE225" s="395"/>
      <c r="AF225" s="395"/>
      <c r="AG225" s="395"/>
      <c r="AH225" s="395"/>
      <c r="AI225" s="395"/>
      <c r="AJ225" s="395"/>
      <c r="AK225" s="395"/>
      <c r="AL225" s="395"/>
      <c r="AM225" s="395"/>
      <c r="AN225" s="395"/>
      <c r="AO225" s="395"/>
      <c r="AP225" s="395"/>
      <c r="AQ225" s="395"/>
      <c r="AR225" s="395"/>
      <c r="AS225" s="395"/>
      <c r="AT225" s="395"/>
      <c r="AU225" s="395"/>
      <c r="AV225" s="395"/>
      <c r="AW225" s="395"/>
      <c r="AX225" s="395"/>
      <c r="AY225" s="395"/>
      <c r="AZ225" s="395"/>
      <c r="BA225" s="395"/>
      <c r="BB225" s="395"/>
      <c r="BC225" s="395"/>
      <c r="BD225" s="395"/>
      <c r="BE225" s="395"/>
      <c r="BF225" s="395"/>
      <c r="BG225" s="395"/>
      <c r="BH225" s="395"/>
      <c r="BI225" s="395"/>
      <c r="BJ225" s="395"/>
      <c r="BK225" s="395"/>
      <c r="BL225" s="395"/>
      <c r="BM225" s="395"/>
      <c r="BN225" s="395"/>
      <c r="BO225" s="395"/>
      <c r="BP225" s="395"/>
      <c r="BQ225" s="395"/>
      <c r="BR225" s="395"/>
      <c r="BS225" s="395"/>
      <c r="BT225" s="395"/>
      <c r="BU225" s="395"/>
      <c r="BV225" s="395"/>
      <c r="BW225" s="395"/>
      <c r="BX225" s="395"/>
      <c r="BY225" s="395"/>
      <c r="BZ225" s="395"/>
      <c r="CA225" s="395"/>
      <c r="CB225" s="395"/>
      <c r="CC225" s="395"/>
      <c r="CD225" s="395"/>
      <c r="CE225" s="395"/>
      <c r="CF225" s="395"/>
      <c r="CG225" s="395"/>
      <c r="CH225" s="395"/>
      <c r="CI225" s="395"/>
      <c r="CJ225" s="395"/>
      <c r="CK225" s="395"/>
      <c r="CL225" s="395"/>
      <c r="CM225" s="395"/>
      <c r="CN225" s="395"/>
      <c r="CO225" s="395"/>
      <c r="CP225" s="395"/>
      <c r="CQ225" s="395"/>
      <c r="CR225" s="395"/>
      <c r="CS225" s="395"/>
      <c r="CT225" s="395"/>
      <c r="CU225" s="395"/>
      <c r="CV225" s="395"/>
      <c r="CW225" s="395"/>
      <c r="CX225" s="395"/>
      <c r="CY225" s="395"/>
      <c r="CZ225" s="395"/>
      <c r="DA225" s="395"/>
      <c r="DB225" s="395"/>
      <c r="DC225" s="395"/>
      <c r="DD225" s="395"/>
      <c r="DE225" s="395"/>
      <c r="DF225" s="395"/>
      <c r="DG225" s="395"/>
      <c r="DH225" s="395"/>
      <c r="DI225" s="395"/>
      <c r="DJ225" s="395"/>
      <c r="DK225" s="395"/>
      <c r="DL225" s="395"/>
      <c r="DM225" s="395"/>
      <c r="DN225" s="395"/>
      <c r="DO225" s="395"/>
      <c r="DP225" s="395"/>
      <c r="DQ225" s="395"/>
      <c r="DR225" s="395"/>
      <c r="DS225" s="395"/>
      <c r="DT225" s="395"/>
      <c r="DU225" s="395"/>
      <c r="DV225" s="395"/>
      <c r="DW225" s="395"/>
      <c r="DX225" s="395"/>
      <c r="DY225" s="395"/>
      <c r="DZ225" s="395"/>
      <c r="EA225" s="395"/>
      <c r="EB225" s="395"/>
      <c r="EC225" s="395"/>
      <c r="ED225" s="395"/>
      <c r="EE225" s="395"/>
      <c r="EF225" s="395"/>
      <c r="EG225" s="395"/>
      <c r="EH225" s="395"/>
      <c r="EI225" s="395"/>
      <c r="EJ225" s="395"/>
      <c r="EK225" s="395"/>
      <c r="EL225" s="395"/>
      <c r="EM225" s="395"/>
      <c r="EN225" s="395"/>
      <c r="EO225" s="395"/>
      <c r="EP225" s="395"/>
      <c r="EQ225" s="395"/>
      <c r="ER225" s="395"/>
      <c r="ES225" s="395"/>
      <c r="ET225" s="395"/>
      <c r="EU225" s="395"/>
      <c r="EV225" s="395"/>
      <c r="EW225" s="395"/>
      <c r="EX225" s="395"/>
      <c r="EY225" s="395"/>
      <c r="EZ225" s="395"/>
      <c r="FA225" s="395"/>
      <c r="FB225" s="395"/>
      <c r="FC225" s="395"/>
      <c r="FD225" s="395"/>
      <c r="FE225" s="395"/>
      <c r="FF225" s="395"/>
      <c r="FG225" s="395"/>
      <c r="FH225" s="395"/>
      <c r="FI225" s="395"/>
      <c r="FJ225" s="395"/>
      <c r="FK225" s="395"/>
      <c r="FL225" s="395"/>
      <c r="FM225" s="395"/>
      <c r="FN225" s="395"/>
      <c r="FO225" s="395"/>
      <c r="FP225" s="395"/>
      <c r="FQ225" s="395"/>
      <c r="FR225" s="395"/>
      <c r="FS225" s="395"/>
      <c r="FT225" s="395"/>
      <c r="FU225" s="395"/>
      <c r="FV225" s="395"/>
      <c r="FW225" s="395"/>
      <c r="FX225" s="395"/>
      <c r="FY225" s="395"/>
      <c r="FZ225" s="395"/>
      <c r="GA225" s="395"/>
      <c r="GB225" s="395"/>
      <c r="GC225" s="395"/>
      <c r="GD225" s="395"/>
      <c r="GE225" s="395"/>
      <c r="GF225" s="395"/>
      <c r="GG225" s="395"/>
      <c r="GH225" s="395"/>
      <c r="GI225" s="395"/>
      <c r="GJ225" s="395"/>
      <c r="GK225" s="395"/>
      <c r="GL225" s="395"/>
      <c r="GM225" s="395"/>
      <c r="GN225" s="395"/>
      <c r="GO225" s="395"/>
      <c r="GP225" s="395"/>
      <c r="GQ225" s="395"/>
      <c r="GR225" s="395"/>
      <c r="GS225" s="395"/>
      <c r="GT225" s="395"/>
      <c r="GU225" s="395"/>
      <c r="GV225" s="395"/>
      <c r="GW225" s="395"/>
      <c r="GX225" s="395"/>
      <c r="GY225" s="395"/>
      <c r="GZ225" s="395"/>
      <c r="HA225" s="395"/>
      <c r="HB225" s="395"/>
      <c r="HC225" s="395"/>
      <c r="HD225" s="395"/>
      <c r="HE225" s="395"/>
      <c r="HF225" s="395"/>
      <c r="HG225" s="395"/>
      <c r="HH225" s="395"/>
      <c r="HI225" s="395"/>
      <c r="HJ225" s="395"/>
      <c r="HK225" s="395"/>
      <c r="HL225" s="395"/>
      <c r="HM225" s="395"/>
      <c r="HN225" s="395"/>
      <c r="HO225" s="395"/>
      <c r="HP225" s="395"/>
      <c r="HQ225" s="395"/>
      <c r="HR225" s="395"/>
      <c r="HS225" s="395"/>
      <c r="HT225" s="395"/>
      <c r="HU225" s="395"/>
      <c r="HV225" s="395"/>
      <c r="HW225" s="395"/>
      <c r="HX225" s="395"/>
      <c r="HY225" s="395"/>
      <c r="HZ225" s="395"/>
      <c r="IA225" s="395"/>
      <c r="IB225" s="395"/>
      <c r="IC225" s="395"/>
      <c r="ID225" s="395"/>
      <c r="IE225" s="395"/>
      <c r="IF225" s="395"/>
      <c r="IG225" s="395"/>
      <c r="IH225" s="395"/>
      <c r="II225" s="395"/>
      <c r="IJ225" s="395"/>
      <c r="IK225" s="395"/>
      <c r="IL225" s="395"/>
      <c r="IM225" s="395"/>
      <c r="IN225" s="395"/>
      <c r="IO225" s="395"/>
      <c r="IP225" s="395"/>
      <c r="IQ225" s="395"/>
      <c r="IR225" s="395"/>
    </row>
    <row r="226" spans="2:252" s="58" customFormat="1" ht="25.15" customHeight="1" x14ac:dyDescent="0.25">
      <c r="B226" s="318">
        <v>43012</v>
      </c>
      <c r="C226" s="321">
        <v>850</v>
      </c>
      <c r="D226" s="321">
        <f>IF(ISNUMBER(D225),Table3[[#This Row],[Amount]]+D225,0)</f>
        <v>9250</v>
      </c>
      <c r="V226" s="395"/>
      <c r="W226" s="395"/>
      <c r="X226" s="395"/>
      <c r="Y226" s="395"/>
      <c r="Z226" s="395"/>
      <c r="AA226" s="395"/>
      <c r="AB226" s="395"/>
      <c r="AC226" s="395"/>
      <c r="AD226" s="395"/>
      <c r="AE226" s="395"/>
      <c r="AF226" s="395"/>
      <c r="AG226" s="395"/>
      <c r="AH226" s="395"/>
      <c r="AI226" s="395"/>
      <c r="AJ226" s="395"/>
      <c r="AK226" s="395"/>
      <c r="AL226" s="395"/>
      <c r="AM226" s="395"/>
      <c r="AN226" s="395"/>
      <c r="AO226" s="395"/>
      <c r="AP226" s="395"/>
      <c r="AQ226" s="395"/>
      <c r="AR226" s="395"/>
      <c r="AS226" s="395"/>
      <c r="AT226" s="395"/>
      <c r="AU226" s="395"/>
      <c r="AV226" s="395"/>
      <c r="AW226" s="395"/>
      <c r="AX226" s="395"/>
      <c r="AY226" s="395"/>
      <c r="AZ226" s="395"/>
      <c r="BA226" s="395"/>
      <c r="BB226" s="395"/>
      <c r="BC226" s="395"/>
      <c r="BD226" s="395"/>
      <c r="BE226" s="395"/>
      <c r="BF226" s="395"/>
      <c r="BG226" s="395"/>
      <c r="BH226" s="395"/>
      <c r="BI226" s="395"/>
      <c r="BJ226" s="395"/>
      <c r="BK226" s="395"/>
      <c r="BL226" s="395"/>
      <c r="BM226" s="395"/>
      <c r="BN226" s="395"/>
      <c r="BO226" s="395"/>
      <c r="BP226" s="395"/>
      <c r="BQ226" s="395"/>
      <c r="BR226" s="395"/>
      <c r="BS226" s="395"/>
      <c r="BT226" s="395"/>
      <c r="BU226" s="395"/>
      <c r="BV226" s="395"/>
      <c r="BW226" s="395"/>
      <c r="BX226" s="395"/>
      <c r="BY226" s="395"/>
      <c r="BZ226" s="395"/>
      <c r="CA226" s="395"/>
      <c r="CB226" s="395"/>
      <c r="CC226" s="395"/>
      <c r="CD226" s="395"/>
      <c r="CE226" s="395"/>
      <c r="CF226" s="395"/>
      <c r="CG226" s="395"/>
      <c r="CH226" s="395"/>
      <c r="CI226" s="395"/>
      <c r="CJ226" s="395"/>
      <c r="CK226" s="395"/>
      <c r="CL226" s="395"/>
      <c r="CM226" s="395"/>
      <c r="CN226" s="395"/>
      <c r="CO226" s="395"/>
      <c r="CP226" s="395"/>
      <c r="CQ226" s="395"/>
      <c r="CR226" s="395"/>
      <c r="CS226" s="395"/>
      <c r="CT226" s="395"/>
      <c r="CU226" s="395"/>
      <c r="CV226" s="395"/>
      <c r="CW226" s="395"/>
      <c r="CX226" s="395"/>
      <c r="CY226" s="395"/>
      <c r="CZ226" s="395"/>
      <c r="DA226" s="395"/>
      <c r="DB226" s="395"/>
      <c r="DC226" s="395"/>
      <c r="DD226" s="395"/>
      <c r="DE226" s="395"/>
      <c r="DF226" s="395"/>
      <c r="DG226" s="395"/>
      <c r="DH226" s="395"/>
      <c r="DI226" s="395"/>
      <c r="DJ226" s="395"/>
      <c r="DK226" s="395"/>
      <c r="DL226" s="395"/>
      <c r="DM226" s="395"/>
      <c r="DN226" s="395"/>
      <c r="DO226" s="395"/>
      <c r="DP226" s="395"/>
      <c r="DQ226" s="395"/>
      <c r="DR226" s="395"/>
      <c r="DS226" s="395"/>
      <c r="DT226" s="395"/>
      <c r="DU226" s="395"/>
      <c r="DV226" s="395"/>
      <c r="DW226" s="395"/>
      <c r="DX226" s="395"/>
      <c r="DY226" s="395"/>
      <c r="DZ226" s="395"/>
      <c r="EA226" s="395"/>
      <c r="EB226" s="395"/>
      <c r="EC226" s="395"/>
      <c r="ED226" s="395"/>
      <c r="EE226" s="395"/>
      <c r="EF226" s="395"/>
      <c r="EG226" s="395"/>
      <c r="EH226" s="395"/>
      <c r="EI226" s="395"/>
      <c r="EJ226" s="395"/>
      <c r="EK226" s="395"/>
      <c r="EL226" s="395"/>
      <c r="EM226" s="395"/>
      <c r="EN226" s="395"/>
      <c r="EO226" s="395"/>
      <c r="EP226" s="395"/>
      <c r="EQ226" s="395"/>
      <c r="ER226" s="395"/>
      <c r="ES226" s="395"/>
      <c r="ET226" s="395"/>
      <c r="EU226" s="395"/>
      <c r="EV226" s="395"/>
      <c r="EW226" s="395"/>
      <c r="EX226" s="395"/>
      <c r="EY226" s="395"/>
      <c r="EZ226" s="395"/>
      <c r="FA226" s="395"/>
      <c r="FB226" s="395"/>
      <c r="FC226" s="395"/>
      <c r="FD226" s="395"/>
      <c r="FE226" s="395"/>
      <c r="FF226" s="395"/>
      <c r="FG226" s="395"/>
      <c r="FH226" s="395"/>
      <c r="FI226" s="395"/>
      <c r="FJ226" s="395"/>
      <c r="FK226" s="395"/>
      <c r="FL226" s="395"/>
      <c r="FM226" s="395"/>
      <c r="FN226" s="395"/>
      <c r="FO226" s="395"/>
      <c r="FP226" s="395"/>
      <c r="FQ226" s="395"/>
      <c r="FR226" s="395"/>
      <c r="FS226" s="395"/>
      <c r="FT226" s="395"/>
      <c r="FU226" s="395"/>
      <c r="FV226" s="395"/>
      <c r="FW226" s="395"/>
      <c r="FX226" s="395"/>
      <c r="FY226" s="395"/>
      <c r="FZ226" s="395"/>
      <c r="GA226" s="395"/>
      <c r="GB226" s="395"/>
      <c r="GC226" s="395"/>
      <c r="GD226" s="395"/>
      <c r="GE226" s="395"/>
      <c r="GF226" s="395"/>
      <c r="GG226" s="395"/>
      <c r="GH226" s="395"/>
      <c r="GI226" s="395"/>
      <c r="GJ226" s="395"/>
      <c r="GK226" s="395"/>
      <c r="GL226" s="395"/>
      <c r="GM226" s="395"/>
      <c r="GN226" s="395"/>
      <c r="GO226" s="395"/>
      <c r="GP226" s="395"/>
      <c r="GQ226" s="395"/>
      <c r="GR226" s="395"/>
      <c r="GS226" s="395"/>
      <c r="GT226" s="395"/>
      <c r="GU226" s="395"/>
      <c r="GV226" s="395"/>
      <c r="GW226" s="395"/>
      <c r="GX226" s="395"/>
      <c r="GY226" s="395"/>
      <c r="GZ226" s="395"/>
      <c r="HA226" s="395"/>
      <c r="HB226" s="395"/>
      <c r="HC226" s="395"/>
      <c r="HD226" s="395"/>
      <c r="HE226" s="395"/>
      <c r="HF226" s="395"/>
      <c r="HG226" s="395"/>
      <c r="HH226" s="395"/>
      <c r="HI226" s="395"/>
      <c r="HJ226" s="395"/>
      <c r="HK226" s="395"/>
      <c r="HL226" s="395"/>
      <c r="HM226" s="395"/>
      <c r="HN226" s="395"/>
      <c r="HO226" s="395"/>
      <c r="HP226" s="395"/>
      <c r="HQ226" s="395"/>
      <c r="HR226" s="395"/>
      <c r="HS226" s="395"/>
      <c r="HT226" s="395"/>
      <c r="HU226" s="395"/>
      <c r="HV226" s="395"/>
      <c r="HW226" s="395"/>
      <c r="HX226" s="395"/>
      <c r="HY226" s="395"/>
      <c r="HZ226" s="395"/>
      <c r="IA226" s="395"/>
      <c r="IB226" s="395"/>
      <c r="IC226" s="395"/>
      <c r="ID226" s="395"/>
      <c r="IE226" s="395"/>
      <c r="IF226" s="395"/>
      <c r="IG226" s="395"/>
      <c r="IH226" s="395"/>
      <c r="II226" s="395"/>
      <c r="IJ226" s="395"/>
      <c r="IK226" s="395"/>
      <c r="IL226" s="395"/>
      <c r="IM226" s="395"/>
      <c r="IN226" s="395"/>
      <c r="IO226" s="395"/>
      <c r="IP226" s="395"/>
      <c r="IQ226" s="395"/>
      <c r="IR226" s="395"/>
    </row>
    <row r="227" spans="2:252" s="58" customFormat="1" ht="25.15" customHeight="1" x14ac:dyDescent="0.25">
      <c r="B227" s="318">
        <v>43012</v>
      </c>
      <c r="C227" s="321">
        <v>25</v>
      </c>
      <c r="D227" s="321">
        <f>IF(ISNUMBER(D226),Table3[[#This Row],[Amount]]+D226,0)</f>
        <v>9275</v>
      </c>
      <c r="V227" s="395"/>
      <c r="W227" s="395"/>
      <c r="X227" s="395"/>
      <c r="Y227" s="395"/>
      <c r="Z227" s="395"/>
      <c r="AA227" s="395"/>
      <c r="AB227" s="395"/>
      <c r="AC227" s="395"/>
      <c r="AD227" s="395"/>
      <c r="AE227" s="395"/>
      <c r="AF227" s="395"/>
      <c r="AG227" s="395"/>
      <c r="AH227" s="395"/>
      <c r="AI227" s="395"/>
      <c r="AJ227" s="395"/>
      <c r="AK227" s="395"/>
      <c r="AL227" s="395"/>
      <c r="AM227" s="395"/>
      <c r="AN227" s="395"/>
      <c r="AO227" s="395"/>
      <c r="AP227" s="395"/>
      <c r="AQ227" s="395"/>
      <c r="AR227" s="395"/>
      <c r="AS227" s="395"/>
      <c r="AT227" s="395"/>
      <c r="AU227" s="395"/>
      <c r="AV227" s="395"/>
      <c r="AW227" s="395"/>
      <c r="AX227" s="395"/>
      <c r="AY227" s="395"/>
      <c r="AZ227" s="395"/>
      <c r="BA227" s="395"/>
      <c r="BB227" s="395"/>
      <c r="BC227" s="395"/>
      <c r="BD227" s="395"/>
      <c r="BE227" s="395"/>
      <c r="BF227" s="395"/>
      <c r="BG227" s="395"/>
      <c r="BH227" s="395"/>
      <c r="BI227" s="395"/>
      <c r="BJ227" s="395"/>
      <c r="BK227" s="395"/>
      <c r="BL227" s="395"/>
      <c r="BM227" s="395"/>
      <c r="BN227" s="395"/>
      <c r="BO227" s="395"/>
      <c r="BP227" s="395"/>
      <c r="BQ227" s="395"/>
      <c r="BR227" s="395"/>
      <c r="BS227" s="395"/>
      <c r="BT227" s="395"/>
      <c r="BU227" s="395"/>
      <c r="BV227" s="395"/>
      <c r="BW227" s="395"/>
      <c r="BX227" s="395"/>
      <c r="BY227" s="395"/>
      <c r="BZ227" s="395"/>
      <c r="CA227" s="395"/>
      <c r="CB227" s="395"/>
      <c r="CC227" s="395"/>
      <c r="CD227" s="395"/>
      <c r="CE227" s="395"/>
      <c r="CF227" s="395"/>
      <c r="CG227" s="395"/>
      <c r="CH227" s="395"/>
      <c r="CI227" s="395"/>
      <c r="CJ227" s="395"/>
      <c r="CK227" s="395"/>
      <c r="CL227" s="395"/>
      <c r="CM227" s="395"/>
      <c r="CN227" s="395"/>
      <c r="CO227" s="395"/>
      <c r="CP227" s="395"/>
      <c r="CQ227" s="395"/>
      <c r="CR227" s="395"/>
      <c r="CS227" s="395"/>
      <c r="CT227" s="395"/>
      <c r="CU227" s="395"/>
      <c r="CV227" s="395"/>
      <c r="CW227" s="395"/>
      <c r="CX227" s="395"/>
      <c r="CY227" s="395"/>
      <c r="CZ227" s="395"/>
      <c r="DA227" s="395"/>
      <c r="DB227" s="395"/>
      <c r="DC227" s="395"/>
      <c r="DD227" s="395"/>
      <c r="DE227" s="395"/>
      <c r="DF227" s="395"/>
      <c r="DG227" s="395"/>
      <c r="DH227" s="395"/>
      <c r="DI227" s="395"/>
      <c r="DJ227" s="395"/>
      <c r="DK227" s="395"/>
      <c r="DL227" s="395"/>
      <c r="DM227" s="395"/>
      <c r="DN227" s="395"/>
      <c r="DO227" s="395"/>
      <c r="DP227" s="395"/>
      <c r="DQ227" s="395"/>
      <c r="DR227" s="395"/>
      <c r="DS227" s="395"/>
      <c r="DT227" s="395"/>
      <c r="DU227" s="395"/>
      <c r="DV227" s="395"/>
      <c r="DW227" s="395"/>
      <c r="DX227" s="395"/>
      <c r="DY227" s="395"/>
      <c r="DZ227" s="395"/>
      <c r="EA227" s="395"/>
      <c r="EB227" s="395"/>
      <c r="EC227" s="395"/>
      <c r="ED227" s="395"/>
      <c r="EE227" s="395"/>
      <c r="EF227" s="395"/>
      <c r="EG227" s="395"/>
      <c r="EH227" s="395"/>
      <c r="EI227" s="395"/>
      <c r="EJ227" s="395"/>
      <c r="EK227" s="395"/>
      <c r="EL227" s="395"/>
      <c r="EM227" s="395"/>
      <c r="EN227" s="395"/>
      <c r="EO227" s="395"/>
      <c r="EP227" s="395"/>
      <c r="EQ227" s="395"/>
      <c r="ER227" s="395"/>
      <c r="ES227" s="395"/>
      <c r="ET227" s="395"/>
      <c r="EU227" s="395"/>
      <c r="EV227" s="395"/>
      <c r="EW227" s="395"/>
      <c r="EX227" s="395"/>
      <c r="EY227" s="395"/>
      <c r="EZ227" s="395"/>
      <c r="FA227" s="395"/>
      <c r="FB227" s="395"/>
      <c r="FC227" s="395"/>
      <c r="FD227" s="395"/>
      <c r="FE227" s="395"/>
      <c r="FF227" s="395"/>
      <c r="FG227" s="395"/>
      <c r="FH227" s="395"/>
      <c r="FI227" s="395"/>
      <c r="FJ227" s="395"/>
      <c r="FK227" s="395"/>
      <c r="FL227" s="395"/>
      <c r="FM227" s="395"/>
      <c r="FN227" s="395"/>
      <c r="FO227" s="395"/>
      <c r="FP227" s="395"/>
      <c r="FQ227" s="395"/>
      <c r="FR227" s="395"/>
      <c r="FS227" s="395"/>
      <c r="FT227" s="395"/>
      <c r="FU227" s="395"/>
      <c r="FV227" s="395"/>
      <c r="FW227" s="395"/>
      <c r="FX227" s="395"/>
      <c r="FY227" s="395"/>
      <c r="FZ227" s="395"/>
      <c r="GA227" s="395"/>
      <c r="GB227" s="395"/>
      <c r="GC227" s="395"/>
      <c r="GD227" s="395"/>
      <c r="GE227" s="395"/>
      <c r="GF227" s="395"/>
      <c r="GG227" s="395"/>
      <c r="GH227" s="395"/>
      <c r="GI227" s="395"/>
      <c r="GJ227" s="395"/>
      <c r="GK227" s="395"/>
      <c r="GL227" s="395"/>
      <c r="GM227" s="395"/>
      <c r="GN227" s="395"/>
      <c r="GO227" s="395"/>
      <c r="GP227" s="395"/>
      <c r="GQ227" s="395"/>
      <c r="GR227" s="395"/>
      <c r="GS227" s="395"/>
      <c r="GT227" s="395"/>
      <c r="GU227" s="395"/>
      <c r="GV227" s="395"/>
      <c r="GW227" s="395"/>
      <c r="GX227" s="395"/>
      <c r="GY227" s="395"/>
      <c r="GZ227" s="395"/>
      <c r="HA227" s="395"/>
      <c r="HB227" s="395"/>
      <c r="HC227" s="395"/>
      <c r="HD227" s="395"/>
      <c r="HE227" s="395"/>
      <c r="HF227" s="395"/>
      <c r="HG227" s="395"/>
      <c r="HH227" s="395"/>
      <c r="HI227" s="395"/>
      <c r="HJ227" s="395"/>
      <c r="HK227" s="395"/>
      <c r="HL227" s="395"/>
      <c r="HM227" s="395"/>
      <c r="HN227" s="395"/>
      <c r="HO227" s="395"/>
      <c r="HP227" s="395"/>
      <c r="HQ227" s="395"/>
      <c r="HR227" s="395"/>
      <c r="HS227" s="395"/>
      <c r="HT227" s="395"/>
      <c r="HU227" s="395"/>
      <c r="HV227" s="395"/>
      <c r="HW227" s="395"/>
      <c r="HX227" s="395"/>
      <c r="HY227" s="395"/>
      <c r="HZ227" s="395"/>
      <c r="IA227" s="395"/>
      <c r="IB227" s="395"/>
      <c r="IC227" s="395"/>
      <c r="ID227" s="395"/>
      <c r="IE227" s="395"/>
      <c r="IF227" s="395"/>
      <c r="IG227" s="395"/>
      <c r="IH227" s="395"/>
      <c r="II227" s="395"/>
      <c r="IJ227" s="395"/>
      <c r="IK227" s="395"/>
      <c r="IL227" s="395"/>
      <c r="IM227" s="395"/>
      <c r="IN227" s="395"/>
      <c r="IO227" s="395"/>
      <c r="IP227" s="395"/>
      <c r="IQ227" s="395"/>
      <c r="IR227" s="395"/>
    </row>
    <row r="228" spans="2:252" s="58" customFormat="1" ht="25.15" customHeight="1" x14ac:dyDescent="0.25">
      <c r="B228" s="318">
        <v>43013</v>
      </c>
      <c r="C228" s="321">
        <v>30247.63</v>
      </c>
      <c r="D228" s="321">
        <f>IF(ISNUMBER(D227),Table3[[#This Row],[Amount]]+D227,0)</f>
        <v>39522.630000000005</v>
      </c>
      <c r="V228" s="395"/>
      <c r="W228" s="395"/>
      <c r="X228" s="395"/>
      <c r="Y228" s="395"/>
      <c r="Z228" s="395"/>
      <c r="AA228" s="395"/>
      <c r="AB228" s="395"/>
      <c r="AC228" s="395"/>
      <c r="AD228" s="395"/>
      <c r="AE228" s="395"/>
      <c r="AF228" s="395"/>
      <c r="AG228" s="395"/>
      <c r="AH228" s="395"/>
      <c r="AI228" s="395"/>
      <c r="AJ228" s="395"/>
      <c r="AK228" s="395"/>
      <c r="AL228" s="395"/>
      <c r="AM228" s="395"/>
      <c r="AN228" s="395"/>
      <c r="AO228" s="395"/>
      <c r="AP228" s="395"/>
      <c r="AQ228" s="395"/>
      <c r="AR228" s="395"/>
      <c r="AS228" s="395"/>
      <c r="AT228" s="395"/>
      <c r="AU228" s="395"/>
      <c r="AV228" s="395"/>
      <c r="AW228" s="395"/>
      <c r="AX228" s="395"/>
      <c r="AY228" s="395"/>
      <c r="AZ228" s="395"/>
      <c r="BA228" s="395"/>
      <c r="BB228" s="395"/>
      <c r="BC228" s="395"/>
      <c r="BD228" s="395"/>
      <c r="BE228" s="395"/>
      <c r="BF228" s="395"/>
      <c r="BG228" s="395"/>
      <c r="BH228" s="395"/>
      <c r="BI228" s="395"/>
      <c r="BJ228" s="395"/>
      <c r="BK228" s="395"/>
      <c r="BL228" s="395"/>
      <c r="BM228" s="395"/>
      <c r="BN228" s="395"/>
      <c r="BO228" s="395"/>
      <c r="BP228" s="395"/>
      <c r="BQ228" s="395"/>
      <c r="BR228" s="395"/>
      <c r="BS228" s="395"/>
      <c r="BT228" s="395"/>
      <c r="BU228" s="395"/>
      <c r="BV228" s="395"/>
      <c r="BW228" s="395"/>
      <c r="BX228" s="395"/>
      <c r="BY228" s="395"/>
      <c r="BZ228" s="395"/>
      <c r="CA228" s="395"/>
      <c r="CB228" s="395"/>
      <c r="CC228" s="395"/>
      <c r="CD228" s="395"/>
      <c r="CE228" s="395"/>
      <c r="CF228" s="395"/>
      <c r="CG228" s="395"/>
      <c r="CH228" s="395"/>
      <c r="CI228" s="395"/>
      <c r="CJ228" s="395"/>
      <c r="CK228" s="395"/>
      <c r="CL228" s="395"/>
      <c r="CM228" s="395"/>
      <c r="CN228" s="395"/>
      <c r="CO228" s="395"/>
      <c r="CP228" s="395"/>
      <c r="CQ228" s="395"/>
      <c r="CR228" s="395"/>
      <c r="CS228" s="395"/>
      <c r="CT228" s="395"/>
      <c r="CU228" s="395"/>
      <c r="CV228" s="395"/>
      <c r="CW228" s="395"/>
      <c r="CX228" s="395"/>
      <c r="CY228" s="395"/>
      <c r="CZ228" s="395"/>
      <c r="DA228" s="395"/>
      <c r="DB228" s="395"/>
      <c r="DC228" s="395"/>
      <c r="DD228" s="395"/>
      <c r="DE228" s="395"/>
      <c r="DF228" s="395"/>
      <c r="DG228" s="395"/>
      <c r="DH228" s="395"/>
      <c r="DI228" s="395"/>
      <c r="DJ228" s="395"/>
      <c r="DK228" s="395"/>
      <c r="DL228" s="395"/>
      <c r="DM228" s="395"/>
      <c r="DN228" s="395"/>
      <c r="DO228" s="395"/>
      <c r="DP228" s="395"/>
      <c r="DQ228" s="395"/>
      <c r="DR228" s="395"/>
      <c r="DS228" s="395"/>
      <c r="DT228" s="395"/>
      <c r="DU228" s="395"/>
      <c r="DV228" s="395"/>
      <c r="DW228" s="395"/>
      <c r="DX228" s="395"/>
      <c r="DY228" s="395"/>
      <c r="DZ228" s="395"/>
      <c r="EA228" s="395"/>
      <c r="EB228" s="395"/>
      <c r="EC228" s="395"/>
      <c r="ED228" s="395"/>
      <c r="EE228" s="395"/>
      <c r="EF228" s="395"/>
      <c r="EG228" s="395"/>
      <c r="EH228" s="395"/>
      <c r="EI228" s="395"/>
      <c r="EJ228" s="395"/>
      <c r="EK228" s="395"/>
      <c r="EL228" s="395"/>
      <c r="EM228" s="395"/>
      <c r="EN228" s="395"/>
      <c r="EO228" s="395"/>
      <c r="EP228" s="395"/>
      <c r="EQ228" s="395"/>
      <c r="ER228" s="395"/>
      <c r="ES228" s="395"/>
      <c r="ET228" s="395"/>
      <c r="EU228" s="395"/>
      <c r="EV228" s="395"/>
      <c r="EW228" s="395"/>
      <c r="EX228" s="395"/>
      <c r="EY228" s="395"/>
      <c r="EZ228" s="395"/>
      <c r="FA228" s="395"/>
      <c r="FB228" s="395"/>
      <c r="FC228" s="395"/>
      <c r="FD228" s="395"/>
      <c r="FE228" s="395"/>
      <c r="FF228" s="395"/>
      <c r="FG228" s="395"/>
      <c r="FH228" s="395"/>
      <c r="FI228" s="395"/>
      <c r="FJ228" s="395"/>
      <c r="FK228" s="395"/>
      <c r="FL228" s="395"/>
      <c r="FM228" s="395"/>
      <c r="FN228" s="395"/>
      <c r="FO228" s="395"/>
      <c r="FP228" s="395"/>
      <c r="FQ228" s="395"/>
      <c r="FR228" s="395"/>
      <c r="FS228" s="395"/>
      <c r="FT228" s="395"/>
      <c r="FU228" s="395"/>
      <c r="FV228" s="395"/>
      <c r="FW228" s="395"/>
      <c r="FX228" s="395"/>
      <c r="FY228" s="395"/>
      <c r="FZ228" s="395"/>
      <c r="GA228" s="395"/>
      <c r="GB228" s="395"/>
      <c r="GC228" s="395"/>
      <c r="GD228" s="395"/>
      <c r="GE228" s="395"/>
      <c r="GF228" s="395"/>
      <c r="GG228" s="395"/>
      <c r="GH228" s="395"/>
      <c r="GI228" s="395"/>
      <c r="GJ228" s="395"/>
      <c r="GK228" s="395"/>
      <c r="GL228" s="395"/>
      <c r="GM228" s="395"/>
      <c r="GN228" s="395"/>
      <c r="GO228" s="395"/>
      <c r="GP228" s="395"/>
      <c r="GQ228" s="395"/>
      <c r="GR228" s="395"/>
      <c r="GS228" s="395"/>
      <c r="GT228" s="395"/>
      <c r="GU228" s="395"/>
      <c r="GV228" s="395"/>
      <c r="GW228" s="395"/>
      <c r="GX228" s="395"/>
      <c r="GY228" s="395"/>
      <c r="GZ228" s="395"/>
      <c r="HA228" s="395"/>
      <c r="HB228" s="395"/>
      <c r="HC228" s="395"/>
      <c r="HD228" s="395"/>
      <c r="HE228" s="395"/>
      <c r="HF228" s="395"/>
      <c r="HG228" s="395"/>
      <c r="HH228" s="395"/>
      <c r="HI228" s="395"/>
      <c r="HJ228" s="395"/>
      <c r="HK228" s="395"/>
      <c r="HL228" s="395"/>
      <c r="HM228" s="395"/>
      <c r="HN228" s="395"/>
      <c r="HO228" s="395"/>
      <c r="HP228" s="395"/>
      <c r="HQ228" s="395"/>
      <c r="HR228" s="395"/>
      <c r="HS228" s="395"/>
      <c r="HT228" s="395"/>
      <c r="HU228" s="395"/>
      <c r="HV228" s="395"/>
      <c r="HW228" s="395"/>
      <c r="HX228" s="395"/>
      <c r="HY228" s="395"/>
      <c r="HZ228" s="395"/>
      <c r="IA228" s="395"/>
      <c r="IB228" s="395"/>
      <c r="IC228" s="395"/>
      <c r="ID228" s="395"/>
      <c r="IE228" s="395"/>
      <c r="IF228" s="395"/>
      <c r="IG228" s="395"/>
      <c r="IH228" s="395"/>
      <c r="II228" s="395"/>
      <c r="IJ228" s="395"/>
      <c r="IK228" s="395"/>
      <c r="IL228" s="395"/>
      <c r="IM228" s="395"/>
      <c r="IN228" s="395"/>
      <c r="IO228" s="395"/>
      <c r="IP228" s="395"/>
      <c r="IQ228" s="395"/>
      <c r="IR228" s="395"/>
    </row>
    <row r="229" spans="2:252" s="58" customFormat="1" ht="25.15" customHeight="1" x14ac:dyDescent="0.25">
      <c r="B229" s="318">
        <v>43013</v>
      </c>
      <c r="C229" s="321">
        <v>59477.48</v>
      </c>
      <c r="D229" s="321">
        <f>IF(ISNUMBER(D228),Table3[[#This Row],[Amount]]+D228,0)</f>
        <v>99000.110000000015</v>
      </c>
      <c r="V229" s="395"/>
      <c r="W229" s="395"/>
      <c r="X229" s="395"/>
      <c r="Y229" s="395"/>
      <c r="Z229" s="395"/>
      <c r="AA229" s="395"/>
      <c r="AB229" s="395"/>
      <c r="AC229" s="395"/>
      <c r="AD229" s="395"/>
      <c r="AE229" s="395"/>
      <c r="AF229" s="395"/>
      <c r="AG229" s="395"/>
      <c r="AH229" s="395"/>
      <c r="AI229" s="395"/>
      <c r="AJ229" s="395"/>
      <c r="AK229" s="395"/>
      <c r="AL229" s="395"/>
      <c r="AM229" s="395"/>
      <c r="AN229" s="395"/>
      <c r="AO229" s="395"/>
      <c r="AP229" s="395"/>
      <c r="AQ229" s="395"/>
      <c r="AR229" s="395"/>
      <c r="AS229" s="395"/>
      <c r="AT229" s="395"/>
      <c r="AU229" s="395"/>
      <c r="AV229" s="395"/>
      <c r="AW229" s="395"/>
      <c r="AX229" s="395"/>
      <c r="AY229" s="395"/>
      <c r="AZ229" s="395"/>
      <c r="BA229" s="395"/>
      <c r="BB229" s="395"/>
      <c r="BC229" s="395"/>
      <c r="BD229" s="395"/>
      <c r="BE229" s="395"/>
      <c r="BF229" s="395"/>
      <c r="BG229" s="395"/>
      <c r="BH229" s="395"/>
      <c r="BI229" s="395"/>
      <c r="BJ229" s="395"/>
      <c r="BK229" s="395"/>
      <c r="BL229" s="395"/>
      <c r="BM229" s="395"/>
      <c r="BN229" s="395"/>
      <c r="BO229" s="395"/>
      <c r="BP229" s="395"/>
      <c r="BQ229" s="395"/>
      <c r="BR229" s="395"/>
      <c r="BS229" s="395"/>
      <c r="BT229" s="395"/>
      <c r="BU229" s="395"/>
      <c r="BV229" s="395"/>
      <c r="BW229" s="395"/>
      <c r="BX229" s="395"/>
      <c r="BY229" s="395"/>
      <c r="BZ229" s="395"/>
      <c r="CA229" s="395"/>
      <c r="CB229" s="395"/>
      <c r="CC229" s="395"/>
      <c r="CD229" s="395"/>
      <c r="CE229" s="395"/>
      <c r="CF229" s="395"/>
      <c r="CG229" s="395"/>
      <c r="CH229" s="395"/>
      <c r="CI229" s="395"/>
      <c r="CJ229" s="395"/>
      <c r="CK229" s="395"/>
      <c r="CL229" s="395"/>
      <c r="CM229" s="395"/>
      <c r="CN229" s="395"/>
      <c r="CO229" s="395"/>
      <c r="CP229" s="395"/>
      <c r="CQ229" s="395"/>
      <c r="CR229" s="395"/>
      <c r="CS229" s="395"/>
      <c r="CT229" s="395"/>
      <c r="CU229" s="395"/>
      <c r="CV229" s="395"/>
      <c r="CW229" s="395"/>
      <c r="CX229" s="395"/>
      <c r="CY229" s="395"/>
      <c r="CZ229" s="395"/>
      <c r="DA229" s="395"/>
      <c r="DB229" s="395"/>
      <c r="DC229" s="395"/>
      <c r="DD229" s="395"/>
      <c r="DE229" s="395"/>
      <c r="DF229" s="395"/>
      <c r="DG229" s="395"/>
      <c r="DH229" s="395"/>
      <c r="DI229" s="395"/>
      <c r="DJ229" s="395"/>
      <c r="DK229" s="395"/>
      <c r="DL229" s="395"/>
      <c r="DM229" s="395"/>
      <c r="DN229" s="395"/>
      <c r="DO229" s="395"/>
      <c r="DP229" s="395"/>
      <c r="DQ229" s="395"/>
      <c r="DR229" s="395"/>
      <c r="DS229" s="395"/>
      <c r="DT229" s="395"/>
      <c r="DU229" s="395"/>
      <c r="DV229" s="395"/>
      <c r="DW229" s="395"/>
      <c r="DX229" s="395"/>
      <c r="DY229" s="395"/>
      <c r="DZ229" s="395"/>
      <c r="EA229" s="395"/>
      <c r="EB229" s="395"/>
      <c r="EC229" s="395"/>
      <c r="ED229" s="395"/>
      <c r="EE229" s="395"/>
      <c r="EF229" s="395"/>
      <c r="EG229" s="395"/>
      <c r="EH229" s="395"/>
      <c r="EI229" s="395"/>
      <c r="EJ229" s="395"/>
      <c r="EK229" s="395"/>
      <c r="EL229" s="395"/>
      <c r="EM229" s="395"/>
      <c r="EN229" s="395"/>
      <c r="EO229" s="395"/>
      <c r="EP229" s="395"/>
      <c r="EQ229" s="395"/>
      <c r="ER229" s="395"/>
      <c r="ES229" s="395"/>
      <c r="ET229" s="395"/>
      <c r="EU229" s="395"/>
      <c r="EV229" s="395"/>
      <c r="EW229" s="395"/>
      <c r="EX229" s="395"/>
      <c r="EY229" s="395"/>
      <c r="EZ229" s="395"/>
      <c r="FA229" s="395"/>
      <c r="FB229" s="395"/>
      <c r="FC229" s="395"/>
      <c r="FD229" s="395"/>
      <c r="FE229" s="395"/>
      <c r="FF229" s="395"/>
      <c r="FG229" s="395"/>
      <c r="FH229" s="395"/>
      <c r="FI229" s="395"/>
      <c r="FJ229" s="395"/>
      <c r="FK229" s="395"/>
      <c r="FL229" s="395"/>
      <c r="FM229" s="395"/>
      <c r="FN229" s="395"/>
      <c r="FO229" s="395"/>
      <c r="FP229" s="395"/>
      <c r="FQ229" s="395"/>
      <c r="FR229" s="395"/>
      <c r="FS229" s="395"/>
      <c r="FT229" s="395"/>
      <c r="FU229" s="395"/>
      <c r="FV229" s="395"/>
      <c r="FW229" s="395"/>
      <c r="FX229" s="395"/>
      <c r="FY229" s="395"/>
      <c r="FZ229" s="395"/>
      <c r="GA229" s="395"/>
      <c r="GB229" s="395"/>
      <c r="GC229" s="395"/>
      <c r="GD229" s="395"/>
      <c r="GE229" s="395"/>
      <c r="GF229" s="395"/>
      <c r="GG229" s="395"/>
      <c r="GH229" s="395"/>
      <c r="GI229" s="395"/>
      <c r="GJ229" s="395"/>
      <c r="GK229" s="395"/>
      <c r="GL229" s="395"/>
      <c r="GM229" s="395"/>
      <c r="GN229" s="395"/>
      <c r="GO229" s="395"/>
      <c r="GP229" s="395"/>
      <c r="GQ229" s="395"/>
      <c r="GR229" s="395"/>
      <c r="GS229" s="395"/>
      <c r="GT229" s="395"/>
      <c r="GU229" s="395"/>
      <c r="GV229" s="395"/>
      <c r="GW229" s="395"/>
      <c r="GX229" s="395"/>
      <c r="GY229" s="395"/>
      <c r="GZ229" s="395"/>
      <c r="HA229" s="395"/>
      <c r="HB229" s="395"/>
      <c r="HC229" s="395"/>
      <c r="HD229" s="395"/>
      <c r="HE229" s="395"/>
      <c r="HF229" s="395"/>
      <c r="HG229" s="395"/>
      <c r="HH229" s="395"/>
      <c r="HI229" s="395"/>
      <c r="HJ229" s="395"/>
      <c r="HK229" s="395"/>
      <c r="HL229" s="395"/>
      <c r="HM229" s="395"/>
      <c r="HN229" s="395"/>
      <c r="HO229" s="395"/>
      <c r="HP229" s="395"/>
      <c r="HQ229" s="395"/>
      <c r="HR229" s="395"/>
      <c r="HS229" s="395"/>
      <c r="HT229" s="395"/>
      <c r="HU229" s="395"/>
      <c r="HV229" s="395"/>
      <c r="HW229" s="395"/>
      <c r="HX229" s="395"/>
      <c r="HY229" s="395"/>
      <c r="HZ229" s="395"/>
      <c r="IA229" s="395"/>
      <c r="IB229" s="395"/>
      <c r="IC229" s="395"/>
      <c r="ID229" s="395"/>
      <c r="IE229" s="395"/>
      <c r="IF229" s="395"/>
      <c r="IG229" s="395"/>
      <c r="IH229" s="395"/>
      <c r="II229" s="395"/>
      <c r="IJ229" s="395"/>
      <c r="IK229" s="395"/>
      <c r="IL229" s="395"/>
      <c r="IM229" s="395"/>
      <c r="IN229" s="395"/>
      <c r="IO229" s="395"/>
      <c r="IP229" s="395"/>
      <c r="IQ229" s="395"/>
      <c r="IR229" s="395"/>
    </row>
    <row r="230" spans="2:252" s="58" customFormat="1" ht="25.15" customHeight="1" x14ac:dyDescent="0.25">
      <c r="B230" s="318">
        <v>43013</v>
      </c>
      <c r="C230" s="321">
        <v>24231.040000000001</v>
      </c>
      <c r="D230" s="321">
        <f>IF(ISNUMBER(D229),Table3[[#This Row],[Amount]]+D229,0)</f>
        <v>123231.15000000002</v>
      </c>
      <c r="V230" s="395"/>
      <c r="W230" s="395"/>
      <c r="X230" s="395"/>
      <c r="Y230" s="395"/>
      <c r="Z230" s="395"/>
      <c r="AA230" s="395"/>
      <c r="AB230" s="395"/>
      <c r="AC230" s="395"/>
      <c r="AD230" s="395"/>
      <c r="AE230" s="395"/>
      <c r="AF230" s="395"/>
      <c r="AG230" s="395"/>
      <c r="AH230" s="395"/>
      <c r="AI230" s="395"/>
      <c r="AJ230" s="395"/>
      <c r="AK230" s="395"/>
      <c r="AL230" s="395"/>
      <c r="AM230" s="395"/>
      <c r="AN230" s="395"/>
      <c r="AO230" s="395"/>
      <c r="AP230" s="395"/>
      <c r="AQ230" s="395"/>
      <c r="AR230" s="395"/>
      <c r="AS230" s="395"/>
      <c r="AT230" s="395"/>
      <c r="AU230" s="395"/>
      <c r="AV230" s="395"/>
      <c r="AW230" s="395"/>
      <c r="AX230" s="395"/>
      <c r="AY230" s="395"/>
      <c r="AZ230" s="395"/>
      <c r="BA230" s="395"/>
      <c r="BB230" s="395"/>
      <c r="BC230" s="395"/>
      <c r="BD230" s="395"/>
      <c r="BE230" s="395"/>
      <c r="BF230" s="395"/>
      <c r="BG230" s="395"/>
      <c r="BH230" s="395"/>
      <c r="BI230" s="395"/>
      <c r="BJ230" s="395"/>
      <c r="BK230" s="395"/>
      <c r="BL230" s="395"/>
      <c r="BM230" s="395"/>
      <c r="BN230" s="395"/>
      <c r="BO230" s="395"/>
      <c r="BP230" s="395"/>
      <c r="BQ230" s="395"/>
      <c r="BR230" s="395"/>
      <c r="BS230" s="395"/>
      <c r="BT230" s="395"/>
      <c r="BU230" s="395"/>
      <c r="BV230" s="395"/>
      <c r="BW230" s="395"/>
      <c r="BX230" s="395"/>
      <c r="BY230" s="395"/>
      <c r="BZ230" s="395"/>
      <c r="CA230" s="395"/>
      <c r="CB230" s="395"/>
      <c r="CC230" s="395"/>
      <c r="CD230" s="395"/>
      <c r="CE230" s="395"/>
      <c r="CF230" s="395"/>
      <c r="CG230" s="395"/>
      <c r="CH230" s="395"/>
      <c r="CI230" s="395"/>
      <c r="CJ230" s="395"/>
      <c r="CK230" s="395"/>
      <c r="CL230" s="395"/>
      <c r="CM230" s="395"/>
      <c r="CN230" s="395"/>
      <c r="CO230" s="395"/>
      <c r="CP230" s="395"/>
      <c r="CQ230" s="395"/>
      <c r="CR230" s="395"/>
      <c r="CS230" s="395"/>
      <c r="CT230" s="395"/>
      <c r="CU230" s="395"/>
      <c r="CV230" s="395"/>
      <c r="CW230" s="395"/>
      <c r="CX230" s="395"/>
      <c r="CY230" s="395"/>
      <c r="CZ230" s="395"/>
      <c r="DA230" s="395"/>
      <c r="DB230" s="395"/>
      <c r="DC230" s="395"/>
      <c r="DD230" s="395"/>
      <c r="DE230" s="395"/>
      <c r="DF230" s="395"/>
      <c r="DG230" s="395"/>
      <c r="DH230" s="395"/>
      <c r="DI230" s="395"/>
      <c r="DJ230" s="395"/>
      <c r="DK230" s="395"/>
      <c r="DL230" s="395"/>
      <c r="DM230" s="395"/>
      <c r="DN230" s="395"/>
      <c r="DO230" s="395"/>
      <c r="DP230" s="395"/>
      <c r="DQ230" s="395"/>
      <c r="DR230" s="395"/>
      <c r="DS230" s="395"/>
      <c r="DT230" s="395"/>
      <c r="DU230" s="395"/>
      <c r="DV230" s="395"/>
      <c r="DW230" s="395"/>
      <c r="DX230" s="395"/>
      <c r="DY230" s="395"/>
      <c r="DZ230" s="395"/>
      <c r="EA230" s="395"/>
      <c r="EB230" s="395"/>
      <c r="EC230" s="395"/>
      <c r="ED230" s="395"/>
      <c r="EE230" s="395"/>
      <c r="EF230" s="395"/>
      <c r="EG230" s="395"/>
      <c r="EH230" s="395"/>
      <c r="EI230" s="395"/>
      <c r="EJ230" s="395"/>
      <c r="EK230" s="395"/>
      <c r="EL230" s="395"/>
      <c r="EM230" s="395"/>
      <c r="EN230" s="395"/>
      <c r="EO230" s="395"/>
      <c r="EP230" s="395"/>
      <c r="EQ230" s="395"/>
      <c r="ER230" s="395"/>
      <c r="ES230" s="395"/>
      <c r="ET230" s="395"/>
      <c r="EU230" s="395"/>
      <c r="EV230" s="395"/>
      <c r="EW230" s="395"/>
      <c r="EX230" s="395"/>
      <c r="EY230" s="395"/>
      <c r="EZ230" s="395"/>
      <c r="FA230" s="395"/>
      <c r="FB230" s="395"/>
      <c r="FC230" s="395"/>
      <c r="FD230" s="395"/>
      <c r="FE230" s="395"/>
      <c r="FF230" s="395"/>
      <c r="FG230" s="395"/>
      <c r="FH230" s="395"/>
      <c r="FI230" s="395"/>
      <c r="FJ230" s="395"/>
      <c r="FK230" s="395"/>
      <c r="FL230" s="395"/>
      <c r="FM230" s="395"/>
      <c r="FN230" s="395"/>
      <c r="FO230" s="395"/>
      <c r="FP230" s="395"/>
      <c r="FQ230" s="395"/>
      <c r="FR230" s="395"/>
      <c r="FS230" s="395"/>
      <c r="FT230" s="395"/>
      <c r="FU230" s="395"/>
      <c r="FV230" s="395"/>
      <c r="FW230" s="395"/>
      <c r="FX230" s="395"/>
      <c r="FY230" s="395"/>
      <c r="FZ230" s="395"/>
      <c r="GA230" s="395"/>
      <c r="GB230" s="395"/>
      <c r="GC230" s="395"/>
      <c r="GD230" s="395"/>
      <c r="GE230" s="395"/>
      <c r="GF230" s="395"/>
      <c r="GG230" s="395"/>
      <c r="GH230" s="395"/>
      <c r="GI230" s="395"/>
      <c r="GJ230" s="395"/>
      <c r="GK230" s="395"/>
      <c r="GL230" s="395"/>
      <c r="GM230" s="395"/>
      <c r="GN230" s="395"/>
      <c r="GO230" s="395"/>
      <c r="GP230" s="395"/>
      <c r="GQ230" s="395"/>
      <c r="GR230" s="395"/>
      <c r="GS230" s="395"/>
      <c r="GT230" s="395"/>
      <c r="GU230" s="395"/>
      <c r="GV230" s="395"/>
      <c r="GW230" s="395"/>
      <c r="GX230" s="395"/>
      <c r="GY230" s="395"/>
      <c r="GZ230" s="395"/>
      <c r="HA230" s="395"/>
      <c r="HB230" s="395"/>
      <c r="HC230" s="395"/>
      <c r="HD230" s="395"/>
      <c r="HE230" s="395"/>
      <c r="HF230" s="395"/>
      <c r="HG230" s="395"/>
      <c r="HH230" s="395"/>
      <c r="HI230" s="395"/>
      <c r="HJ230" s="395"/>
      <c r="HK230" s="395"/>
      <c r="HL230" s="395"/>
      <c r="HM230" s="395"/>
      <c r="HN230" s="395"/>
      <c r="HO230" s="395"/>
      <c r="HP230" s="395"/>
      <c r="HQ230" s="395"/>
      <c r="HR230" s="395"/>
      <c r="HS230" s="395"/>
      <c r="HT230" s="395"/>
      <c r="HU230" s="395"/>
      <c r="HV230" s="395"/>
      <c r="HW230" s="395"/>
      <c r="HX230" s="395"/>
      <c r="HY230" s="395"/>
      <c r="HZ230" s="395"/>
      <c r="IA230" s="395"/>
      <c r="IB230" s="395"/>
      <c r="IC230" s="395"/>
      <c r="ID230" s="395"/>
      <c r="IE230" s="395"/>
      <c r="IF230" s="395"/>
      <c r="IG230" s="395"/>
      <c r="IH230" s="395"/>
      <c r="II230" s="395"/>
      <c r="IJ230" s="395"/>
      <c r="IK230" s="395"/>
      <c r="IL230" s="395"/>
      <c r="IM230" s="395"/>
      <c r="IN230" s="395"/>
      <c r="IO230" s="395"/>
      <c r="IP230" s="395"/>
      <c r="IQ230" s="395"/>
      <c r="IR230" s="395"/>
    </row>
    <row r="231" spans="2:252" s="58" customFormat="1" ht="25.15" customHeight="1" x14ac:dyDescent="0.25">
      <c r="B231" s="318">
        <v>43014</v>
      </c>
      <c r="C231" s="321">
        <v>23060.05</v>
      </c>
      <c r="D231" s="321">
        <f>IF(ISNUMBER(D230),Table3[[#This Row],[Amount]]+D230,0)</f>
        <v>146291.20000000001</v>
      </c>
      <c r="V231" s="395"/>
      <c r="W231" s="395"/>
      <c r="X231" s="395"/>
      <c r="Y231" s="395"/>
      <c r="Z231" s="395"/>
      <c r="AA231" s="395"/>
      <c r="AB231" s="395"/>
      <c r="AC231" s="395"/>
      <c r="AD231" s="395"/>
      <c r="AE231" s="395"/>
      <c r="AF231" s="395"/>
      <c r="AG231" s="395"/>
      <c r="AH231" s="395"/>
      <c r="AI231" s="395"/>
      <c r="AJ231" s="395"/>
      <c r="AK231" s="395"/>
      <c r="AL231" s="395"/>
      <c r="AM231" s="395"/>
      <c r="AN231" s="395"/>
      <c r="AO231" s="395"/>
      <c r="AP231" s="395"/>
      <c r="AQ231" s="395"/>
      <c r="AR231" s="395"/>
      <c r="AS231" s="395"/>
      <c r="AT231" s="395"/>
      <c r="AU231" s="395"/>
      <c r="AV231" s="395"/>
      <c r="AW231" s="395"/>
      <c r="AX231" s="395"/>
      <c r="AY231" s="395"/>
      <c r="AZ231" s="395"/>
      <c r="BA231" s="395"/>
      <c r="BB231" s="395"/>
      <c r="BC231" s="395"/>
      <c r="BD231" s="395"/>
      <c r="BE231" s="395"/>
      <c r="BF231" s="395"/>
      <c r="BG231" s="395"/>
      <c r="BH231" s="395"/>
      <c r="BI231" s="395"/>
      <c r="BJ231" s="395"/>
      <c r="BK231" s="395"/>
      <c r="BL231" s="395"/>
      <c r="BM231" s="395"/>
      <c r="BN231" s="395"/>
      <c r="BO231" s="395"/>
      <c r="BP231" s="395"/>
      <c r="BQ231" s="395"/>
      <c r="BR231" s="395"/>
      <c r="BS231" s="395"/>
      <c r="BT231" s="395"/>
      <c r="BU231" s="395"/>
      <c r="BV231" s="395"/>
      <c r="BW231" s="395"/>
      <c r="BX231" s="395"/>
      <c r="BY231" s="395"/>
      <c r="BZ231" s="395"/>
      <c r="CA231" s="395"/>
      <c r="CB231" s="395"/>
      <c r="CC231" s="395"/>
      <c r="CD231" s="395"/>
      <c r="CE231" s="395"/>
      <c r="CF231" s="395"/>
      <c r="CG231" s="395"/>
      <c r="CH231" s="395"/>
      <c r="CI231" s="395"/>
      <c r="CJ231" s="395"/>
      <c r="CK231" s="395"/>
      <c r="CL231" s="395"/>
      <c r="CM231" s="395"/>
      <c r="CN231" s="395"/>
      <c r="CO231" s="395"/>
      <c r="CP231" s="395"/>
      <c r="CQ231" s="395"/>
      <c r="CR231" s="395"/>
      <c r="CS231" s="395"/>
      <c r="CT231" s="395"/>
      <c r="CU231" s="395"/>
      <c r="CV231" s="395"/>
      <c r="CW231" s="395"/>
      <c r="CX231" s="395"/>
      <c r="CY231" s="395"/>
      <c r="CZ231" s="395"/>
      <c r="DA231" s="395"/>
      <c r="DB231" s="395"/>
      <c r="DC231" s="395"/>
      <c r="DD231" s="395"/>
      <c r="DE231" s="395"/>
      <c r="DF231" s="395"/>
      <c r="DG231" s="395"/>
      <c r="DH231" s="395"/>
      <c r="DI231" s="395"/>
      <c r="DJ231" s="395"/>
      <c r="DK231" s="395"/>
      <c r="DL231" s="395"/>
      <c r="DM231" s="395"/>
      <c r="DN231" s="395"/>
      <c r="DO231" s="395"/>
      <c r="DP231" s="395"/>
      <c r="DQ231" s="395"/>
      <c r="DR231" s="395"/>
      <c r="DS231" s="395"/>
      <c r="DT231" s="395"/>
      <c r="DU231" s="395"/>
      <c r="DV231" s="395"/>
      <c r="DW231" s="395"/>
      <c r="DX231" s="395"/>
      <c r="DY231" s="395"/>
      <c r="DZ231" s="395"/>
      <c r="EA231" s="395"/>
      <c r="EB231" s="395"/>
      <c r="EC231" s="395"/>
      <c r="ED231" s="395"/>
      <c r="EE231" s="395"/>
      <c r="EF231" s="395"/>
      <c r="EG231" s="395"/>
      <c r="EH231" s="395"/>
      <c r="EI231" s="395"/>
      <c r="EJ231" s="395"/>
      <c r="EK231" s="395"/>
      <c r="EL231" s="395"/>
      <c r="EM231" s="395"/>
      <c r="EN231" s="395"/>
      <c r="EO231" s="395"/>
      <c r="EP231" s="395"/>
      <c r="EQ231" s="395"/>
      <c r="ER231" s="395"/>
      <c r="ES231" s="395"/>
      <c r="ET231" s="395"/>
      <c r="EU231" s="395"/>
      <c r="EV231" s="395"/>
      <c r="EW231" s="395"/>
      <c r="EX231" s="395"/>
      <c r="EY231" s="395"/>
      <c r="EZ231" s="395"/>
      <c r="FA231" s="395"/>
      <c r="FB231" s="395"/>
      <c r="FC231" s="395"/>
      <c r="FD231" s="395"/>
      <c r="FE231" s="395"/>
      <c r="FF231" s="395"/>
      <c r="FG231" s="395"/>
      <c r="FH231" s="395"/>
      <c r="FI231" s="395"/>
      <c r="FJ231" s="395"/>
      <c r="FK231" s="395"/>
      <c r="FL231" s="395"/>
      <c r="FM231" s="395"/>
      <c r="FN231" s="395"/>
      <c r="FO231" s="395"/>
      <c r="FP231" s="395"/>
      <c r="FQ231" s="395"/>
      <c r="FR231" s="395"/>
      <c r="FS231" s="395"/>
      <c r="FT231" s="395"/>
      <c r="FU231" s="395"/>
      <c r="FV231" s="395"/>
      <c r="FW231" s="395"/>
      <c r="FX231" s="395"/>
      <c r="FY231" s="395"/>
      <c r="FZ231" s="395"/>
      <c r="GA231" s="395"/>
      <c r="GB231" s="395"/>
      <c r="GC231" s="395"/>
      <c r="GD231" s="395"/>
      <c r="GE231" s="395"/>
      <c r="GF231" s="395"/>
      <c r="GG231" s="395"/>
      <c r="GH231" s="395"/>
      <c r="GI231" s="395"/>
      <c r="GJ231" s="395"/>
      <c r="GK231" s="395"/>
      <c r="GL231" s="395"/>
      <c r="GM231" s="395"/>
      <c r="GN231" s="395"/>
      <c r="GO231" s="395"/>
      <c r="GP231" s="395"/>
      <c r="GQ231" s="395"/>
      <c r="GR231" s="395"/>
      <c r="GS231" s="395"/>
      <c r="GT231" s="395"/>
      <c r="GU231" s="395"/>
      <c r="GV231" s="395"/>
      <c r="GW231" s="395"/>
      <c r="GX231" s="395"/>
      <c r="GY231" s="395"/>
      <c r="GZ231" s="395"/>
      <c r="HA231" s="395"/>
      <c r="HB231" s="395"/>
      <c r="HC231" s="395"/>
      <c r="HD231" s="395"/>
      <c r="HE231" s="395"/>
      <c r="HF231" s="395"/>
      <c r="HG231" s="395"/>
      <c r="HH231" s="395"/>
      <c r="HI231" s="395"/>
      <c r="HJ231" s="395"/>
      <c r="HK231" s="395"/>
      <c r="HL231" s="395"/>
      <c r="HM231" s="395"/>
      <c r="HN231" s="395"/>
      <c r="HO231" s="395"/>
      <c r="HP231" s="395"/>
      <c r="HQ231" s="395"/>
      <c r="HR231" s="395"/>
      <c r="HS231" s="395"/>
      <c r="HT231" s="395"/>
      <c r="HU231" s="395"/>
      <c r="HV231" s="395"/>
      <c r="HW231" s="395"/>
      <c r="HX231" s="395"/>
      <c r="HY231" s="395"/>
      <c r="HZ231" s="395"/>
      <c r="IA231" s="395"/>
      <c r="IB231" s="395"/>
      <c r="IC231" s="395"/>
      <c r="ID231" s="395"/>
      <c r="IE231" s="395"/>
      <c r="IF231" s="395"/>
      <c r="IG231" s="395"/>
      <c r="IH231" s="395"/>
      <c r="II231" s="395"/>
      <c r="IJ231" s="395"/>
      <c r="IK231" s="395"/>
      <c r="IL231" s="395"/>
      <c r="IM231" s="395"/>
      <c r="IN231" s="395"/>
      <c r="IO231" s="395"/>
      <c r="IP231" s="395"/>
      <c r="IQ231" s="395"/>
      <c r="IR231" s="395"/>
    </row>
    <row r="232" spans="2:252" s="58" customFormat="1" ht="25.15" customHeight="1" x14ac:dyDescent="0.25">
      <c r="B232" s="318">
        <v>43014</v>
      </c>
      <c r="C232" s="321">
        <v>25637.03</v>
      </c>
      <c r="D232" s="321">
        <f>IF(ISNUMBER(D231),Table3[[#This Row],[Amount]]+D231,0)</f>
        <v>171928.23</v>
      </c>
      <c r="V232" s="395"/>
      <c r="W232" s="395"/>
      <c r="X232" s="395"/>
      <c r="Y232" s="395"/>
      <c r="Z232" s="395"/>
      <c r="AA232" s="395"/>
      <c r="AB232" s="395"/>
      <c r="AC232" s="395"/>
      <c r="AD232" s="395"/>
      <c r="AE232" s="395"/>
      <c r="AF232" s="395"/>
      <c r="AG232" s="395"/>
      <c r="AH232" s="395"/>
      <c r="AI232" s="395"/>
      <c r="AJ232" s="395"/>
      <c r="AK232" s="395"/>
      <c r="AL232" s="395"/>
      <c r="AM232" s="395"/>
      <c r="AN232" s="395"/>
      <c r="AO232" s="395"/>
      <c r="AP232" s="395"/>
      <c r="AQ232" s="395"/>
      <c r="AR232" s="395"/>
      <c r="AS232" s="395"/>
      <c r="AT232" s="395"/>
      <c r="AU232" s="395"/>
      <c r="AV232" s="395"/>
      <c r="AW232" s="395"/>
      <c r="AX232" s="395"/>
      <c r="AY232" s="395"/>
      <c r="AZ232" s="395"/>
      <c r="BA232" s="395"/>
      <c r="BB232" s="395"/>
      <c r="BC232" s="395"/>
      <c r="BD232" s="395"/>
      <c r="BE232" s="395"/>
      <c r="BF232" s="395"/>
      <c r="BG232" s="395"/>
      <c r="BH232" s="395"/>
      <c r="BI232" s="395"/>
      <c r="BJ232" s="395"/>
      <c r="BK232" s="395"/>
      <c r="BL232" s="395"/>
      <c r="BM232" s="395"/>
      <c r="BN232" s="395"/>
      <c r="BO232" s="395"/>
      <c r="BP232" s="395"/>
      <c r="BQ232" s="395"/>
      <c r="BR232" s="395"/>
      <c r="BS232" s="395"/>
      <c r="BT232" s="395"/>
      <c r="BU232" s="395"/>
      <c r="BV232" s="395"/>
      <c r="BW232" s="395"/>
      <c r="BX232" s="395"/>
      <c r="BY232" s="395"/>
      <c r="BZ232" s="395"/>
      <c r="CA232" s="395"/>
      <c r="CB232" s="395"/>
      <c r="CC232" s="395"/>
      <c r="CD232" s="395"/>
      <c r="CE232" s="395"/>
      <c r="CF232" s="395"/>
      <c r="CG232" s="395"/>
      <c r="CH232" s="395"/>
      <c r="CI232" s="395"/>
      <c r="CJ232" s="395"/>
      <c r="CK232" s="395"/>
      <c r="CL232" s="395"/>
      <c r="CM232" s="395"/>
      <c r="CN232" s="395"/>
      <c r="CO232" s="395"/>
      <c r="CP232" s="395"/>
      <c r="CQ232" s="395"/>
      <c r="CR232" s="395"/>
      <c r="CS232" s="395"/>
      <c r="CT232" s="395"/>
      <c r="CU232" s="395"/>
      <c r="CV232" s="395"/>
      <c r="CW232" s="395"/>
      <c r="CX232" s="395"/>
      <c r="CY232" s="395"/>
      <c r="CZ232" s="395"/>
      <c r="DA232" s="395"/>
      <c r="DB232" s="395"/>
      <c r="DC232" s="395"/>
      <c r="DD232" s="395"/>
      <c r="DE232" s="395"/>
      <c r="DF232" s="395"/>
      <c r="DG232" s="395"/>
      <c r="DH232" s="395"/>
      <c r="DI232" s="395"/>
      <c r="DJ232" s="395"/>
      <c r="DK232" s="395"/>
      <c r="DL232" s="395"/>
      <c r="DM232" s="395"/>
      <c r="DN232" s="395"/>
      <c r="DO232" s="395"/>
      <c r="DP232" s="395"/>
      <c r="DQ232" s="395"/>
      <c r="DR232" s="395"/>
      <c r="DS232" s="395"/>
      <c r="DT232" s="395"/>
      <c r="DU232" s="395"/>
      <c r="DV232" s="395"/>
      <c r="DW232" s="395"/>
      <c r="DX232" s="395"/>
      <c r="DY232" s="395"/>
      <c r="DZ232" s="395"/>
      <c r="EA232" s="395"/>
      <c r="EB232" s="395"/>
      <c r="EC232" s="395"/>
      <c r="ED232" s="395"/>
      <c r="EE232" s="395"/>
      <c r="EF232" s="395"/>
      <c r="EG232" s="395"/>
      <c r="EH232" s="395"/>
      <c r="EI232" s="395"/>
      <c r="EJ232" s="395"/>
      <c r="EK232" s="395"/>
      <c r="EL232" s="395"/>
      <c r="EM232" s="395"/>
      <c r="EN232" s="395"/>
      <c r="EO232" s="395"/>
      <c r="EP232" s="395"/>
      <c r="EQ232" s="395"/>
      <c r="ER232" s="395"/>
      <c r="ES232" s="395"/>
      <c r="ET232" s="395"/>
      <c r="EU232" s="395"/>
      <c r="EV232" s="395"/>
      <c r="EW232" s="395"/>
      <c r="EX232" s="395"/>
      <c r="EY232" s="395"/>
      <c r="EZ232" s="395"/>
      <c r="FA232" s="395"/>
      <c r="FB232" s="395"/>
      <c r="FC232" s="395"/>
      <c r="FD232" s="395"/>
      <c r="FE232" s="395"/>
      <c r="FF232" s="395"/>
      <c r="FG232" s="395"/>
      <c r="FH232" s="395"/>
      <c r="FI232" s="395"/>
      <c r="FJ232" s="395"/>
      <c r="FK232" s="395"/>
      <c r="FL232" s="395"/>
      <c r="FM232" s="395"/>
      <c r="FN232" s="395"/>
      <c r="FO232" s="395"/>
      <c r="FP232" s="395"/>
      <c r="FQ232" s="395"/>
      <c r="FR232" s="395"/>
      <c r="FS232" s="395"/>
      <c r="FT232" s="395"/>
      <c r="FU232" s="395"/>
      <c r="FV232" s="395"/>
      <c r="FW232" s="395"/>
      <c r="FX232" s="395"/>
      <c r="FY232" s="395"/>
      <c r="FZ232" s="395"/>
      <c r="GA232" s="395"/>
      <c r="GB232" s="395"/>
      <c r="GC232" s="395"/>
      <c r="GD232" s="395"/>
      <c r="GE232" s="395"/>
      <c r="GF232" s="395"/>
      <c r="GG232" s="395"/>
      <c r="GH232" s="395"/>
      <c r="GI232" s="395"/>
      <c r="GJ232" s="395"/>
      <c r="GK232" s="395"/>
      <c r="GL232" s="395"/>
      <c r="GM232" s="395"/>
      <c r="GN232" s="395"/>
      <c r="GO232" s="395"/>
      <c r="GP232" s="395"/>
      <c r="GQ232" s="395"/>
      <c r="GR232" s="395"/>
      <c r="GS232" s="395"/>
      <c r="GT232" s="395"/>
      <c r="GU232" s="395"/>
      <c r="GV232" s="395"/>
      <c r="GW232" s="395"/>
      <c r="GX232" s="395"/>
      <c r="GY232" s="395"/>
      <c r="GZ232" s="395"/>
      <c r="HA232" s="395"/>
      <c r="HB232" s="395"/>
      <c r="HC232" s="395"/>
      <c r="HD232" s="395"/>
      <c r="HE232" s="395"/>
      <c r="HF232" s="395"/>
      <c r="HG232" s="395"/>
      <c r="HH232" s="395"/>
      <c r="HI232" s="395"/>
      <c r="HJ232" s="395"/>
      <c r="HK232" s="395"/>
      <c r="HL232" s="395"/>
      <c r="HM232" s="395"/>
      <c r="HN232" s="395"/>
      <c r="HO232" s="395"/>
      <c r="HP232" s="395"/>
      <c r="HQ232" s="395"/>
      <c r="HR232" s="395"/>
      <c r="HS232" s="395"/>
      <c r="HT232" s="395"/>
      <c r="HU232" s="395"/>
      <c r="HV232" s="395"/>
      <c r="HW232" s="395"/>
      <c r="HX232" s="395"/>
      <c r="HY232" s="395"/>
      <c r="HZ232" s="395"/>
      <c r="IA232" s="395"/>
      <c r="IB232" s="395"/>
      <c r="IC232" s="395"/>
      <c r="ID232" s="395"/>
      <c r="IE232" s="395"/>
      <c r="IF232" s="395"/>
      <c r="IG232" s="395"/>
      <c r="IH232" s="395"/>
      <c r="II232" s="395"/>
      <c r="IJ232" s="395"/>
      <c r="IK232" s="395"/>
      <c r="IL232" s="395"/>
      <c r="IM232" s="395"/>
      <c r="IN232" s="395"/>
      <c r="IO232" s="395"/>
      <c r="IP232" s="395"/>
      <c r="IQ232" s="395"/>
      <c r="IR232" s="395"/>
    </row>
    <row r="233" spans="2:252" s="58" customFormat="1" ht="25.15" customHeight="1" x14ac:dyDescent="0.25">
      <c r="B233" s="318">
        <v>43021</v>
      </c>
      <c r="C233" s="321">
        <v>10000</v>
      </c>
      <c r="D233" s="321">
        <f>IF(ISNUMBER(D232),Table3[[#This Row],[Amount]]+D232,0)</f>
        <v>181928.23</v>
      </c>
      <c r="V233" s="395"/>
      <c r="W233" s="395"/>
      <c r="X233" s="395"/>
      <c r="Y233" s="395"/>
      <c r="Z233" s="395"/>
      <c r="AA233" s="395"/>
      <c r="AB233" s="395"/>
      <c r="AC233" s="395"/>
      <c r="AD233" s="395"/>
      <c r="AE233" s="395"/>
      <c r="AF233" s="395"/>
      <c r="AG233" s="395"/>
      <c r="AH233" s="395"/>
      <c r="AI233" s="395"/>
      <c r="AJ233" s="395"/>
      <c r="AK233" s="395"/>
      <c r="AL233" s="395"/>
      <c r="AM233" s="395"/>
      <c r="AN233" s="395"/>
      <c r="AO233" s="395"/>
      <c r="AP233" s="395"/>
      <c r="AQ233" s="395"/>
      <c r="AR233" s="395"/>
      <c r="AS233" s="395"/>
      <c r="AT233" s="395"/>
      <c r="AU233" s="395"/>
      <c r="AV233" s="395"/>
      <c r="AW233" s="395"/>
      <c r="AX233" s="395"/>
      <c r="AY233" s="395"/>
      <c r="AZ233" s="395"/>
      <c r="BA233" s="395"/>
      <c r="BB233" s="395"/>
      <c r="BC233" s="395"/>
      <c r="BD233" s="395"/>
      <c r="BE233" s="395"/>
      <c r="BF233" s="395"/>
      <c r="BG233" s="395"/>
      <c r="BH233" s="395"/>
      <c r="BI233" s="395"/>
      <c r="BJ233" s="395"/>
      <c r="BK233" s="395"/>
      <c r="BL233" s="395"/>
      <c r="BM233" s="395"/>
      <c r="BN233" s="395"/>
      <c r="BO233" s="395"/>
      <c r="BP233" s="395"/>
      <c r="BQ233" s="395"/>
      <c r="BR233" s="395"/>
      <c r="BS233" s="395"/>
      <c r="BT233" s="395"/>
      <c r="BU233" s="395"/>
      <c r="BV233" s="395"/>
      <c r="BW233" s="395"/>
      <c r="BX233" s="395"/>
      <c r="BY233" s="395"/>
      <c r="BZ233" s="395"/>
      <c r="CA233" s="395"/>
      <c r="CB233" s="395"/>
      <c r="CC233" s="395"/>
      <c r="CD233" s="395"/>
      <c r="CE233" s="395"/>
      <c r="CF233" s="395"/>
      <c r="CG233" s="395"/>
      <c r="CH233" s="395"/>
      <c r="CI233" s="395"/>
      <c r="CJ233" s="395"/>
      <c r="CK233" s="395"/>
      <c r="CL233" s="395"/>
      <c r="CM233" s="395"/>
      <c r="CN233" s="395"/>
      <c r="CO233" s="395"/>
      <c r="CP233" s="395"/>
      <c r="CQ233" s="395"/>
      <c r="CR233" s="395"/>
      <c r="CS233" s="395"/>
      <c r="CT233" s="395"/>
      <c r="CU233" s="395"/>
      <c r="CV233" s="395"/>
      <c r="CW233" s="395"/>
      <c r="CX233" s="395"/>
      <c r="CY233" s="395"/>
      <c r="CZ233" s="395"/>
      <c r="DA233" s="395"/>
      <c r="DB233" s="395"/>
      <c r="DC233" s="395"/>
      <c r="DD233" s="395"/>
      <c r="DE233" s="395"/>
      <c r="DF233" s="395"/>
      <c r="DG233" s="395"/>
      <c r="DH233" s="395"/>
      <c r="DI233" s="395"/>
      <c r="DJ233" s="395"/>
      <c r="DK233" s="395"/>
      <c r="DL233" s="395"/>
      <c r="DM233" s="395"/>
      <c r="DN233" s="395"/>
      <c r="DO233" s="395"/>
      <c r="DP233" s="395"/>
      <c r="DQ233" s="395"/>
      <c r="DR233" s="395"/>
      <c r="DS233" s="395"/>
      <c r="DT233" s="395"/>
      <c r="DU233" s="395"/>
      <c r="DV233" s="395"/>
      <c r="DW233" s="395"/>
      <c r="DX233" s="395"/>
      <c r="DY233" s="395"/>
      <c r="DZ233" s="395"/>
      <c r="EA233" s="395"/>
      <c r="EB233" s="395"/>
      <c r="EC233" s="395"/>
      <c r="ED233" s="395"/>
      <c r="EE233" s="395"/>
      <c r="EF233" s="395"/>
      <c r="EG233" s="395"/>
      <c r="EH233" s="395"/>
      <c r="EI233" s="395"/>
      <c r="EJ233" s="395"/>
      <c r="EK233" s="395"/>
      <c r="EL233" s="395"/>
      <c r="EM233" s="395"/>
      <c r="EN233" s="395"/>
      <c r="EO233" s="395"/>
      <c r="EP233" s="395"/>
      <c r="EQ233" s="395"/>
      <c r="ER233" s="395"/>
      <c r="ES233" s="395"/>
      <c r="ET233" s="395"/>
      <c r="EU233" s="395"/>
      <c r="EV233" s="395"/>
      <c r="EW233" s="395"/>
      <c r="EX233" s="395"/>
      <c r="EY233" s="395"/>
      <c r="EZ233" s="395"/>
      <c r="FA233" s="395"/>
      <c r="FB233" s="395"/>
      <c r="FC233" s="395"/>
      <c r="FD233" s="395"/>
      <c r="FE233" s="395"/>
      <c r="FF233" s="395"/>
      <c r="FG233" s="395"/>
      <c r="FH233" s="395"/>
      <c r="FI233" s="395"/>
      <c r="FJ233" s="395"/>
      <c r="FK233" s="395"/>
      <c r="FL233" s="395"/>
      <c r="FM233" s="395"/>
      <c r="FN233" s="395"/>
      <c r="FO233" s="395"/>
      <c r="FP233" s="395"/>
      <c r="FQ233" s="395"/>
      <c r="FR233" s="395"/>
      <c r="FS233" s="395"/>
      <c r="FT233" s="395"/>
      <c r="FU233" s="395"/>
      <c r="FV233" s="395"/>
      <c r="FW233" s="395"/>
      <c r="FX233" s="395"/>
      <c r="FY233" s="395"/>
      <c r="FZ233" s="395"/>
      <c r="GA233" s="395"/>
      <c r="GB233" s="395"/>
      <c r="GC233" s="395"/>
      <c r="GD233" s="395"/>
      <c r="GE233" s="395"/>
      <c r="GF233" s="395"/>
      <c r="GG233" s="395"/>
      <c r="GH233" s="395"/>
      <c r="GI233" s="395"/>
      <c r="GJ233" s="395"/>
      <c r="GK233" s="395"/>
      <c r="GL233" s="395"/>
      <c r="GM233" s="395"/>
      <c r="GN233" s="395"/>
      <c r="GO233" s="395"/>
      <c r="GP233" s="395"/>
      <c r="GQ233" s="395"/>
      <c r="GR233" s="395"/>
      <c r="GS233" s="395"/>
      <c r="GT233" s="395"/>
      <c r="GU233" s="395"/>
      <c r="GV233" s="395"/>
      <c r="GW233" s="395"/>
      <c r="GX233" s="395"/>
      <c r="GY233" s="395"/>
      <c r="GZ233" s="395"/>
      <c r="HA233" s="395"/>
      <c r="HB233" s="395"/>
      <c r="HC233" s="395"/>
      <c r="HD233" s="395"/>
      <c r="HE233" s="395"/>
      <c r="HF233" s="395"/>
      <c r="HG233" s="395"/>
      <c r="HH233" s="395"/>
      <c r="HI233" s="395"/>
      <c r="HJ233" s="395"/>
      <c r="HK233" s="395"/>
      <c r="HL233" s="395"/>
      <c r="HM233" s="395"/>
      <c r="HN233" s="395"/>
      <c r="HO233" s="395"/>
      <c r="HP233" s="395"/>
      <c r="HQ233" s="395"/>
      <c r="HR233" s="395"/>
      <c r="HS233" s="395"/>
      <c r="HT233" s="395"/>
      <c r="HU233" s="395"/>
      <c r="HV233" s="395"/>
      <c r="HW233" s="395"/>
      <c r="HX233" s="395"/>
      <c r="HY233" s="395"/>
      <c r="HZ233" s="395"/>
      <c r="IA233" s="395"/>
      <c r="IB233" s="395"/>
      <c r="IC233" s="395"/>
      <c r="ID233" s="395"/>
      <c r="IE233" s="395"/>
      <c r="IF233" s="395"/>
      <c r="IG233" s="395"/>
      <c r="IH233" s="395"/>
      <c r="II233" s="395"/>
      <c r="IJ233" s="395"/>
      <c r="IK233" s="395"/>
      <c r="IL233" s="395"/>
      <c r="IM233" s="395"/>
      <c r="IN233" s="395"/>
      <c r="IO233" s="395"/>
      <c r="IP233" s="395"/>
      <c r="IQ233" s="395"/>
      <c r="IR233" s="395"/>
    </row>
    <row r="234" spans="2:252" s="58" customFormat="1" ht="25.15" customHeight="1" x14ac:dyDescent="0.25">
      <c r="B234" s="318">
        <v>43021</v>
      </c>
      <c r="C234" s="321">
        <v>37872.620000000003</v>
      </c>
      <c r="D234" s="321">
        <f>IF(ISNUMBER(D233),Table3[[#This Row],[Amount]]+D233,0)</f>
        <v>219800.85</v>
      </c>
      <c r="V234" s="395"/>
      <c r="W234" s="395"/>
      <c r="X234" s="395"/>
      <c r="Y234" s="395"/>
      <c r="Z234" s="395"/>
      <c r="AA234" s="395"/>
      <c r="AB234" s="395"/>
      <c r="AC234" s="395"/>
      <c r="AD234" s="395"/>
      <c r="AE234" s="395"/>
      <c r="AF234" s="395"/>
      <c r="AG234" s="395"/>
      <c r="AH234" s="395"/>
      <c r="AI234" s="395"/>
      <c r="AJ234" s="395"/>
      <c r="AK234" s="395"/>
      <c r="AL234" s="395"/>
      <c r="AM234" s="395"/>
      <c r="AN234" s="395"/>
      <c r="AO234" s="395"/>
      <c r="AP234" s="395"/>
      <c r="AQ234" s="395"/>
      <c r="AR234" s="395"/>
      <c r="AS234" s="395"/>
      <c r="AT234" s="395"/>
      <c r="AU234" s="395"/>
      <c r="AV234" s="395"/>
      <c r="AW234" s="395"/>
      <c r="AX234" s="395"/>
      <c r="AY234" s="395"/>
      <c r="AZ234" s="395"/>
      <c r="BA234" s="395"/>
      <c r="BB234" s="395"/>
      <c r="BC234" s="395"/>
      <c r="BD234" s="395"/>
      <c r="BE234" s="395"/>
      <c r="BF234" s="395"/>
      <c r="BG234" s="395"/>
      <c r="BH234" s="395"/>
      <c r="BI234" s="395"/>
      <c r="BJ234" s="395"/>
      <c r="BK234" s="395"/>
      <c r="BL234" s="395"/>
      <c r="BM234" s="395"/>
      <c r="BN234" s="395"/>
      <c r="BO234" s="395"/>
      <c r="BP234" s="395"/>
      <c r="BQ234" s="395"/>
      <c r="BR234" s="395"/>
      <c r="BS234" s="395"/>
      <c r="BT234" s="395"/>
      <c r="BU234" s="395"/>
      <c r="BV234" s="395"/>
      <c r="BW234" s="395"/>
      <c r="BX234" s="395"/>
      <c r="BY234" s="395"/>
      <c r="BZ234" s="395"/>
      <c r="CA234" s="395"/>
      <c r="CB234" s="395"/>
      <c r="CC234" s="395"/>
      <c r="CD234" s="395"/>
      <c r="CE234" s="395"/>
      <c r="CF234" s="395"/>
      <c r="CG234" s="395"/>
      <c r="CH234" s="395"/>
      <c r="CI234" s="395"/>
      <c r="CJ234" s="395"/>
      <c r="CK234" s="395"/>
      <c r="CL234" s="395"/>
      <c r="CM234" s="395"/>
      <c r="CN234" s="395"/>
      <c r="CO234" s="395"/>
      <c r="CP234" s="395"/>
      <c r="CQ234" s="395"/>
      <c r="CR234" s="395"/>
      <c r="CS234" s="395"/>
      <c r="CT234" s="395"/>
      <c r="CU234" s="395"/>
      <c r="CV234" s="395"/>
      <c r="CW234" s="395"/>
      <c r="CX234" s="395"/>
      <c r="CY234" s="395"/>
      <c r="CZ234" s="395"/>
      <c r="DA234" s="395"/>
      <c r="DB234" s="395"/>
      <c r="DC234" s="395"/>
      <c r="DD234" s="395"/>
      <c r="DE234" s="395"/>
      <c r="DF234" s="395"/>
      <c r="DG234" s="395"/>
      <c r="DH234" s="395"/>
      <c r="DI234" s="395"/>
      <c r="DJ234" s="395"/>
      <c r="DK234" s="395"/>
      <c r="DL234" s="395"/>
      <c r="DM234" s="395"/>
      <c r="DN234" s="395"/>
      <c r="DO234" s="395"/>
      <c r="DP234" s="395"/>
      <c r="DQ234" s="395"/>
      <c r="DR234" s="395"/>
      <c r="DS234" s="395"/>
      <c r="DT234" s="395"/>
      <c r="DU234" s="395"/>
      <c r="DV234" s="395"/>
      <c r="DW234" s="395"/>
      <c r="DX234" s="395"/>
      <c r="DY234" s="395"/>
      <c r="DZ234" s="395"/>
      <c r="EA234" s="395"/>
      <c r="EB234" s="395"/>
      <c r="EC234" s="395"/>
      <c r="ED234" s="395"/>
      <c r="EE234" s="395"/>
      <c r="EF234" s="395"/>
      <c r="EG234" s="395"/>
      <c r="EH234" s="395"/>
      <c r="EI234" s="395"/>
      <c r="EJ234" s="395"/>
      <c r="EK234" s="395"/>
      <c r="EL234" s="395"/>
      <c r="EM234" s="395"/>
      <c r="EN234" s="395"/>
      <c r="EO234" s="395"/>
      <c r="EP234" s="395"/>
      <c r="EQ234" s="395"/>
      <c r="ER234" s="395"/>
      <c r="ES234" s="395"/>
      <c r="ET234" s="395"/>
      <c r="EU234" s="395"/>
      <c r="EV234" s="395"/>
      <c r="EW234" s="395"/>
      <c r="EX234" s="395"/>
      <c r="EY234" s="395"/>
      <c r="EZ234" s="395"/>
      <c r="FA234" s="395"/>
      <c r="FB234" s="395"/>
      <c r="FC234" s="395"/>
      <c r="FD234" s="395"/>
      <c r="FE234" s="395"/>
      <c r="FF234" s="395"/>
      <c r="FG234" s="395"/>
      <c r="FH234" s="395"/>
      <c r="FI234" s="395"/>
      <c r="FJ234" s="395"/>
      <c r="FK234" s="395"/>
      <c r="FL234" s="395"/>
      <c r="FM234" s="395"/>
      <c r="FN234" s="395"/>
      <c r="FO234" s="395"/>
      <c r="FP234" s="395"/>
      <c r="FQ234" s="395"/>
      <c r="FR234" s="395"/>
      <c r="FS234" s="395"/>
      <c r="FT234" s="395"/>
      <c r="FU234" s="395"/>
      <c r="FV234" s="395"/>
      <c r="FW234" s="395"/>
      <c r="FX234" s="395"/>
      <c r="FY234" s="395"/>
      <c r="FZ234" s="395"/>
      <c r="GA234" s="395"/>
      <c r="GB234" s="395"/>
      <c r="GC234" s="395"/>
      <c r="GD234" s="395"/>
      <c r="GE234" s="395"/>
      <c r="GF234" s="395"/>
      <c r="GG234" s="395"/>
      <c r="GH234" s="395"/>
      <c r="GI234" s="395"/>
      <c r="GJ234" s="395"/>
      <c r="GK234" s="395"/>
      <c r="GL234" s="395"/>
      <c r="GM234" s="395"/>
      <c r="GN234" s="395"/>
      <c r="GO234" s="395"/>
      <c r="GP234" s="395"/>
      <c r="GQ234" s="395"/>
      <c r="GR234" s="395"/>
      <c r="GS234" s="395"/>
      <c r="GT234" s="395"/>
      <c r="GU234" s="395"/>
      <c r="GV234" s="395"/>
      <c r="GW234" s="395"/>
      <c r="GX234" s="395"/>
      <c r="GY234" s="395"/>
      <c r="GZ234" s="395"/>
      <c r="HA234" s="395"/>
      <c r="HB234" s="395"/>
      <c r="HC234" s="395"/>
      <c r="HD234" s="395"/>
      <c r="HE234" s="395"/>
      <c r="HF234" s="395"/>
      <c r="HG234" s="395"/>
      <c r="HH234" s="395"/>
      <c r="HI234" s="395"/>
      <c r="HJ234" s="395"/>
      <c r="HK234" s="395"/>
      <c r="HL234" s="395"/>
      <c r="HM234" s="395"/>
      <c r="HN234" s="395"/>
      <c r="HO234" s="395"/>
      <c r="HP234" s="395"/>
      <c r="HQ234" s="395"/>
      <c r="HR234" s="395"/>
      <c r="HS234" s="395"/>
      <c r="HT234" s="395"/>
      <c r="HU234" s="395"/>
      <c r="HV234" s="395"/>
      <c r="HW234" s="395"/>
      <c r="HX234" s="395"/>
      <c r="HY234" s="395"/>
      <c r="HZ234" s="395"/>
      <c r="IA234" s="395"/>
      <c r="IB234" s="395"/>
      <c r="IC234" s="395"/>
      <c r="ID234" s="395"/>
      <c r="IE234" s="395"/>
      <c r="IF234" s="395"/>
      <c r="IG234" s="395"/>
      <c r="IH234" s="395"/>
      <c r="II234" s="395"/>
      <c r="IJ234" s="395"/>
      <c r="IK234" s="395"/>
      <c r="IL234" s="395"/>
      <c r="IM234" s="395"/>
      <c r="IN234" s="395"/>
      <c r="IO234" s="395"/>
      <c r="IP234" s="395"/>
      <c r="IQ234" s="395"/>
      <c r="IR234" s="395"/>
    </row>
    <row r="235" spans="2:252" s="58" customFormat="1" ht="25.15" customHeight="1" x14ac:dyDescent="0.25">
      <c r="B235" s="318">
        <v>43129</v>
      </c>
      <c r="C235" s="321">
        <v>75</v>
      </c>
      <c r="D235" s="321">
        <f>IF(ISNUMBER(D234),Table3[[#This Row],[Amount]]+D234,0)</f>
        <v>219875.85</v>
      </c>
      <c r="V235" s="395"/>
      <c r="W235" s="395"/>
      <c r="X235" s="395"/>
      <c r="Y235" s="395"/>
      <c r="Z235" s="395"/>
      <c r="AA235" s="395"/>
      <c r="AB235" s="395"/>
      <c r="AC235" s="395"/>
      <c r="AD235" s="395"/>
      <c r="AE235" s="395"/>
      <c r="AF235" s="395"/>
      <c r="AG235" s="395"/>
      <c r="AH235" s="395"/>
      <c r="AI235" s="395"/>
      <c r="AJ235" s="395"/>
      <c r="AK235" s="395"/>
      <c r="AL235" s="395"/>
      <c r="AM235" s="395"/>
      <c r="AN235" s="395"/>
      <c r="AO235" s="395"/>
      <c r="AP235" s="395"/>
      <c r="AQ235" s="395"/>
      <c r="AR235" s="395"/>
      <c r="AS235" s="395"/>
      <c r="AT235" s="395"/>
      <c r="AU235" s="395"/>
      <c r="AV235" s="395"/>
      <c r="AW235" s="395"/>
      <c r="AX235" s="395"/>
      <c r="AY235" s="395"/>
      <c r="AZ235" s="395"/>
      <c r="BA235" s="395"/>
      <c r="BB235" s="395"/>
      <c r="BC235" s="395"/>
      <c r="BD235" s="395"/>
      <c r="BE235" s="395"/>
      <c r="BF235" s="395"/>
      <c r="BG235" s="395"/>
      <c r="BH235" s="395"/>
      <c r="BI235" s="395"/>
      <c r="BJ235" s="395"/>
      <c r="BK235" s="395"/>
      <c r="BL235" s="395"/>
      <c r="BM235" s="395"/>
      <c r="BN235" s="395"/>
      <c r="BO235" s="395"/>
      <c r="BP235" s="395"/>
      <c r="BQ235" s="395"/>
      <c r="BR235" s="395"/>
      <c r="BS235" s="395"/>
      <c r="BT235" s="395"/>
      <c r="BU235" s="395"/>
      <c r="BV235" s="395"/>
      <c r="BW235" s="395"/>
      <c r="BX235" s="395"/>
      <c r="BY235" s="395"/>
      <c r="BZ235" s="395"/>
      <c r="CA235" s="395"/>
      <c r="CB235" s="395"/>
      <c r="CC235" s="395"/>
      <c r="CD235" s="395"/>
      <c r="CE235" s="395"/>
      <c r="CF235" s="395"/>
      <c r="CG235" s="395"/>
      <c r="CH235" s="395"/>
      <c r="CI235" s="395"/>
      <c r="CJ235" s="395"/>
      <c r="CK235" s="395"/>
      <c r="CL235" s="395"/>
      <c r="CM235" s="395"/>
      <c r="CN235" s="395"/>
      <c r="CO235" s="395"/>
      <c r="CP235" s="395"/>
      <c r="CQ235" s="395"/>
      <c r="CR235" s="395"/>
      <c r="CS235" s="395"/>
      <c r="CT235" s="395"/>
      <c r="CU235" s="395"/>
      <c r="CV235" s="395"/>
      <c r="CW235" s="395"/>
      <c r="CX235" s="395"/>
      <c r="CY235" s="395"/>
      <c r="CZ235" s="395"/>
      <c r="DA235" s="395"/>
      <c r="DB235" s="395"/>
      <c r="DC235" s="395"/>
      <c r="DD235" s="395"/>
      <c r="DE235" s="395"/>
      <c r="DF235" s="395"/>
      <c r="DG235" s="395"/>
      <c r="DH235" s="395"/>
      <c r="DI235" s="395"/>
      <c r="DJ235" s="395"/>
      <c r="DK235" s="395"/>
      <c r="DL235" s="395"/>
      <c r="DM235" s="395"/>
      <c r="DN235" s="395"/>
      <c r="DO235" s="395"/>
      <c r="DP235" s="395"/>
      <c r="DQ235" s="395"/>
      <c r="DR235" s="395"/>
      <c r="DS235" s="395"/>
      <c r="DT235" s="395"/>
      <c r="DU235" s="395"/>
      <c r="DV235" s="395"/>
      <c r="DW235" s="395"/>
      <c r="DX235" s="395"/>
      <c r="DY235" s="395"/>
      <c r="DZ235" s="395"/>
      <c r="EA235" s="395"/>
      <c r="EB235" s="395"/>
      <c r="EC235" s="395"/>
      <c r="ED235" s="395"/>
      <c r="EE235" s="395"/>
      <c r="EF235" s="395"/>
      <c r="EG235" s="395"/>
      <c r="EH235" s="395"/>
      <c r="EI235" s="395"/>
      <c r="EJ235" s="395"/>
      <c r="EK235" s="395"/>
      <c r="EL235" s="395"/>
      <c r="EM235" s="395"/>
      <c r="EN235" s="395"/>
      <c r="EO235" s="395"/>
      <c r="EP235" s="395"/>
      <c r="EQ235" s="395"/>
      <c r="ER235" s="395"/>
      <c r="ES235" s="395"/>
      <c r="ET235" s="395"/>
      <c r="EU235" s="395"/>
      <c r="EV235" s="395"/>
      <c r="EW235" s="395"/>
      <c r="EX235" s="395"/>
      <c r="EY235" s="395"/>
      <c r="EZ235" s="395"/>
      <c r="FA235" s="395"/>
      <c r="FB235" s="395"/>
      <c r="FC235" s="395"/>
      <c r="FD235" s="395"/>
      <c r="FE235" s="395"/>
      <c r="FF235" s="395"/>
      <c r="FG235" s="395"/>
      <c r="FH235" s="395"/>
      <c r="FI235" s="395"/>
      <c r="FJ235" s="395"/>
      <c r="FK235" s="395"/>
      <c r="FL235" s="395"/>
      <c r="FM235" s="395"/>
      <c r="FN235" s="395"/>
      <c r="FO235" s="395"/>
      <c r="FP235" s="395"/>
      <c r="FQ235" s="395"/>
      <c r="FR235" s="395"/>
      <c r="FS235" s="395"/>
      <c r="FT235" s="395"/>
      <c r="FU235" s="395"/>
      <c r="FV235" s="395"/>
      <c r="FW235" s="395"/>
      <c r="FX235" s="395"/>
      <c r="FY235" s="395"/>
      <c r="FZ235" s="395"/>
      <c r="GA235" s="395"/>
      <c r="GB235" s="395"/>
      <c r="GC235" s="395"/>
      <c r="GD235" s="395"/>
      <c r="GE235" s="395"/>
      <c r="GF235" s="395"/>
      <c r="GG235" s="395"/>
      <c r="GH235" s="395"/>
      <c r="GI235" s="395"/>
      <c r="GJ235" s="395"/>
      <c r="GK235" s="395"/>
      <c r="GL235" s="395"/>
      <c r="GM235" s="395"/>
      <c r="GN235" s="395"/>
      <c r="GO235" s="395"/>
      <c r="GP235" s="395"/>
      <c r="GQ235" s="395"/>
      <c r="GR235" s="395"/>
      <c r="GS235" s="395"/>
      <c r="GT235" s="395"/>
      <c r="GU235" s="395"/>
      <c r="GV235" s="395"/>
      <c r="GW235" s="395"/>
      <c r="GX235" s="395"/>
      <c r="GY235" s="395"/>
      <c r="GZ235" s="395"/>
      <c r="HA235" s="395"/>
      <c r="HB235" s="395"/>
      <c r="HC235" s="395"/>
      <c r="HD235" s="395"/>
      <c r="HE235" s="395"/>
      <c r="HF235" s="395"/>
      <c r="HG235" s="395"/>
      <c r="HH235" s="395"/>
      <c r="HI235" s="395"/>
      <c r="HJ235" s="395"/>
      <c r="HK235" s="395"/>
      <c r="HL235" s="395"/>
      <c r="HM235" s="395"/>
      <c r="HN235" s="395"/>
      <c r="HO235" s="395"/>
      <c r="HP235" s="395"/>
      <c r="HQ235" s="395"/>
      <c r="HR235" s="395"/>
      <c r="HS235" s="395"/>
      <c r="HT235" s="395"/>
      <c r="HU235" s="395"/>
      <c r="HV235" s="395"/>
      <c r="HW235" s="395"/>
      <c r="HX235" s="395"/>
      <c r="HY235" s="395"/>
      <c r="HZ235" s="395"/>
      <c r="IA235" s="395"/>
      <c r="IB235" s="395"/>
      <c r="IC235" s="395"/>
      <c r="ID235" s="395"/>
      <c r="IE235" s="395"/>
      <c r="IF235" s="395"/>
      <c r="IG235" s="395"/>
      <c r="IH235" s="395"/>
      <c r="II235" s="395"/>
      <c r="IJ235" s="395"/>
      <c r="IK235" s="395"/>
      <c r="IL235" s="395"/>
      <c r="IM235" s="395"/>
      <c r="IN235" s="395"/>
      <c r="IO235" s="395"/>
      <c r="IP235" s="395"/>
      <c r="IQ235" s="395"/>
      <c r="IR235" s="395"/>
    </row>
    <row r="236" spans="2:252" s="58" customFormat="1" ht="25.15" customHeight="1" x14ac:dyDescent="0.25">
      <c r="B236" s="318">
        <v>43143</v>
      </c>
      <c r="C236" s="317">
        <v>75</v>
      </c>
      <c r="D236" s="321">
        <f>IF(ISNUMBER(D235),Table3[[#This Row],[Amount]]+D235,0)</f>
        <v>219950.85</v>
      </c>
      <c r="V236" s="395"/>
      <c r="W236" s="395"/>
      <c r="X236" s="395"/>
      <c r="Y236" s="395"/>
      <c r="Z236" s="395"/>
      <c r="AA236" s="395"/>
      <c r="AB236" s="395"/>
      <c r="AC236" s="395"/>
      <c r="AD236" s="395"/>
      <c r="AE236" s="395"/>
      <c r="AF236" s="395"/>
      <c r="AG236" s="395"/>
      <c r="AH236" s="395"/>
      <c r="AI236" s="395"/>
      <c r="AJ236" s="395"/>
      <c r="AK236" s="395"/>
      <c r="AL236" s="395"/>
      <c r="AM236" s="395"/>
      <c r="AN236" s="395"/>
      <c r="AO236" s="395"/>
      <c r="AP236" s="395"/>
      <c r="AQ236" s="395"/>
      <c r="AR236" s="395"/>
      <c r="AS236" s="395"/>
      <c r="AT236" s="395"/>
      <c r="AU236" s="395"/>
      <c r="AV236" s="395"/>
      <c r="AW236" s="395"/>
      <c r="AX236" s="395"/>
      <c r="AY236" s="395"/>
      <c r="AZ236" s="395"/>
      <c r="BA236" s="395"/>
      <c r="BB236" s="395"/>
      <c r="BC236" s="395"/>
      <c r="BD236" s="395"/>
      <c r="BE236" s="395"/>
      <c r="BF236" s="395"/>
      <c r="BG236" s="395"/>
      <c r="BH236" s="395"/>
      <c r="BI236" s="395"/>
      <c r="BJ236" s="395"/>
      <c r="BK236" s="395"/>
      <c r="BL236" s="395"/>
      <c r="BM236" s="395"/>
      <c r="BN236" s="395"/>
      <c r="BO236" s="395"/>
      <c r="BP236" s="395"/>
      <c r="BQ236" s="395"/>
      <c r="BR236" s="395"/>
      <c r="BS236" s="395"/>
      <c r="BT236" s="395"/>
      <c r="BU236" s="395"/>
      <c r="BV236" s="395"/>
      <c r="BW236" s="395"/>
      <c r="BX236" s="395"/>
      <c r="BY236" s="395"/>
      <c r="BZ236" s="395"/>
      <c r="CA236" s="395"/>
      <c r="CB236" s="395"/>
      <c r="CC236" s="395"/>
      <c r="CD236" s="395"/>
      <c r="CE236" s="395"/>
      <c r="CF236" s="395"/>
      <c r="CG236" s="395"/>
      <c r="CH236" s="395"/>
      <c r="CI236" s="395"/>
      <c r="CJ236" s="395"/>
      <c r="CK236" s="395"/>
      <c r="CL236" s="395"/>
      <c r="CM236" s="395"/>
      <c r="CN236" s="395"/>
      <c r="CO236" s="395"/>
      <c r="CP236" s="395"/>
      <c r="CQ236" s="395"/>
      <c r="CR236" s="395"/>
      <c r="CS236" s="395"/>
      <c r="CT236" s="395"/>
      <c r="CU236" s="395"/>
      <c r="CV236" s="395"/>
      <c r="CW236" s="395"/>
      <c r="CX236" s="395"/>
      <c r="CY236" s="395"/>
      <c r="CZ236" s="395"/>
      <c r="DA236" s="395"/>
      <c r="DB236" s="395"/>
      <c r="DC236" s="395"/>
      <c r="DD236" s="395"/>
      <c r="DE236" s="395"/>
      <c r="DF236" s="395"/>
      <c r="DG236" s="395"/>
      <c r="DH236" s="395"/>
      <c r="DI236" s="395"/>
      <c r="DJ236" s="395"/>
      <c r="DK236" s="395"/>
      <c r="DL236" s="395"/>
      <c r="DM236" s="395"/>
      <c r="DN236" s="395"/>
      <c r="DO236" s="395"/>
      <c r="DP236" s="395"/>
      <c r="DQ236" s="395"/>
      <c r="DR236" s="395"/>
      <c r="DS236" s="395"/>
      <c r="DT236" s="395"/>
      <c r="DU236" s="395"/>
      <c r="DV236" s="395"/>
      <c r="DW236" s="395"/>
      <c r="DX236" s="395"/>
      <c r="DY236" s="395"/>
      <c r="DZ236" s="395"/>
      <c r="EA236" s="395"/>
      <c r="EB236" s="395"/>
      <c r="EC236" s="395"/>
      <c r="ED236" s="395"/>
      <c r="EE236" s="395"/>
      <c r="EF236" s="395"/>
      <c r="EG236" s="395"/>
      <c r="EH236" s="395"/>
      <c r="EI236" s="395"/>
      <c r="EJ236" s="395"/>
      <c r="EK236" s="395"/>
      <c r="EL236" s="395"/>
      <c r="EM236" s="395"/>
      <c r="EN236" s="395"/>
      <c r="EO236" s="395"/>
      <c r="EP236" s="395"/>
      <c r="EQ236" s="395"/>
      <c r="ER236" s="395"/>
      <c r="ES236" s="395"/>
      <c r="ET236" s="395"/>
      <c r="EU236" s="395"/>
      <c r="EV236" s="395"/>
      <c r="EW236" s="395"/>
      <c r="EX236" s="395"/>
      <c r="EY236" s="395"/>
      <c r="EZ236" s="395"/>
      <c r="FA236" s="395"/>
      <c r="FB236" s="395"/>
      <c r="FC236" s="395"/>
      <c r="FD236" s="395"/>
      <c r="FE236" s="395"/>
      <c r="FF236" s="395"/>
      <c r="FG236" s="395"/>
      <c r="FH236" s="395"/>
      <c r="FI236" s="395"/>
      <c r="FJ236" s="395"/>
      <c r="FK236" s="395"/>
      <c r="FL236" s="395"/>
      <c r="FM236" s="395"/>
      <c r="FN236" s="395"/>
      <c r="FO236" s="395"/>
      <c r="FP236" s="395"/>
      <c r="FQ236" s="395"/>
      <c r="FR236" s="395"/>
      <c r="FS236" s="395"/>
      <c r="FT236" s="395"/>
      <c r="FU236" s="395"/>
      <c r="FV236" s="395"/>
      <c r="FW236" s="395"/>
      <c r="FX236" s="395"/>
      <c r="FY236" s="395"/>
      <c r="FZ236" s="395"/>
      <c r="GA236" s="395"/>
      <c r="GB236" s="395"/>
      <c r="GC236" s="395"/>
      <c r="GD236" s="395"/>
      <c r="GE236" s="395"/>
      <c r="GF236" s="395"/>
      <c r="GG236" s="395"/>
      <c r="GH236" s="395"/>
      <c r="GI236" s="395"/>
      <c r="GJ236" s="395"/>
      <c r="GK236" s="395"/>
      <c r="GL236" s="395"/>
      <c r="GM236" s="395"/>
      <c r="GN236" s="395"/>
      <c r="GO236" s="395"/>
      <c r="GP236" s="395"/>
      <c r="GQ236" s="395"/>
      <c r="GR236" s="395"/>
      <c r="GS236" s="395"/>
      <c r="GT236" s="395"/>
      <c r="GU236" s="395"/>
      <c r="GV236" s="395"/>
      <c r="GW236" s="395"/>
      <c r="GX236" s="395"/>
      <c r="GY236" s="395"/>
      <c r="GZ236" s="395"/>
      <c r="HA236" s="395"/>
      <c r="HB236" s="395"/>
      <c r="HC236" s="395"/>
      <c r="HD236" s="395"/>
      <c r="HE236" s="395"/>
      <c r="HF236" s="395"/>
      <c r="HG236" s="395"/>
      <c r="HH236" s="395"/>
      <c r="HI236" s="395"/>
      <c r="HJ236" s="395"/>
      <c r="HK236" s="395"/>
      <c r="HL236" s="395"/>
      <c r="HM236" s="395"/>
      <c r="HN236" s="395"/>
      <c r="HO236" s="395"/>
      <c r="HP236" s="395"/>
      <c r="HQ236" s="395"/>
      <c r="HR236" s="395"/>
      <c r="HS236" s="395"/>
      <c r="HT236" s="395"/>
      <c r="HU236" s="395"/>
      <c r="HV236" s="395"/>
      <c r="HW236" s="395"/>
      <c r="HX236" s="395"/>
      <c r="HY236" s="395"/>
      <c r="HZ236" s="395"/>
      <c r="IA236" s="395"/>
      <c r="IB236" s="395"/>
      <c r="IC236" s="395"/>
      <c r="ID236" s="395"/>
      <c r="IE236" s="395"/>
      <c r="IF236" s="395"/>
      <c r="IG236" s="395"/>
      <c r="IH236" s="395"/>
      <c r="II236" s="395"/>
      <c r="IJ236" s="395"/>
      <c r="IK236" s="395"/>
      <c r="IL236" s="395"/>
      <c r="IM236" s="395"/>
      <c r="IN236" s="395"/>
      <c r="IO236" s="395"/>
      <c r="IP236" s="395"/>
      <c r="IQ236" s="395"/>
      <c r="IR236" s="395"/>
    </row>
    <row r="237" spans="2:252" s="58" customFormat="1" ht="25.15" customHeight="1" x14ac:dyDescent="0.25">
      <c r="B237" s="318">
        <v>43157</v>
      </c>
      <c r="C237" s="317">
        <v>75</v>
      </c>
      <c r="D237" s="321">
        <f>IF(ISNUMBER(D236),Table3[[#This Row],[Amount]]+D236,0)</f>
        <v>220025.85</v>
      </c>
      <c r="V237" s="395"/>
      <c r="W237" s="395"/>
      <c r="X237" s="395"/>
      <c r="Y237" s="395"/>
      <c r="Z237" s="395"/>
      <c r="AA237" s="395"/>
      <c r="AB237" s="395"/>
      <c r="AC237" s="395"/>
      <c r="AD237" s="395"/>
      <c r="AE237" s="395"/>
      <c r="AF237" s="395"/>
      <c r="AG237" s="395"/>
      <c r="AH237" s="395"/>
      <c r="AI237" s="395"/>
      <c r="AJ237" s="395"/>
      <c r="AK237" s="395"/>
      <c r="AL237" s="395"/>
      <c r="AM237" s="395"/>
      <c r="AN237" s="395"/>
      <c r="AO237" s="395"/>
      <c r="AP237" s="395"/>
      <c r="AQ237" s="395"/>
      <c r="AR237" s="395"/>
      <c r="AS237" s="395"/>
      <c r="AT237" s="395"/>
      <c r="AU237" s="395"/>
      <c r="AV237" s="395"/>
      <c r="AW237" s="395"/>
      <c r="AX237" s="395"/>
      <c r="AY237" s="395"/>
      <c r="AZ237" s="395"/>
      <c r="BA237" s="395"/>
      <c r="BB237" s="395"/>
      <c r="BC237" s="395"/>
      <c r="BD237" s="395"/>
      <c r="BE237" s="395"/>
      <c r="BF237" s="395"/>
      <c r="BG237" s="395"/>
      <c r="BH237" s="395"/>
      <c r="BI237" s="395"/>
      <c r="BJ237" s="395"/>
      <c r="BK237" s="395"/>
      <c r="BL237" s="395"/>
      <c r="BM237" s="395"/>
      <c r="BN237" s="395"/>
      <c r="BO237" s="395"/>
      <c r="BP237" s="395"/>
      <c r="BQ237" s="395"/>
      <c r="BR237" s="395"/>
      <c r="BS237" s="395"/>
      <c r="BT237" s="395"/>
      <c r="BU237" s="395"/>
      <c r="BV237" s="395"/>
      <c r="BW237" s="395"/>
      <c r="BX237" s="395"/>
      <c r="BY237" s="395"/>
      <c r="BZ237" s="395"/>
      <c r="CA237" s="395"/>
      <c r="CB237" s="395"/>
      <c r="CC237" s="395"/>
      <c r="CD237" s="395"/>
      <c r="CE237" s="395"/>
      <c r="CF237" s="395"/>
      <c r="CG237" s="395"/>
      <c r="CH237" s="395"/>
      <c r="CI237" s="395"/>
      <c r="CJ237" s="395"/>
      <c r="CK237" s="395"/>
      <c r="CL237" s="395"/>
      <c r="CM237" s="395"/>
      <c r="CN237" s="395"/>
      <c r="CO237" s="395"/>
      <c r="CP237" s="395"/>
      <c r="CQ237" s="395"/>
      <c r="CR237" s="395"/>
      <c r="CS237" s="395"/>
      <c r="CT237" s="395"/>
      <c r="CU237" s="395"/>
      <c r="CV237" s="395"/>
      <c r="CW237" s="395"/>
      <c r="CX237" s="395"/>
      <c r="CY237" s="395"/>
      <c r="CZ237" s="395"/>
      <c r="DA237" s="395"/>
      <c r="DB237" s="395"/>
      <c r="DC237" s="395"/>
      <c r="DD237" s="395"/>
      <c r="DE237" s="395"/>
      <c r="DF237" s="395"/>
      <c r="DG237" s="395"/>
      <c r="DH237" s="395"/>
      <c r="DI237" s="395"/>
      <c r="DJ237" s="395"/>
      <c r="DK237" s="395"/>
      <c r="DL237" s="395"/>
      <c r="DM237" s="395"/>
      <c r="DN237" s="395"/>
      <c r="DO237" s="395"/>
      <c r="DP237" s="395"/>
      <c r="DQ237" s="395"/>
      <c r="DR237" s="395"/>
      <c r="DS237" s="395"/>
      <c r="DT237" s="395"/>
      <c r="DU237" s="395"/>
      <c r="DV237" s="395"/>
      <c r="DW237" s="395"/>
      <c r="DX237" s="395"/>
      <c r="DY237" s="395"/>
      <c r="DZ237" s="395"/>
      <c r="EA237" s="395"/>
      <c r="EB237" s="395"/>
      <c r="EC237" s="395"/>
      <c r="ED237" s="395"/>
      <c r="EE237" s="395"/>
      <c r="EF237" s="395"/>
      <c r="EG237" s="395"/>
      <c r="EH237" s="395"/>
      <c r="EI237" s="395"/>
      <c r="EJ237" s="395"/>
      <c r="EK237" s="395"/>
      <c r="EL237" s="395"/>
      <c r="EM237" s="395"/>
      <c r="EN237" s="395"/>
      <c r="EO237" s="395"/>
      <c r="EP237" s="395"/>
      <c r="EQ237" s="395"/>
      <c r="ER237" s="395"/>
      <c r="ES237" s="395"/>
      <c r="ET237" s="395"/>
      <c r="EU237" s="395"/>
      <c r="EV237" s="395"/>
      <c r="EW237" s="395"/>
      <c r="EX237" s="395"/>
      <c r="EY237" s="395"/>
      <c r="EZ237" s="395"/>
      <c r="FA237" s="395"/>
      <c r="FB237" s="395"/>
      <c r="FC237" s="395"/>
      <c r="FD237" s="395"/>
      <c r="FE237" s="395"/>
      <c r="FF237" s="395"/>
      <c r="FG237" s="395"/>
      <c r="FH237" s="395"/>
      <c r="FI237" s="395"/>
      <c r="FJ237" s="395"/>
      <c r="FK237" s="395"/>
      <c r="FL237" s="395"/>
      <c r="FM237" s="395"/>
      <c r="FN237" s="395"/>
      <c r="FO237" s="395"/>
      <c r="FP237" s="395"/>
      <c r="FQ237" s="395"/>
      <c r="FR237" s="395"/>
      <c r="FS237" s="395"/>
      <c r="FT237" s="395"/>
      <c r="FU237" s="395"/>
      <c r="FV237" s="395"/>
      <c r="FW237" s="395"/>
      <c r="FX237" s="395"/>
      <c r="FY237" s="395"/>
      <c r="FZ237" s="395"/>
      <c r="GA237" s="395"/>
      <c r="GB237" s="395"/>
      <c r="GC237" s="395"/>
      <c r="GD237" s="395"/>
      <c r="GE237" s="395"/>
      <c r="GF237" s="395"/>
      <c r="GG237" s="395"/>
      <c r="GH237" s="395"/>
      <c r="GI237" s="395"/>
      <c r="GJ237" s="395"/>
      <c r="GK237" s="395"/>
      <c r="GL237" s="395"/>
      <c r="GM237" s="395"/>
      <c r="GN237" s="395"/>
      <c r="GO237" s="395"/>
      <c r="GP237" s="395"/>
      <c r="GQ237" s="395"/>
      <c r="GR237" s="395"/>
      <c r="GS237" s="395"/>
      <c r="GT237" s="395"/>
      <c r="GU237" s="395"/>
      <c r="GV237" s="395"/>
      <c r="GW237" s="395"/>
      <c r="GX237" s="395"/>
      <c r="GY237" s="395"/>
      <c r="GZ237" s="395"/>
      <c r="HA237" s="395"/>
      <c r="HB237" s="395"/>
      <c r="HC237" s="395"/>
      <c r="HD237" s="395"/>
      <c r="HE237" s="395"/>
      <c r="HF237" s="395"/>
      <c r="HG237" s="395"/>
      <c r="HH237" s="395"/>
      <c r="HI237" s="395"/>
      <c r="HJ237" s="395"/>
      <c r="HK237" s="395"/>
      <c r="HL237" s="395"/>
      <c r="HM237" s="395"/>
      <c r="HN237" s="395"/>
      <c r="HO237" s="395"/>
      <c r="HP237" s="395"/>
      <c r="HQ237" s="395"/>
      <c r="HR237" s="395"/>
      <c r="HS237" s="395"/>
      <c r="HT237" s="395"/>
      <c r="HU237" s="395"/>
      <c r="HV237" s="395"/>
      <c r="HW237" s="395"/>
      <c r="HX237" s="395"/>
      <c r="HY237" s="395"/>
      <c r="HZ237" s="395"/>
      <c r="IA237" s="395"/>
      <c r="IB237" s="395"/>
      <c r="IC237" s="395"/>
      <c r="ID237" s="395"/>
      <c r="IE237" s="395"/>
      <c r="IF237" s="395"/>
      <c r="IG237" s="395"/>
      <c r="IH237" s="395"/>
      <c r="II237" s="395"/>
      <c r="IJ237" s="395"/>
      <c r="IK237" s="395"/>
      <c r="IL237" s="395"/>
      <c r="IM237" s="395"/>
      <c r="IN237" s="395"/>
      <c r="IO237" s="395"/>
      <c r="IP237" s="395"/>
      <c r="IQ237" s="395"/>
      <c r="IR237" s="395"/>
    </row>
    <row r="238" spans="2:252" s="58" customFormat="1" ht="25.15" customHeight="1" x14ac:dyDescent="0.25">
      <c r="B238" s="318">
        <v>43171</v>
      </c>
      <c r="C238" s="317">
        <v>75</v>
      </c>
      <c r="D238" s="321">
        <f>IF(ISNUMBER(D237),Table3[[#This Row],[Amount]]+D237,0)</f>
        <v>220100.85</v>
      </c>
      <c r="V238" s="395"/>
      <c r="W238" s="395"/>
      <c r="X238" s="395"/>
      <c r="Y238" s="395"/>
      <c r="Z238" s="395"/>
      <c r="AA238" s="395"/>
      <c r="AB238" s="395"/>
      <c r="AC238" s="395"/>
      <c r="AD238" s="395"/>
      <c r="AE238" s="395"/>
      <c r="AF238" s="395"/>
      <c r="AG238" s="395"/>
      <c r="AH238" s="395"/>
      <c r="AI238" s="395"/>
      <c r="AJ238" s="395"/>
      <c r="AK238" s="395"/>
      <c r="AL238" s="395"/>
      <c r="AM238" s="395"/>
      <c r="AN238" s="395"/>
      <c r="AO238" s="395"/>
      <c r="AP238" s="395"/>
      <c r="AQ238" s="395"/>
      <c r="AR238" s="395"/>
      <c r="AS238" s="395"/>
      <c r="AT238" s="395"/>
      <c r="AU238" s="395"/>
      <c r="AV238" s="395"/>
      <c r="AW238" s="395"/>
      <c r="AX238" s="395"/>
      <c r="AY238" s="395"/>
      <c r="AZ238" s="395"/>
      <c r="BA238" s="395"/>
      <c r="BB238" s="395"/>
      <c r="BC238" s="395"/>
      <c r="BD238" s="395"/>
      <c r="BE238" s="395"/>
      <c r="BF238" s="395"/>
      <c r="BG238" s="395"/>
      <c r="BH238" s="395"/>
      <c r="BI238" s="395"/>
      <c r="BJ238" s="395"/>
      <c r="BK238" s="395"/>
      <c r="BL238" s="395"/>
      <c r="BM238" s="395"/>
      <c r="BN238" s="395"/>
      <c r="BO238" s="395"/>
      <c r="BP238" s="395"/>
      <c r="BQ238" s="395"/>
      <c r="BR238" s="395"/>
      <c r="BS238" s="395"/>
      <c r="BT238" s="395"/>
      <c r="BU238" s="395"/>
      <c r="BV238" s="395"/>
      <c r="BW238" s="395"/>
      <c r="BX238" s="395"/>
      <c r="BY238" s="395"/>
      <c r="BZ238" s="395"/>
      <c r="CA238" s="395"/>
      <c r="CB238" s="395"/>
      <c r="CC238" s="395"/>
      <c r="CD238" s="395"/>
      <c r="CE238" s="395"/>
      <c r="CF238" s="395"/>
      <c r="CG238" s="395"/>
      <c r="CH238" s="395"/>
      <c r="CI238" s="395"/>
      <c r="CJ238" s="395"/>
      <c r="CK238" s="395"/>
      <c r="CL238" s="395"/>
      <c r="CM238" s="395"/>
      <c r="CN238" s="395"/>
      <c r="CO238" s="395"/>
      <c r="CP238" s="395"/>
      <c r="CQ238" s="395"/>
      <c r="CR238" s="395"/>
      <c r="CS238" s="395"/>
      <c r="CT238" s="395"/>
      <c r="CU238" s="395"/>
      <c r="CV238" s="395"/>
      <c r="CW238" s="395"/>
      <c r="CX238" s="395"/>
      <c r="CY238" s="395"/>
      <c r="CZ238" s="395"/>
      <c r="DA238" s="395"/>
      <c r="DB238" s="395"/>
      <c r="DC238" s="395"/>
      <c r="DD238" s="395"/>
      <c r="DE238" s="395"/>
      <c r="DF238" s="395"/>
      <c r="DG238" s="395"/>
      <c r="DH238" s="395"/>
      <c r="DI238" s="395"/>
      <c r="DJ238" s="395"/>
      <c r="DK238" s="395"/>
      <c r="DL238" s="395"/>
      <c r="DM238" s="395"/>
      <c r="DN238" s="395"/>
      <c r="DO238" s="395"/>
      <c r="DP238" s="395"/>
      <c r="DQ238" s="395"/>
      <c r="DR238" s="395"/>
      <c r="DS238" s="395"/>
      <c r="DT238" s="395"/>
      <c r="DU238" s="395"/>
      <c r="DV238" s="395"/>
      <c r="DW238" s="395"/>
      <c r="DX238" s="395"/>
      <c r="DY238" s="395"/>
      <c r="DZ238" s="395"/>
      <c r="EA238" s="395"/>
      <c r="EB238" s="395"/>
      <c r="EC238" s="395"/>
      <c r="ED238" s="395"/>
      <c r="EE238" s="395"/>
      <c r="EF238" s="395"/>
      <c r="EG238" s="395"/>
      <c r="EH238" s="395"/>
      <c r="EI238" s="395"/>
      <c r="EJ238" s="395"/>
      <c r="EK238" s="395"/>
      <c r="EL238" s="395"/>
      <c r="EM238" s="395"/>
      <c r="EN238" s="395"/>
      <c r="EO238" s="395"/>
      <c r="EP238" s="395"/>
      <c r="EQ238" s="395"/>
      <c r="ER238" s="395"/>
      <c r="ES238" s="395"/>
      <c r="ET238" s="395"/>
      <c r="EU238" s="395"/>
      <c r="EV238" s="395"/>
      <c r="EW238" s="395"/>
      <c r="EX238" s="395"/>
      <c r="EY238" s="395"/>
      <c r="EZ238" s="395"/>
      <c r="FA238" s="395"/>
      <c r="FB238" s="395"/>
      <c r="FC238" s="395"/>
      <c r="FD238" s="395"/>
      <c r="FE238" s="395"/>
      <c r="FF238" s="395"/>
      <c r="FG238" s="395"/>
      <c r="FH238" s="395"/>
      <c r="FI238" s="395"/>
      <c r="FJ238" s="395"/>
      <c r="FK238" s="395"/>
      <c r="FL238" s="395"/>
      <c r="FM238" s="395"/>
      <c r="FN238" s="395"/>
      <c r="FO238" s="395"/>
      <c r="FP238" s="395"/>
      <c r="FQ238" s="395"/>
      <c r="FR238" s="395"/>
      <c r="FS238" s="395"/>
      <c r="FT238" s="395"/>
      <c r="FU238" s="395"/>
      <c r="FV238" s="395"/>
      <c r="FW238" s="395"/>
      <c r="FX238" s="395"/>
      <c r="FY238" s="395"/>
      <c r="FZ238" s="395"/>
      <c r="GA238" s="395"/>
      <c r="GB238" s="395"/>
      <c r="GC238" s="395"/>
      <c r="GD238" s="395"/>
      <c r="GE238" s="395"/>
      <c r="GF238" s="395"/>
      <c r="GG238" s="395"/>
      <c r="GH238" s="395"/>
      <c r="GI238" s="395"/>
      <c r="GJ238" s="395"/>
      <c r="GK238" s="395"/>
      <c r="GL238" s="395"/>
      <c r="GM238" s="395"/>
      <c r="GN238" s="395"/>
      <c r="GO238" s="395"/>
      <c r="GP238" s="395"/>
      <c r="GQ238" s="395"/>
      <c r="GR238" s="395"/>
      <c r="GS238" s="395"/>
      <c r="GT238" s="395"/>
      <c r="GU238" s="395"/>
      <c r="GV238" s="395"/>
      <c r="GW238" s="395"/>
      <c r="GX238" s="395"/>
      <c r="GY238" s="395"/>
      <c r="GZ238" s="395"/>
      <c r="HA238" s="395"/>
      <c r="HB238" s="395"/>
      <c r="HC238" s="395"/>
      <c r="HD238" s="395"/>
      <c r="HE238" s="395"/>
      <c r="HF238" s="395"/>
      <c r="HG238" s="395"/>
      <c r="HH238" s="395"/>
      <c r="HI238" s="395"/>
      <c r="HJ238" s="395"/>
      <c r="HK238" s="395"/>
      <c r="HL238" s="395"/>
      <c r="HM238" s="395"/>
      <c r="HN238" s="395"/>
      <c r="HO238" s="395"/>
      <c r="HP238" s="395"/>
      <c r="HQ238" s="395"/>
      <c r="HR238" s="395"/>
      <c r="HS238" s="395"/>
      <c r="HT238" s="395"/>
      <c r="HU238" s="395"/>
      <c r="HV238" s="395"/>
      <c r="HW238" s="395"/>
      <c r="HX238" s="395"/>
      <c r="HY238" s="395"/>
      <c r="HZ238" s="395"/>
      <c r="IA238" s="395"/>
      <c r="IB238" s="395"/>
      <c r="IC238" s="395"/>
      <c r="ID238" s="395"/>
      <c r="IE238" s="395"/>
      <c r="IF238" s="395"/>
      <c r="IG238" s="395"/>
      <c r="IH238" s="395"/>
      <c r="II238" s="395"/>
      <c r="IJ238" s="395"/>
      <c r="IK238" s="395"/>
      <c r="IL238" s="395"/>
      <c r="IM238" s="395"/>
      <c r="IN238" s="395"/>
      <c r="IO238" s="395"/>
      <c r="IP238" s="395"/>
      <c r="IQ238" s="395"/>
      <c r="IR238" s="395"/>
    </row>
    <row r="239" spans="2:252" s="58" customFormat="1" ht="25.15" customHeight="1" x14ac:dyDescent="0.25">
      <c r="B239" s="318">
        <v>43181</v>
      </c>
      <c r="C239" s="321">
        <v>5900</v>
      </c>
      <c r="D239" s="321">
        <f>IF(ISNUMBER(D238),Table3[[#This Row],[Amount]]+D238,0)</f>
        <v>226000.85</v>
      </c>
      <c r="V239" s="395"/>
      <c r="W239" s="395"/>
      <c r="X239" s="395"/>
      <c r="Y239" s="395"/>
      <c r="Z239" s="395"/>
      <c r="AA239" s="395"/>
      <c r="AB239" s="395"/>
      <c r="AC239" s="395"/>
      <c r="AD239" s="395"/>
      <c r="AE239" s="395"/>
      <c r="AF239" s="395"/>
      <c r="AG239" s="395"/>
      <c r="AH239" s="395"/>
      <c r="AI239" s="395"/>
      <c r="AJ239" s="395"/>
      <c r="AK239" s="395"/>
      <c r="AL239" s="395"/>
      <c r="AM239" s="395"/>
      <c r="AN239" s="395"/>
      <c r="AO239" s="395"/>
      <c r="AP239" s="395"/>
      <c r="AQ239" s="395"/>
      <c r="AR239" s="395"/>
      <c r="AS239" s="395"/>
      <c r="AT239" s="395"/>
      <c r="AU239" s="395"/>
      <c r="AV239" s="395"/>
      <c r="AW239" s="395"/>
      <c r="AX239" s="395"/>
      <c r="AY239" s="395"/>
      <c r="AZ239" s="395"/>
      <c r="BA239" s="395"/>
      <c r="BB239" s="395"/>
      <c r="BC239" s="395"/>
      <c r="BD239" s="395"/>
      <c r="BE239" s="395"/>
      <c r="BF239" s="395"/>
      <c r="BG239" s="395"/>
      <c r="BH239" s="395"/>
      <c r="BI239" s="395"/>
      <c r="BJ239" s="395"/>
      <c r="BK239" s="395"/>
      <c r="BL239" s="395"/>
      <c r="BM239" s="395"/>
      <c r="BN239" s="395"/>
      <c r="BO239" s="395"/>
      <c r="BP239" s="395"/>
      <c r="BQ239" s="395"/>
      <c r="BR239" s="395"/>
      <c r="BS239" s="395"/>
      <c r="BT239" s="395"/>
      <c r="BU239" s="395"/>
      <c r="BV239" s="395"/>
      <c r="BW239" s="395"/>
      <c r="BX239" s="395"/>
      <c r="BY239" s="395"/>
      <c r="BZ239" s="395"/>
      <c r="CA239" s="395"/>
      <c r="CB239" s="395"/>
      <c r="CC239" s="395"/>
      <c r="CD239" s="395"/>
      <c r="CE239" s="395"/>
      <c r="CF239" s="395"/>
      <c r="CG239" s="395"/>
      <c r="CH239" s="395"/>
      <c r="CI239" s="395"/>
      <c r="CJ239" s="395"/>
      <c r="CK239" s="395"/>
      <c r="CL239" s="395"/>
      <c r="CM239" s="395"/>
      <c r="CN239" s="395"/>
      <c r="CO239" s="395"/>
      <c r="CP239" s="395"/>
      <c r="CQ239" s="395"/>
      <c r="CR239" s="395"/>
      <c r="CS239" s="395"/>
      <c r="CT239" s="395"/>
      <c r="CU239" s="395"/>
      <c r="CV239" s="395"/>
      <c r="CW239" s="395"/>
      <c r="CX239" s="395"/>
      <c r="CY239" s="395"/>
      <c r="CZ239" s="395"/>
      <c r="DA239" s="395"/>
      <c r="DB239" s="395"/>
      <c r="DC239" s="395"/>
      <c r="DD239" s="395"/>
      <c r="DE239" s="395"/>
      <c r="DF239" s="395"/>
      <c r="DG239" s="395"/>
      <c r="DH239" s="395"/>
      <c r="DI239" s="395"/>
      <c r="DJ239" s="395"/>
      <c r="DK239" s="395"/>
      <c r="DL239" s="395"/>
      <c r="DM239" s="395"/>
      <c r="DN239" s="395"/>
      <c r="DO239" s="395"/>
      <c r="DP239" s="395"/>
      <c r="DQ239" s="395"/>
      <c r="DR239" s="395"/>
      <c r="DS239" s="395"/>
      <c r="DT239" s="395"/>
      <c r="DU239" s="395"/>
      <c r="DV239" s="395"/>
      <c r="DW239" s="395"/>
      <c r="DX239" s="395"/>
      <c r="DY239" s="395"/>
      <c r="DZ239" s="395"/>
      <c r="EA239" s="395"/>
      <c r="EB239" s="395"/>
      <c r="EC239" s="395"/>
      <c r="ED239" s="395"/>
      <c r="EE239" s="395"/>
      <c r="EF239" s="395"/>
      <c r="EG239" s="395"/>
      <c r="EH239" s="395"/>
      <c r="EI239" s="395"/>
      <c r="EJ239" s="395"/>
      <c r="EK239" s="395"/>
      <c r="EL239" s="395"/>
      <c r="EM239" s="395"/>
      <c r="EN239" s="395"/>
      <c r="EO239" s="395"/>
      <c r="EP239" s="395"/>
      <c r="EQ239" s="395"/>
      <c r="ER239" s="395"/>
      <c r="ES239" s="395"/>
      <c r="ET239" s="395"/>
      <c r="EU239" s="395"/>
      <c r="EV239" s="395"/>
      <c r="EW239" s="395"/>
      <c r="EX239" s="395"/>
      <c r="EY239" s="395"/>
      <c r="EZ239" s="395"/>
      <c r="FA239" s="395"/>
      <c r="FB239" s="395"/>
      <c r="FC239" s="395"/>
      <c r="FD239" s="395"/>
      <c r="FE239" s="395"/>
      <c r="FF239" s="395"/>
      <c r="FG239" s="395"/>
      <c r="FH239" s="395"/>
      <c r="FI239" s="395"/>
      <c r="FJ239" s="395"/>
      <c r="FK239" s="395"/>
      <c r="FL239" s="395"/>
      <c r="FM239" s="395"/>
      <c r="FN239" s="395"/>
      <c r="FO239" s="395"/>
      <c r="FP239" s="395"/>
      <c r="FQ239" s="395"/>
      <c r="FR239" s="395"/>
      <c r="FS239" s="395"/>
      <c r="FT239" s="395"/>
      <c r="FU239" s="395"/>
      <c r="FV239" s="395"/>
      <c r="FW239" s="395"/>
      <c r="FX239" s="395"/>
      <c r="FY239" s="395"/>
      <c r="FZ239" s="395"/>
      <c r="GA239" s="395"/>
      <c r="GB239" s="395"/>
      <c r="GC239" s="395"/>
      <c r="GD239" s="395"/>
      <c r="GE239" s="395"/>
      <c r="GF239" s="395"/>
      <c r="GG239" s="395"/>
      <c r="GH239" s="395"/>
      <c r="GI239" s="395"/>
      <c r="GJ239" s="395"/>
      <c r="GK239" s="395"/>
      <c r="GL239" s="395"/>
      <c r="GM239" s="395"/>
      <c r="GN239" s="395"/>
      <c r="GO239" s="395"/>
      <c r="GP239" s="395"/>
      <c r="GQ239" s="395"/>
      <c r="GR239" s="395"/>
      <c r="GS239" s="395"/>
      <c r="GT239" s="395"/>
      <c r="GU239" s="395"/>
      <c r="GV239" s="395"/>
      <c r="GW239" s="395"/>
      <c r="GX239" s="395"/>
      <c r="GY239" s="395"/>
      <c r="GZ239" s="395"/>
      <c r="HA239" s="395"/>
      <c r="HB239" s="395"/>
      <c r="HC239" s="395"/>
      <c r="HD239" s="395"/>
      <c r="HE239" s="395"/>
      <c r="HF239" s="395"/>
      <c r="HG239" s="395"/>
      <c r="HH239" s="395"/>
      <c r="HI239" s="395"/>
      <c r="HJ239" s="395"/>
      <c r="HK239" s="395"/>
      <c r="HL239" s="395"/>
      <c r="HM239" s="395"/>
      <c r="HN239" s="395"/>
      <c r="HO239" s="395"/>
      <c r="HP239" s="395"/>
      <c r="HQ239" s="395"/>
      <c r="HR239" s="395"/>
      <c r="HS239" s="395"/>
      <c r="HT239" s="395"/>
      <c r="HU239" s="395"/>
      <c r="HV239" s="395"/>
      <c r="HW239" s="395"/>
      <c r="HX239" s="395"/>
      <c r="HY239" s="395"/>
      <c r="HZ239" s="395"/>
      <c r="IA239" s="395"/>
      <c r="IB239" s="395"/>
      <c r="IC239" s="395"/>
      <c r="ID239" s="395"/>
      <c r="IE239" s="395"/>
      <c r="IF239" s="395"/>
      <c r="IG239" s="395"/>
      <c r="IH239" s="395"/>
      <c r="II239" s="395"/>
      <c r="IJ239" s="395"/>
      <c r="IK239" s="395"/>
      <c r="IL239" s="395"/>
      <c r="IM239" s="395"/>
      <c r="IN239" s="395"/>
      <c r="IO239" s="395"/>
      <c r="IP239" s="395"/>
      <c r="IQ239" s="395"/>
      <c r="IR239" s="395"/>
    </row>
    <row r="240" spans="2:252" s="58" customFormat="1" ht="25.15" customHeight="1" x14ac:dyDescent="0.25">
      <c r="B240" s="318">
        <v>43185</v>
      </c>
      <c r="C240" s="317">
        <v>75</v>
      </c>
      <c r="D240" s="321">
        <f>IF(ISNUMBER(D239),Table3[[#This Row],[Amount]]+D239,0)</f>
        <v>226075.85</v>
      </c>
      <c r="V240" s="395"/>
      <c r="W240" s="395"/>
      <c r="X240" s="395"/>
      <c r="Y240" s="395"/>
      <c r="Z240" s="395"/>
      <c r="AA240" s="395"/>
      <c r="AB240" s="395"/>
      <c r="AC240" s="395"/>
      <c r="AD240" s="395"/>
      <c r="AE240" s="395"/>
      <c r="AF240" s="395"/>
      <c r="AG240" s="395"/>
      <c r="AH240" s="395"/>
      <c r="AI240" s="395"/>
      <c r="AJ240" s="395"/>
      <c r="AK240" s="395"/>
      <c r="AL240" s="395"/>
      <c r="AM240" s="395"/>
      <c r="AN240" s="395"/>
      <c r="AO240" s="395"/>
      <c r="AP240" s="395"/>
      <c r="AQ240" s="395"/>
      <c r="AR240" s="395"/>
      <c r="AS240" s="395"/>
      <c r="AT240" s="395"/>
      <c r="AU240" s="395"/>
      <c r="AV240" s="395"/>
      <c r="AW240" s="395"/>
      <c r="AX240" s="395"/>
      <c r="AY240" s="395"/>
      <c r="AZ240" s="395"/>
      <c r="BA240" s="395"/>
      <c r="BB240" s="395"/>
      <c r="BC240" s="395"/>
      <c r="BD240" s="395"/>
      <c r="BE240" s="395"/>
      <c r="BF240" s="395"/>
      <c r="BG240" s="395"/>
      <c r="BH240" s="395"/>
      <c r="BI240" s="395"/>
      <c r="BJ240" s="395"/>
      <c r="BK240" s="395"/>
      <c r="BL240" s="395"/>
      <c r="BM240" s="395"/>
      <c r="BN240" s="395"/>
      <c r="BO240" s="395"/>
      <c r="BP240" s="395"/>
      <c r="BQ240" s="395"/>
      <c r="BR240" s="395"/>
      <c r="BS240" s="395"/>
      <c r="BT240" s="395"/>
      <c r="BU240" s="395"/>
      <c r="BV240" s="395"/>
      <c r="BW240" s="395"/>
      <c r="BX240" s="395"/>
      <c r="BY240" s="395"/>
      <c r="BZ240" s="395"/>
      <c r="CA240" s="395"/>
      <c r="CB240" s="395"/>
      <c r="CC240" s="395"/>
      <c r="CD240" s="395"/>
      <c r="CE240" s="395"/>
      <c r="CF240" s="395"/>
      <c r="CG240" s="395"/>
      <c r="CH240" s="395"/>
      <c r="CI240" s="395"/>
      <c r="CJ240" s="395"/>
      <c r="CK240" s="395"/>
      <c r="CL240" s="395"/>
      <c r="CM240" s="395"/>
      <c r="CN240" s="395"/>
      <c r="CO240" s="395"/>
      <c r="CP240" s="395"/>
      <c r="CQ240" s="395"/>
      <c r="CR240" s="395"/>
      <c r="CS240" s="395"/>
      <c r="CT240" s="395"/>
      <c r="CU240" s="395"/>
      <c r="CV240" s="395"/>
      <c r="CW240" s="395"/>
      <c r="CX240" s="395"/>
      <c r="CY240" s="395"/>
      <c r="CZ240" s="395"/>
      <c r="DA240" s="395"/>
      <c r="DB240" s="395"/>
      <c r="DC240" s="395"/>
      <c r="DD240" s="395"/>
      <c r="DE240" s="395"/>
      <c r="DF240" s="395"/>
      <c r="DG240" s="395"/>
      <c r="DH240" s="395"/>
      <c r="DI240" s="395"/>
      <c r="DJ240" s="395"/>
      <c r="DK240" s="395"/>
      <c r="DL240" s="395"/>
      <c r="DM240" s="395"/>
      <c r="DN240" s="395"/>
      <c r="DO240" s="395"/>
      <c r="DP240" s="395"/>
      <c r="DQ240" s="395"/>
      <c r="DR240" s="395"/>
      <c r="DS240" s="395"/>
      <c r="DT240" s="395"/>
      <c r="DU240" s="395"/>
      <c r="DV240" s="395"/>
      <c r="DW240" s="395"/>
      <c r="DX240" s="395"/>
      <c r="DY240" s="395"/>
      <c r="DZ240" s="395"/>
      <c r="EA240" s="395"/>
      <c r="EB240" s="395"/>
      <c r="EC240" s="395"/>
      <c r="ED240" s="395"/>
      <c r="EE240" s="395"/>
      <c r="EF240" s="395"/>
      <c r="EG240" s="395"/>
      <c r="EH240" s="395"/>
      <c r="EI240" s="395"/>
      <c r="EJ240" s="395"/>
      <c r="EK240" s="395"/>
      <c r="EL240" s="395"/>
      <c r="EM240" s="395"/>
      <c r="EN240" s="395"/>
      <c r="EO240" s="395"/>
      <c r="EP240" s="395"/>
      <c r="EQ240" s="395"/>
      <c r="ER240" s="395"/>
      <c r="ES240" s="395"/>
      <c r="ET240" s="395"/>
      <c r="EU240" s="395"/>
      <c r="EV240" s="395"/>
      <c r="EW240" s="395"/>
      <c r="EX240" s="395"/>
      <c r="EY240" s="395"/>
      <c r="EZ240" s="395"/>
      <c r="FA240" s="395"/>
      <c r="FB240" s="395"/>
      <c r="FC240" s="395"/>
      <c r="FD240" s="395"/>
      <c r="FE240" s="395"/>
      <c r="FF240" s="395"/>
      <c r="FG240" s="395"/>
      <c r="FH240" s="395"/>
      <c r="FI240" s="395"/>
      <c r="FJ240" s="395"/>
      <c r="FK240" s="395"/>
      <c r="FL240" s="395"/>
      <c r="FM240" s="395"/>
      <c r="FN240" s="395"/>
      <c r="FO240" s="395"/>
      <c r="FP240" s="395"/>
      <c r="FQ240" s="395"/>
      <c r="FR240" s="395"/>
      <c r="FS240" s="395"/>
      <c r="FT240" s="395"/>
      <c r="FU240" s="395"/>
      <c r="FV240" s="395"/>
      <c r="FW240" s="395"/>
      <c r="FX240" s="395"/>
      <c r="FY240" s="395"/>
      <c r="FZ240" s="395"/>
      <c r="GA240" s="395"/>
      <c r="GB240" s="395"/>
      <c r="GC240" s="395"/>
      <c r="GD240" s="395"/>
      <c r="GE240" s="395"/>
      <c r="GF240" s="395"/>
      <c r="GG240" s="395"/>
      <c r="GH240" s="395"/>
      <c r="GI240" s="395"/>
      <c r="GJ240" s="395"/>
      <c r="GK240" s="395"/>
      <c r="GL240" s="395"/>
      <c r="GM240" s="395"/>
      <c r="GN240" s="395"/>
      <c r="GO240" s="395"/>
      <c r="GP240" s="395"/>
      <c r="GQ240" s="395"/>
      <c r="GR240" s="395"/>
      <c r="GS240" s="395"/>
      <c r="GT240" s="395"/>
      <c r="GU240" s="395"/>
      <c r="GV240" s="395"/>
      <c r="GW240" s="395"/>
      <c r="GX240" s="395"/>
      <c r="GY240" s="395"/>
      <c r="GZ240" s="395"/>
      <c r="HA240" s="395"/>
      <c r="HB240" s="395"/>
      <c r="HC240" s="395"/>
      <c r="HD240" s="395"/>
      <c r="HE240" s="395"/>
      <c r="HF240" s="395"/>
      <c r="HG240" s="395"/>
      <c r="HH240" s="395"/>
      <c r="HI240" s="395"/>
      <c r="HJ240" s="395"/>
      <c r="HK240" s="395"/>
      <c r="HL240" s="395"/>
      <c r="HM240" s="395"/>
      <c r="HN240" s="395"/>
      <c r="HO240" s="395"/>
      <c r="HP240" s="395"/>
      <c r="HQ240" s="395"/>
      <c r="HR240" s="395"/>
      <c r="HS240" s="395"/>
      <c r="HT240" s="395"/>
      <c r="HU240" s="395"/>
      <c r="HV240" s="395"/>
      <c r="HW240" s="395"/>
      <c r="HX240" s="395"/>
      <c r="HY240" s="395"/>
      <c r="HZ240" s="395"/>
      <c r="IA240" s="395"/>
      <c r="IB240" s="395"/>
      <c r="IC240" s="395"/>
      <c r="ID240" s="395"/>
      <c r="IE240" s="395"/>
      <c r="IF240" s="395"/>
      <c r="IG240" s="395"/>
      <c r="IH240" s="395"/>
      <c r="II240" s="395"/>
      <c r="IJ240" s="395"/>
      <c r="IK240" s="395"/>
      <c r="IL240" s="395"/>
      <c r="IM240" s="395"/>
      <c r="IN240" s="395"/>
      <c r="IO240" s="395"/>
      <c r="IP240" s="395"/>
      <c r="IQ240" s="395"/>
      <c r="IR240" s="395"/>
    </row>
    <row r="241" spans="2:252" s="58" customFormat="1" ht="25.15" customHeight="1" x14ac:dyDescent="0.25">
      <c r="B241" s="318">
        <v>43199</v>
      </c>
      <c r="C241" s="317">
        <v>75</v>
      </c>
      <c r="D241" s="321">
        <f>IF(ISNUMBER(D240),Table3[[#This Row],[Amount]]+D240,0)</f>
        <v>226150.85</v>
      </c>
      <c r="V241" s="395"/>
      <c r="W241" s="395"/>
      <c r="X241" s="395"/>
      <c r="Y241" s="395"/>
      <c r="Z241" s="395"/>
      <c r="AA241" s="395"/>
      <c r="AB241" s="395"/>
      <c r="AC241" s="395"/>
      <c r="AD241" s="395"/>
      <c r="AE241" s="395"/>
      <c r="AF241" s="395"/>
      <c r="AG241" s="395"/>
      <c r="AH241" s="395"/>
      <c r="AI241" s="395"/>
      <c r="AJ241" s="395"/>
      <c r="AK241" s="395"/>
      <c r="AL241" s="395"/>
      <c r="AM241" s="395"/>
      <c r="AN241" s="395"/>
      <c r="AO241" s="395"/>
      <c r="AP241" s="395"/>
      <c r="AQ241" s="395"/>
      <c r="AR241" s="395"/>
      <c r="AS241" s="395"/>
      <c r="AT241" s="395"/>
      <c r="AU241" s="395"/>
      <c r="AV241" s="395"/>
      <c r="AW241" s="395"/>
      <c r="AX241" s="395"/>
      <c r="AY241" s="395"/>
      <c r="AZ241" s="395"/>
      <c r="BA241" s="395"/>
      <c r="BB241" s="395"/>
      <c r="BC241" s="395"/>
      <c r="BD241" s="395"/>
      <c r="BE241" s="395"/>
      <c r="BF241" s="395"/>
      <c r="BG241" s="395"/>
      <c r="BH241" s="395"/>
      <c r="BI241" s="395"/>
      <c r="BJ241" s="395"/>
      <c r="BK241" s="395"/>
      <c r="BL241" s="395"/>
      <c r="BM241" s="395"/>
      <c r="BN241" s="395"/>
      <c r="BO241" s="395"/>
      <c r="BP241" s="395"/>
      <c r="BQ241" s="395"/>
      <c r="BR241" s="395"/>
      <c r="BS241" s="395"/>
      <c r="BT241" s="395"/>
      <c r="BU241" s="395"/>
      <c r="BV241" s="395"/>
      <c r="BW241" s="395"/>
      <c r="BX241" s="395"/>
      <c r="BY241" s="395"/>
      <c r="BZ241" s="395"/>
      <c r="CA241" s="395"/>
      <c r="CB241" s="395"/>
      <c r="CC241" s="395"/>
      <c r="CD241" s="395"/>
      <c r="CE241" s="395"/>
      <c r="CF241" s="395"/>
      <c r="CG241" s="395"/>
      <c r="CH241" s="395"/>
      <c r="CI241" s="395"/>
      <c r="CJ241" s="395"/>
      <c r="CK241" s="395"/>
      <c r="CL241" s="395"/>
      <c r="CM241" s="395"/>
      <c r="CN241" s="395"/>
      <c r="CO241" s="395"/>
      <c r="CP241" s="395"/>
      <c r="CQ241" s="395"/>
      <c r="CR241" s="395"/>
      <c r="CS241" s="395"/>
      <c r="CT241" s="395"/>
      <c r="CU241" s="395"/>
      <c r="CV241" s="395"/>
      <c r="CW241" s="395"/>
      <c r="CX241" s="395"/>
      <c r="CY241" s="395"/>
      <c r="CZ241" s="395"/>
      <c r="DA241" s="395"/>
      <c r="DB241" s="395"/>
      <c r="DC241" s="395"/>
      <c r="DD241" s="395"/>
      <c r="DE241" s="395"/>
      <c r="DF241" s="395"/>
      <c r="DG241" s="395"/>
      <c r="DH241" s="395"/>
      <c r="DI241" s="395"/>
      <c r="DJ241" s="395"/>
      <c r="DK241" s="395"/>
      <c r="DL241" s="395"/>
      <c r="DM241" s="395"/>
      <c r="DN241" s="395"/>
      <c r="DO241" s="395"/>
      <c r="DP241" s="395"/>
      <c r="DQ241" s="395"/>
      <c r="DR241" s="395"/>
      <c r="DS241" s="395"/>
      <c r="DT241" s="395"/>
      <c r="DU241" s="395"/>
      <c r="DV241" s="395"/>
      <c r="DW241" s="395"/>
      <c r="DX241" s="395"/>
      <c r="DY241" s="395"/>
      <c r="DZ241" s="395"/>
      <c r="EA241" s="395"/>
      <c r="EB241" s="395"/>
      <c r="EC241" s="395"/>
      <c r="ED241" s="395"/>
      <c r="EE241" s="395"/>
      <c r="EF241" s="395"/>
      <c r="EG241" s="395"/>
      <c r="EH241" s="395"/>
      <c r="EI241" s="395"/>
      <c r="EJ241" s="395"/>
      <c r="EK241" s="395"/>
      <c r="EL241" s="395"/>
      <c r="EM241" s="395"/>
      <c r="EN241" s="395"/>
      <c r="EO241" s="395"/>
      <c r="EP241" s="395"/>
      <c r="EQ241" s="395"/>
      <c r="ER241" s="395"/>
      <c r="ES241" s="395"/>
      <c r="ET241" s="395"/>
      <c r="EU241" s="395"/>
      <c r="EV241" s="395"/>
      <c r="EW241" s="395"/>
      <c r="EX241" s="395"/>
      <c r="EY241" s="395"/>
      <c r="EZ241" s="395"/>
      <c r="FA241" s="395"/>
      <c r="FB241" s="395"/>
      <c r="FC241" s="395"/>
      <c r="FD241" s="395"/>
      <c r="FE241" s="395"/>
      <c r="FF241" s="395"/>
      <c r="FG241" s="395"/>
      <c r="FH241" s="395"/>
      <c r="FI241" s="395"/>
      <c r="FJ241" s="395"/>
      <c r="FK241" s="395"/>
      <c r="FL241" s="395"/>
      <c r="FM241" s="395"/>
      <c r="FN241" s="395"/>
      <c r="FO241" s="395"/>
      <c r="FP241" s="395"/>
      <c r="FQ241" s="395"/>
      <c r="FR241" s="395"/>
      <c r="FS241" s="395"/>
      <c r="FT241" s="395"/>
      <c r="FU241" s="395"/>
      <c r="FV241" s="395"/>
      <c r="FW241" s="395"/>
      <c r="FX241" s="395"/>
      <c r="FY241" s="395"/>
      <c r="FZ241" s="395"/>
      <c r="GA241" s="395"/>
      <c r="GB241" s="395"/>
      <c r="GC241" s="395"/>
      <c r="GD241" s="395"/>
      <c r="GE241" s="395"/>
      <c r="GF241" s="395"/>
      <c r="GG241" s="395"/>
      <c r="GH241" s="395"/>
      <c r="GI241" s="395"/>
      <c r="GJ241" s="395"/>
      <c r="GK241" s="395"/>
      <c r="GL241" s="395"/>
      <c r="GM241" s="395"/>
      <c r="GN241" s="395"/>
      <c r="GO241" s="395"/>
      <c r="GP241" s="395"/>
      <c r="GQ241" s="395"/>
      <c r="GR241" s="395"/>
      <c r="GS241" s="395"/>
      <c r="GT241" s="395"/>
      <c r="GU241" s="395"/>
      <c r="GV241" s="395"/>
      <c r="GW241" s="395"/>
      <c r="GX241" s="395"/>
      <c r="GY241" s="395"/>
      <c r="GZ241" s="395"/>
      <c r="HA241" s="395"/>
      <c r="HB241" s="395"/>
      <c r="HC241" s="395"/>
      <c r="HD241" s="395"/>
      <c r="HE241" s="395"/>
      <c r="HF241" s="395"/>
      <c r="HG241" s="395"/>
      <c r="HH241" s="395"/>
      <c r="HI241" s="395"/>
      <c r="HJ241" s="395"/>
      <c r="HK241" s="395"/>
      <c r="HL241" s="395"/>
      <c r="HM241" s="395"/>
      <c r="HN241" s="395"/>
      <c r="HO241" s="395"/>
      <c r="HP241" s="395"/>
      <c r="HQ241" s="395"/>
      <c r="HR241" s="395"/>
      <c r="HS241" s="395"/>
      <c r="HT241" s="395"/>
      <c r="HU241" s="395"/>
      <c r="HV241" s="395"/>
      <c r="HW241" s="395"/>
      <c r="HX241" s="395"/>
      <c r="HY241" s="395"/>
      <c r="HZ241" s="395"/>
      <c r="IA241" s="395"/>
      <c r="IB241" s="395"/>
      <c r="IC241" s="395"/>
      <c r="ID241" s="395"/>
      <c r="IE241" s="395"/>
      <c r="IF241" s="395"/>
      <c r="IG241" s="395"/>
      <c r="IH241" s="395"/>
      <c r="II241" s="395"/>
      <c r="IJ241" s="395"/>
      <c r="IK241" s="395"/>
      <c r="IL241" s="395"/>
      <c r="IM241" s="395"/>
      <c r="IN241" s="395"/>
      <c r="IO241" s="395"/>
      <c r="IP241" s="395"/>
      <c r="IQ241" s="395"/>
      <c r="IR241" s="395"/>
    </row>
    <row r="242" spans="2:252" s="58" customFormat="1" ht="25.15" customHeight="1" x14ac:dyDescent="0.25">
      <c r="B242" s="318">
        <v>43213</v>
      </c>
      <c r="C242" s="317">
        <v>75</v>
      </c>
      <c r="D242" s="321">
        <f>IF(ISNUMBER(D241),Table3[[#This Row],[Amount]]+D241,0)</f>
        <v>226225.85</v>
      </c>
      <c r="V242" s="395"/>
      <c r="W242" s="395"/>
      <c r="X242" s="395"/>
      <c r="Y242" s="395"/>
      <c r="Z242" s="395"/>
      <c r="AA242" s="395"/>
      <c r="AB242" s="395"/>
      <c r="AC242" s="395"/>
      <c r="AD242" s="395"/>
      <c r="AE242" s="395"/>
      <c r="AF242" s="395"/>
      <c r="AG242" s="395"/>
      <c r="AH242" s="395"/>
      <c r="AI242" s="395"/>
      <c r="AJ242" s="395"/>
      <c r="AK242" s="395"/>
      <c r="AL242" s="395"/>
      <c r="AM242" s="395"/>
      <c r="AN242" s="395"/>
      <c r="AO242" s="395"/>
      <c r="AP242" s="395"/>
      <c r="AQ242" s="395"/>
      <c r="AR242" s="395"/>
      <c r="AS242" s="395"/>
      <c r="AT242" s="395"/>
      <c r="AU242" s="395"/>
      <c r="AV242" s="395"/>
      <c r="AW242" s="395"/>
      <c r="AX242" s="395"/>
      <c r="AY242" s="395"/>
      <c r="AZ242" s="395"/>
      <c r="BA242" s="395"/>
      <c r="BB242" s="395"/>
      <c r="BC242" s="395"/>
      <c r="BD242" s="395"/>
      <c r="BE242" s="395"/>
      <c r="BF242" s="395"/>
      <c r="BG242" s="395"/>
      <c r="BH242" s="395"/>
      <c r="BI242" s="395"/>
      <c r="BJ242" s="395"/>
      <c r="BK242" s="395"/>
      <c r="BL242" s="395"/>
      <c r="BM242" s="395"/>
      <c r="BN242" s="395"/>
      <c r="BO242" s="395"/>
      <c r="BP242" s="395"/>
      <c r="BQ242" s="395"/>
      <c r="BR242" s="395"/>
      <c r="BS242" s="395"/>
      <c r="BT242" s="395"/>
      <c r="BU242" s="395"/>
      <c r="BV242" s="395"/>
      <c r="BW242" s="395"/>
      <c r="BX242" s="395"/>
      <c r="BY242" s="395"/>
      <c r="BZ242" s="395"/>
      <c r="CA242" s="395"/>
      <c r="CB242" s="395"/>
      <c r="CC242" s="395"/>
      <c r="CD242" s="395"/>
      <c r="CE242" s="395"/>
      <c r="CF242" s="395"/>
      <c r="CG242" s="395"/>
      <c r="CH242" s="395"/>
      <c r="CI242" s="395"/>
      <c r="CJ242" s="395"/>
      <c r="CK242" s="395"/>
      <c r="CL242" s="395"/>
      <c r="CM242" s="395"/>
      <c r="CN242" s="395"/>
      <c r="CO242" s="395"/>
      <c r="CP242" s="395"/>
      <c r="CQ242" s="395"/>
      <c r="CR242" s="395"/>
      <c r="CS242" s="395"/>
      <c r="CT242" s="395"/>
      <c r="CU242" s="395"/>
      <c r="CV242" s="395"/>
      <c r="CW242" s="395"/>
      <c r="CX242" s="395"/>
      <c r="CY242" s="395"/>
      <c r="CZ242" s="395"/>
      <c r="DA242" s="395"/>
      <c r="DB242" s="395"/>
      <c r="DC242" s="395"/>
      <c r="DD242" s="395"/>
      <c r="DE242" s="395"/>
      <c r="DF242" s="395"/>
      <c r="DG242" s="395"/>
      <c r="DH242" s="395"/>
      <c r="DI242" s="395"/>
      <c r="DJ242" s="395"/>
      <c r="DK242" s="395"/>
      <c r="DL242" s="395"/>
      <c r="DM242" s="395"/>
      <c r="DN242" s="395"/>
      <c r="DO242" s="395"/>
      <c r="DP242" s="395"/>
      <c r="DQ242" s="395"/>
      <c r="DR242" s="395"/>
      <c r="DS242" s="395"/>
      <c r="DT242" s="395"/>
      <c r="DU242" s="395"/>
      <c r="DV242" s="395"/>
      <c r="DW242" s="395"/>
      <c r="DX242" s="395"/>
      <c r="DY242" s="395"/>
      <c r="DZ242" s="395"/>
      <c r="EA242" s="395"/>
      <c r="EB242" s="395"/>
      <c r="EC242" s="395"/>
      <c r="ED242" s="395"/>
      <c r="EE242" s="395"/>
      <c r="EF242" s="395"/>
      <c r="EG242" s="395"/>
      <c r="EH242" s="395"/>
      <c r="EI242" s="395"/>
      <c r="EJ242" s="395"/>
      <c r="EK242" s="395"/>
      <c r="EL242" s="395"/>
      <c r="EM242" s="395"/>
      <c r="EN242" s="395"/>
      <c r="EO242" s="395"/>
      <c r="EP242" s="395"/>
      <c r="EQ242" s="395"/>
      <c r="ER242" s="395"/>
      <c r="ES242" s="395"/>
      <c r="ET242" s="395"/>
      <c r="EU242" s="395"/>
      <c r="EV242" s="395"/>
      <c r="EW242" s="395"/>
      <c r="EX242" s="395"/>
      <c r="EY242" s="395"/>
      <c r="EZ242" s="395"/>
      <c r="FA242" s="395"/>
      <c r="FB242" s="395"/>
      <c r="FC242" s="395"/>
      <c r="FD242" s="395"/>
      <c r="FE242" s="395"/>
      <c r="FF242" s="395"/>
      <c r="FG242" s="395"/>
      <c r="FH242" s="395"/>
      <c r="FI242" s="395"/>
      <c r="FJ242" s="395"/>
      <c r="FK242" s="395"/>
      <c r="FL242" s="395"/>
      <c r="FM242" s="395"/>
      <c r="FN242" s="395"/>
      <c r="FO242" s="395"/>
      <c r="FP242" s="395"/>
      <c r="FQ242" s="395"/>
      <c r="FR242" s="395"/>
      <c r="FS242" s="395"/>
      <c r="FT242" s="395"/>
      <c r="FU242" s="395"/>
      <c r="FV242" s="395"/>
      <c r="FW242" s="395"/>
      <c r="FX242" s="395"/>
      <c r="FY242" s="395"/>
      <c r="FZ242" s="395"/>
      <c r="GA242" s="395"/>
      <c r="GB242" s="395"/>
      <c r="GC242" s="395"/>
      <c r="GD242" s="395"/>
      <c r="GE242" s="395"/>
      <c r="GF242" s="395"/>
      <c r="GG242" s="395"/>
      <c r="GH242" s="395"/>
      <c r="GI242" s="395"/>
      <c r="GJ242" s="395"/>
      <c r="GK242" s="395"/>
      <c r="GL242" s="395"/>
      <c r="GM242" s="395"/>
      <c r="GN242" s="395"/>
      <c r="GO242" s="395"/>
      <c r="GP242" s="395"/>
      <c r="GQ242" s="395"/>
      <c r="GR242" s="395"/>
      <c r="GS242" s="395"/>
      <c r="GT242" s="395"/>
      <c r="GU242" s="395"/>
      <c r="GV242" s="395"/>
      <c r="GW242" s="395"/>
      <c r="GX242" s="395"/>
      <c r="GY242" s="395"/>
      <c r="GZ242" s="395"/>
      <c r="HA242" s="395"/>
      <c r="HB242" s="395"/>
      <c r="HC242" s="395"/>
      <c r="HD242" s="395"/>
      <c r="HE242" s="395"/>
      <c r="HF242" s="395"/>
      <c r="HG242" s="395"/>
      <c r="HH242" s="395"/>
      <c r="HI242" s="395"/>
      <c r="HJ242" s="395"/>
      <c r="HK242" s="395"/>
      <c r="HL242" s="395"/>
      <c r="HM242" s="395"/>
      <c r="HN242" s="395"/>
      <c r="HO242" s="395"/>
      <c r="HP242" s="395"/>
      <c r="HQ242" s="395"/>
      <c r="HR242" s="395"/>
      <c r="HS242" s="395"/>
      <c r="HT242" s="395"/>
      <c r="HU242" s="395"/>
      <c r="HV242" s="395"/>
      <c r="HW242" s="395"/>
      <c r="HX242" s="395"/>
      <c r="HY242" s="395"/>
      <c r="HZ242" s="395"/>
      <c r="IA242" s="395"/>
      <c r="IB242" s="395"/>
      <c r="IC242" s="395"/>
      <c r="ID242" s="395"/>
      <c r="IE242" s="395"/>
      <c r="IF242" s="395"/>
      <c r="IG242" s="395"/>
      <c r="IH242" s="395"/>
      <c r="II242" s="395"/>
      <c r="IJ242" s="395"/>
      <c r="IK242" s="395"/>
      <c r="IL242" s="395"/>
      <c r="IM242" s="395"/>
      <c r="IN242" s="395"/>
      <c r="IO242" s="395"/>
      <c r="IP242" s="395"/>
      <c r="IQ242" s="395"/>
      <c r="IR242" s="395"/>
    </row>
    <row r="243" spans="2:252" s="58" customFormat="1" ht="25.15" customHeight="1" x14ac:dyDescent="0.25">
      <c r="B243" s="318">
        <v>43227</v>
      </c>
      <c r="C243" s="317">
        <v>75</v>
      </c>
      <c r="D243" s="321">
        <f>IF(ISNUMBER(D242),Table3[[#This Row],[Amount]]+D242,0)</f>
        <v>226300.85</v>
      </c>
      <c r="V243" s="395"/>
      <c r="W243" s="395"/>
      <c r="X243" s="395"/>
      <c r="Y243" s="395"/>
      <c r="Z243" s="395"/>
      <c r="AA243" s="395"/>
      <c r="AB243" s="395"/>
      <c r="AC243" s="395"/>
      <c r="AD243" s="395"/>
      <c r="AE243" s="395"/>
      <c r="AF243" s="395"/>
      <c r="AG243" s="395"/>
      <c r="AH243" s="395"/>
      <c r="AI243" s="395"/>
      <c r="AJ243" s="395"/>
      <c r="AK243" s="395"/>
      <c r="AL243" s="395"/>
      <c r="AM243" s="395"/>
      <c r="AN243" s="395"/>
      <c r="AO243" s="395"/>
      <c r="AP243" s="395"/>
      <c r="AQ243" s="395"/>
      <c r="AR243" s="395"/>
      <c r="AS243" s="395"/>
      <c r="AT243" s="395"/>
      <c r="AU243" s="395"/>
      <c r="AV243" s="395"/>
      <c r="AW243" s="395"/>
      <c r="AX243" s="395"/>
      <c r="AY243" s="395"/>
      <c r="AZ243" s="395"/>
      <c r="BA243" s="395"/>
      <c r="BB243" s="395"/>
      <c r="BC243" s="395"/>
      <c r="BD243" s="395"/>
      <c r="BE243" s="395"/>
      <c r="BF243" s="395"/>
      <c r="BG243" s="395"/>
      <c r="BH243" s="395"/>
      <c r="BI243" s="395"/>
      <c r="BJ243" s="395"/>
      <c r="BK243" s="395"/>
      <c r="BL243" s="395"/>
      <c r="BM243" s="395"/>
      <c r="BN243" s="395"/>
      <c r="BO243" s="395"/>
      <c r="BP243" s="395"/>
      <c r="BQ243" s="395"/>
      <c r="BR243" s="395"/>
      <c r="BS243" s="395"/>
      <c r="BT243" s="395"/>
      <c r="BU243" s="395"/>
      <c r="BV243" s="395"/>
      <c r="BW243" s="395"/>
      <c r="BX243" s="395"/>
      <c r="BY243" s="395"/>
      <c r="BZ243" s="395"/>
      <c r="CA243" s="395"/>
      <c r="CB243" s="395"/>
      <c r="CC243" s="395"/>
      <c r="CD243" s="395"/>
      <c r="CE243" s="395"/>
      <c r="CF243" s="395"/>
      <c r="CG243" s="395"/>
      <c r="CH243" s="395"/>
      <c r="CI243" s="395"/>
      <c r="CJ243" s="395"/>
      <c r="CK243" s="395"/>
      <c r="CL243" s="395"/>
      <c r="CM243" s="395"/>
      <c r="CN243" s="395"/>
      <c r="CO243" s="395"/>
      <c r="CP243" s="395"/>
      <c r="CQ243" s="395"/>
      <c r="CR243" s="395"/>
      <c r="CS243" s="395"/>
      <c r="CT243" s="395"/>
      <c r="CU243" s="395"/>
      <c r="CV243" s="395"/>
      <c r="CW243" s="395"/>
      <c r="CX243" s="395"/>
      <c r="CY243" s="395"/>
      <c r="CZ243" s="395"/>
      <c r="DA243" s="395"/>
      <c r="DB243" s="395"/>
      <c r="DC243" s="395"/>
      <c r="DD243" s="395"/>
      <c r="DE243" s="395"/>
      <c r="DF243" s="395"/>
      <c r="DG243" s="395"/>
      <c r="DH243" s="395"/>
      <c r="DI243" s="395"/>
      <c r="DJ243" s="395"/>
      <c r="DK243" s="395"/>
      <c r="DL243" s="395"/>
      <c r="DM243" s="395"/>
      <c r="DN243" s="395"/>
      <c r="DO243" s="395"/>
      <c r="DP243" s="395"/>
      <c r="DQ243" s="395"/>
      <c r="DR243" s="395"/>
      <c r="DS243" s="395"/>
      <c r="DT243" s="395"/>
      <c r="DU243" s="395"/>
      <c r="DV243" s="395"/>
      <c r="DW243" s="395"/>
      <c r="DX243" s="395"/>
      <c r="DY243" s="395"/>
      <c r="DZ243" s="395"/>
      <c r="EA243" s="395"/>
      <c r="EB243" s="395"/>
      <c r="EC243" s="395"/>
      <c r="ED243" s="395"/>
      <c r="EE243" s="395"/>
      <c r="EF243" s="395"/>
      <c r="EG243" s="395"/>
      <c r="EH243" s="395"/>
      <c r="EI243" s="395"/>
      <c r="EJ243" s="395"/>
      <c r="EK243" s="395"/>
      <c r="EL243" s="395"/>
      <c r="EM243" s="395"/>
      <c r="EN243" s="395"/>
      <c r="EO243" s="395"/>
      <c r="EP243" s="395"/>
      <c r="EQ243" s="395"/>
      <c r="ER243" s="395"/>
      <c r="ES243" s="395"/>
      <c r="ET243" s="395"/>
      <c r="EU243" s="395"/>
      <c r="EV243" s="395"/>
      <c r="EW243" s="395"/>
      <c r="EX243" s="395"/>
      <c r="EY243" s="395"/>
      <c r="EZ243" s="395"/>
      <c r="FA243" s="395"/>
      <c r="FB243" s="395"/>
      <c r="FC243" s="395"/>
      <c r="FD243" s="395"/>
      <c r="FE243" s="395"/>
      <c r="FF243" s="395"/>
      <c r="FG243" s="395"/>
      <c r="FH243" s="395"/>
      <c r="FI243" s="395"/>
      <c r="FJ243" s="395"/>
      <c r="FK243" s="395"/>
      <c r="FL243" s="395"/>
      <c r="FM243" s="395"/>
      <c r="FN243" s="395"/>
      <c r="FO243" s="395"/>
      <c r="FP243" s="395"/>
      <c r="FQ243" s="395"/>
      <c r="FR243" s="395"/>
      <c r="FS243" s="395"/>
      <c r="FT243" s="395"/>
      <c r="FU243" s="395"/>
      <c r="FV243" s="395"/>
      <c r="FW243" s="395"/>
      <c r="FX243" s="395"/>
      <c r="FY243" s="395"/>
      <c r="FZ243" s="395"/>
      <c r="GA243" s="395"/>
      <c r="GB243" s="395"/>
      <c r="GC243" s="395"/>
      <c r="GD243" s="395"/>
      <c r="GE243" s="395"/>
      <c r="GF243" s="395"/>
      <c r="GG243" s="395"/>
      <c r="GH243" s="395"/>
      <c r="GI243" s="395"/>
      <c r="GJ243" s="395"/>
      <c r="GK243" s="395"/>
      <c r="GL243" s="395"/>
      <c r="GM243" s="395"/>
      <c r="GN243" s="395"/>
      <c r="GO243" s="395"/>
      <c r="GP243" s="395"/>
      <c r="GQ243" s="395"/>
      <c r="GR243" s="395"/>
      <c r="GS243" s="395"/>
      <c r="GT243" s="395"/>
      <c r="GU243" s="395"/>
      <c r="GV243" s="395"/>
      <c r="GW243" s="395"/>
      <c r="GX243" s="395"/>
      <c r="GY243" s="395"/>
      <c r="GZ243" s="395"/>
      <c r="HA243" s="395"/>
      <c r="HB243" s="395"/>
      <c r="HC243" s="395"/>
      <c r="HD243" s="395"/>
      <c r="HE243" s="395"/>
      <c r="HF243" s="395"/>
      <c r="HG243" s="395"/>
      <c r="HH243" s="395"/>
      <c r="HI243" s="395"/>
      <c r="HJ243" s="395"/>
      <c r="HK243" s="395"/>
      <c r="HL243" s="395"/>
      <c r="HM243" s="395"/>
      <c r="HN243" s="395"/>
      <c r="HO243" s="395"/>
      <c r="HP243" s="395"/>
      <c r="HQ243" s="395"/>
      <c r="HR243" s="395"/>
      <c r="HS243" s="395"/>
      <c r="HT243" s="395"/>
      <c r="HU243" s="395"/>
      <c r="HV243" s="395"/>
      <c r="HW243" s="395"/>
      <c r="HX243" s="395"/>
      <c r="HY243" s="395"/>
      <c r="HZ243" s="395"/>
      <c r="IA243" s="395"/>
      <c r="IB243" s="395"/>
      <c r="IC243" s="395"/>
      <c r="ID243" s="395"/>
      <c r="IE243" s="395"/>
      <c r="IF243" s="395"/>
      <c r="IG243" s="395"/>
      <c r="IH243" s="395"/>
      <c r="II243" s="395"/>
      <c r="IJ243" s="395"/>
      <c r="IK243" s="395"/>
      <c r="IL243" s="395"/>
      <c r="IM243" s="395"/>
      <c r="IN243" s="395"/>
      <c r="IO243" s="395"/>
      <c r="IP243" s="395"/>
      <c r="IQ243" s="395"/>
      <c r="IR243" s="395"/>
    </row>
    <row r="244" spans="2:252" s="58" customFormat="1" ht="25.15" customHeight="1" x14ac:dyDescent="0.25">
      <c r="B244" s="318">
        <v>43242</v>
      </c>
      <c r="C244" s="317">
        <v>75</v>
      </c>
      <c r="D244" s="321">
        <f>IF(ISNUMBER(D243),Table3[[#This Row],[Amount]]+D243,0)</f>
        <v>226375.85</v>
      </c>
      <c r="V244" s="395"/>
      <c r="W244" s="395"/>
      <c r="X244" s="395"/>
      <c r="Y244" s="395"/>
      <c r="Z244" s="395"/>
      <c r="AA244" s="395"/>
      <c r="AB244" s="395"/>
      <c r="AC244" s="395"/>
      <c r="AD244" s="395"/>
      <c r="AE244" s="395"/>
      <c r="AF244" s="395"/>
      <c r="AG244" s="395"/>
      <c r="AH244" s="395"/>
      <c r="AI244" s="395"/>
      <c r="AJ244" s="395"/>
      <c r="AK244" s="395"/>
      <c r="AL244" s="395"/>
      <c r="AM244" s="395"/>
      <c r="AN244" s="395"/>
      <c r="AO244" s="395"/>
      <c r="AP244" s="395"/>
      <c r="AQ244" s="395"/>
      <c r="AR244" s="395"/>
      <c r="AS244" s="395"/>
      <c r="AT244" s="395"/>
      <c r="AU244" s="395"/>
      <c r="AV244" s="395"/>
      <c r="AW244" s="395"/>
      <c r="AX244" s="395"/>
      <c r="AY244" s="395"/>
      <c r="AZ244" s="395"/>
      <c r="BA244" s="395"/>
      <c r="BB244" s="395"/>
      <c r="BC244" s="395"/>
      <c r="BD244" s="395"/>
      <c r="BE244" s="395"/>
      <c r="BF244" s="395"/>
      <c r="BG244" s="395"/>
      <c r="BH244" s="395"/>
      <c r="BI244" s="395"/>
      <c r="BJ244" s="395"/>
      <c r="BK244" s="395"/>
      <c r="BL244" s="395"/>
      <c r="BM244" s="395"/>
      <c r="BN244" s="395"/>
      <c r="BO244" s="395"/>
      <c r="BP244" s="395"/>
      <c r="BQ244" s="395"/>
      <c r="BR244" s="395"/>
      <c r="BS244" s="395"/>
      <c r="BT244" s="395"/>
      <c r="BU244" s="395"/>
      <c r="BV244" s="395"/>
      <c r="BW244" s="395"/>
      <c r="BX244" s="395"/>
      <c r="BY244" s="395"/>
      <c r="BZ244" s="395"/>
      <c r="CA244" s="395"/>
      <c r="CB244" s="395"/>
      <c r="CC244" s="395"/>
      <c r="CD244" s="395"/>
      <c r="CE244" s="395"/>
      <c r="CF244" s="395"/>
      <c r="CG244" s="395"/>
      <c r="CH244" s="395"/>
      <c r="CI244" s="395"/>
      <c r="CJ244" s="395"/>
      <c r="CK244" s="395"/>
      <c r="CL244" s="395"/>
      <c r="CM244" s="395"/>
      <c r="CN244" s="395"/>
      <c r="CO244" s="395"/>
      <c r="CP244" s="395"/>
      <c r="CQ244" s="395"/>
      <c r="CR244" s="395"/>
      <c r="CS244" s="395"/>
      <c r="CT244" s="395"/>
      <c r="CU244" s="395"/>
      <c r="CV244" s="395"/>
      <c r="CW244" s="395"/>
      <c r="CX244" s="395"/>
      <c r="CY244" s="395"/>
      <c r="CZ244" s="395"/>
      <c r="DA244" s="395"/>
      <c r="DB244" s="395"/>
      <c r="DC244" s="395"/>
      <c r="DD244" s="395"/>
      <c r="DE244" s="395"/>
      <c r="DF244" s="395"/>
      <c r="DG244" s="395"/>
      <c r="DH244" s="395"/>
      <c r="DI244" s="395"/>
      <c r="DJ244" s="395"/>
      <c r="DK244" s="395"/>
      <c r="DL244" s="395"/>
      <c r="DM244" s="395"/>
      <c r="DN244" s="395"/>
      <c r="DO244" s="395"/>
      <c r="DP244" s="395"/>
      <c r="DQ244" s="395"/>
      <c r="DR244" s="395"/>
      <c r="DS244" s="395"/>
      <c r="DT244" s="395"/>
      <c r="DU244" s="395"/>
      <c r="DV244" s="395"/>
      <c r="DW244" s="395"/>
      <c r="DX244" s="395"/>
      <c r="DY244" s="395"/>
      <c r="DZ244" s="395"/>
      <c r="EA244" s="395"/>
      <c r="EB244" s="395"/>
      <c r="EC244" s="395"/>
      <c r="ED244" s="395"/>
      <c r="EE244" s="395"/>
      <c r="EF244" s="395"/>
      <c r="EG244" s="395"/>
      <c r="EH244" s="395"/>
      <c r="EI244" s="395"/>
      <c r="EJ244" s="395"/>
      <c r="EK244" s="395"/>
      <c r="EL244" s="395"/>
      <c r="EM244" s="395"/>
      <c r="EN244" s="395"/>
      <c r="EO244" s="395"/>
      <c r="EP244" s="395"/>
      <c r="EQ244" s="395"/>
      <c r="ER244" s="395"/>
      <c r="ES244" s="395"/>
      <c r="ET244" s="395"/>
      <c r="EU244" s="395"/>
      <c r="EV244" s="395"/>
      <c r="EW244" s="395"/>
      <c r="EX244" s="395"/>
      <c r="EY244" s="395"/>
      <c r="EZ244" s="395"/>
      <c r="FA244" s="395"/>
      <c r="FB244" s="395"/>
      <c r="FC244" s="395"/>
      <c r="FD244" s="395"/>
      <c r="FE244" s="395"/>
      <c r="FF244" s="395"/>
      <c r="FG244" s="395"/>
      <c r="FH244" s="395"/>
      <c r="FI244" s="395"/>
      <c r="FJ244" s="395"/>
      <c r="FK244" s="395"/>
      <c r="FL244" s="395"/>
      <c r="FM244" s="395"/>
      <c r="FN244" s="395"/>
      <c r="FO244" s="395"/>
      <c r="FP244" s="395"/>
      <c r="FQ244" s="395"/>
      <c r="FR244" s="395"/>
      <c r="FS244" s="395"/>
      <c r="FT244" s="395"/>
      <c r="FU244" s="395"/>
      <c r="FV244" s="395"/>
      <c r="FW244" s="395"/>
      <c r="FX244" s="395"/>
      <c r="FY244" s="395"/>
      <c r="FZ244" s="395"/>
      <c r="GA244" s="395"/>
      <c r="GB244" s="395"/>
      <c r="GC244" s="395"/>
      <c r="GD244" s="395"/>
      <c r="GE244" s="395"/>
      <c r="GF244" s="395"/>
      <c r="GG244" s="395"/>
      <c r="GH244" s="395"/>
      <c r="GI244" s="395"/>
      <c r="GJ244" s="395"/>
      <c r="GK244" s="395"/>
      <c r="GL244" s="395"/>
      <c r="GM244" s="395"/>
      <c r="GN244" s="395"/>
      <c r="GO244" s="395"/>
      <c r="GP244" s="395"/>
      <c r="GQ244" s="395"/>
      <c r="GR244" s="395"/>
      <c r="GS244" s="395"/>
      <c r="GT244" s="395"/>
      <c r="GU244" s="395"/>
      <c r="GV244" s="395"/>
      <c r="GW244" s="395"/>
      <c r="GX244" s="395"/>
      <c r="GY244" s="395"/>
      <c r="GZ244" s="395"/>
      <c r="HA244" s="395"/>
      <c r="HB244" s="395"/>
      <c r="HC244" s="395"/>
      <c r="HD244" s="395"/>
      <c r="HE244" s="395"/>
      <c r="HF244" s="395"/>
      <c r="HG244" s="395"/>
      <c r="HH244" s="395"/>
      <c r="HI244" s="395"/>
      <c r="HJ244" s="395"/>
      <c r="HK244" s="395"/>
      <c r="HL244" s="395"/>
      <c r="HM244" s="395"/>
      <c r="HN244" s="395"/>
      <c r="HO244" s="395"/>
      <c r="HP244" s="395"/>
      <c r="HQ244" s="395"/>
      <c r="HR244" s="395"/>
      <c r="HS244" s="395"/>
      <c r="HT244" s="395"/>
      <c r="HU244" s="395"/>
      <c r="HV244" s="395"/>
      <c r="HW244" s="395"/>
      <c r="HX244" s="395"/>
      <c r="HY244" s="395"/>
      <c r="HZ244" s="395"/>
      <c r="IA244" s="395"/>
      <c r="IB244" s="395"/>
      <c r="IC244" s="395"/>
      <c r="ID244" s="395"/>
      <c r="IE244" s="395"/>
      <c r="IF244" s="395"/>
      <c r="IG244" s="395"/>
      <c r="IH244" s="395"/>
      <c r="II244" s="395"/>
      <c r="IJ244" s="395"/>
      <c r="IK244" s="395"/>
      <c r="IL244" s="395"/>
      <c r="IM244" s="395"/>
      <c r="IN244" s="395"/>
      <c r="IO244" s="395"/>
      <c r="IP244" s="395"/>
      <c r="IQ244" s="395"/>
      <c r="IR244" s="395"/>
    </row>
    <row r="245" spans="2:252" s="58" customFormat="1" ht="25.15" customHeight="1" x14ac:dyDescent="0.25">
      <c r="B245" s="318">
        <v>43255</v>
      </c>
      <c r="C245" s="317">
        <v>75</v>
      </c>
      <c r="D245" s="321">
        <f>IF(ISNUMBER(D244),Table3[[#This Row],[Amount]]+D244,0)</f>
        <v>226450.85</v>
      </c>
      <c r="V245" s="395"/>
      <c r="W245" s="395"/>
      <c r="X245" s="395"/>
      <c r="Y245" s="395"/>
      <c r="Z245" s="395"/>
      <c r="AA245" s="395"/>
      <c r="AB245" s="395"/>
      <c r="AC245" s="395"/>
      <c r="AD245" s="395"/>
      <c r="AE245" s="395"/>
      <c r="AF245" s="395"/>
      <c r="AG245" s="395"/>
      <c r="AH245" s="395"/>
      <c r="AI245" s="395"/>
      <c r="AJ245" s="395"/>
      <c r="AK245" s="395"/>
      <c r="AL245" s="395"/>
      <c r="AM245" s="395"/>
      <c r="AN245" s="395"/>
      <c r="AO245" s="395"/>
      <c r="AP245" s="395"/>
      <c r="AQ245" s="395"/>
      <c r="AR245" s="395"/>
      <c r="AS245" s="395"/>
      <c r="AT245" s="395"/>
      <c r="AU245" s="395"/>
      <c r="AV245" s="395"/>
      <c r="AW245" s="395"/>
      <c r="AX245" s="395"/>
      <c r="AY245" s="395"/>
      <c r="AZ245" s="395"/>
      <c r="BA245" s="395"/>
      <c r="BB245" s="395"/>
      <c r="BC245" s="395"/>
      <c r="BD245" s="395"/>
      <c r="BE245" s="395"/>
      <c r="BF245" s="395"/>
      <c r="BG245" s="395"/>
      <c r="BH245" s="395"/>
      <c r="BI245" s="395"/>
      <c r="BJ245" s="395"/>
      <c r="BK245" s="395"/>
      <c r="BL245" s="395"/>
      <c r="BM245" s="395"/>
      <c r="BN245" s="395"/>
      <c r="BO245" s="395"/>
      <c r="BP245" s="395"/>
      <c r="BQ245" s="395"/>
      <c r="BR245" s="395"/>
      <c r="BS245" s="395"/>
      <c r="BT245" s="395"/>
      <c r="BU245" s="395"/>
      <c r="BV245" s="395"/>
      <c r="BW245" s="395"/>
      <c r="BX245" s="395"/>
      <c r="BY245" s="395"/>
      <c r="BZ245" s="395"/>
      <c r="CA245" s="395"/>
      <c r="CB245" s="395"/>
      <c r="CC245" s="395"/>
      <c r="CD245" s="395"/>
      <c r="CE245" s="395"/>
      <c r="CF245" s="395"/>
      <c r="CG245" s="395"/>
      <c r="CH245" s="395"/>
      <c r="CI245" s="395"/>
      <c r="CJ245" s="395"/>
      <c r="CK245" s="395"/>
      <c r="CL245" s="395"/>
      <c r="CM245" s="395"/>
      <c r="CN245" s="395"/>
      <c r="CO245" s="395"/>
      <c r="CP245" s="395"/>
      <c r="CQ245" s="395"/>
      <c r="CR245" s="395"/>
      <c r="CS245" s="395"/>
      <c r="CT245" s="395"/>
      <c r="CU245" s="395"/>
      <c r="CV245" s="395"/>
      <c r="CW245" s="395"/>
      <c r="CX245" s="395"/>
      <c r="CY245" s="395"/>
      <c r="CZ245" s="395"/>
      <c r="DA245" s="395"/>
      <c r="DB245" s="395"/>
      <c r="DC245" s="395"/>
      <c r="DD245" s="395"/>
      <c r="DE245" s="395"/>
      <c r="DF245" s="395"/>
      <c r="DG245" s="395"/>
      <c r="DH245" s="395"/>
      <c r="DI245" s="395"/>
      <c r="DJ245" s="395"/>
      <c r="DK245" s="395"/>
      <c r="DL245" s="395"/>
      <c r="DM245" s="395"/>
      <c r="DN245" s="395"/>
      <c r="DO245" s="395"/>
      <c r="DP245" s="395"/>
      <c r="DQ245" s="395"/>
      <c r="DR245" s="395"/>
      <c r="DS245" s="395"/>
      <c r="DT245" s="395"/>
      <c r="DU245" s="395"/>
      <c r="DV245" s="395"/>
      <c r="DW245" s="395"/>
      <c r="DX245" s="395"/>
      <c r="DY245" s="395"/>
      <c r="DZ245" s="395"/>
      <c r="EA245" s="395"/>
      <c r="EB245" s="395"/>
      <c r="EC245" s="395"/>
      <c r="ED245" s="395"/>
      <c r="EE245" s="395"/>
      <c r="EF245" s="395"/>
      <c r="EG245" s="395"/>
      <c r="EH245" s="395"/>
      <c r="EI245" s="395"/>
      <c r="EJ245" s="395"/>
      <c r="EK245" s="395"/>
      <c r="EL245" s="395"/>
      <c r="EM245" s="395"/>
      <c r="EN245" s="395"/>
      <c r="EO245" s="395"/>
      <c r="EP245" s="395"/>
      <c r="EQ245" s="395"/>
      <c r="ER245" s="395"/>
      <c r="ES245" s="395"/>
      <c r="ET245" s="395"/>
      <c r="EU245" s="395"/>
      <c r="EV245" s="395"/>
      <c r="EW245" s="395"/>
      <c r="EX245" s="395"/>
      <c r="EY245" s="395"/>
      <c r="EZ245" s="395"/>
      <c r="FA245" s="395"/>
      <c r="FB245" s="395"/>
      <c r="FC245" s="395"/>
      <c r="FD245" s="395"/>
      <c r="FE245" s="395"/>
      <c r="FF245" s="395"/>
      <c r="FG245" s="395"/>
      <c r="FH245" s="395"/>
      <c r="FI245" s="395"/>
      <c r="FJ245" s="395"/>
      <c r="FK245" s="395"/>
      <c r="FL245" s="395"/>
      <c r="FM245" s="395"/>
      <c r="FN245" s="395"/>
      <c r="FO245" s="395"/>
      <c r="FP245" s="395"/>
      <c r="FQ245" s="395"/>
      <c r="FR245" s="395"/>
      <c r="FS245" s="395"/>
      <c r="FT245" s="395"/>
      <c r="FU245" s="395"/>
      <c r="FV245" s="395"/>
      <c r="FW245" s="395"/>
      <c r="FX245" s="395"/>
      <c r="FY245" s="395"/>
      <c r="FZ245" s="395"/>
      <c r="GA245" s="395"/>
      <c r="GB245" s="395"/>
      <c r="GC245" s="395"/>
      <c r="GD245" s="395"/>
      <c r="GE245" s="395"/>
      <c r="GF245" s="395"/>
      <c r="GG245" s="395"/>
      <c r="GH245" s="395"/>
      <c r="GI245" s="395"/>
      <c r="GJ245" s="395"/>
      <c r="GK245" s="395"/>
      <c r="GL245" s="395"/>
      <c r="GM245" s="395"/>
      <c r="GN245" s="395"/>
      <c r="GO245" s="395"/>
      <c r="GP245" s="395"/>
      <c r="GQ245" s="395"/>
      <c r="GR245" s="395"/>
      <c r="GS245" s="395"/>
      <c r="GT245" s="395"/>
      <c r="GU245" s="395"/>
      <c r="GV245" s="395"/>
      <c r="GW245" s="395"/>
      <c r="GX245" s="395"/>
      <c r="GY245" s="395"/>
      <c r="GZ245" s="395"/>
      <c r="HA245" s="395"/>
      <c r="HB245" s="395"/>
      <c r="HC245" s="395"/>
      <c r="HD245" s="395"/>
      <c r="HE245" s="395"/>
      <c r="HF245" s="395"/>
      <c r="HG245" s="395"/>
      <c r="HH245" s="395"/>
      <c r="HI245" s="395"/>
      <c r="HJ245" s="395"/>
      <c r="HK245" s="395"/>
      <c r="HL245" s="395"/>
      <c r="HM245" s="395"/>
      <c r="HN245" s="395"/>
      <c r="HO245" s="395"/>
      <c r="HP245" s="395"/>
      <c r="HQ245" s="395"/>
      <c r="HR245" s="395"/>
      <c r="HS245" s="395"/>
      <c r="HT245" s="395"/>
      <c r="HU245" s="395"/>
      <c r="HV245" s="395"/>
      <c r="HW245" s="395"/>
      <c r="HX245" s="395"/>
      <c r="HY245" s="395"/>
      <c r="HZ245" s="395"/>
      <c r="IA245" s="395"/>
      <c r="IB245" s="395"/>
      <c r="IC245" s="395"/>
      <c r="ID245" s="395"/>
      <c r="IE245" s="395"/>
      <c r="IF245" s="395"/>
      <c r="IG245" s="395"/>
      <c r="IH245" s="395"/>
      <c r="II245" s="395"/>
      <c r="IJ245" s="395"/>
      <c r="IK245" s="395"/>
      <c r="IL245" s="395"/>
      <c r="IM245" s="395"/>
      <c r="IN245" s="395"/>
      <c r="IO245" s="395"/>
      <c r="IP245" s="395"/>
      <c r="IQ245" s="395"/>
      <c r="IR245" s="395"/>
    </row>
    <row r="246" spans="2:252" s="58" customFormat="1" ht="25.15" customHeight="1" x14ac:dyDescent="0.25">
      <c r="B246" s="318">
        <v>43269</v>
      </c>
      <c r="C246" s="317">
        <v>75</v>
      </c>
      <c r="D246" s="321">
        <f>IF(ISNUMBER(D245),Table3[[#This Row],[Amount]]+D245,0)</f>
        <v>226525.85</v>
      </c>
      <c r="V246" s="395"/>
      <c r="W246" s="395"/>
      <c r="X246" s="395"/>
      <c r="Y246" s="395"/>
      <c r="Z246" s="395"/>
      <c r="AA246" s="395"/>
      <c r="AB246" s="395"/>
      <c r="AC246" s="395"/>
      <c r="AD246" s="395"/>
      <c r="AE246" s="395"/>
      <c r="AF246" s="395"/>
      <c r="AG246" s="395"/>
      <c r="AH246" s="395"/>
      <c r="AI246" s="395"/>
      <c r="AJ246" s="395"/>
      <c r="AK246" s="395"/>
      <c r="AL246" s="395"/>
      <c r="AM246" s="395"/>
      <c r="AN246" s="395"/>
      <c r="AO246" s="395"/>
      <c r="AP246" s="395"/>
      <c r="AQ246" s="395"/>
      <c r="AR246" s="395"/>
      <c r="AS246" s="395"/>
      <c r="AT246" s="395"/>
      <c r="AU246" s="395"/>
      <c r="AV246" s="395"/>
      <c r="AW246" s="395"/>
      <c r="AX246" s="395"/>
      <c r="AY246" s="395"/>
      <c r="AZ246" s="395"/>
      <c r="BA246" s="395"/>
      <c r="BB246" s="395"/>
      <c r="BC246" s="395"/>
      <c r="BD246" s="395"/>
      <c r="BE246" s="395"/>
      <c r="BF246" s="395"/>
      <c r="BG246" s="395"/>
      <c r="BH246" s="395"/>
      <c r="BI246" s="395"/>
      <c r="BJ246" s="395"/>
      <c r="BK246" s="395"/>
      <c r="BL246" s="395"/>
      <c r="BM246" s="395"/>
      <c r="BN246" s="395"/>
      <c r="BO246" s="395"/>
      <c r="BP246" s="395"/>
      <c r="BQ246" s="395"/>
      <c r="BR246" s="395"/>
      <c r="BS246" s="395"/>
      <c r="BT246" s="395"/>
      <c r="BU246" s="395"/>
      <c r="BV246" s="395"/>
      <c r="BW246" s="395"/>
      <c r="BX246" s="395"/>
      <c r="BY246" s="395"/>
      <c r="BZ246" s="395"/>
      <c r="CA246" s="395"/>
      <c r="CB246" s="395"/>
      <c r="CC246" s="395"/>
      <c r="CD246" s="395"/>
      <c r="CE246" s="395"/>
      <c r="CF246" s="395"/>
      <c r="CG246" s="395"/>
      <c r="CH246" s="395"/>
      <c r="CI246" s="395"/>
      <c r="CJ246" s="395"/>
      <c r="CK246" s="395"/>
      <c r="CL246" s="395"/>
      <c r="CM246" s="395"/>
      <c r="CN246" s="395"/>
      <c r="CO246" s="395"/>
      <c r="CP246" s="395"/>
      <c r="CQ246" s="395"/>
      <c r="CR246" s="395"/>
      <c r="CS246" s="395"/>
      <c r="CT246" s="395"/>
      <c r="CU246" s="395"/>
      <c r="CV246" s="395"/>
      <c r="CW246" s="395"/>
      <c r="CX246" s="395"/>
      <c r="CY246" s="395"/>
      <c r="CZ246" s="395"/>
      <c r="DA246" s="395"/>
      <c r="DB246" s="395"/>
      <c r="DC246" s="395"/>
      <c r="DD246" s="395"/>
      <c r="DE246" s="395"/>
      <c r="DF246" s="395"/>
      <c r="DG246" s="395"/>
      <c r="DH246" s="395"/>
      <c r="DI246" s="395"/>
      <c r="DJ246" s="395"/>
      <c r="DK246" s="395"/>
      <c r="DL246" s="395"/>
      <c r="DM246" s="395"/>
      <c r="DN246" s="395"/>
      <c r="DO246" s="395"/>
      <c r="DP246" s="395"/>
      <c r="DQ246" s="395"/>
      <c r="DR246" s="395"/>
      <c r="DS246" s="395"/>
      <c r="DT246" s="395"/>
      <c r="DU246" s="395"/>
      <c r="DV246" s="395"/>
      <c r="DW246" s="395"/>
      <c r="DX246" s="395"/>
      <c r="DY246" s="395"/>
      <c r="DZ246" s="395"/>
      <c r="EA246" s="395"/>
      <c r="EB246" s="395"/>
      <c r="EC246" s="395"/>
      <c r="ED246" s="395"/>
      <c r="EE246" s="395"/>
      <c r="EF246" s="395"/>
      <c r="EG246" s="395"/>
      <c r="EH246" s="395"/>
      <c r="EI246" s="395"/>
      <c r="EJ246" s="395"/>
      <c r="EK246" s="395"/>
      <c r="EL246" s="395"/>
      <c r="EM246" s="395"/>
      <c r="EN246" s="395"/>
      <c r="EO246" s="395"/>
      <c r="EP246" s="395"/>
      <c r="EQ246" s="395"/>
      <c r="ER246" s="395"/>
      <c r="ES246" s="395"/>
      <c r="ET246" s="395"/>
      <c r="EU246" s="395"/>
      <c r="EV246" s="395"/>
      <c r="EW246" s="395"/>
      <c r="EX246" s="395"/>
      <c r="EY246" s="395"/>
      <c r="EZ246" s="395"/>
      <c r="FA246" s="395"/>
      <c r="FB246" s="395"/>
      <c r="FC246" s="395"/>
      <c r="FD246" s="395"/>
      <c r="FE246" s="395"/>
      <c r="FF246" s="395"/>
      <c r="FG246" s="395"/>
      <c r="FH246" s="395"/>
      <c r="FI246" s="395"/>
      <c r="FJ246" s="395"/>
      <c r="FK246" s="395"/>
      <c r="FL246" s="395"/>
      <c r="FM246" s="395"/>
      <c r="FN246" s="395"/>
      <c r="FO246" s="395"/>
      <c r="FP246" s="395"/>
      <c r="FQ246" s="395"/>
      <c r="FR246" s="395"/>
      <c r="FS246" s="395"/>
      <c r="FT246" s="395"/>
      <c r="FU246" s="395"/>
      <c r="FV246" s="395"/>
      <c r="FW246" s="395"/>
      <c r="FX246" s="395"/>
      <c r="FY246" s="395"/>
      <c r="FZ246" s="395"/>
      <c r="GA246" s="395"/>
      <c r="GB246" s="395"/>
      <c r="GC246" s="395"/>
      <c r="GD246" s="395"/>
      <c r="GE246" s="395"/>
      <c r="GF246" s="395"/>
      <c r="GG246" s="395"/>
      <c r="GH246" s="395"/>
      <c r="GI246" s="395"/>
      <c r="GJ246" s="395"/>
      <c r="GK246" s="395"/>
      <c r="GL246" s="395"/>
      <c r="GM246" s="395"/>
      <c r="GN246" s="395"/>
      <c r="GO246" s="395"/>
      <c r="GP246" s="395"/>
      <c r="GQ246" s="395"/>
      <c r="GR246" s="395"/>
      <c r="GS246" s="395"/>
      <c r="GT246" s="395"/>
      <c r="GU246" s="395"/>
      <c r="GV246" s="395"/>
      <c r="GW246" s="395"/>
      <c r="GX246" s="395"/>
      <c r="GY246" s="395"/>
      <c r="GZ246" s="395"/>
      <c r="HA246" s="395"/>
      <c r="HB246" s="395"/>
      <c r="HC246" s="395"/>
      <c r="HD246" s="395"/>
      <c r="HE246" s="395"/>
      <c r="HF246" s="395"/>
      <c r="HG246" s="395"/>
      <c r="HH246" s="395"/>
      <c r="HI246" s="395"/>
      <c r="HJ246" s="395"/>
      <c r="HK246" s="395"/>
      <c r="HL246" s="395"/>
      <c r="HM246" s="395"/>
      <c r="HN246" s="395"/>
      <c r="HO246" s="395"/>
      <c r="HP246" s="395"/>
      <c r="HQ246" s="395"/>
      <c r="HR246" s="395"/>
      <c r="HS246" s="395"/>
      <c r="HT246" s="395"/>
      <c r="HU246" s="395"/>
      <c r="HV246" s="395"/>
      <c r="HW246" s="395"/>
      <c r="HX246" s="395"/>
      <c r="HY246" s="395"/>
      <c r="HZ246" s="395"/>
      <c r="IA246" s="395"/>
      <c r="IB246" s="395"/>
      <c r="IC246" s="395"/>
      <c r="ID246" s="395"/>
      <c r="IE246" s="395"/>
      <c r="IF246" s="395"/>
      <c r="IG246" s="395"/>
      <c r="IH246" s="395"/>
      <c r="II246" s="395"/>
      <c r="IJ246" s="395"/>
      <c r="IK246" s="395"/>
      <c r="IL246" s="395"/>
      <c r="IM246" s="395"/>
      <c r="IN246" s="395"/>
      <c r="IO246" s="395"/>
      <c r="IP246" s="395"/>
      <c r="IQ246" s="395"/>
      <c r="IR246" s="395"/>
    </row>
    <row r="247" spans="2:252" s="58" customFormat="1" ht="25.15" customHeight="1" x14ac:dyDescent="0.25">
      <c r="B247" s="318">
        <v>43284</v>
      </c>
      <c r="C247" s="317">
        <v>75</v>
      </c>
      <c r="D247" s="321">
        <f>IF(ISNUMBER(D246),Table3[[#This Row],[Amount]]+D246,0)</f>
        <v>226600.85</v>
      </c>
      <c r="V247" s="395"/>
      <c r="W247" s="395"/>
      <c r="X247" s="395"/>
      <c r="Y247" s="395"/>
      <c r="Z247" s="395"/>
      <c r="AA247" s="395"/>
      <c r="AB247" s="395"/>
      <c r="AC247" s="395"/>
      <c r="AD247" s="395"/>
      <c r="AE247" s="395"/>
      <c r="AF247" s="395"/>
      <c r="AG247" s="395"/>
      <c r="AH247" s="395"/>
      <c r="AI247" s="395"/>
      <c r="AJ247" s="395"/>
      <c r="AK247" s="395"/>
      <c r="AL247" s="395"/>
      <c r="AM247" s="395"/>
      <c r="AN247" s="395"/>
      <c r="AO247" s="395"/>
      <c r="AP247" s="395"/>
      <c r="AQ247" s="395"/>
      <c r="AR247" s="395"/>
      <c r="AS247" s="395"/>
      <c r="AT247" s="395"/>
      <c r="AU247" s="395"/>
      <c r="AV247" s="395"/>
      <c r="AW247" s="395"/>
      <c r="AX247" s="395"/>
      <c r="AY247" s="395"/>
      <c r="AZ247" s="395"/>
      <c r="BA247" s="395"/>
      <c r="BB247" s="395"/>
      <c r="BC247" s="395"/>
      <c r="BD247" s="395"/>
      <c r="BE247" s="395"/>
      <c r="BF247" s="395"/>
      <c r="BG247" s="395"/>
      <c r="BH247" s="395"/>
      <c r="BI247" s="395"/>
      <c r="BJ247" s="395"/>
      <c r="BK247" s="395"/>
      <c r="BL247" s="395"/>
      <c r="BM247" s="395"/>
      <c r="BN247" s="395"/>
      <c r="BO247" s="395"/>
      <c r="BP247" s="395"/>
      <c r="BQ247" s="395"/>
      <c r="BR247" s="395"/>
      <c r="BS247" s="395"/>
      <c r="BT247" s="395"/>
      <c r="BU247" s="395"/>
      <c r="BV247" s="395"/>
      <c r="BW247" s="395"/>
      <c r="BX247" s="395"/>
      <c r="BY247" s="395"/>
      <c r="BZ247" s="395"/>
      <c r="CA247" s="395"/>
      <c r="CB247" s="395"/>
      <c r="CC247" s="395"/>
      <c r="CD247" s="395"/>
      <c r="CE247" s="395"/>
      <c r="CF247" s="395"/>
      <c r="CG247" s="395"/>
      <c r="CH247" s="395"/>
      <c r="CI247" s="395"/>
      <c r="CJ247" s="395"/>
      <c r="CK247" s="395"/>
      <c r="CL247" s="395"/>
      <c r="CM247" s="395"/>
      <c r="CN247" s="395"/>
      <c r="CO247" s="395"/>
      <c r="CP247" s="395"/>
      <c r="CQ247" s="395"/>
      <c r="CR247" s="395"/>
      <c r="CS247" s="395"/>
      <c r="CT247" s="395"/>
      <c r="CU247" s="395"/>
      <c r="CV247" s="395"/>
      <c r="CW247" s="395"/>
      <c r="CX247" s="395"/>
      <c r="CY247" s="395"/>
      <c r="CZ247" s="395"/>
      <c r="DA247" s="395"/>
      <c r="DB247" s="395"/>
      <c r="DC247" s="395"/>
      <c r="DD247" s="395"/>
      <c r="DE247" s="395"/>
      <c r="DF247" s="395"/>
      <c r="DG247" s="395"/>
      <c r="DH247" s="395"/>
      <c r="DI247" s="395"/>
      <c r="DJ247" s="395"/>
      <c r="DK247" s="395"/>
      <c r="DL247" s="395"/>
      <c r="DM247" s="395"/>
      <c r="DN247" s="395"/>
      <c r="DO247" s="395"/>
      <c r="DP247" s="395"/>
      <c r="DQ247" s="395"/>
      <c r="DR247" s="395"/>
      <c r="DS247" s="395"/>
      <c r="DT247" s="395"/>
      <c r="DU247" s="395"/>
      <c r="DV247" s="395"/>
      <c r="DW247" s="395"/>
      <c r="DX247" s="395"/>
      <c r="DY247" s="395"/>
      <c r="DZ247" s="395"/>
      <c r="EA247" s="395"/>
      <c r="EB247" s="395"/>
      <c r="EC247" s="395"/>
      <c r="ED247" s="395"/>
      <c r="EE247" s="395"/>
      <c r="EF247" s="395"/>
      <c r="EG247" s="395"/>
      <c r="EH247" s="395"/>
      <c r="EI247" s="395"/>
      <c r="EJ247" s="395"/>
      <c r="EK247" s="395"/>
      <c r="EL247" s="395"/>
      <c r="EM247" s="395"/>
      <c r="EN247" s="395"/>
      <c r="EO247" s="395"/>
      <c r="EP247" s="395"/>
      <c r="EQ247" s="395"/>
      <c r="ER247" s="395"/>
      <c r="ES247" s="395"/>
      <c r="ET247" s="395"/>
      <c r="EU247" s="395"/>
      <c r="EV247" s="395"/>
      <c r="EW247" s="395"/>
      <c r="EX247" s="395"/>
      <c r="EY247" s="395"/>
      <c r="EZ247" s="395"/>
      <c r="FA247" s="395"/>
      <c r="FB247" s="395"/>
      <c r="FC247" s="395"/>
      <c r="FD247" s="395"/>
      <c r="FE247" s="395"/>
      <c r="FF247" s="395"/>
      <c r="FG247" s="395"/>
      <c r="FH247" s="395"/>
      <c r="FI247" s="395"/>
      <c r="FJ247" s="395"/>
      <c r="FK247" s="395"/>
      <c r="FL247" s="395"/>
      <c r="FM247" s="395"/>
      <c r="FN247" s="395"/>
      <c r="FO247" s="395"/>
      <c r="FP247" s="395"/>
      <c r="FQ247" s="395"/>
      <c r="FR247" s="395"/>
      <c r="FS247" s="395"/>
      <c r="FT247" s="395"/>
      <c r="FU247" s="395"/>
      <c r="FV247" s="395"/>
      <c r="FW247" s="395"/>
      <c r="FX247" s="395"/>
      <c r="FY247" s="395"/>
      <c r="FZ247" s="395"/>
      <c r="GA247" s="395"/>
      <c r="GB247" s="395"/>
      <c r="GC247" s="395"/>
      <c r="GD247" s="395"/>
      <c r="GE247" s="395"/>
      <c r="GF247" s="395"/>
      <c r="GG247" s="395"/>
      <c r="GH247" s="395"/>
      <c r="GI247" s="395"/>
      <c r="GJ247" s="395"/>
      <c r="GK247" s="395"/>
      <c r="GL247" s="395"/>
      <c r="GM247" s="395"/>
      <c r="GN247" s="395"/>
      <c r="GO247" s="395"/>
      <c r="GP247" s="395"/>
      <c r="GQ247" s="395"/>
      <c r="GR247" s="395"/>
      <c r="GS247" s="395"/>
      <c r="GT247" s="395"/>
      <c r="GU247" s="395"/>
      <c r="GV247" s="395"/>
      <c r="GW247" s="395"/>
      <c r="GX247" s="395"/>
      <c r="GY247" s="395"/>
      <c r="GZ247" s="395"/>
      <c r="HA247" s="395"/>
      <c r="HB247" s="395"/>
      <c r="HC247" s="395"/>
      <c r="HD247" s="395"/>
      <c r="HE247" s="395"/>
      <c r="HF247" s="395"/>
      <c r="HG247" s="395"/>
      <c r="HH247" s="395"/>
      <c r="HI247" s="395"/>
      <c r="HJ247" s="395"/>
      <c r="HK247" s="395"/>
      <c r="HL247" s="395"/>
      <c r="HM247" s="395"/>
      <c r="HN247" s="395"/>
      <c r="HO247" s="395"/>
      <c r="HP247" s="395"/>
      <c r="HQ247" s="395"/>
      <c r="HR247" s="395"/>
      <c r="HS247" s="395"/>
      <c r="HT247" s="395"/>
      <c r="HU247" s="395"/>
      <c r="HV247" s="395"/>
      <c r="HW247" s="395"/>
      <c r="HX247" s="395"/>
      <c r="HY247" s="395"/>
      <c r="HZ247" s="395"/>
      <c r="IA247" s="395"/>
      <c r="IB247" s="395"/>
      <c r="IC247" s="395"/>
      <c r="ID247" s="395"/>
      <c r="IE247" s="395"/>
      <c r="IF247" s="395"/>
      <c r="IG247" s="395"/>
      <c r="IH247" s="395"/>
      <c r="II247" s="395"/>
      <c r="IJ247" s="395"/>
      <c r="IK247" s="395"/>
      <c r="IL247" s="395"/>
      <c r="IM247" s="395"/>
      <c r="IN247" s="395"/>
      <c r="IO247" s="395"/>
      <c r="IP247" s="395"/>
      <c r="IQ247" s="395"/>
      <c r="IR247" s="395"/>
    </row>
    <row r="248" spans="2:252" s="58" customFormat="1" ht="25.15" customHeight="1" x14ac:dyDescent="0.25">
      <c r="B248" s="318">
        <v>43297</v>
      </c>
      <c r="C248" s="317">
        <v>75</v>
      </c>
      <c r="D248" s="321">
        <f>IF(ISNUMBER(D247),Table3[[#This Row],[Amount]]+D247,0)</f>
        <v>226675.85</v>
      </c>
      <c r="V248" s="395"/>
      <c r="W248" s="395"/>
      <c r="X248" s="395"/>
      <c r="Y248" s="395"/>
      <c r="Z248" s="395"/>
      <c r="AA248" s="395"/>
      <c r="AB248" s="395"/>
      <c r="AC248" s="395"/>
      <c r="AD248" s="395"/>
      <c r="AE248" s="395"/>
      <c r="AF248" s="395"/>
      <c r="AG248" s="395"/>
      <c r="AH248" s="395"/>
      <c r="AI248" s="395"/>
      <c r="AJ248" s="395"/>
      <c r="AK248" s="395"/>
      <c r="AL248" s="395"/>
      <c r="AM248" s="395"/>
      <c r="AN248" s="395"/>
      <c r="AO248" s="395"/>
      <c r="AP248" s="395"/>
      <c r="AQ248" s="395"/>
      <c r="AR248" s="395"/>
      <c r="AS248" s="395"/>
      <c r="AT248" s="395"/>
      <c r="AU248" s="395"/>
      <c r="AV248" s="395"/>
      <c r="AW248" s="395"/>
      <c r="AX248" s="395"/>
      <c r="AY248" s="395"/>
      <c r="AZ248" s="395"/>
      <c r="BA248" s="395"/>
      <c r="BB248" s="395"/>
      <c r="BC248" s="395"/>
      <c r="BD248" s="395"/>
      <c r="BE248" s="395"/>
      <c r="BF248" s="395"/>
      <c r="BG248" s="395"/>
      <c r="BH248" s="395"/>
      <c r="BI248" s="395"/>
      <c r="BJ248" s="395"/>
      <c r="BK248" s="395"/>
      <c r="BL248" s="395"/>
      <c r="BM248" s="395"/>
      <c r="BN248" s="395"/>
      <c r="BO248" s="395"/>
      <c r="BP248" s="395"/>
      <c r="BQ248" s="395"/>
      <c r="BR248" s="395"/>
      <c r="BS248" s="395"/>
      <c r="BT248" s="395"/>
      <c r="BU248" s="395"/>
      <c r="BV248" s="395"/>
      <c r="BW248" s="395"/>
      <c r="BX248" s="395"/>
      <c r="BY248" s="395"/>
      <c r="BZ248" s="395"/>
      <c r="CA248" s="395"/>
      <c r="CB248" s="395"/>
      <c r="CC248" s="395"/>
      <c r="CD248" s="395"/>
      <c r="CE248" s="395"/>
      <c r="CF248" s="395"/>
      <c r="CG248" s="395"/>
      <c r="CH248" s="395"/>
      <c r="CI248" s="395"/>
      <c r="CJ248" s="395"/>
      <c r="CK248" s="395"/>
      <c r="CL248" s="395"/>
      <c r="CM248" s="395"/>
      <c r="CN248" s="395"/>
      <c r="CO248" s="395"/>
      <c r="CP248" s="395"/>
      <c r="CQ248" s="395"/>
      <c r="CR248" s="395"/>
      <c r="CS248" s="395"/>
      <c r="CT248" s="395"/>
      <c r="CU248" s="395"/>
      <c r="CV248" s="395"/>
      <c r="CW248" s="395"/>
      <c r="CX248" s="395"/>
      <c r="CY248" s="395"/>
      <c r="CZ248" s="395"/>
      <c r="DA248" s="395"/>
      <c r="DB248" s="395"/>
      <c r="DC248" s="395"/>
      <c r="DD248" s="395"/>
      <c r="DE248" s="395"/>
      <c r="DF248" s="395"/>
      <c r="DG248" s="395"/>
      <c r="DH248" s="395"/>
      <c r="DI248" s="395"/>
      <c r="DJ248" s="395"/>
      <c r="DK248" s="395"/>
      <c r="DL248" s="395"/>
      <c r="DM248" s="395"/>
      <c r="DN248" s="395"/>
      <c r="DO248" s="395"/>
      <c r="DP248" s="395"/>
      <c r="DQ248" s="395"/>
      <c r="DR248" s="395"/>
      <c r="DS248" s="395"/>
      <c r="DT248" s="395"/>
      <c r="DU248" s="395"/>
      <c r="DV248" s="395"/>
      <c r="DW248" s="395"/>
      <c r="DX248" s="395"/>
      <c r="DY248" s="395"/>
      <c r="DZ248" s="395"/>
      <c r="EA248" s="395"/>
      <c r="EB248" s="395"/>
      <c r="EC248" s="395"/>
      <c r="ED248" s="395"/>
      <c r="EE248" s="395"/>
      <c r="EF248" s="395"/>
      <c r="EG248" s="395"/>
      <c r="EH248" s="395"/>
      <c r="EI248" s="395"/>
      <c r="EJ248" s="395"/>
      <c r="EK248" s="395"/>
      <c r="EL248" s="395"/>
      <c r="EM248" s="395"/>
      <c r="EN248" s="395"/>
      <c r="EO248" s="395"/>
      <c r="EP248" s="395"/>
      <c r="EQ248" s="395"/>
      <c r="ER248" s="395"/>
      <c r="ES248" s="395"/>
      <c r="ET248" s="395"/>
      <c r="EU248" s="395"/>
      <c r="EV248" s="395"/>
      <c r="EW248" s="395"/>
      <c r="EX248" s="395"/>
      <c r="EY248" s="395"/>
      <c r="EZ248" s="395"/>
      <c r="FA248" s="395"/>
      <c r="FB248" s="395"/>
      <c r="FC248" s="395"/>
      <c r="FD248" s="395"/>
      <c r="FE248" s="395"/>
      <c r="FF248" s="395"/>
      <c r="FG248" s="395"/>
      <c r="FH248" s="395"/>
      <c r="FI248" s="395"/>
      <c r="FJ248" s="395"/>
      <c r="FK248" s="395"/>
      <c r="FL248" s="395"/>
      <c r="FM248" s="395"/>
      <c r="FN248" s="395"/>
      <c r="FO248" s="395"/>
      <c r="FP248" s="395"/>
      <c r="FQ248" s="395"/>
      <c r="FR248" s="395"/>
      <c r="FS248" s="395"/>
      <c r="FT248" s="395"/>
      <c r="FU248" s="395"/>
      <c r="FV248" s="395"/>
      <c r="FW248" s="395"/>
      <c r="FX248" s="395"/>
      <c r="FY248" s="395"/>
      <c r="FZ248" s="395"/>
      <c r="GA248" s="395"/>
      <c r="GB248" s="395"/>
      <c r="GC248" s="395"/>
      <c r="GD248" s="395"/>
      <c r="GE248" s="395"/>
      <c r="GF248" s="395"/>
      <c r="GG248" s="395"/>
      <c r="GH248" s="395"/>
      <c r="GI248" s="395"/>
      <c r="GJ248" s="395"/>
      <c r="GK248" s="395"/>
      <c r="GL248" s="395"/>
      <c r="GM248" s="395"/>
      <c r="GN248" s="395"/>
      <c r="GO248" s="395"/>
      <c r="GP248" s="395"/>
      <c r="GQ248" s="395"/>
      <c r="GR248" s="395"/>
      <c r="GS248" s="395"/>
      <c r="GT248" s="395"/>
      <c r="GU248" s="395"/>
      <c r="GV248" s="395"/>
      <c r="GW248" s="395"/>
      <c r="GX248" s="395"/>
      <c r="GY248" s="395"/>
      <c r="GZ248" s="395"/>
      <c r="HA248" s="395"/>
      <c r="HB248" s="395"/>
      <c r="HC248" s="395"/>
      <c r="HD248" s="395"/>
      <c r="HE248" s="395"/>
      <c r="HF248" s="395"/>
      <c r="HG248" s="395"/>
      <c r="HH248" s="395"/>
      <c r="HI248" s="395"/>
      <c r="HJ248" s="395"/>
      <c r="HK248" s="395"/>
      <c r="HL248" s="395"/>
      <c r="HM248" s="395"/>
      <c r="HN248" s="395"/>
      <c r="HO248" s="395"/>
      <c r="HP248" s="395"/>
      <c r="HQ248" s="395"/>
      <c r="HR248" s="395"/>
      <c r="HS248" s="395"/>
      <c r="HT248" s="395"/>
      <c r="HU248" s="395"/>
      <c r="HV248" s="395"/>
      <c r="HW248" s="395"/>
      <c r="HX248" s="395"/>
      <c r="HY248" s="395"/>
      <c r="HZ248" s="395"/>
      <c r="IA248" s="395"/>
      <c r="IB248" s="395"/>
      <c r="IC248" s="395"/>
      <c r="ID248" s="395"/>
      <c r="IE248" s="395"/>
      <c r="IF248" s="395"/>
      <c r="IG248" s="395"/>
      <c r="IH248" s="395"/>
      <c r="II248" s="395"/>
      <c r="IJ248" s="395"/>
      <c r="IK248" s="395"/>
      <c r="IL248" s="395"/>
      <c r="IM248" s="395"/>
      <c r="IN248" s="395"/>
      <c r="IO248" s="395"/>
      <c r="IP248" s="395"/>
      <c r="IQ248" s="395"/>
      <c r="IR248" s="395"/>
    </row>
    <row r="249" spans="2:252" s="58" customFormat="1" ht="25.15" customHeight="1" x14ac:dyDescent="0.25">
      <c r="B249" s="318">
        <v>43311</v>
      </c>
      <c r="C249" s="317">
        <v>75</v>
      </c>
      <c r="D249" s="321">
        <f>IF(ISNUMBER(D248),Table3[[#This Row],[Amount]]+D248,0)</f>
        <v>226750.85</v>
      </c>
      <c r="V249" s="395"/>
      <c r="W249" s="395"/>
      <c r="X249" s="395"/>
      <c r="Y249" s="395"/>
      <c r="Z249" s="395"/>
      <c r="AA249" s="395"/>
      <c r="AB249" s="395"/>
      <c r="AC249" s="395"/>
      <c r="AD249" s="395"/>
      <c r="AE249" s="395"/>
      <c r="AF249" s="395"/>
      <c r="AG249" s="395"/>
      <c r="AH249" s="395"/>
      <c r="AI249" s="395"/>
      <c r="AJ249" s="395"/>
      <c r="AK249" s="395"/>
      <c r="AL249" s="395"/>
      <c r="AM249" s="395"/>
      <c r="AN249" s="395"/>
      <c r="AO249" s="395"/>
      <c r="AP249" s="395"/>
      <c r="AQ249" s="395"/>
      <c r="AR249" s="395"/>
      <c r="AS249" s="395"/>
      <c r="AT249" s="395"/>
      <c r="AU249" s="395"/>
      <c r="AV249" s="395"/>
      <c r="AW249" s="395"/>
      <c r="AX249" s="395"/>
      <c r="AY249" s="395"/>
      <c r="AZ249" s="395"/>
      <c r="BA249" s="395"/>
      <c r="BB249" s="395"/>
      <c r="BC249" s="395"/>
      <c r="BD249" s="395"/>
      <c r="BE249" s="395"/>
      <c r="BF249" s="395"/>
      <c r="BG249" s="395"/>
      <c r="BH249" s="395"/>
      <c r="BI249" s="395"/>
      <c r="BJ249" s="395"/>
      <c r="BK249" s="395"/>
      <c r="BL249" s="395"/>
      <c r="BM249" s="395"/>
      <c r="BN249" s="395"/>
      <c r="BO249" s="395"/>
      <c r="BP249" s="395"/>
      <c r="BQ249" s="395"/>
      <c r="BR249" s="395"/>
      <c r="BS249" s="395"/>
      <c r="BT249" s="395"/>
      <c r="BU249" s="395"/>
      <c r="BV249" s="395"/>
      <c r="BW249" s="395"/>
      <c r="BX249" s="395"/>
      <c r="BY249" s="395"/>
      <c r="BZ249" s="395"/>
      <c r="CA249" s="395"/>
      <c r="CB249" s="395"/>
      <c r="CC249" s="395"/>
      <c r="CD249" s="395"/>
      <c r="CE249" s="395"/>
      <c r="CF249" s="395"/>
      <c r="CG249" s="395"/>
      <c r="CH249" s="395"/>
      <c r="CI249" s="395"/>
      <c r="CJ249" s="395"/>
      <c r="CK249" s="395"/>
      <c r="CL249" s="395"/>
      <c r="CM249" s="395"/>
      <c r="CN249" s="395"/>
      <c r="CO249" s="395"/>
      <c r="CP249" s="395"/>
      <c r="CQ249" s="395"/>
      <c r="CR249" s="395"/>
      <c r="CS249" s="395"/>
      <c r="CT249" s="395"/>
      <c r="CU249" s="395"/>
      <c r="CV249" s="395"/>
      <c r="CW249" s="395"/>
      <c r="CX249" s="395"/>
      <c r="CY249" s="395"/>
      <c r="CZ249" s="395"/>
      <c r="DA249" s="395"/>
      <c r="DB249" s="395"/>
      <c r="DC249" s="395"/>
      <c r="DD249" s="395"/>
      <c r="DE249" s="395"/>
      <c r="DF249" s="395"/>
      <c r="DG249" s="395"/>
      <c r="DH249" s="395"/>
      <c r="DI249" s="395"/>
      <c r="DJ249" s="395"/>
      <c r="DK249" s="395"/>
      <c r="DL249" s="395"/>
      <c r="DM249" s="395"/>
      <c r="DN249" s="395"/>
      <c r="DO249" s="395"/>
      <c r="DP249" s="395"/>
      <c r="DQ249" s="395"/>
      <c r="DR249" s="395"/>
      <c r="DS249" s="395"/>
      <c r="DT249" s="395"/>
      <c r="DU249" s="395"/>
      <c r="DV249" s="395"/>
      <c r="DW249" s="395"/>
      <c r="DX249" s="395"/>
      <c r="DY249" s="395"/>
      <c r="DZ249" s="395"/>
      <c r="EA249" s="395"/>
      <c r="EB249" s="395"/>
      <c r="EC249" s="395"/>
      <c r="ED249" s="395"/>
      <c r="EE249" s="395"/>
      <c r="EF249" s="395"/>
      <c r="EG249" s="395"/>
      <c r="EH249" s="395"/>
      <c r="EI249" s="395"/>
      <c r="EJ249" s="395"/>
      <c r="EK249" s="395"/>
      <c r="EL249" s="395"/>
      <c r="EM249" s="395"/>
      <c r="EN249" s="395"/>
      <c r="EO249" s="395"/>
      <c r="EP249" s="395"/>
      <c r="EQ249" s="395"/>
      <c r="ER249" s="395"/>
      <c r="ES249" s="395"/>
      <c r="ET249" s="395"/>
      <c r="EU249" s="395"/>
      <c r="EV249" s="395"/>
      <c r="EW249" s="395"/>
      <c r="EX249" s="395"/>
      <c r="EY249" s="395"/>
      <c r="EZ249" s="395"/>
      <c r="FA249" s="395"/>
      <c r="FB249" s="395"/>
      <c r="FC249" s="395"/>
      <c r="FD249" s="395"/>
      <c r="FE249" s="395"/>
      <c r="FF249" s="395"/>
      <c r="FG249" s="395"/>
      <c r="FH249" s="395"/>
      <c r="FI249" s="395"/>
      <c r="FJ249" s="395"/>
      <c r="FK249" s="395"/>
      <c r="FL249" s="395"/>
      <c r="FM249" s="395"/>
      <c r="FN249" s="395"/>
      <c r="FO249" s="395"/>
      <c r="FP249" s="395"/>
      <c r="FQ249" s="395"/>
      <c r="FR249" s="395"/>
      <c r="FS249" s="395"/>
      <c r="FT249" s="395"/>
      <c r="FU249" s="395"/>
      <c r="FV249" s="395"/>
      <c r="FW249" s="395"/>
      <c r="FX249" s="395"/>
      <c r="FY249" s="395"/>
      <c r="FZ249" s="395"/>
      <c r="GA249" s="395"/>
      <c r="GB249" s="395"/>
      <c r="GC249" s="395"/>
      <c r="GD249" s="395"/>
      <c r="GE249" s="395"/>
      <c r="GF249" s="395"/>
      <c r="GG249" s="395"/>
      <c r="GH249" s="395"/>
      <c r="GI249" s="395"/>
      <c r="GJ249" s="395"/>
      <c r="GK249" s="395"/>
      <c r="GL249" s="395"/>
      <c r="GM249" s="395"/>
      <c r="GN249" s="395"/>
      <c r="GO249" s="395"/>
      <c r="GP249" s="395"/>
      <c r="GQ249" s="395"/>
      <c r="GR249" s="395"/>
      <c r="GS249" s="395"/>
      <c r="GT249" s="395"/>
      <c r="GU249" s="395"/>
      <c r="GV249" s="395"/>
      <c r="GW249" s="395"/>
      <c r="GX249" s="395"/>
      <c r="GY249" s="395"/>
      <c r="GZ249" s="395"/>
      <c r="HA249" s="395"/>
      <c r="HB249" s="395"/>
      <c r="HC249" s="395"/>
      <c r="HD249" s="395"/>
      <c r="HE249" s="395"/>
      <c r="HF249" s="395"/>
      <c r="HG249" s="395"/>
      <c r="HH249" s="395"/>
      <c r="HI249" s="395"/>
      <c r="HJ249" s="395"/>
      <c r="HK249" s="395"/>
      <c r="HL249" s="395"/>
      <c r="HM249" s="395"/>
      <c r="HN249" s="395"/>
      <c r="HO249" s="395"/>
      <c r="HP249" s="395"/>
      <c r="HQ249" s="395"/>
      <c r="HR249" s="395"/>
      <c r="HS249" s="395"/>
      <c r="HT249" s="395"/>
      <c r="HU249" s="395"/>
      <c r="HV249" s="395"/>
      <c r="HW249" s="395"/>
      <c r="HX249" s="395"/>
      <c r="HY249" s="395"/>
      <c r="HZ249" s="395"/>
      <c r="IA249" s="395"/>
      <c r="IB249" s="395"/>
      <c r="IC249" s="395"/>
      <c r="ID249" s="395"/>
      <c r="IE249" s="395"/>
      <c r="IF249" s="395"/>
      <c r="IG249" s="395"/>
      <c r="IH249" s="395"/>
      <c r="II249" s="395"/>
      <c r="IJ249" s="395"/>
      <c r="IK249" s="395"/>
      <c r="IL249" s="395"/>
      <c r="IM249" s="395"/>
      <c r="IN249" s="395"/>
      <c r="IO249" s="395"/>
      <c r="IP249" s="395"/>
      <c r="IQ249" s="395"/>
      <c r="IR249" s="395"/>
    </row>
    <row r="250" spans="2:252" s="58" customFormat="1" ht="25.15" customHeight="1" x14ac:dyDescent="0.25">
      <c r="B250" s="181">
        <v>43325</v>
      </c>
      <c r="C250" s="317">
        <v>75</v>
      </c>
      <c r="D250" s="321">
        <f>IF(ISNUMBER(D249),Table3[[#This Row],[Amount]]+D249,0)</f>
        <v>226825.85</v>
      </c>
      <c r="V250" s="395"/>
      <c r="W250" s="395"/>
      <c r="X250" s="395"/>
      <c r="Y250" s="395"/>
      <c r="Z250" s="395"/>
      <c r="AA250" s="395"/>
      <c r="AB250" s="395"/>
      <c r="AC250" s="395"/>
      <c r="AD250" s="395"/>
      <c r="AE250" s="395"/>
      <c r="AF250" s="395"/>
      <c r="AG250" s="395"/>
      <c r="AH250" s="395"/>
      <c r="AI250" s="395"/>
      <c r="AJ250" s="395"/>
      <c r="AK250" s="395"/>
      <c r="AL250" s="395"/>
      <c r="AM250" s="395"/>
      <c r="AN250" s="395"/>
      <c r="AO250" s="395"/>
      <c r="AP250" s="395"/>
      <c r="AQ250" s="395"/>
      <c r="AR250" s="395"/>
      <c r="AS250" s="395"/>
      <c r="AT250" s="395"/>
      <c r="AU250" s="395"/>
      <c r="AV250" s="395"/>
      <c r="AW250" s="395"/>
      <c r="AX250" s="395"/>
      <c r="AY250" s="395"/>
      <c r="AZ250" s="395"/>
      <c r="BA250" s="395"/>
      <c r="BB250" s="395"/>
      <c r="BC250" s="395"/>
      <c r="BD250" s="395"/>
      <c r="BE250" s="395"/>
      <c r="BF250" s="395"/>
      <c r="BG250" s="395"/>
      <c r="BH250" s="395"/>
      <c r="BI250" s="395"/>
      <c r="BJ250" s="395"/>
      <c r="BK250" s="395"/>
      <c r="BL250" s="395"/>
      <c r="BM250" s="395"/>
      <c r="BN250" s="395"/>
      <c r="BO250" s="395"/>
      <c r="BP250" s="395"/>
      <c r="BQ250" s="395"/>
      <c r="BR250" s="395"/>
      <c r="BS250" s="395"/>
      <c r="BT250" s="395"/>
      <c r="BU250" s="395"/>
      <c r="BV250" s="395"/>
      <c r="BW250" s="395"/>
      <c r="BX250" s="395"/>
      <c r="BY250" s="395"/>
      <c r="BZ250" s="395"/>
      <c r="CA250" s="395"/>
      <c r="CB250" s="395"/>
      <c r="CC250" s="395"/>
      <c r="CD250" s="395"/>
      <c r="CE250" s="395"/>
      <c r="CF250" s="395"/>
      <c r="CG250" s="395"/>
      <c r="CH250" s="395"/>
      <c r="CI250" s="395"/>
      <c r="CJ250" s="395"/>
      <c r="CK250" s="395"/>
      <c r="CL250" s="395"/>
      <c r="CM250" s="395"/>
      <c r="CN250" s="395"/>
      <c r="CO250" s="395"/>
      <c r="CP250" s="395"/>
      <c r="CQ250" s="395"/>
      <c r="CR250" s="395"/>
      <c r="CS250" s="395"/>
      <c r="CT250" s="395"/>
      <c r="CU250" s="395"/>
      <c r="CV250" s="395"/>
      <c r="CW250" s="395"/>
      <c r="CX250" s="395"/>
      <c r="CY250" s="395"/>
      <c r="CZ250" s="395"/>
      <c r="DA250" s="395"/>
      <c r="DB250" s="395"/>
      <c r="DC250" s="395"/>
      <c r="DD250" s="395"/>
      <c r="DE250" s="395"/>
      <c r="DF250" s="395"/>
      <c r="DG250" s="395"/>
      <c r="DH250" s="395"/>
      <c r="DI250" s="395"/>
      <c r="DJ250" s="395"/>
      <c r="DK250" s="395"/>
      <c r="DL250" s="395"/>
      <c r="DM250" s="395"/>
      <c r="DN250" s="395"/>
      <c r="DO250" s="395"/>
      <c r="DP250" s="395"/>
      <c r="DQ250" s="395"/>
      <c r="DR250" s="395"/>
      <c r="DS250" s="395"/>
      <c r="DT250" s="395"/>
      <c r="DU250" s="395"/>
      <c r="DV250" s="395"/>
      <c r="DW250" s="395"/>
      <c r="DX250" s="395"/>
      <c r="DY250" s="395"/>
      <c r="DZ250" s="395"/>
      <c r="EA250" s="395"/>
      <c r="EB250" s="395"/>
      <c r="EC250" s="395"/>
      <c r="ED250" s="395"/>
      <c r="EE250" s="395"/>
      <c r="EF250" s="395"/>
      <c r="EG250" s="395"/>
      <c r="EH250" s="395"/>
      <c r="EI250" s="395"/>
      <c r="EJ250" s="395"/>
      <c r="EK250" s="395"/>
      <c r="EL250" s="395"/>
      <c r="EM250" s="395"/>
      <c r="EN250" s="395"/>
      <c r="EO250" s="395"/>
      <c r="EP250" s="395"/>
      <c r="EQ250" s="395"/>
      <c r="ER250" s="395"/>
      <c r="ES250" s="395"/>
      <c r="ET250" s="395"/>
      <c r="EU250" s="395"/>
      <c r="EV250" s="395"/>
      <c r="EW250" s="395"/>
      <c r="EX250" s="395"/>
      <c r="EY250" s="395"/>
      <c r="EZ250" s="395"/>
      <c r="FA250" s="395"/>
      <c r="FB250" s="395"/>
      <c r="FC250" s="395"/>
      <c r="FD250" s="395"/>
      <c r="FE250" s="395"/>
      <c r="FF250" s="395"/>
      <c r="FG250" s="395"/>
      <c r="FH250" s="395"/>
      <c r="FI250" s="395"/>
      <c r="FJ250" s="395"/>
      <c r="FK250" s="395"/>
      <c r="FL250" s="395"/>
      <c r="FM250" s="395"/>
      <c r="FN250" s="395"/>
      <c r="FO250" s="395"/>
      <c r="FP250" s="395"/>
      <c r="FQ250" s="395"/>
      <c r="FR250" s="395"/>
      <c r="FS250" s="395"/>
      <c r="FT250" s="395"/>
      <c r="FU250" s="395"/>
      <c r="FV250" s="395"/>
      <c r="FW250" s="395"/>
      <c r="FX250" s="395"/>
      <c r="FY250" s="395"/>
      <c r="FZ250" s="395"/>
      <c r="GA250" s="395"/>
      <c r="GB250" s="395"/>
      <c r="GC250" s="395"/>
      <c r="GD250" s="395"/>
      <c r="GE250" s="395"/>
      <c r="GF250" s="395"/>
      <c r="GG250" s="395"/>
      <c r="GH250" s="395"/>
      <c r="GI250" s="395"/>
      <c r="GJ250" s="395"/>
      <c r="GK250" s="395"/>
      <c r="GL250" s="395"/>
      <c r="GM250" s="395"/>
      <c r="GN250" s="395"/>
      <c r="GO250" s="395"/>
      <c r="GP250" s="395"/>
      <c r="GQ250" s="395"/>
      <c r="GR250" s="395"/>
      <c r="GS250" s="395"/>
      <c r="GT250" s="395"/>
      <c r="GU250" s="395"/>
      <c r="GV250" s="395"/>
      <c r="GW250" s="395"/>
      <c r="GX250" s="395"/>
      <c r="GY250" s="395"/>
      <c r="GZ250" s="395"/>
      <c r="HA250" s="395"/>
      <c r="HB250" s="395"/>
      <c r="HC250" s="395"/>
      <c r="HD250" s="395"/>
      <c r="HE250" s="395"/>
      <c r="HF250" s="395"/>
      <c r="HG250" s="395"/>
      <c r="HH250" s="395"/>
      <c r="HI250" s="395"/>
      <c r="HJ250" s="395"/>
      <c r="HK250" s="395"/>
      <c r="HL250" s="395"/>
      <c r="HM250" s="395"/>
      <c r="HN250" s="395"/>
      <c r="HO250" s="395"/>
      <c r="HP250" s="395"/>
      <c r="HQ250" s="395"/>
      <c r="HR250" s="395"/>
      <c r="HS250" s="395"/>
      <c r="HT250" s="395"/>
      <c r="HU250" s="395"/>
      <c r="HV250" s="395"/>
      <c r="HW250" s="395"/>
      <c r="HX250" s="395"/>
      <c r="HY250" s="395"/>
      <c r="HZ250" s="395"/>
      <c r="IA250" s="395"/>
      <c r="IB250" s="395"/>
      <c r="IC250" s="395"/>
      <c r="ID250" s="395"/>
      <c r="IE250" s="395"/>
      <c r="IF250" s="395"/>
      <c r="IG250" s="395"/>
      <c r="IH250" s="395"/>
      <c r="II250" s="395"/>
      <c r="IJ250" s="395"/>
      <c r="IK250" s="395"/>
      <c r="IL250" s="395"/>
      <c r="IM250" s="395"/>
      <c r="IN250" s="395"/>
      <c r="IO250" s="395"/>
      <c r="IP250" s="395"/>
      <c r="IQ250" s="395"/>
      <c r="IR250" s="395"/>
    </row>
    <row r="251" spans="2:252" s="58" customFormat="1" ht="25.15" customHeight="1" x14ac:dyDescent="0.25">
      <c r="B251" s="181">
        <v>43339</v>
      </c>
      <c r="C251" s="317">
        <v>75</v>
      </c>
      <c r="D251" s="321">
        <f>IF(ISNUMBER(D250),Table3[[#This Row],[Amount]]+D250,0)</f>
        <v>226900.85</v>
      </c>
      <c r="V251" s="395"/>
      <c r="W251" s="395"/>
      <c r="X251" s="395"/>
      <c r="Y251" s="395"/>
      <c r="Z251" s="395"/>
      <c r="AA251" s="395"/>
      <c r="AB251" s="395"/>
      <c r="AC251" s="395"/>
      <c r="AD251" s="395"/>
      <c r="AE251" s="395"/>
      <c r="AF251" s="395"/>
      <c r="AG251" s="395"/>
      <c r="AH251" s="395"/>
      <c r="AI251" s="395"/>
      <c r="AJ251" s="395"/>
      <c r="AK251" s="395"/>
      <c r="AL251" s="395"/>
      <c r="AM251" s="395"/>
      <c r="AN251" s="395"/>
      <c r="AO251" s="395"/>
      <c r="AP251" s="395"/>
      <c r="AQ251" s="395"/>
      <c r="AR251" s="395"/>
      <c r="AS251" s="395"/>
      <c r="AT251" s="395"/>
      <c r="AU251" s="395"/>
      <c r="AV251" s="395"/>
      <c r="AW251" s="395"/>
      <c r="AX251" s="395"/>
      <c r="AY251" s="395"/>
      <c r="AZ251" s="395"/>
      <c r="BA251" s="395"/>
      <c r="BB251" s="395"/>
      <c r="BC251" s="395"/>
      <c r="BD251" s="395"/>
      <c r="BE251" s="395"/>
      <c r="BF251" s="395"/>
      <c r="BG251" s="395"/>
      <c r="BH251" s="395"/>
      <c r="BI251" s="395"/>
      <c r="BJ251" s="395"/>
      <c r="BK251" s="395"/>
      <c r="BL251" s="395"/>
      <c r="BM251" s="395"/>
      <c r="BN251" s="395"/>
      <c r="BO251" s="395"/>
      <c r="BP251" s="395"/>
      <c r="BQ251" s="395"/>
      <c r="BR251" s="395"/>
      <c r="BS251" s="395"/>
      <c r="BT251" s="395"/>
      <c r="BU251" s="395"/>
      <c r="BV251" s="395"/>
      <c r="BW251" s="395"/>
      <c r="BX251" s="395"/>
      <c r="BY251" s="395"/>
      <c r="BZ251" s="395"/>
      <c r="CA251" s="395"/>
      <c r="CB251" s="395"/>
      <c r="CC251" s="395"/>
      <c r="CD251" s="395"/>
      <c r="CE251" s="395"/>
      <c r="CF251" s="395"/>
      <c r="CG251" s="395"/>
      <c r="CH251" s="395"/>
      <c r="CI251" s="395"/>
      <c r="CJ251" s="395"/>
      <c r="CK251" s="395"/>
      <c r="CL251" s="395"/>
      <c r="CM251" s="395"/>
      <c r="CN251" s="395"/>
      <c r="CO251" s="395"/>
      <c r="CP251" s="395"/>
      <c r="CQ251" s="395"/>
      <c r="CR251" s="395"/>
      <c r="CS251" s="395"/>
      <c r="CT251" s="395"/>
      <c r="CU251" s="395"/>
      <c r="CV251" s="395"/>
      <c r="CW251" s="395"/>
      <c r="CX251" s="395"/>
      <c r="CY251" s="395"/>
      <c r="CZ251" s="395"/>
      <c r="DA251" s="395"/>
      <c r="DB251" s="395"/>
      <c r="DC251" s="395"/>
      <c r="DD251" s="395"/>
      <c r="DE251" s="395"/>
      <c r="DF251" s="395"/>
      <c r="DG251" s="395"/>
      <c r="DH251" s="395"/>
      <c r="DI251" s="395"/>
      <c r="DJ251" s="395"/>
      <c r="DK251" s="395"/>
      <c r="DL251" s="395"/>
      <c r="DM251" s="395"/>
      <c r="DN251" s="395"/>
      <c r="DO251" s="395"/>
      <c r="DP251" s="395"/>
      <c r="DQ251" s="395"/>
      <c r="DR251" s="395"/>
      <c r="DS251" s="395"/>
      <c r="DT251" s="395"/>
      <c r="DU251" s="395"/>
      <c r="DV251" s="395"/>
      <c r="DW251" s="395"/>
      <c r="DX251" s="395"/>
      <c r="DY251" s="395"/>
      <c r="DZ251" s="395"/>
      <c r="EA251" s="395"/>
      <c r="EB251" s="395"/>
      <c r="EC251" s="395"/>
      <c r="ED251" s="395"/>
      <c r="EE251" s="395"/>
      <c r="EF251" s="395"/>
      <c r="EG251" s="395"/>
      <c r="EH251" s="395"/>
      <c r="EI251" s="395"/>
      <c r="EJ251" s="395"/>
      <c r="EK251" s="395"/>
      <c r="EL251" s="395"/>
      <c r="EM251" s="395"/>
      <c r="EN251" s="395"/>
      <c r="EO251" s="395"/>
      <c r="EP251" s="395"/>
      <c r="EQ251" s="395"/>
      <c r="ER251" s="395"/>
      <c r="ES251" s="395"/>
      <c r="ET251" s="395"/>
      <c r="EU251" s="395"/>
      <c r="EV251" s="395"/>
      <c r="EW251" s="395"/>
      <c r="EX251" s="395"/>
      <c r="EY251" s="395"/>
      <c r="EZ251" s="395"/>
      <c r="FA251" s="395"/>
      <c r="FB251" s="395"/>
      <c r="FC251" s="395"/>
      <c r="FD251" s="395"/>
      <c r="FE251" s="395"/>
      <c r="FF251" s="395"/>
      <c r="FG251" s="395"/>
      <c r="FH251" s="395"/>
      <c r="FI251" s="395"/>
      <c r="FJ251" s="395"/>
      <c r="FK251" s="395"/>
      <c r="FL251" s="395"/>
      <c r="FM251" s="395"/>
      <c r="FN251" s="395"/>
      <c r="FO251" s="395"/>
      <c r="FP251" s="395"/>
      <c r="FQ251" s="395"/>
      <c r="FR251" s="395"/>
      <c r="FS251" s="395"/>
      <c r="FT251" s="395"/>
      <c r="FU251" s="395"/>
      <c r="FV251" s="395"/>
      <c r="FW251" s="395"/>
      <c r="FX251" s="395"/>
      <c r="FY251" s="395"/>
      <c r="FZ251" s="395"/>
      <c r="GA251" s="395"/>
      <c r="GB251" s="395"/>
      <c r="GC251" s="395"/>
      <c r="GD251" s="395"/>
      <c r="GE251" s="395"/>
      <c r="GF251" s="395"/>
      <c r="GG251" s="395"/>
      <c r="GH251" s="395"/>
      <c r="GI251" s="395"/>
      <c r="GJ251" s="395"/>
      <c r="GK251" s="395"/>
      <c r="GL251" s="395"/>
      <c r="GM251" s="395"/>
      <c r="GN251" s="395"/>
      <c r="GO251" s="395"/>
      <c r="GP251" s="395"/>
      <c r="GQ251" s="395"/>
      <c r="GR251" s="395"/>
      <c r="GS251" s="395"/>
      <c r="GT251" s="395"/>
      <c r="GU251" s="395"/>
      <c r="GV251" s="395"/>
      <c r="GW251" s="395"/>
      <c r="GX251" s="395"/>
      <c r="GY251" s="395"/>
      <c r="GZ251" s="395"/>
      <c r="HA251" s="395"/>
      <c r="HB251" s="395"/>
      <c r="HC251" s="395"/>
      <c r="HD251" s="395"/>
      <c r="HE251" s="395"/>
      <c r="HF251" s="395"/>
      <c r="HG251" s="395"/>
      <c r="HH251" s="395"/>
      <c r="HI251" s="395"/>
      <c r="HJ251" s="395"/>
      <c r="HK251" s="395"/>
      <c r="HL251" s="395"/>
      <c r="HM251" s="395"/>
      <c r="HN251" s="395"/>
      <c r="HO251" s="395"/>
      <c r="HP251" s="395"/>
      <c r="HQ251" s="395"/>
      <c r="HR251" s="395"/>
      <c r="HS251" s="395"/>
      <c r="HT251" s="395"/>
      <c r="HU251" s="395"/>
      <c r="HV251" s="395"/>
      <c r="HW251" s="395"/>
      <c r="HX251" s="395"/>
      <c r="HY251" s="395"/>
      <c r="HZ251" s="395"/>
      <c r="IA251" s="395"/>
      <c r="IB251" s="395"/>
      <c r="IC251" s="395"/>
      <c r="ID251" s="395"/>
      <c r="IE251" s="395"/>
      <c r="IF251" s="395"/>
      <c r="IG251" s="395"/>
      <c r="IH251" s="395"/>
      <c r="II251" s="395"/>
      <c r="IJ251" s="395"/>
      <c r="IK251" s="395"/>
      <c r="IL251" s="395"/>
      <c r="IM251" s="395"/>
      <c r="IN251" s="395"/>
      <c r="IO251" s="395"/>
      <c r="IP251" s="395"/>
      <c r="IQ251" s="395"/>
      <c r="IR251" s="395"/>
    </row>
    <row r="252" spans="2:252" s="58" customFormat="1" ht="25.15" customHeight="1" x14ac:dyDescent="0.25">
      <c r="B252" s="181">
        <v>43353</v>
      </c>
      <c r="C252" s="317">
        <v>75</v>
      </c>
      <c r="D252" s="321">
        <f>IF(ISNUMBER(D251),Table3[[#This Row],[Amount]]+D251,0)</f>
        <v>226975.85</v>
      </c>
      <c r="V252" s="395"/>
      <c r="W252" s="395"/>
      <c r="X252" s="395"/>
      <c r="Y252" s="395"/>
      <c r="Z252" s="395"/>
      <c r="AA252" s="395"/>
      <c r="AB252" s="395"/>
      <c r="AC252" s="395"/>
      <c r="AD252" s="395"/>
      <c r="AE252" s="395"/>
      <c r="AF252" s="395"/>
      <c r="AG252" s="395"/>
      <c r="AH252" s="395"/>
      <c r="AI252" s="395"/>
      <c r="AJ252" s="395"/>
      <c r="AK252" s="395"/>
      <c r="AL252" s="395"/>
      <c r="AM252" s="395"/>
      <c r="AN252" s="395"/>
      <c r="AO252" s="395"/>
      <c r="AP252" s="395"/>
      <c r="AQ252" s="395"/>
      <c r="AR252" s="395"/>
      <c r="AS252" s="395"/>
      <c r="AT252" s="395"/>
      <c r="AU252" s="395"/>
      <c r="AV252" s="395"/>
      <c r="AW252" s="395"/>
      <c r="AX252" s="395"/>
      <c r="AY252" s="395"/>
      <c r="AZ252" s="395"/>
      <c r="BA252" s="395"/>
      <c r="BB252" s="395"/>
      <c r="BC252" s="395"/>
      <c r="BD252" s="395"/>
      <c r="BE252" s="395"/>
      <c r="BF252" s="395"/>
      <c r="BG252" s="395"/>
      <c r="BH252" s="395"/>
      <c r="BI252" s="395"/>
      <c r="BJ252" s="395"/>
      <c r="BK252" s="395"/>
      <c r="BL252" s="395"/>
      <c r="BM252" s="395"/>
      <c r="BN252" s="395"/>
      <c r="BO252" s="395"/>
      <c r="BP252" s="395"/>
      <c r="BQ252" s="395"/>
      <c r="BR252" s="395"/>
      <c r="BS252" s="395"/>
      <c r="BT252" s="395"/>
      <c r="BU252" s="395"/>
      <c r="BV252" s="395"/>
      <c r="BW252" s="395"/>
      <c r="BX252" s="395"/>
      <c r="BY252" s="395"/>
      <c r="BZ252" s="395"/>
      <c r="CA252" s="395"/>
      <c r="CB252" s="395"/>
      <c r="CC252" s="395"/>
      <c r="CD252" s="395"/>
      <c r="CE252" s="395"/>
      <c r="CF252" s="395"/>
      <c r="CG252" s="395"/>
      <c r="CH252" s="395"/>
      <c r="CI252" s="395"/>
      <c r="CJ252" s="395"/>
      <c r="CK252" s="395"/>
      <c r="CL252" s="395"/>
      <c r="CM252" s="395"/>
      <c r="CN252" s="395"/>
      <c r="CO252" s="395"/>
      <c r="CP252" s="395"/>
      <c r="CQ252" s="395"/>
      <c r="CR252" s="395"/>
      <c r="CS252" s="395"/>
      <c r="CT252" s="395"/>
      <c r="CU252" s="395"/>
      <c r="CV252" s="395"/>
      <c r="CW252" s="395"/>
      <c r="CX252" s="395"/>
      <c r="CY252" s="395"/>
      <c r="CZ252" s="395"/>
      <c r="DA252" s="395"/>
      <c r="DB252" s="395"/>
      <c r="DC252" s="395"/>
      <c r="DD252" s="395"/>
      <c r="DE252" s="395"/>
      <c r="DF252" s="395"/>
      <c r="DG252" s="395"/>
      <c r="DH252" s="395"/>
      <c r="DI252" s="395"/>
      <c r="DJ252" s="395"/>
      <c r="DK252" s="395"/>
      <c r="DL252" s="395"/>
      <c r="DM252" s="395"/>
      <c r="DN252" s="395"/>
      <c r="DO252" s="395"/>
      <c r="DP252" s="395"/>
      <c r="DQ252" s="395"/>
      <c r="DR252" s="395"/>
      <c r="DS252" s="395"/>
      <c r="DT252" s="395"/>
      <c r="DU252" s="395"/>
      <c r="DV252" s="395"/>
      <c r="DW252" s="395"/>
      <c r="DX252" s="395"/>
      <c r="DY252" s="395"/>
      <c r="DZ252" s="395"/>
      <c r="EA252" s="395"/>
      <c r="EB252" s="395"/>
      <c r="EC252" s="395"/>
      <c r="ED252" s="395"/>
      <c r="EE252" s="395"/>
      <c r="EF252" s="395"/>
      <c r="EG252" s="395"/>
      <c r="EH252" s="395"/>
      <c r="EI252" s="395"/>
      <c r="EJ252" s="395"/>
      <c r="EK252" s="395"/>
      <c r="EL252" s="395"/>
      <c r="EM252" s="395"/>
      <c r="EN252" s="395"/>
      <c r="EO252" s="395"/>
      <c r="EP252" s="395"/>
      <c r="EQ252" s="395"/>
      <c r="ER252" s="395"/>
      <c r="ES252" s="395"/>
      <c r="ET252" s="395"/>
      <c r="EU252" s="395"/>
      <c r="EV252" s="395"/>
      <c r="EW252" s="395"/>
      <c r="EX252" s="395"/>
      <c r="EY252" s="395"/>
      <c r="EZ252" s="395"/>
      <c r="FA252" s="395"/>
      <c r="FB252" s="395"/>
      <c r="FC252" s="395"/>
      <c r="FD252" s="395"/>
      <c r="FE252" s="395"/>
      <c r="FF252" s="395"/>
      <c r="FG252" s="395"/>
      <c r="FH252" s="395"/>
      <c r="FI252" s="395"/>
      <c r="FJ252" s="395"/>
      <c r="FK252" s="395"/>
      <c r="FL252" s="395"/>
      <c r="FM252" s="395"/>
      <c r="FN252" s="395"/>
      <c r="FO252" s="395"/>
      <c r="FP252" s="395"/>
      <c r="FQ252" s="395"/>
      <c r="FR252" s="395"/>
      <c r="FS252" s="395"/>
      <c r="FT252" s="395"/>
      <c r="FU252" s="395"/>
      <c r="FV252" s="395"/>
      <c r="FW252" s="395"/>
      <c r="FX252" s="395"/>
      <c r="FY252" s="395"/>
      <c r="FZ252" s="395"/>
      <c r="GA252" s="395"/>
      <c r="GB252" s="395"/>
      <c r="GC252" s="395"/>
      <c r="GD252" s="395"/>
      <c r="GE252" s="395"/>
      <c r="GF252" s="395"/>
      <c r="GG252" s="395"/>
      <c r="GH252" s="395"/>
      <c r="GI252" s="395"/>
      <c r="GJ252" s="395"/>
      <c r="GK252" s="395"/>
      <c r="GL252" s="395"/>
      <c r="GM252" s="395"/>
      <c r="GN252" s="395"/>
      <c r="GO252" s="395"/>
      <c r="GP252" s="395"/>
      <c r="GQ252" s="395"/>
      <c r="GR252" s="395"/>
      <c r="GS252" s="395"/>
      <c r="GT252" s="395"/>
      <c r="GU252" s="395"/>
      <c r="GV252" s="395"/>
      <c r="GW252" s="395"/>
      <c r="GX252" s="395"/>
      <c r="GY252" s="395"/>
      <c r="GZ252" s="395"/>
      <c r="HA252" s="395"/>
      <c r="HB252" s="395"/>
      <c r="HC252" s="395"/>
      <c r="HD252" s="395"/>
      <c r="HE252" s="395"/>
      <c r="HF252" s="395"/>
      <c r="HG252" s="395"/>
      <c r="HH252" s="395"/>
      <c r="HI252" s="395"/>
      <c r="HJ252" s="395"/>
      <c r="HK252" s="395"/>
      <c r="HL252" s="395"/>
      <c r="HM252" s="395"/>
      <c r="HN252" s="395"/>
      <c r="HO252" s="395"/>
      <c r="HP252" s="395"/>
      <c r="HQ252" s="395"/>
      <c r="HR252" s="395"/>
      <c r="HS252" s="395"/>
      <c r="HT252" s="395"/>
      <c r="HU252" s="395"/>
      <c r="HV252" s="395"/>
      <c r="HW252" s="395"/>
      <c r="HX252" s="395"/>
      <c r="HY252" s="395"/>
      <c r="HZ252" s="395"/>
      <c r="IA252" s="395"/>
      <c r="IB252" s="395"/>
      <c r="IC252" s="395"/>
      <c r="ID252" s="395"/>
      <c r="IE252" s="395"/>
      <c r="IF252" s="395"/>
      <c r="IG252" s="395"/>
      <c r="IH252" s="395"/>
      <c r="II252" s="395"/>
      <c r="IJ252" s="395"/>
      <c r="IK252" s="395"/>
      <c r="IL252" s="395"/>
      <c r="IM252" s="395"/>
      <c r="IN252" s="395"/>
      <c r="IO252" s="395"/>
      <c r="IP252" s="395"/>
      <c r="IQ252" s="395"/>
      <c r="IR252" s="395"/>
    </row>
    <row r="253" spans="2:252" s="58" customFormat="1" ht="25.15" customHeight="1" x14ac:dyDescent="0.25">
      <c r="B253" s="181">
        <v>43353</v>
      </c>
      <c r="C253" s="317">
        <v>17826.05</v>
      </c>
      <c r="D253" s="321">
        <f>IF(ISNUMBER(D252),Table3[[#This Row],[Amount]]+D252,0)</f>
        <v>244801.9</v>
      </c>
      <c r="V253" s="395"/>
      <c r="W253" s="395"/>
      <c r="X253" s="395"/>
      <c r="Y253" s="395"/>
      <c r="Z253" s="395"/>
      <c r="AA253" s="395"/>
      <c r="AB253" s="395"/>
      <c r="AC253" s="395"/>
      <c r="AD253" s="395"/>
      <c r="AE253" s="395"/>
      <c r="AF253" s="395"/>
      <c r="AG253" s="395"/>
      <c r="AH253" s="395"/>
      <c r="AI253" s="395"/>
      <c r="AJ253" s="395"/>
      <c r="AK253" s="395"/>
      <c r="AL253" s="395"/>
      <c r="AM253" s="395"/>
      <c r="AN253" s="395"/>
      <c r="AO253" s="395"/>
      <c r="AP253" s="395"/>
      <c r="AQ253" s="395"/>
      <c r="AR253" s="395"/>
      <c r="AS253" s="395"/>
      <c r="AT253" s="395"/>
      <c r="AU253" s="395"/>
      <c r="AV253" s="395"/>
      <c r="AW253" s="395"/>
      <c r="AX253" s="395"/>
      <c r="AY253" s="395"/>
      <c r="AZ253" s="395"/>
      <c r="BA253" s="395"/>
      <c r="BB253" s="395"/>
      <c r="BC253" s="395"/>
      <c r="BD253" s="395"/>
      <c r="BE253" s="395"/>
      <c r="BF253" s="395"/>
      <c r="BG253" s="395"/>
      <c r="BH253" s="395"/>
      <c r="BI253" s="395"/>
      <c r="BJ253" s="395"/>
      <c r="BK253" s="395"/>
      <c r="BL253" s="395"/>
      <c r="BM253" s="395"/>
      <c r="BN253" s="395"/>
      <c r="BO253" s="395"/>
      <c r="BP253" s="395"/>
      <c r="BQ253" s="395"/>
      <c r="BR253" s="395"/>
      <c r="BS253" s="395"/>
      <c r="BT253" s="395"/>
      <c r="BU253" s="395"/>
      <c r="BV253" s="395"/>
      <c r="BW253" s="395"/>
      <c r="BX253" s="395"/>
      <c r="BY253" s="395"/>
      <c r="BZ253" s="395"/>
      <c r="CA253" s="395"/>
      <c r="CB253" s="395"/>
      <c r="CC253" s="395"/>
      <c r="CD253" s="395"/>
      <c r="CE253" s="395"/>
      <c r="CF253" s="395"/>
      <c r="CG253" s="395"/>
      <c r="CH253" s="395"/>
      <c r="CI253" s="395"/>
      <c r="CJ253" s="395"/>
      <c r="CK253" s="395"/>
      <c r="CL253" s="395"/>
      <c r="CM253" s="395"/>
      <c r="CN253" s="395"/>
      <c r="CO253" s="395"/>
      <c r="CP253" s="395"/>
      <c r="CQ253" s="395"/>
      <c r="CR253" s="395"/>
      <c r="CS253" s="395"/>
      <c r="CT253" s="395"/>
      <c r="CU253" s="395"/>
      <c r="CV253" s="395"/>
      <c r="CW253" s="395"/>
      <c r="CX253" s="395"/>
      <c r="CY253" s="395"/>
      <c r="CZ253" s="395"/>
      <c r="DA253" s="395"/>
      <c r="DB253" s="395"/>
      <c r="DC253" s="395"/>
      <c r="DD253" s="395"/>
      <c r="DE253" s="395"/>
      <c r="DF253" s="395"/>
      <c r="DG253" s="395"/>
      <c r="DH253" s="395"/>
      <c r="DI253" s="395"/>
      <c r="DJ253" s="395"/>
      <c r="DK253" s="395"/>
      <c r="DL253" s="395"/>
      <c r="DM253" s="395"/>
      <c r="DN253" s="395"/>
      <c r="DO253" s="395"/>
      <c r="DP253" s="395"/>
      <c r="DQ253" s="395"/>
      <c r="DR253" s="395"/>
      <c r="DS253" s="395"/>
      <c r="DT253" s="395"/>
      <c r="DU253" s="395"/>
      <c r="DV253" s="395"/>
      <c r="DW253" s="395"/>
      <c r="DX253" s="395"/>
      <c r="DY253" s="395"/>
      <c r="DZ253" s="395"/>
      <c r="EA253" s="395"/>
      <c r="EB253" s="395"/>
      <c r="EC253" s="395"/>
      <c r="ED253" s="395"/>
      <c r="EE253" s="395"/>
      <c r="EF253" s="395"/>
      <c r="EG253" s="395"/>
      <c r="EH253" s="395"/>
      <c r="EI253" s="395"/>
      <c r="EJ253" s="395"/>
      <c r="EK253" s="395"/>
      <c r="EL253" s="395"/>
      <c r="EM253" s="395"/>
      <c r="EN253" s="395"/>
      <c r="EO253" s="395"/>
      <c r="EP253" s="395"/>
      <c r="EQ253" s="395"/>
      <c r="ER253" s="395"/>
      <c r="ES253" s="395"/>
      <c r="ET253" s="395"/>
      <c r="EU253" s="395"/>
      <c r="EV253" s="395"/>
      <c r="EW253" s="395"/>
      <c r="EX253" s="395"/>
      <c r="EY253" s="395"/>
      <c r="EZ253" s="395"/>
      <c r="FA253" s="395"/>
      <c r="FB253" s="395"/>
      <c r="FC253" s="395"/>
      <c r="FD253" s="395"/>
      <c r="FE253" s="395"/>
      <c r="FF253" s="395"/>
      <c r="FG253" s="395"/>
      <c r="FH253" s="395"/>
      <c r="FI253" s="395"/>
      <c r="FJ253" s="395"/>
      <c r="FK253" s="395"/>
      <c r="FL253" s="395"/>
      <c r="FM253" s="395"/>
      <c r="FN253" s="395"/>
      <c r="FO253" s="395"/>
      <c r="FP253" s="395"/>
      <c r="FQ253" s="395"/>
      <c r="FR253" s="395"/>
      <c r="FS253" s="395"/>
      <c r="FT253" s="395"/>
      <c r="FU253" s="395"/>
      <c r="FV253" s="395"/>
      <c r="FW253" s="395"/>
      <c r="FX253" s="395"/>
      <c r="FY253" s="395"/>
      <c r="FZ253" s="395"/>
      <c r="GA253" s="395"/>
      <c r="GB253" s="395"/>
      <c r="GC253" s="395"/>
      <c r="GD253" s="395"/>
      <c r="GE253" s="395"/>
      <c r="GF253" s="395"/>
      <c r="GG253" s="395"/>
      <c r="GH253" s="395"/>
      <c r="GI253" s="395"/>
      <c r="GJ253" s="395"/>
      <c r="GK253" s="395"/>
      <c r="GL253" s="395"/>
      <c r="GM253" s="395"/>
      <c r="GN253" s="395"/>
      <c r="GO253" s="395"/>
      <c r="GP253" s="395"/>
      <c r="GQ253" s="395"/>
      <c r="GR253" s="395"/>
      <c r="GS253" s="395"/>
      <c r="GT253" s="395"/>
      <c r="GU253" s="395"/>
      <c r="GV253" s="395"/>
      <c r="GW253" s="395"/>
      <c r="GX253" s="395"/>
      <c r="GY253" s="395"/>
      <c r="GZ253" s="395"/>
      <c r="HA253" s="395"/>
      <c r="HB253" s="395"/>
      <c r="HC253" s="395"/>
      <c r="HD253" s="395"/>
      <c r="HE253" s="395"/>
      <c r="HF253" s="395"/>
      <c r="HG253" s="395"/>
      <c r="HH253" s="395"/>
      <c r="HI253" s="395"/>
      <c r="HJ253" s="395"/>
      <c r="HK253" s="395"/>
      <c r="HL253" s="395"/>
      <c r="HM253" s="395"/>
      <c r="HN253" s="395"/>
      <c r="HO253" s="395"/>
      <c r="HP253" s="395"/>
      <c r="HQ253" s="395"/>
      <c r="HR253" s="395"/>
      <c r="HS253" s="395"/>
      <c r="HT253" s="395"/>
      <c r="HU253" s="395"/>
      <c r="HV253" s="395"/>
      <c r="HW253" s="395"/>
      <c r="HX253" s="395"/>
      <c r="HY253" s="395"/>
      <c r="HZ253" s="395"/>
      <c r="IA253" s="395"/>
      <c r="IB253" s="395"/>
      <c r="IC253" s="395"/>
      <c r="ID253" s="395"/>
      <c r="IE253" s="395"/>
      <c r="IF253" s="395"/>
      <c r="IG253" s="395"/>
      <c r="IH253" s="395"/>
      <c r="II253" s="395"/>
      <c r="IJ253" s="395"/>
      <c r="IK253" s="395"/>
      <c r="IL253" s="395"/>
      <c r="IM253" s="395"/>
      <c r="IN253" s="395"/>
      <c r="IO253" s="395"/>
      <c r="IP253" s="395"/>
      <c r="IQ253" s="395"/>
      <c r="IR253" s="395"/>
    </row>
    <row r="254" spans="2:252" s="58" customFormat="1" ht="25.15" customHeight="1" x14ac:dyDescent="0.25">
      <c r="B254" s="181">
        <v>43367</v>
      </c>
      <c r="C254" s="317">
        <v>75</v>
      </c>
      <c r="D254" s="321">
        <f>IF(ISNUMBER(D253),Table3[[#This Row],[Amount]]+D253,0)</f>
        <v>244876.9</v>
      </c>
      <c r="V254" s="395"/>
      <c r="W254" s="395"/>
      <c r="X254" s="395"/>
      <c r="Y254" s="395"/>
      <c r="Z254" s="395"/>
      <c r="AA254" s="395"/>
      <c r="AB254" s="395"/>
      <c r="AC254" s="395"/>
      <c r="AD254" s="395"/>
      <c r="AE254" s="395"/>
      <c r="AF254" s="395"/>
      <c r="AG254" s="395"/>
      <c r="AH254" s="395"/>
      <c r="AI254" s="395"/>
      <c r="AJ254" s="395"/>
      <c r="AK254" s="395"/>
      <c r="AL254" s="395"/>
      <c r="AM254" s="395"/>
      <c r="AN254" s="395"/>
      <c r="AO254" s="395"/>
      <c r="AP254" s="395"/>
      <c r="AQ254" s="395"/>
      <c r="AR254" s="395"/>
      <c r="AS254" s="395"/>
      <c r="AT254" s="395"/>
      <c r="AU254" s="395"/>
      <c r="AV254" s="395"/>
      <c r="AW254" s="395"/>
      <c r="AX254" s="395"/>
      <c r="AY254" s="395"/>
      <c r="AZ254" s="395"/>
      <c r="BA254" s="395"/>
      <c r="BB254" s="395"/>
      <c r="BC254" s="395"/>
      <c r="BD254" s="395"/>
      <c r="BE254" s="395"/>
      <c r="BF254" s="395"/>
      <c r="BG254" s="395"/>
      <c r="BH254" s="395"/>
      <c r="BI254" s="395"/>
      <c r="BJ254" s="395"/>
      <c r="BK254" s="395"/>
      <c r="BL254" s="395"/>
      <c r="BM254" s="395"/>
      <c r="BN254" s="395"/>
      <c r="BO254" s="395"/>
      <c r="BP254" s="395"/>
      <c r="BQ254" s="395"/>
      <c r="BR254" s="395"/>
      <c r="BS254" s="395"/>
      <c r="BT254" s="395"/>
      <c r="BU254" s="395"/>
      <c r="BV254" s="395"/>
      <c r="BW254" s="395"/>
      <c r="BX254" s="395"/>
      <c r="BY254" s="395"/>
      <c r="BZ254" s="395"/>
      <c r="CA254" s="395"/>
      <c r="CB254" s="395"/>
      <c r="CC254" s="395"/>
      <c r="CD254" s="395"/>
      <c r="CE254" s="395"/>
      <c r="CF254" s="395"/>
      <c r="CG254" s="395"/>
      <c r="CH254" s="395"/>
      <c r="CI254" s="395"/>
      <c r="CJ254" s="395"/>
      <c r="CK254" s="395"/>
      <c r="CL254" s="395"/>
      <c r="CM254" s="395"/>
      <c r="CN254" s="395"/>
      <c r="CO254" s="395"/>
      <c r="CP254" s="395"/>
      <c r="CQ254" s="395"/>
      <c r="CR254" s="395"/>
      <c r="CS254" s="395"/>
      <c r="CT254" s="395"/>
      <c r="CU254" s="395"/>
      <c r="CV254" s="395"/>
      <c r="CW254" s="395"/>
      <c r="CX254" s="395"/>
      <c r="CY254" s="395"/>
      <c r="CZ254" s="395"/>
      <c r="DA254" s="395"/>
      <c r="DB254" s="395"/>
      <c r="DC254" s="395"/>
      <c r="DD254" s="395"/>
      <c r="DE254" s="395"/>
      <c r="DF254" s="395"/>
      <c r="DG254" s="395"/>
      <c r="DH254" s="395"/>
      <c r="DI254" s="395"/>
      <c r="DJ254" s="395"/>
      <c r="DK254" s="395"/>
      <c r="DL254" s="395"/>
      <c r="DM254" s="395"/>
      <c r="DN254" s="395"/>
      <c r="DO254" s="395"/>
      <c r="DP254" s="395"/>
      <c r="DQ254" s="395"/>
      <c r="DR254" s="395"/>
      <c r="DS254" s="395"/>
      <c r="DT254" s="395"/>
      <c r="DU254" s="395"/>
      <c r="DV254" s="395"/>
      <c r="DW254" s="395"/>
      <c r="DX254" s="395"/>
      <c r="DY254" s="395"/>
      <c r="DZ254" s="395"/>
      <c r="EA254" s="395"/>
      <c r="EB254" s="395"/>
      <c r="EC254" s="395"/>
      <c r="ED254" s="395"/>
      <c r="EE254" s="395"/>
      <c r="EF254" s="395"/>
      <c r="EG254" s="395"/>
      <c r="EH254" s="395"/>
      <c r="EI254" s="395"/>
      <c r="EJ254" s="395"/>
      <c r="EK254" s="395"/>
      <c r="EL254" s="395"/>
      <c r="EM254" s="395"/>
      <c r="EN254" s="395"/>
      <c r="EO254" s="395"/>
      <c r="EP254" s="395"/>
      <c r="EQ254" s="395"/>
      <c r="ER254" s="395"/>
      <c r="ES254" s="395"/>
      <c r="ET254" s="395"/>
      <c r="EU254" s="395"/>
      <c r="EV254" s="395"/>
      <c r="EW254" s="395"/>
      <c r="EX254" s="395"/>
      <c r="EY254" s="395"/>
      <c r="EZ254" s="395"/>
      <c r="FA254" s="395"/>
      <c r="FB254" s="395"/>
      <c r="FC254" s="395"/>
      <c r="FD254" s="395"/>
      <c r="FE254" s="395"/>
      <c r="FF254" s="395"/>
      <c r="FG254" s="395"/>
      <c r="FH254" s="395"/>
      <c r="FI254" s="395"/>
      <c r="FJ254" s="395"/>
      <c r="FK254" s="395"/>
      <c r="FL254" s="395"/>
      <c r="FM254" s="395"/>
      <c r="FN254" s="395"/>
      <c r="FO254" s="395"/>
      <c r="FP254" s="395"/>
      <c r="FQ254" s="395"/>
      <c r="FR254" s="395"/>
      <c r="FS254" s="395"/>
      <c r="FT254" s="395"/>
      <c r="FU254" s="395"/>
      <c r="FV254" s="395"/>
      <c r="FW254" s="395"/>
      <c r="FX254" s="395"/>
      <c r="FY254" s="395"/>
      <c r="FZ254" s="395"/>
      <c r="GA254" s="395"/>
      <c r="GB254" s="395"/>
      <c r="GC254" s="395"/>
      <c r="GD254" s="395"/>
      <c r="GE254" s="395"/>
      <c r="GF254" s="395"/>
      <c r="GG254" s="395"/>
      <c r="GH254" s="395"/>
      <c r="GI254" s="395"/>
      <c r="GJ254" s="395"/>
      <c r="GK254" s="395"/>
      <c r="GL254" s="395"/>
      <c r="GM254" s="395"/>
      <c r="GN254" s="395"/>
      <c r="GO254" s="395"/>
      <c r="GP254" s="395"/>
      <c r="GQ254" s="395"/>
      <c r="GR254" s="395"/>
      <c r="GS254" s="395"/>
      <c r="GT254" s="395"/>
      <c r="GU254" s="395"/>
      <c r="GV254" s="395"/>
      <c r="GW254" s="395"/>
      <c r="GX254" s="395"/>
      <c r="GY254" s="395"/>
      <c r="GZ254" s="395"/>
      <c r="HA254" s="395"/>
      <c r="HB254" s="395"/>
      <c r="HC254" s="395"/>
      <c r="HD254" s="395"/>
      <c r="HE254" s="395"/>
      <c r="HF254" s="395"/>
      <c r="HG254" s="395"/>
      <c r="HH254" s="395"/>
      <c r="HI254" s="395"/>
      <c r="HJ254" s="395"/>
      <c r="HK254" s="395"/>
      <c r="HL254" s="395"/>
      <c r="HM254" s="395"/>
      <c r="HN254" s="395"/>
      <c r="HO254" s="395"/>
      <c r="HP254" s="395"/>
      <c r="HQ254" s="395"/>
      <c r="HR254" s="395"/>
      <c r="HS254" s="395"/>
      <c r="HT254" s="395"/>
      <c r="HU254" s="395"/>
      <c r="HV254" s="395"/>
      <c r="HW254" s="395"/>
      <c r="HX254" s="395"/>
      <c r="HY254" s="395"/>
      <c r="HZ254" s="395"/>
      <c r="IA254" s="395"/>
      <c r="IB254" s="395"/>
      <c r="IC254" s="395"/>
      <c r="ID254" s="395"/>
      <c r="IE254" s="395"/>
      <c r="IF254" s="395"/>
      <c r="IG254" s="395"/>
      <c r="IH254" s="395"/>
      <c r="II254" s="395"/>
      <c r="IJ254" s="395"/>
      <c r="IK254" s="395"/>
      <c r="IL254" s="395"/>
      <c r="IM254" s="395"/>
      <c r="IN254" s="395"/>
      <c r="IO254" s="395"/>
      <c r="IP254" s="395"/>
      <c r="IQ254" s="395"/>
      <c r="IR254" s="395"/>
    </row>
    <row r="255" spans="2:252" s="58" customFormat="1" ht="25.15" customHeight="1" x14ac:dyDescent="0.25">
      <c r="B255" s="181">
        <v>43374</v>
      </c>
      <c r="C255" s="317">
        <v>3000</v>
      </c>
      <c r="D255" s="321">
        <f>IF(ISNUMBER(D254),Table3[[#This Row],[Amount]]+D254,0)</f>
        <v>247876.9</v>
      </c>
      <c r="V255" s="395"/>
      <c r="W255" s="395"/>
      <c r="X255" s="395"/>
      <c r="Y255" s="395"/>
      <c r="Z255" s="395"/>
      <c r="AA255" s="395"/>
      <c r="AB255" s="395"/>
      <c r="AC255" s="395"/>
      <c r="AD255" s="395"/>
      <c r="AE255" s="395"/>
      <c r="AF255" s="395"/>
      <c r="AG255" s="395"/>
      <c r="AH255" s="395"/>
      <c r="AI255" s="395"/>
      <c r="AJ255" s="395"/>
      <c r="AK255" s="395"/>
      <c r="AL255" s="395"/>
      <c r="AM255" s="395"/>
      <c r="AN255" s="395"/>
      <c r="AO255" s="395"/>
      <c r="AP255" s="395"/>
      <c r="AQ255" s="395"/>
      <c r="AR255" s="395"/>
      <c r="AS255" s="395"/>
      <c r="AT255" s="395"/>
      <c r="AU255" s="395"/>
      <c r="AV255" s="395"/>
      <c r="AW255" s="395"/>
      <c r="AX255" s="395"/>
      <c r="AY255" s="395"/>
      <c r="AZ255" s="395"/>
      <c r="BA255" s="395"/>
      <c r="BB255" s="395"/>
      <c r="BC255" s="395"/>
      <c r="BD255" s="395"/>
      <c r="BE255" s="395"/>
      <c r="BF255" s="395"/>
      <c r="BG255" s="395"/>
      <c r="BH255" s="395"/>
      <c r="BI255" s="395"/>
      <c r="BJ255" s="395"/>
      <c r="BK255" s="395"/>
      <c r="BL255" s="395"/>
      <c r="BM255" s="395"/>
      <c r="BN255" s="395"/>
      <c r="BO255" s="395"/>
      <c r="BP255" s="395"/>
      <c r="BQ255" s="395"/>
      <c r="BR255" s="395"/>
      <c r="BS255" s="395"/>
      <c r="BT255" s="395"/>
      <c r="BU255" s="395"/>
      <c r="BV255" s="395"/>
      <c r="BW255" s="395"/>
      <c r="BX255" s="395"/>
      <c r="BY255" s="395"/>
      <c r="BZ255" s="395"/>
      <c r="CA255" s="395"/>
      <c r="CB255" s="395"/>
      <c r="CC255" s="395"/>
      <c r="CD255" s="395"/>
      <c r="CE255" s="395"/>
      <c r="CF255" s="395"/>
      <c r="CG255" s="395"/>
      <c r="CH255" s="395"/>
      <c r="CI255" s="395"/>
      <c r="CJ255" s="395"/>
      <c r="CK255" s="395"/>
      <c r="CL255" s="395"/>
      <c r="CM255" s="395"/>
      <c r="CN255" s="395"/>
      <c r="CO255" s="395"/>
      <c r="CP255" s="395"/>
      <c r="CQ255" s="395"/>
      <c r="CR255" s="395"/>
      <c r="CS255" s="395"/>
      <c r="CT255" s="395"/>
      <c r="CU255" s="395"/>
      <c r="CV255" s="395"/>
      <c r="CW255" s="395"/>
      <c r="CX255" s="395"/>
      <c r="CY255" s="395"/>
      <c r="CZ255" s="395"/>
      <c r="DA255" s="395"/>
      <c r="DB255" s="395"/>
      <c r="DC255" s="395"/>
      <c r="DD255" s="395"/>
      <c r="DE255" s="395"/>
      <c r="DF255" s="395"/>
      <c r="DG255" s="395"/>
      <c r="DH255" s="395"/>
      <c r="DI255" s="395"/>
      <c r="DJ255" s="395"/>
      <c r="DK255" s="395"/>
      <c r="DL255" s="395"/>
      <c r="DM255" s="395"/>
      <c r="DN255" s="395"/>
      <c r="DO255" s="395"/>
      <c r="DP255" s="395"/>
      <c r="DQ255" s="395"/>
      <c r="DR255" s="395"/>
      <c r="DS255" s="395"/>
      <c r="DT255" s="395"/>
      <c r="DU255" s="395"/>
      <c r="DV255" s="395"/>
      <c r="DW255" s="395"/>
      <c r="DX255" s="395"/>
      <c r="DY255" s="395"/>
      <c r="DZ255" s="395"/>
      <c r="EA255" s="395"/>
      <c r="EB255" s="395"/>
      <c r="EC255" s="395"/>
      <c r="ED255" s="395"/>
      <c r="EE255" s="395"/>
      <c r="EF255" s="395"/>
      <c r="EG255" s="395"/>
      <c r="EH255" s="395"/>
      <c r="EI255" s="395"/>
      <c r="EJ255" s="395"/>
      <c r="EK255" s="395"/>
      <c r="EL255" s="395"/>
      <c r="EM255" s="395"/>
      <c r="EN255" s="395"/>
      <c r="EO255" s="395"/>
      <c r="EP255" s="395"/>
      <c r="EQ255" s="395"/>
      <c r="ER255" s="395"/>
      <c r="ES255" s="395"/>
      <c r="ET255" s="395"/>
      <c r="EU255" s="395"/>
      <c r="EV255" s="395"/>
      <c r="EW255" s="395"/>
      <c r="EX255" s="395"/>
      <c r="EY255" s="395"/>
      <c r="EZ255" s="395"/>
      <c r="FA255" s="395"/>
      <c r="FB255" s="395"/>
      <c r="FC255" s="395"/>
      <c r="FD255" s="395"/>
      <c r="FE255" s="395"/>
      <c r="FF255" s="395"/>
      <c r="FG255" s="395"/>
      <c r="FH255" s="395"/>
      <c r="FI255" s="395"/>
      <c r="FJ255" s="395"/>
      <c r="FK255" s="395"/>
      <c r="FL255" s="395"/>
      <c r="FM255" s="395"/>
      <c r="FN255" s="395"/>
      <c r="FO255" s="395"/>
      <c r="FP255" s="395"/>
      <c r="FQ255" s="395"/>
      <c r="FR255" s="395"/>
      <c r="FS255" s="395"/>
      <c r="FT255" s="395"/>
      <c r="FU255" s="395"/>
      <c r="FV255" s="395"/>
      <c r="FW255" s="395"/>
      <c r="FX255" s="395"/>
      <c r="FY255" s="395"/>
      <c r="FZ255" s="395"/>
      <c r="GA255" s="395"/>
      <c r="GB255" s="395"/>
      <c r="GC255" s="395"/>
      <c r="GD255" s="395"/>
      <c r="GE255" s="395"/>
      <c r="GF255" s="395"/>
      <c r="GG255" s="395"/>
      <c r="GH255" s="395"/>
      <c r="GI255" s="395"/>
      <c r="GJ255" s="395"/>
      <c r="GK255" s="395"/>
      <c r="GL255" s="395"/>
      <c r="GM255" s="395"/>
      <c r="GN255" s="395"/>
      <c r="GO255" s="395"/>
      <c r="GP255" s="395"/>
      <c r="GQ255" s="395"/>
      <c r="GR255" s="395"/>
      <c r="GS255" s="395"/>
      <c r="GT255" s="395"/>
      <c r="GU255" s="395"/>
      <c r="GV255" s="395"/>
      <c r="GW255" s="395"/>
      <c r="GX255" s="395"/>
      <c r="GY255" s="395"/>
      <c r="GZ255" s="395"/>
      <c r="HA255" s="395"/>
      <c r="HB255" s="395"/>
      <c r="HC255" s="395"/>
      <c r="HD255" s="395"/>
      <c r="HE255" s="395"/>
      <c r="HF255" s="395"/>
      <c r="HG255" s="395"/>
      <c r="HH255" s="395"/>
      <c r="HI255" s="395"/>
      <c r="HJ255" s="395"/>
      <c r="HK255" s="395"/>
      <c r="HL255" s="395"/>
      <c r="HM255" s="395"/>
      <c r="HN255" s="395"/>
      <c r="HO255" s="395"/>
      <c r="HP255" s="395"/>
      <c r="HQ255" s="395"/>
      <c r="HR255" s="395"/>
      <c r="HS255" s="395"/>
      <c r="HT255" s="395"/>
      <c r="HU255" s="395"/>
      <c r="HV255" s="395"/>
      <c r="HW255" s="395"/>
      <c r="HX255" s="395"/>
      <c r="HY255" s="395"/>
      <c r="HZ255" s="395"/>
      <c r="IA255" s="395"/>
      <c r="IB255" s="395"/>
      <c r="IC255" s="395"/>
      <c r="ID255" s="395"/>
      <c r="IE255" s="395"/>
      <c r="IF255" s="395"/>
      <c r="IG255" s="395"/>
      <c r="IH255" s="395"/>
      <c r="II255" s="395"/>
      <c r="IJ255" s="395"/>
      <c r="IK255" s="395"/>
      <c r="IL255" s="395"/>
      <c r="IM255" s="395"/>
      <c r="IN255" s="395"/>
      <c r="IO255" s="395"/>
      <c r="IP255" s="395"/>
      <c r="IQ255" s="395"/>
      <c r="IR255" s="395"/>
    </row>
    <row r="256" spans="2:252" s="58" customFormat="1" ht="25.15" customHeight="1" x14ac:dyDescent="0.25">
      <c r="B256" s="181">
        <v>43382</v>
      </c>
      <c r="C256" s="317">
        <v>10000</v>
      </c>
      <c r="D256" s="321">
        <f>IF(ISNUMBER(D255),Table3[[#This Row],[Amount]]+D255,0)</f>
        <v>257876.9</v>
      </c>
      <c r="V256" s="395"/>
      <c r="W256" s="395"/>
      <c r="X256" s="395"/>
      <c r="Y256" s="395"/>
      <c r="Z256" s="395"/>
      <c r="AA256" s="395"/>
      <c r="AB256" s="395"/>
      <c r="AC256" s="395"/>
      <c r="AD256" s="395"/>
      <c r="AE256" s="395"/>
      <c r="AF256" s="395"/>
      <c r="AG256" s="395"/>
      <c r="AH256" s="395"/>
      <c r="AI256" s="395"/>
      <c r="AJ256" s="395"/>
      <c r="AK256" s="395"/>
      <c r="AL256" s="395"/>
      <c r="AM256" s="395"/>
      <c r="AN256" s="395"/>
      <c r="AO256" s="395"/>
      <c r="AP256" s="395"/>
      <c r="AQ256" s="395"/>
      <c r="AR256" s="395"/>
      <c r="AS256" s="395"/>
      <c r="AT256" s="395"/>
      <c r="AU256" s="395"/>
      <c r="AV256" s="395"/>
      <c r="AW256" s="395"/>
      <c r="AX256" s="395"/>
      <c r="AY256" s="395"/>
      <c r="AZ256" s="395"/>
      <c r="BA256" s="395"/>
      <c r="BB256" s="395"/>
      <c r="BC256" s="395"/>
      <c r="BD256" s="395"/>
      <c r="BE256" s="395"/>
      <c r="BF256" s="395"/>
      <c r="BG256" s="395"/>
      <c r="BH256" s="395"/>
      <c r="BI256" s="395"/>
      <c r="BJ256" s="395"/>
      <c r="BK256" s="395"/>
      <c r="BL256" s="395"/>
      <c r="BM256" s="395"/>
      <c r="BN256" s="395"/>
      <c r="BO256" s="395"/>
      <c r="BP256" s="395"/>
      <c r="BQ256" s="395"/>
      <c r="BR256" s="395"/>
      <c r="BS256" s="395"/>
      <c r="BT256" s="395"/>
      <c r="BU256" s="395"/>
      <c r="BV256" s="395"/>
      <c r="BW256" s="395"/>
      <c r="BX256" s="395"/>
      <c r="BY256" s="395"/>
      <c r="BZ256" s="395"/>
      <c r="CA256" s="395"/>
      <c r="CB256" s="395"/>
      <c r="CC256" s="395"/>
      <c r="CD256" s="395"/>
      <c r="CE256" s="395"/>
      <c r="CF256" s="395"/>
      <c r="CG256" s="395"/>
      <c r="CH256" s="395"/>
      <c r="CI256" s="395"/>
      <c r="CJ256" s="395"/>
      <c r="CK256" s="395"/>
      <c r="CL256" s="395"/>
      <c r="CM256" s="395"/>
      <c r="CN256" s="395"/>
      <c r="CO256" s="395"/>
      <c r="CP256" s="395"/>
      <c r="CQ256" s="395"/>
      <c r="CR256" s="395"/>
      <c r="CS256" s="395"/>
      <c r="CT256" s="395"/>
      <c r="CU256" s="395"/>
      <c r="CV256" s="395"/>
      <c r="CW256" s="395"/>
      <c r="CX256" s="395"/>
      <c r="CY256" s="395"/>
      <c r="CZ256" s="395"/>
      <c r="DA256" s="395"/>
      <c r="DB256" s="395"/>
      <c r="DC256" s="395"/>
      <c r="DD256" s="395"/>
      <c r="DE256" s="395"/>
      <c r="DF256" s="395"/>
      <c r="DG256" s="395"/>
      <c r="DH256" s="395"/>
      <c r="DI256" s="395"/>
      <c r="DJ256" s="395"/>
      <c r="DK256" s="395"/>
      <c r="DL256" s="395"/>
      <c r="DM256" s="395"/>
      <c r="DN256" s="395"/>
      <c r="DO256" s="395"/>
      <c r="DP256" s="395"/>
      <c r="DQ256" s="395"/>
      <c r="DR256" s="395"/>
      <c r="DS256" s="395"/>
      <c r="DT256" s="395"/>
      <c r="DU256" s="395"/>
      <c r="DV256" s="395"/>
      <c r="DW256" s="395"/>
      <c r="DX256" s="395"/>
      <c r="DY256" s="395"/>
      <c r="DZ256" s="395"/>
      <c r="EA256" s="395"/>
      <c r="EB256" s="395"/>
      <c r="EC256" s="395"/>
      <c r="ED256" s="395"/>
      <c r="EE256" s="395"/>
      <c r="EF256" s="395"/>
      <c r="EG256" s="395"/>
      <c r="EH256" s="395"/>
      <c r="EI256" s="395"/>
      <c r="EJ256" s="395"/>
      <c r="EK256" s="395"/>
      <c r="EL256" s="395"/>
      <c r="EM256" s="395"/>
      <c r="EN256" s="395"/>
      <c r="EO256" s="395"/>
      <c r="EP256" s="395"/>
      <c r="EQ256" s="395"/>
      <c r="ER256" s="395"/>
      <c r="ES256" s="395"/>
      <c r="ET256" s="395"/>
      <c r="EU256" s="395"/>
      <c r="EV256" s="395"/>
      <c r="EW256" s="395"/>
      <c r="EX256" s="395"/>
      <c r="EY256" s="395"/>
      <c r="EZ256" s="395"/>
      <c r="FA256" s="395"/>
      <c r="FB256" s="395"/>
      <c r="FC256" s="395"/>
      <c r="FD256" s="395"/>
      <c r="FE256" s="395"/>
      <c r="FF256" s="395"/>
      <c r="FG256" s="395"/>
      <c r="FH256" s="395"/>
      <c r="FI256" s="395"/>
      <c r="FJ256" s="395"/>
      <c r="FK256" s="395"/>
      <c r="FL256" s="395"/>
      <c r="FM256" s="395"/>
      <c r="FN256" s="395"/>
      <c r="FO256" s="395"/>
      <c r="FP256" s="395"/>
      <c r="FQ256" s="395"/>
      <c r="FR256" s="395"/>
      <c r="FS256" s="395"/>
      <c r="FT256" s="395"/>
      <c r="FU256" s="395"/>
      <c r="FV256" s="395"/>
      <c r="FW256" s="395"/>
      <c r="FX256" s="395"/>
      <c r="FY256" s="395"/>
      <c r="FZ256" s="395"/>
      <c r="GA256" s="395"/>
      <c r="GB256" s="395"/>
      <c r="GC256" s="395"/>
      <c r="GD256" s="395"/>
      <c r="GE256" s="395"/>
      <c r="GF256" s="395"/>
      <c r="GG256" s="395"/>
      <c r="GH256" s="395"/>
      <c r="GI256" s="395"/>
      <c r="GJ256" s="395"/>
      <c r="GK256" s="395"/>
      <c r="GL256" s="395"/>
      <c r="GM256" s="395"/>
      <c r="GN256" s="395"/>
      <c r="GO256" s="395"/>
      <c r="GP256" s="395"/>
      <c r="GQ256" s="395"/>
      <c r="GR256" s="395"/>
      <c r="GS256" s="395"/>
      <c r="GT256" s="395"/>
      <c r="GU256" s="395"/>
      <c r="GV256" s="395"/>
      <c r="GW256" s="395"/>
      <c r="GX256" s="395"/>
      <c r="GY256" s="395"/>
      <c r="GZ256" s="395"/>
      <c r="HA256" s="395"/>
      <c r="HB256" s="395"/>
      <c r="HC256" s="395"/>
      <c r="HD256" s="395"/>
      <c r="HE256" s="395"/>
      <c r="HF256" s="395"/>
      <c r="HG256" s="395"/>
      <c r="HH256" s="395"/>
      <c r="HI256" s="395"/>
      <c r="HJ256" s="395"/>
      <c r="HK256" s="395"/>
      <c r="HL256" s="395"/>
      <c r="HM256" s="395"/>
      <c r="HN256" s="395"/>
      <c r="HO256" s="395"/>
      <c r="HP256" s="395"/>
      <c r="HQ256" s="395"/>
      <c r="HR256" s="395"/>
      <c r="HS256" s="395"/>
      <c r="HT256" s="395"/>
      <c r="HU256" s="395"/>
      <c r="HV256" s="395"/>
      <c r="HW256" s="395"/>
      <c r="HX256" s="395"/>
      <c r="HY256" s="395"/>
      <c r="HZ256" s="395"/>
      <c r="IA256" s="395"/>
      <c r="IB256" s="395"/>
      <c r="IC256" s="395"/>
      <c r="ID256" s="395"/>
      <c r="IE256" s="395"/>
      <c r="IF256" s="395"/>
      <c r="IG256" s="395"/>
      <c r="IH256" s="395"/>
      <c r="II256" s="395"/>
      <c r="IJ256" s="395"/>
      <c r="IK256" s="395"/>
      <c r="IL256" s="395"/>
      <c r="IM256" s="395"/>
      <c r="IN256" s="395"/>
      <c r="IO256" s="395"/>
      <c r="IP256" s="395"/>
      <c r="IQ256" s="395"/>
      <c r="IR256" s="395"/>
    </row>
    <row r="257" spans="2:252" s="58" customFormat="1" ht="25.15" customHeight="1" x14ac:dyDescent="0.25">
      <c r="B257" s="181">
        <v>43382</v>
      </c>
      <c r="C257" s="317">
        <v>75</v>
      </c>
      <c r="D257" s="321">
        <f>IF(ISNUMBER(D256),Table3[[#This Row],[Amount]]+D256,0)</f>
        <v>257951.9</v>
      </c>
      <c r="V257" s="395"/>
      <c r="W257" s="395"/>
      <c r="X257" s="395"/>
      <c r="Y257" s="395"/>
      <c r="Z257" s="395"/>
      <c r="AA257" s="395"/>
      <c r="AB257" s="395"/>
      <c r="AC257" s="395"/>
      <c r="AD257" s="395"/>
      <c r="AE257" s="395"/>
      <c r="AF257" s="395"/>
      <c r="AG257" s="395"/>
      <c r="AH257" s="395"/>
      <c r="AI257" s="395"/>
      <c r="AJ257" s="395"/>
      <c r="AK257" s="395"/>
      <c r="AL257" s="395"/>
      <c r="AM257" s="395"/>
      <c r="AN257" s="395"/>
      <c r="AO257" s="395"/>
      <c r="AP257" s="395"/>
      <c r="AQ257" s="395"/>
      <c r="AR257" s="395"/>
      <c r="AS257" s="395"/>
      <c r="AT257" s="395"/>
      <c r="AU257" s="395"/>
      <c r="AV257" s="395"/>
      <c r="AW257" s="395"/>
      <c r="AX257" s="395"/>
      <c r="AY257" s="395"/>
      <c r="AZ257" s="395"/>
      <c r="BA257" s="395"/>
      <c r="BB257" s="395"/>
      <c r="BC257" s="395"/>
      <c r="BD257" s="395"/>
      <c r="BE257" s="395"/>
      <c r="BF257" s="395"/>
      <c r="BG257" s="395"/>
      <c r="BH257" s="395"/>
      <c r="BI257" s="395"/>
      <c r="BJ257" s="395"/>
      <c r="BK257" s="395"/>
      <c r="BL257" s="395"/>
      <c r="BM257" s="395"/>
      <c r="BN257" s="395"/>
      <c r="BO257" s="395"/>
      <c r="BP257" s="395"/>
      <c r="BQ257" s="395"/>
      <c r="BR257" s="395"/>
      <c r="BS257" s="395"/>
      <c r="BT257" s="395"/>
      <c r="BU257" s="395"/>
      <c r="BV257" s="395"/>
      <c r="BW257" s="395"/>
      <c r="BX257" s="395"/>
      <c r="BY257" s="395"/>
      <c r="BZ257" s="395"/>
      <c r="CA257" s="395"/>
      <c r="CB257" s="395"/>
      <c r="CC257" s="395"/>
      <c r="CD257" s="395"/>
      <c r="CE257" s="395"/>
      <c r="CF257" s="395"/>
      <c r="CG257" s="395"/>
      <c r="CH257" s="395"/>
      <c r="CI257" s="395"/>
      <c r="CJ257" s="395"/>
      <c r="CK257" s="395"/>
      <c r="CL257" s="395"/>
      <c r="CM257" s="395"/>
      <c r="CN257" s="395"/>
      <c r="CO257" s="395"/>
      <c r="CP257" s="395"/>
      <c r="CQ257" s="395"/>
      <c r="CR257" s="395"/>
      <c r="CS257" s="395"/>
      <c r="CT257" s="395"/>
      <c r="CU257" s="395"/>
      <c r="CV257" s="395"/>
      <c r="CW257" s="395"/>
      <c r="CX257" s="395"/>
      <c r="CY257" s="395"/>
      <c r="CZ257" s="395"/>
      <c r="DA257" s="395"/>
      <c r="DB257" s="395"/>
      <c r="DC257" s="395"/>
      <c r="DD257" s="395"/>
      <c r="DE257" s="395"/>
      <c r="DF257" s="395"/>
      <c r="DG257" s="395"/>
      <c r="DH257" s="395"/>
      <c r="DI257" s="395"/>
      <c r="DJ257" s="395"/>
      <c r="DK257" s="395"/>
      <c r="DL257" s="395"/>
      <c r="DM257" s="395"/>
      <c r="DN257" s="395"/>
      <c r="DO257" s="395"/>
      <c r="DP257" s="395"/>
      <c r="DQ257" s="395"/>
      <c r="DR257" s="395"/>
      <c r="DS257" s="395"/>
      <c r="DT257" s="395"/>
      <c r="DU257" s="395"/>
      <c r="DV257" s="395"/>
      <c r="DW257" s="395"/>
      <c r="DX257" s="395"/>
      <c r="DY257" s="395"/>
      <c r="DZ257" s="395"/>
      <c r="EA257" s="395"/>
      <c r="EB257" s="395"/>
      <c r="EC257" s="395"/>
      <c r="ED257" s="395"/>
      <c r="EE257" s="395"/>
      <c r="EF257" s="395"/>
      <c r="EG257" s="395"/>
      <c r="EH257" s="395"/>
      <c r="EI257" s="395"/>
      <c r="EJ257" s="395"/>
      <c r="EK257" s="395"/>
      <c r="EL257" s="395"/>
      <c r="EM257" s="395"/>
      <c r="EN257" s="395"/>
      <c r="EO257" s="395"/>
      <c r="EP257" s="395"/>
      <c r="EQ257" s="395"/>
      <c r="ER257" s="395"/>
      <c r="ES257" s="395"/>
      <c r="ET257" s="395"/>
      <c r="EU257" s="395"/>
      <c r="EV257" s="395"/>
      <c r="EW257" s="395"/>
      <c r="EX257" s="395"/>
      <c r="EY257" s="395"/>
      <c r="EZ257" s="395"/>
      <c r="FA257" s="395"/>
      <c r="FB257" s="395"/>
      <c r="FC257" s="395"/>
      <c r="FD257" s="395"/>
      <c r="FE257" s="395"/>
      <c r="FF257" s="395"/>
      <c r="FG257" s="395"/>
      <c r="FH257" s="395"/>
      <c r="FI257" s="395"/>
      <c r="FJ257" s="395"/>
      <c r="FK257" s="395"/>
      <c r="FL257" s="395"/>
      <c r="FM257" s="395"/>
      <c r="FN257" s="395"/>
      <c r="FO257" s="395"/>
      <c r="FP257" s="395"/>
      <c r="FQ257" s="395"/>
      <c r="FR257" s="395"/>
      <c r="FS257" s="395"/>
      <c r="FT257" s="395"/>
      <c r="FU257" s="395"/>
      <c r="FV257" s="395"/>
      <c r="FW257" s="395"/>
      <c r="FX257" s="395"/>
      <c r="FY257" s="395"/>
      <c r="FZ257" s="395"/>
      <c r="GA257" s="395"/>
      <c r="GB257" s="395"/>
      <c r="GC257" s="395"/>
      <c r="GD257" s="395"/>
      <c r="GE257" s="395"/>
      <c r="GF257" s="395"/>
      <c r="GG257" s="395"/>
      <c r="GH257" s="395"/>
      <c r="GI257" s="395"/>
      <c r="GJ257" s="395"/>
      <c r="GK257" s="395"/>
      <c r="GL257" s="395"/>
      <c r="GM257" s="395"/>
      <c r="GN257" s="395"/>
      <c r="GO257" s="395"/>
      <c r="GP257" s="395"/>
      <c r="GQ257" s="395"/>
      <c r="GR257" s="395"/>
      <c r="GS257" s="395"/>
      <c r="GT257" s="395"/>
      <c r="GU257" s="395"/>
      <c r="GV257" s="395"/>
      <c r="GW257" s="395"/>
      <c r="GX257" s="395"/>
      <c r="GY257" s="395"/>
      <c r="GZ257" s="395"/>
      <c r="HA257" s="395"/>
      <c r="HB257" s="395"/>
      <c r="HC257" s="395"/>
      <c r="HD257" s="395"/>
      <c r="HE257" s="395"/>
      <c r="HF257" s="395"/>
      <c r="HG257" s="395"/>
      <c r="HH257" s="395"/>
      <c r="HI257" s="395"/>
      <c r="HJ257" s="395"/>
      <c r="HK257" s="395"/>
      <c r="HL257" s="395"/>
      <c r="HM257" s="395"/>
      <c r="HN257" s="395"/>
      <c r="HO257" s="395"/>
      <c r="HP257" s="395"/>
      <c r="HQ257" s="395"/>
      <c r="HR257" s="395"/>
      <c r="HS257" s="395"/>
      <c r="HT257" s="395"/>
      <c r="HU257" s="395"/>
      <c r="HV257" s="395"/>
      <c r="HW257" s="395"/>
      <c r="HX257" s="395"/>
      <c r="HY257" s="395"/>
      <c r="HZ257" s="395"/>
      <c r="IA257" s="395"/>
      <c r="IB257" s="395"/>
      <c r="IC257" s="395"/>
      <c r="ID257" s="395"/>
      <c r="IE257" s="395"/>
      <c r="IF257" s="395"/>
      <c r="IG257" s="395"/>
      <c r="IH257" s="395"/>
      <c r="II257" s="395"/>
      <c r="IJ257" s="395"/>
      <c r="IK257" s="395"/>
      <c r="IL257" s="395"/>
      <c r="IM257" s="395"/>
      <c r="IN257" s="395"/>
      <c r="IO257" s="395"/>
      <c r="IP257" s="395"/>
      <c r="IQ257" s="395"/>
      <c r="IR257" s="395"/>
    </row>
    <row r="258" spans="2:252" s="58" customFormat="1" ht="25.15" customHeight="1" x14ac:dyDescent="0.25">
      <c r="B258" s="181">
        <v>43395</v>
      </c>
      <c r="C258" s="317">
        <v>75</v>
      </c>
      <c r="D258" s="321">
        <f>IF(ISNUMBER(D257),Table3[[#This Row],[Amount]]+D257,0)</f>
        <v>258026.9</v>
      </c>
      <c r="V258" s="395"/>
      <c r="W258" s="395"/>
      <c r="X258" s="395"/>
      <c r="Y258" s="395"/>
      <c r="Z258" s="395"/>
      <c r="AA258" s="395"/>
      <c r="AB258" s="395"/>
      <c r="AC258" s="395"/>
      <c r="AD258" s="395"/>
      <c r="AE258" s="395"/>
      <c r="AF258" s="395"/>
      <c r="AG258" s="395"/>
      <c r="AH258" s="395"/>
      <c r="AI258" s="395"/>
      <c r="AJ258" s="395"/>
      <c r="AK258" s="395"/>
      <c r="AL258" s="395"/>
      <c r="AM258" s="395"/>
      <c r="AN258" s="395"/>
      <c r="AO258" s="395"/>
      <c r="AP258" s="395"/>
      <c r="AQ258" s="395"/>
      <c r="AR258" s="395"/>
      <c r="AS258" s="395"/>
      <c r="AT258" s="395"/>
      <c r="AU258" s="395"/>
      <c r="AV258" s="395"/>
      <c r="AW258" s="395"/>
      <c r="AX258" s="395"/>
      <c r="AY258" s="395"/>
      <c r="AZ258" s="395"/>
      <c r="BA258" s="395"/>
      <c r="BB258" s="395"/>
      <c r="BC258" s="395"/>
      <c r="BD258" s="395"/>
      <c r="BE258" s="395"/>
      <c r="BF258" s="395"/>
      <c r="BG258" s="395"/>
      <c r="BH258" s="395"/>
      <c r="BI258" s="395"/>
      <c r="BJ258" s="395"/>
      <c r="BK258" s="395"/>
      <c r="BL258" s="395"/>
      <c r="BM258" s="395"/>
      <c r="BN258" s="395"/>
      <c r="BO258" s="395"/>
      <c r="BP258" s="395"/>
      <c r="BQ258" s="395"/>
      <c r="BR258" s="395"/>
      <c r="BS258" s="395"/>
      <c r="BT258" s="395"/>
      <c r="BU258" s="395"/>
      <c r="BV258" s="395"/>
      <c r="BW258" s="395"/>
      <c r="BX258" s="395"/>
      <c r="BY258" s="395"/>
      <c r="BZ258" s="395"/>
      <c r="CA258" s="395"/>
      <c r="CB258" s="395"/>
      <c r="CC258" s="395"/>
      <c r="CD258" s="395"/>
      <c r="CE258" s="395"/>
      <c r="CF258" s="395"/>
      <c r="CG258" s="395"/>
      <c r="CH258" s="395"/>
      <c r="CI258" s="395"/>
      <c r="CJ258" s="395"/>
      <c r="CK258" s="395"/>
      <c r="CL258" s="395"/>
      <c r="CM258" s="395"/>
      <c r="CN258" s="395"/>
      <c r="CO258" s="395"/>
      <c r="CP258" s="395"/>
      <c r="CQ258" s="395"/>
      <c r="CR258" s="395"/>
      <c r="CS258" s="395"/>
      <c r="CT258" s="395"/>
      <c r="CU258" s="395"/>
      <c r="CV258" s="395"/>
      <c r="CW258" s="395"/>
      <c r="CX258" s="395"/>
      <c r="CY258" s="395"/>
      <c r="CZ258" s="395"/>
      <c r="DA258" s="395"/>
      <c r="DB258" s="395"/>
      <c r="DC258" s="395"/>
      <c r="DD258" s="395"/>
      <c r="DE258" s="395"/>
      <c r="DF258" s="395"/>
      <c r="DG258" s="395"/>
      <c r="DH258" s="395"/>
      <c r="DI258" s="395"/>
      <c r="DJ258" s="395"/>
      <c r="DK258" s="395"/>
      <c r="DL258" s="395"/>
      <c r="DM258" s="395"/>
      <c r="DN258" s="395"/>
      <c r="DO258" s="395"/>
      <c r="DP258" s="395"/>
      <c r="DQ258" s="395"/>
      <c r="DR258" s="395"/>
      <c r="DS258" s="395"/>
      <c r="DT258" s="395"/>
      <c r="DU258" s="395"/>
      <c r="DV258" s="395"/>
      <c r="DW258" s="395"/>
      <c r="DX258" s="395"/>
      <c r="DY258" s="395"/>
      <c r="DZ258" s="395"/>
      <c r="EA258" s="395"/>
      <c r="EB258" s="395"/>
      <c r="EC258" s="395"/>
      <c r="ED258" s="395"/>
      <c r="EE258" s="395"/>
      <c r="EF258" s="395"/>
      <c r="EG258" s="395"/>
      <c r="EH258" s="395"/>
      <c r="EI258" s="395"/>
      <c r="EJ258" s="395"/>
      <c r="EK258" s="395"/>
      <c r="EL258" s="395"/>
      <c r="EM258" s="395"/>
      <c r="EN258" s="395"/>
      <c r="EO258" s="395"/>
      <c r="EP258" s="395"/>
      <c r="EQ258" s="395"/>
      <c r="ER258" s="395"/>
      <c r="ES258" s="395"/>
      <c r="ET258" s="395"/>
      <c r="EU258" s="395"/>
      <c r="EV258" s="395"/>
      <c r="EW258" s="395"/>
      <c r="EX258" s="395"/>
      <c r="EY258" s="395"/>
      <c r="EZ258" s="395"/>
      <c r="FA258" s="395"/>
      <c r="FB258" s="395"/>
      <c r="FC258" s="395"/>
      <c r="FD258" s="395"/>
      <c r="FE258" s="395"/>
      <c r="FF258" s="395"/>
      <c r="FG258" s="395"/>
      <c r="FH258" s="395"/>
      <c r="FI258" s="395"/>
      <c r="FJ258" s="395"/>
      <c r="FK258" s="395"/>
      <c r="FL258" s="395"/>
      <c r="FM258" s="395"/>
      <c r="FN258" s="395"/>
      <c r="FO258" s="395"/>
      <c r="FP258" s="395"/>
      <c r="FQ258" s="395"/>
      <c r="FR258" s="395"/>
      <c r="FS258" s="395"/>
      <c r="FT258" s="395"/>
      <c r="FU258" s="395"/>
      <c r="FV258" s="395"/>
      <c r="FW258" s="395"/>
      <c r="FX258" s="395"/>
      <c r="FY258" s="395"/>
      <c r="FZ258" s="395"/>
      <c r="GA258" s="395"/>
      <c r="GB258" s="395"/>
      <c r="GC258" s="395"/>
      <c r="GD258" s="395"/>
      <c r="GE258" s="395"/>
      <c r="GF258" s="395"/>
      <c r="GG258" s="395"/>
      <c r="GH258" s="395"/>
      <c r="GI258" s="395"/>
      <c r="GJ258" s="395"/>
      <c r="GK258" s="395"/>
      <c r="GL258" s="395"/>
      <c r="GM258" s="395"/>
      <c r="GN258" s="395"/>
      <c r="GO258" s="395"/>
      <c r="GP258" s="395"/>
      <c r="GQ258" s="395"/>
      <c r="GR258" s="395"/>
      <c r="GS258" s="395"/>
      <c r="GT258" s="395"/>
      <c r="GU258" s="395"/>
      <c r="GV258" s="395"/>
      <c r="GW258" s="395"/>
      <c r="GX258" s="395"/>
      <c r="GY258" s="395"/>
      <c r="GZ258" s="395"/>
      <c r="HA258" s="395"/>
      <c r="HB258" s="395"/>
      <c r="HC258" s="395"/>
      <c r="HD258" s="395"/>
      <c r="HE258" s="395"/>
      <c r="HF258" s="395"/>
      <c r="HG258" s="395"/>
      <c r="HH258" s="395"/>
      <c r="HI258" s="395"/>
      <c r="HJ258" s="395"/>
      <c r="HK258" s="395"/>
      <c r="HL258" s="395"/>
      <c r="HM258" s="395"/>
      <c r="HN258" s="395"/>
      <c r="HO258" s="395"/>
      <c r="HP258" s="395"/>
      <c r="HQ258" s="395"/>
      <c r="HR258" s="395"/>
      <c r="HS258" s="395"/>
      <c r="HT258" s="395"/>
      <c r="HU258" s="395"/>
      <c r="HV258" s="395"/>
      <c r="HW258" s="395"/>
      <c r="HX258" s="395"/>
      <c r="HY258" s="395"/>
      <c r="HZ258" s="395"/>
      <c r="IA258" s="395"/>
      <c r="IB258" s="395"/>
      <c r="IC258" s="395"/>
      <c r="ID258" s="395"/>
      <c r="IE258" s="395"/>
      <c r="IF258" s="395"/>
      <c r="IG258" s="395"/>
      <c r="IH258" s="395"/>
      <c r="II258" s="395"/>
      <c r="IJ258" s="395"/>
      <c r="IK258" s="395"/>
      <c r="IL258" s="395"/>
      <c r="IM258" s="395"/>
      <c r="IN258" s="395"/>
      <c r="IO258" s="395"/>
      <c r="IP258" s="395"/>
      <c r="IQ258" s="395"/>
      <c r="IR258" s="395"/>
    </row>
    <row r="259" spans="2:252" s="58" customFormat="1" ht="25.15" customHeight="1" x14ac:dyDescent="0.25">
      <c r="B259" s="181">
        <v>43409</v>
      </c>
      <c r="C259" s="317">
        <v>75</v>
      </c>
      <c r="D259" s="321">
        <f>IF(ISNUMBER(D258),Table3[[#This Row],[Amount]]+D258,0)</f>
        <v>258101.9</v>
      </c>
      <c r="V259" s="395"/>
      <c r="W259" s="395"/>
      <c r="X259" s="395"/>
      <c r="Y259" s="395"/>
      <c r="Z259" s="395"/>
      <c r="AA259" s="395"/>
      <c r="AB259" s="395"/>
      <c r="AC259" s="395"/>
      <c r="AD259" s="395"/>
      <c r="AE259" s="395"/>
      <c r="AF259" s="395"/>
      <c r="AG259" s="395"/>
      <c r="AH259" s="395"/>
      <c r="AI259" s="395"/>
      <c r="AJ259" s="395"/>
      <c r="AK259" s="395"/>
      <c r="AL259" s="395"/>
      <c r="AM259" s="395"/>
      <c r="AN259" s="395"/>
      <c r="AO259" s="395"/>
      <c r="AP259" s="395"/>
      <c r="AQ259" s="395"/>
      <c r="AR259" s="395"/>
      <c r="AS259" s="395"/>
      <c r="AT259" s="395"/>
      <c r="AU259" s="395"/>
      <c r="AV259" s="395"/>
      <c r="AW259" s="395"/>
      <c r="AX259" s="395"/>
      <c r="AY259" s="395"/>
      <c r="AZ259" s="395"/>
      <c r="BA259" s="395"/>
      <c r="BB259" s="395"/>
      <c r="BC259" s="395"/>
      <c r="BD259" s="395"/>
      <c r="BE259" s="395"/>
      <c r="BF259" s="395"/>
      <c r="BG259" s="395"/>
      <c r="BH259" s="395"/>
      <c r="BI259" s="395"/>
      <c r="BJ259" s="395"/>
      <c r="BK259" s="395"/>
      <c r="BL259" s="395"/>
      <c r="BM259" s="395"/>
      <c r="BN259" s="395"/>
      <c r="BO259" s="395"/>
      <c r="BP259" s="395"/>
      <c r="BQ259" s="395"/>
      <c r="BR259" s="395"/>
      <c r="BS259" s="395"/>
      <c r="BT259" s="395"/>
      <c r="BU259" s="395"/>
      <c r="BV259" s="395"/>
      <c r="BW259" s="395"/>
      <c r="BX259" s="395"/>
      <c r="BY259" s="395"/>
      <c r="BZ259" s="395"/>
      <c r="CA259" s="395"/>
      <c r="CB259" s="395"/>
      <c r="CC259" s="395"/>
      <c r="CD259" s="395"/>
      <c r="CE259" s="395"/>
      <c r="CF259" s="395"/>
      <c r="CG259" s="395"/>
      <c r="CH259" s="395"/>
      <c r="CI259" s="395"/>
      <c r="CJ259" s="395"/>
      <c r="CK259" s="395"/>
      <c r="CL259" s="395"/>
      <c r="CM259" s="395"/>
      <c r="CN259" s="395"/>
      <c r="CO259" s="395"/>
      <c r="CP259" s="395"/>
      <c r="CQ259" s="395"/>
      <c r="CR259" s="395"/>
      <c r="CS259" s="395"/>
      <c r="CT259" s="395"/>
      <c r="CU259" s="395"/>
      <c r="CV259" s="395"/>
      <c r="CW259" s="395"/>
      <c r="CX259" s="395"/>
      <c r="CY259" s="395"/>
      <c r="CZ259" s="395"/>
      <c r="DA259" s="395"/>
      <c r="DB259" s="395"/>
      <c r="DC259" s="395"/>
      <c r="DD259" s="395"/>
      <c r="DE259" s="395"/>
      <c r="DF259" s="395"/>
      <c r="DG259" s="395"/>
      <c r="DH259" s="395"/>
      <c r="DI259" s="395"/>
      <c r="DJ259" s="395"/>
      <c r="DK259" s="395"/>
      <c r="DL259" s="395"/>
      <c r="DM259" s="395"/>
      <c r="DN259" s="395"/>
      <c r="DO259" s="395"/>
      <c r="DP259" s="395"/>
      <c r="DQ259" s="395"/>
      <c r="DR259" s="395"/>
      <c r="DS259" s="395"/>
      <c r="DT259" s="395"/>
      <c r="DU259" s="395"/>
      <c r="DV259" s="395"/>
      <c r="DW259" s="395"/>
      <c r="DX259" s="395"/>
      <c r="DY259" s="395"/>
      <c r="DZ259" s="395"/>
      <c r="EA259" s="395"/>
      <c r="EB259" s="395"/>
      <c r="EC259" s="395"/>
      <c r="ED259" s="395"/>
      <c r="EE259" s="395"/>
      <c r="EF259" s="395"/>
      <c r="EG259" s="395"/>
      <c r="EH259" s="395"/>
      <c r="EI259" s="395"/>
      <c r="EJ259" s="395"/>
      <c r="EK259" s="395"/>
      <c r="EL259" s="395"/>
      <c r="EM259" s="395"/>
      <c r="EN259" s="395"/>
      <c r="EO259" s="395"/>
      <c r="EP259" s="395"/>
      <c r="EQ259" s="395"/>
      <c r="ER259" s="395"/>
      <c r="ES259" s="395"/>
      <c r="ET259" s="395"/>
      <c r="EU259" s="395"/>
      <c r="EV259" s="395"/>
      <c r="EW259" s="395"/>
      <c r="EX259" s="395"/>
      <c r="EY259" s="395"/>
      <c r="EZ259" s="395"/>
      <c r="FA259" s="395"/>
      <c r="FB259" s="395"/>
      <c r="FC259" s="395"/>
      <c r="FD259" s="395"/>
      <c r="FE259" s="395"/>
      <c r="FF259" s="395"/>
      <c r="FG259" s="395"/>
      <c r="FH259" s="395"/>
      <c r="FI259" s="395"/>
      <c r="FJ259" s="395"/>
      <c r="FK259" s="395"/>
      <c r="FL259" s="395"/>
      <c r="FM259" s="395"/>
      <c r="FN259" s="395"/>
      <c r="FO259" s="395"/>
      <c r="FP259" s="395"/>
      <c r="FQ259" s="395"/>
      <c r="FR259" s="395"/>
      <c r="FS259" s="395"/>
      <c r="FT259" s="395"/>
      <c r="FU259" s="395"/>
      <c r="FV259" s="395"/>
      <c r="FW259" s="395"/>
      <c r="FX259" s="395"/>
      <c r="FY259" s="395"/>
      <c r="FZ259" s="395"/>
      <c r="GA259" s="395"/>
      <c r="GB259" s="395"/>
      <c r="GC259" s="395"/>
      <c r="GD259" s="395"/>
      <c r="GE259" s="395"/>
      <c r="GF259" s="395"/>
      <c r="GG259" s="395"/>
      <c r="GH259" s="395"/>
      <c r="GI259" s="395"/>
      <c r="GJ259" s="395"/>
      <c r="GK259" s="395"/>
      <c r="GL259" s="395"/>
      <c r="GM259" s="395"/>
      <c r="GN259" s="395"/>
      <c r="GO259" s="395"/>
      <c r="GP259" s="395"/>
      <c r="GQ259" s="395"/>
      <c r="GR259" s="395"/>
      <c r="GS259" s="395"/>
      <c r="GT259" s="395"/>
      <c r="GU259" s="395"/>
      <c r="GV259" s="395"/>
      <c r="GW259" s="395"/>
      <c r="GX259" s="395"/>
      <c r="GY259" s="395"/>
      <c r="GZ259" s="395"/>
      <c r="HA259" s="395"/>
      <c r="HB259" s="395"/>
      <c r="HC259" s="395"/>
      <c r="HD259" s="395"/>
      <c r="HE259" s="395"/>
      <c r="HF259" s="395"/>
      <c r="HG259" s="395"/>
      <c r="HH259" s="395"/>
      <c r="HI259" s="395"/>
      <c r="HJ259" s="395"/>
      <c r="HK259" s="395"/>
      <c r="HL259" s="395"/>
      <c r="HM259" s="395"/>
      <c r="HN259" s="395"/>
      <c r="HO259" s="395"/>
      <c r="HP259" s="395"/>
      <c r="HQ259" s="395"/>
      <c r="HR259" s="395"/>
      <c r="HS259" s="395"/>
      <c r="HT259" s="395"/>
      <c r="HU259" s="395"/>
      <c r="HV259" s="395"/>
      <c r="HW259" s="395"/>
      <c r="HX259" s="395"/>
      <c r="HY259" s="395"/>
      <c r="HZ259" s="395"/>
      <c r="IA259" s="395"/>
      <c r="IB259" s="395"/>
      <c r="IC259" s="395"/>
      <c r="ID259" s="395"/>
      <c r="IE259" s="395"/>
      <c r="IF259" s="395"/>
      <c r="IG259" s="395"/>
      <c r="IH259" s="395"/>
      <c r="II259" s="395"/>
      <c r="IJ259" s="395"/>
      <c r="IK259" s="395"/>
      <c r="IL259" s="395"/>
      <c r="IM259" s="395"/>
      <c r="IN259" s="395"/>
      <c r="IO259" s="395"/>
      <c r="IP259" s="395"/>
      <c r="IQ259" s="395"/>
      <c r="IR259" s="395"/>
    </row>
    <row r="260" spans="2:252" s="58" customFormat="1" ht="25.15" customHeight="1" x14ac:dyDescent="0.25">
      <c r="B260" s="181">
        <v>43423</v>
      </c>
      <c r="C260" s="317">
        <v>75</v>
      </c>
      <c r="D260" s="321">
        <f>IF(ISNUMBER(D259),Table3[[#This Row],[Amount]]+D259,0)</f>
        <v>258176.9</v>
      </c>
      <c r="V260" s="395"/>
      <c r="W260" s="395"/>
      <c r="X260" s="395"/>
      <c r="Y260" s="395"/>
      <c r="Z260" s="395"/>
      <c r="AA260" s="395"/>
      <c r="AB260" s="395"/>
      <c r="AC260" s="395"/>
      <c r="AD260" s="395"/>
      <c r="AE260" s="395"/>
      <c r="AF260" s="395"/>
      <c r="AG260" s="395"/>
      <c r="AH260" s="395"/>
      <c r="AI260" s="395"/>
      <c r="AJ260" s="395"/>
      <c r="AK260" s="395"/>
      <c r="AL260" s="395"/>
      <c r="AM260" s="395"/>
      <c r="AN260" s="395"/>
      <c r="AO260" s="395"/>
      <c r="AP260" s="395"/>
      <c r="AQ260" s="395"/>
      <c r="AR260" s="395"/>
      <c r="AS260" s="395"/>
      <c r="AT260" s="395"/>
      <c r="AU260" s="395"/>
      <c r="AV260" s="395"/>
      <c r="AW260" s="395"/>
      <c r="AX260" s="395"/>
      <c r="AY260" s="395"/>
      <c r="AZ260" s="395"/>
      <c r="BA260" s="395"/>
      <c r="BB260" s="395"/>
      <c r="BC260" s="395"/>
      <c r="BD260" s="395"/>
      <c r="BE260" s="395"/>
      <c r="BF260" s="395"/>
      <c r="BG260" s="395"/>
      <c r="BH260" s="395"/>
      <c r="BI260" s="395"/>
      <c r="BJ260" s="395"/>
      <c r="BK260" s="395"/>
      <c r="BL260" s="395"/>
      <c r="BM260" s="395"/>
      <c r="BN260" s="395"/>
      <c r="BO260" s="395"/>
      <c r="BP260" s="395"/>
      <c r="BQ260" s="395"/>
      <c r="BR260" s="395"/>
      <c r="BS260" s="395"/>
      <c r="BT260" s="395"/>
      <c r="BU260" s="395"/>
      <c r="BV260" s="395"/>
      <c r="BW260" s="395"/>
      <c r="BX260" s="395"/>
      <c r="BY260" s="395"/>
      <c r="BZ260" s="395"/>
      <c r="CA260" s="395"/>
      <c r="CB260" s="395"/>
      <c r="CC260" s="395"/>
      <c r="CD260" s="395"/>
      <c r="CE260" s="395"/>
      <c r="CF260" s="395"/>
      <c r="CG260" s="395"/>
      <c r="CH260" s="395"/>
      <c r="CI260" s="395"/>
      <c r="CJ260" s="395"/>
      <c r="CK260" s="395"/>
      <c r="CL260" s="395"/>
      <c r="CM260" s="395"/>
      <c r="CN260" s="395"/>
      <c r="CO260" s="395"/>
      <c r="CP260" s="395"/>
      <c r="CQ260" s="395"/>
      <c r="CR260" s="395"/>
      <c r="CS260" s="395"/>
      <c r="CT260" s="395"/>
      <c r="CU260" s="395"/>
      <c r="CV260" s="395"/>
      <c r="CW260" s="395"/>
      <c r="CX260" s="395"/>
      <c r="CY260" s="395"/>
      <c r="CZ260" s="395"/>
      <c r="DA260" s="395"/>
      <c r="DB260" s="395"/>
      <c r="DC260" s="395"/>
      <c r="DD260" s="395"/>
      <c r="DE260" s="395"/>
      <c r="DF260" s="395"/>
      <c r="DG260" s="395"/>
      <c r="DH260" s="395"/>
      <c r="DI260" s="395"/>
      <c r="DJ260" s="395"/>
      <c r="DK260" s="395"/>
      <c r="DL260" s="395"/>
      <c r="DM260" s="395"/>
      <c r="DN260" s="395"/>
      <c r="DO260" s="395"/>
      <c r="DP260" s="395"/>
      <c r="DQ260" s="395"/>
      <c r="DR260" s="395"/>
      <c r="DS260" s="395"/>
      <c r="DT260" s="395"/>
      <c r="DU260" s="395"/>
      <c r="DV260" s="395"/>
      <c r="DW260" s="395"/>
      <c r="DX260" s="395"/>
      <c r="DY260" s="395"/>
      <c r="DZ260" s="395"/>
      <c r="EA260" s="395"/>
      <c r="EB260" s="395"/>
      <c r="EC260" s="395"/>
      <c r="ED260" s="395"/>
      <c r="EE260" s="395"/>
      <c r="EF260" s="395"/>
      <c r="EG260" s="395"/>
      <c r="EH260" s="395"/>
      <c r="EI260" s="395"/>
      <c r="EJ260" s="395"/>
      <c r="EK260" s="395"/>
      <c r="EL260" s="395"/>
      <c r="EM260" s="395"/>
      <c r="EN260" s="395"/>
      <c r="EO260" s="395"/>
      <c r="EP260" s="395"/>
      <c r="EQ260" s="395"/>
      <c r="ER260" s="395"/>
      <c r="ES260" s="395"/>
      <c r="ET260" s="395"/>
      <c r="EU260" s="395"/>
      <c r="EV260" s="395"/>
      <c r="EW260" s="395"/>
      <c r="EX260" s="395"/>
      <c r="EY260" s="395"/>
      <c r="EZ260" s="395"/>
      <c r="FA260" s="395"/>
      <c r="FB260" s="395"/>
      <c r="FC260" s="395"/>
      <c r="FD260" s="395"/>
      <c r="FE260" s="395"/>
      <c r="FF260" s="395"/>
      <c r="FG260" s="395"/>
      <c r="FH260" s="395"/>
      <c r="FI260" s="395"/>
      <c r="FJ260" s="395"/>
      <c r="FK260" s="395"/>
      <c r="FL260" s="395"/>
      <c r="FM260" s="395"/>
      <c r="FN260" s="395"/>
      <c r="FO260" s="395"/>
      <c r="FP260" s="395"/>
      <c r="FQ260" s="395"/>
      <c r="FR260" s="395"/>
      <c r="FS260" s="395"/>
      <c r="FT260" s="395"/>
      <c r="FU260" s="395"/>
      <c r="FV260" s="395"/>
      <c r="FW260" s="395"/>
      <c r="FX260" s="395"/>
      <c r="FY260" s="395"/>
      <c r="FZ260" s="395"/>
      <c r="GA260" s="395"/>
      <c r="GB260" s="395"/>
      <c r="GC260" s="395"/>
      <c r="GD260" s="395"/>
      <c r="GE260" s="395"/>
      <c r="GF260" s="395"/>
      <c r="GG260" s="395"/>
      <c r="GH260" s="395"/>
      <c r="GI260" s="395"/>
      <c r="GJ260" s="395"/>
      <c r="GK260" s="395"/>
      <c r="GL260" s="395"/>
      <c r="GM260" s="395"/>
      <c r="GN260" s="395"/>
      <c r="GO260" s="395"/>
      <c r="GP260" s="395"/>
      <c r="GQ260" s="395"/>
      <c r="GR260" s="395"/>
      <c r="GS260" s="395"/>
      <c r="GT260" s="395"/>
      <c r="GU260" s="395"/>
      <c r="GV260" s="395"/>
      <c r="GW260" s="395"/>
      <c r="GX260" s="395"/>
      <c r="GY260" s="395"/>
      <c r="GZ260" s="395"/>
      <c r="HA260" s="395"/>
      <c r="HB260" s="395"/>
      <c r="HC260" s="395"/>
      <c r="HD260" s="395"/>
      <c r="HE260" s="395"/>
      <c r="HF260" s="395"/>
      <c r="HG260" s="395"/>
      <c r="HH260" s="395"/>
      <c r="HI260" s="395"/>
      <c r="HJ260" s="395"/>
      <c r="HK260" s="395"/>
      <c r="HL260" s="395"/>
      <c r="HM260" s="395"/>
      <c r="HN260" s="395"/>
      <c r="HO260" s="395"/>
      <c r="HP260" s="395"/>
      <c r="HQ260" s="395"/>
      <c r="HR260" s="395"/>
      <c r="HS260" s="395"/>
      <c r="HT260" s="395"/>
      <c r="HU260" s="395"/>
      <c r="HV260" s="395"/>
      <c r="HW260" s="395"/>
      <c r="HX260" s="395"/>
      <c r="HY260" s="395"/>
      <c r="HZ260" s="395"/>
      <c r="IA260" s="395"/>
      <c r="IB260" s="395"/>
      <c r="IC260" s="395"/>
      <c r="ID260" s="395"/>
      <c r="IE260" s="395"/>
      <c r="IF260" s="395"/>
      <c r="IG260" s="395"/>
      <c r="IH260" s="395"/>
      <c r="II260" s="395"/>
      <c r="IJ260" s="395"/>
      <c r="IK260" s="395"/>
      <c r="IL260" s="395"/>
      <c r="IM260" s="395"/>
      <c r="IN260" s="395"/>
      <c r="IO260" s="395"/>
      <c r="IP260" s="395"/>
      <c r="IQ260" s="395"/>
      <c r="IR260" s="395"/>
    </row>
    <row r="261" spans="2:252" s="62" customFormat="1" ht="25.15" customHeight="1" x14ac:dyDescent="0.25">
      <c r="B261" s="181">
        <v>43437</v>
      </c>
      <c r="C261" s="317">
        <v>75</v>
      </c>
      <c r="D261" s="321">
        <f>IF(ISNUMBER(D260),Table3[[#This Row],[Amount]]+D260,0)</f>
        <v>258251.9</v>
      </c>
      <c r="E261" s="58"/>
      <c r="F261" s="58"/>
      <c r="G261" s="58"/>
      <c r="H261" s="58"/>
      <c r="I261" s="58"/>
      <c r="J261" s="58"/>
      <c r="V261" s="393"/>
      <c r="W261" s="393"/>
      <c r="X261" s="393"/>
      <c r="Y261" s="393"/>
      <c r="Z261" s="393"/>
      <c r="AA261" s="393"/>
      <c r="AB261" s="393"/>
      <c r="AC261" s="393"/>
      <c r="AD261" s="393"/>
      <c r="AE261" s="393"/>
      <c r="AF261" s="393"/>
      <c r="AG261" s="393"/>
      <c r="AH261" s="393"/>
      <c r="AI261" s="393"/>
      <c r="AJ261" s="393"/>
      <c r="AK261" s="393"/>
      <c r="AL261" s="393"/>
      <c r="AM261" s="393"/>
      <c r="AN261" s="393"/>
      <c r="AO261" s="393"/>
      <c r="AP261" s="393"/>
      <c r="AQ261" s="393"/>
      <c r="AR261" s="393"/>
      <c r="AS261" s="393"/>
      <c r="AT261" s="393"/>
      <c r="AU261" s="393"/>
      <c r="AV261" s="393"/>
      <c r="AW261" s="393"/>
      <c r="AX261" s="393"/>
      <c r="AY261" s="393"/>
      <c r="AZ261" s="393"/>
      <c r="BA261" s="393"/>
      <c r="BB261" s="393"/>
      <c r="BC261" s="393"/>
      <c r="BD261" s="393"/>
      <c r="BE261" s="393"/>
      <c r="BF261" s="393"/>
      <c r="BG261" s="393"/>
      <c r="BH261" s="393"/>
      <c r="BI261" s="393"/>
      <c r="BJ261" s="393"/>
      <c r="BK261" s="393"/>
      <c r="BL261" s="393"/>
      <c r="BM261" s="393"/>
      <c r="BN261" s="393"/>
      <c r="BO261" s="393"/>
      <c r="BP261" s="393"/>
      <c r="BQ261" s="393"/>
      <c r="BR261" s="393"/>
      <c r="BS261" s="393"/>
      <c r="BT261" s="393"/>
      <c r="BU261" s="393"/>
      <c r="BV261" s="393"/>
      <c r="BW261" s="393"/>
      <c r="BX261" s="393"/>
      <c r="BY261" s="393"/>
      <c r="BZ261" s="393"/>
      <c r="CA261" s="393"/>
      <c r="CB261" s="393"/>
      <c r="CC261" s="393"/>
      <c r="CD261" s="393"/>
      <c r="CE261" s="393"/>
      <c r="CF261" s="393"/>
      <c r="CG261" s="393"/>
      <c r="CH261" s="393"/>
      <c r="CI261" s="393"/>
      <c r="CJ261" s="393"/>
      <c r="CK261" s="393"/>
      <c r="CL261" s="393"/>
      <c r="CM261" s="393"/>
      <c r="CN261" s="393"/>
      <c r="CO261" s="393"/>
      <c r="CP261" s="393"/>
      <c r="CQ261" s="393"/>
      <c r="CR261" s="393"/>
      <c r="CS261" s="393"/>
      <c r="CT261" s="393"/>
      <c r="CU261" s="393"/>
      <c r="CV261" s="393"/>
      <c r="CW261" s="393"/>
      <c r="CX261" s="393"/>
      <c r="CY261" s="393"/>
      <c r="CZ261" s="393"/>
      <c r="DA261" s="393"/>
      <c r="DB261" s="393"/>
      <c r="DC261" s="393"/>
      <c r="DD261" s="393"/>
      <c r="DE261" s="393"/>
      <c r="DF261" s="393"/>
      <c r="DG261" s="393"/>
      <c r="DH261" s="393"/>
      <c r="DI261" s="393"/>
      <c r="DJ261" s="393"/>
      <c r="DK261" s="393"/>
      <c r="DL261" s="393"/>
      <c r="DM261" s="393"/>
      <c r="DN261" s="393"/>
      <c r="DO261" s="393"/>
      <c r="DP261" s="393"/>
      <c r="DQ261" s="393"/>
      <c r="DR261" s="393"/>
      <c r="DS261" s="393"/>
      <c r="DT261" s="393"/>
      <c r="DU261" s="393"/>
      <c r="DV261" s="393"/>
      <c r="DW261" s="393"/>
      <c r="DX261" s="393"/>
      <c r="DY261" s="393"/>
      <c r="DZ261" s="393"/>
      <c r="EA261" s="393"/>
      <c r="EB261" s="393"/>
      <c r="EC261" s="393"/>
      <c r="ED261" s="393"/>
      <c r="EE261" s="393"/>
      <c r="EF261" s="393"/>
      <c r="EG261" s="393"/>
      <c r="EH261" s="393"/>
      <c r="EI261" s="393"/>
      <c r="EJ261" s="393"/>
      <c r="EK261" s="393"/>
      <c r="EL261" s="393"/>
      <c r="EM261" s="393"/>
      <c r="EN261" s="393"/>
      <c r="EO261" s="393"/>
      <c r="EP261" s="393"/>
      <c r="EQ261" s="393"/>
      <c r="ER261" s="393"/>
      <c r="ES261" s="393"/>
      <c r="ET261" s="393"/>
      <c r="EU261" s="393"/>
      <c r="EV261" s="393"/>
      <c r="EW261" s="393"/>
      <c r="EX261" s="393"/>
      <c r="EY261" s="393"/>
      <c r="EZ261" s="393"/>
      <c r="FA261" s="393"/>
      <c r="FB261" s="393"/>
      <c r="FC261" s="393"/>
      <c r="FD261" s="393"/>
      <c r="FE261" s="393"/>
      <c r="FF261" s="393"/>
      <c r="FG261" s="393"/>
      <c r="FH261" s="393"/>
      <c r="FI261" s="393"/>
      <c r="FJ261" s="393"/>
      <c r="FK261" s="393"/>
      <c r="FL261" s="393"/>
      <c r="FM261" s="393"/>
      <c r="FN261" s="393"/>
      <c r="FO261" s="393"/>
      <c r="FP261" s="393"/>
      <c r="FQ261" s="393"/>
      <c r="FR261" s="393"/>
      <c r="FS261" s="393"/>
      <c r="FT261" s="393"/>
      <c r="FU261" s="393"/>
      <c r="FV261" s="393"/>
      <c r="FW261" s="393"/>
      <c r="FX261" s="393"/>
      <c r="FY261" s="393"/>
      <c r="FZ261" s="393"/>
      <c r="GA261" s="393"/>
      <c r="GB261" s="393"/>
      <c r="GC261" s="393"/>
      <c r="GD261" s="393"/>
      <c r="GE261" s="393"/>
      <c r="GF261" s="393"/>
      <c r="GG261" s="393"/>
      <c r="GH261" s="393"/>
      <c r="GI261" s="393"/>
      <c r="GJ261" s="393"/>
      <c r="GK261" s="393"/>
      <c r="GL261" s="393"/>
      <c r="GM261" s="393"/>
      <c r="GN261" s="393"/>
      <c r="GO261" s="393"/>
      <c r="GP261" s="393"/>
      <c r="GQ261" s="393"/>
      <c r="GR261" s="393"/>
      <c r="GS261" s="393"/>
      <c r="GT261" s="393"/>
      <c r="GU261" s="393"/>
      <c r="GV261" s="393"/>
      <c r="GW261" s="393"/>
      <c r="GX261" s="393"/>
      <c r="GY261" s="393"/>
      <c r="GZ261" s="393"/>
      <c r="HA261" s="393"/>
      <c r="HB261" s="393"/>
      <c r="HC261" s="393"/>
      <c r="HD261" s="393"/>
      <c r="HE261" s="393"/>
      <c r="HF261" s="393"/>
      <c r="HG261" s="393"/>
      <c r="HH261" s="393"/>
      <c r="HI261" s="393"/>
      <c r="HJ261" s="393"/>
      <c r="HK261" s="393"/>
      <c r="HL261" s="393"/>
      <c r="HM261" s="393"/>
      <c r="HN261" s="393"/>
      <c r="HO261" s="393"/>
      <c r="HP261" s="393"/>
      <c r="HQ261" s="393"/>
      <c r="HR261" s="393"/>
      <c r="HS261" s="393"/>
      <c r="HT261" s="393"/>
      <c r="HU261" s="393"/>
      <c r="HV261" s="393"/>
      <c r="HW261" s="393"/>
      <c r="HX261" s="393"/>
      <c r="HY261" s="393"/>
      <c r="HZ261" s="393"/>
      <c r="IA261" s="393"/>
      <c r="IB261" s="393"/>
      <c r="IC261" s="393"/>
      <c r="ID261" s="393"/>
      <c r="IE261" s="393"/>
      <c r="IF261" s="393"/>
      <c r="IG261" s="393"/>
      <c r="IH261" s="393"/>
      <c r="II261" s="393"/>
      <c r="IJ261" s="393"/>
      <c r="IK261" s="393"/>
      <c r="IL261" s="393"/>
      <c r="IM261" s="393"/>
      <c r="IN261" s="393"/>
      <c r="IO261" s="393"/>
      <c r="IP261" s="393"/>
      <c r="IQ261" s="393"/>
      <c r="IR261" s="393"/>
    </row>
    <row r="262" spans="2:252" s="62" customFormat="1" ht="25.15" customHeight="1" x14ac:dyDescent="0.25">
      <c r="B262" s="181">
        <v>43451</v>
      </c>
      <c r="C262" s="317">
        <v>75</v>
      </c>
      <c r="D262" s="321">
        <f>IF(ISNUMBER(D261),Table3[[#This Row],[Amount]]+D261,0)</f>
        <v>258326.9</v>
      </c>
      <c r="E262" s="58"/>
      <c r="F262" s="58"/>
      <c r="G262" s="58"/>
      <c r="H262" s="58"/>
      <c r="I262" s="58"/>
      <c r="V262" s="393"/>
      <c r="W262" s="393"/>
      <c r="X262" s="393"/>
      <c r="Y262" s="393"/>
      <c r="Z262" s="393"/>
      <c r="AA262" s="393"/>
      <c r="AB262" s="393"/>
      <c r="AC262" s="393"/>
      <c r="AD262" s="393"/>
      <c r="AE262" s="393"/>
      <c r="AF262" s="393"/>
      <c r="AG262" s="393"/>
      <c r="AH262" s="393"/>
      <c r="AI262" s="393"/>
      <c r="AJ262" s="393"/>
      <c r="AK262" s="393"/>
      <c r="AL262" s="393"/>
      <c r="AM262" s="393"/>
      <c r="AN262" s="393"/>
      <c r="AO262" s="393"/>
      <c r="AP262" s="393"/>
      <c r="AQ262" s="393"/>
      <c r="AR262" s="393"/>
      <c r="AS262" s="393"/>
      <c r="AT262" s="393"/>
      <c r="AU262" s="393"/>
      <c r="AV262" s="393"/>
      <c r="AW262" s="393"/>
      <c r="AX262" s="393"/>
      <c r="AY262" s="393"/>
      <c r="AZ262" s="393"/>
      <c r="BA262" s="393"/>
      <c r="BB262" s="393"/>
      <c r="BC262" s="393"/>
      <c r="BD262" s="393"/>
      <c r="BE262" s="393"/>
      <c r="BF262" s="393"/>
      <c r="BG262" s="393"/>
      <c r="BH262" s="393"/>
      <c r="BI262" s="393"/>
      <c r="BJ262" s="393"/>
      <c r="BK262" s="393"/>
      <c r="BL262" s="393"/>
      <c r="BM262" s="393"/>
      <c r="BN262" s="393"/>
      <c r="BO262" s="393"/>
      <c r="BP262" s="393"/>
      <c r="BQ262" s="393"/>
      <c r="BR262" s="393"/>
      <c r="BS262" s="393"/>
      <c r="BT262" s="393"/>
      <c r="BU262" s="393"/>
      <c r="BV262" s="393"/>
      <c r="BW262" s="393"/>
      <c r="BX262" s="393"/>
      <c r="BY262" s="393"/>
      <c r="BZ262" s="393"/>
      <c r="CA262" s="393"/>
      <c r="CB262" s="393"/>
      <c r="CC262" s="393"/>
      <c r="CD262" s="393"/>
      <c r="CE262" s="393"/>
      <c r="CF262" s="393"/>
      <c r="CG262" s="393"/>
      <c r="CH262" s="393"/>
      <c r="CI262" s="393"/>
      <c r="CJ262" s="393"/>
      <c r="CK262" s="393"/>
      <c r="CL262" s="393"/>
      <c r="CM262" s="393"/>
      <c r="CN262" s="393"/>
      <c r="CO262" s="393"/>
      <c r="CP262" s="393"/>
      <c r="CQ262" s="393"/>
      <c r="CR262" s="393"/>
      <c r="CS262" s="393"/>
      <c r="CT262" s="393"/>
      <c r="CU262" s="393"/>
      <c r="CV262" s="393"/>
      <c r="CW262" s="393"/>
      <c r="CX262" s="393"/>
      <c r="CY262" s="393"/>
      <c r="CZ262" s="393"/>
      <c r="DA262" s="393"/>
      <c r="DB262" s="393"/>
      <c r="DC262" s="393"/>
      <c r="DD262" s="393"/>
      <c r="DE262" s="393"/>
      <c r="DF262" s="393"/>
      <c r="DG262" s="393"/>
      <c r="DH262" s="393"/>
      <c r="DI262" s="393"/>
      <c r="DJ262" s="393"/>
      <c r="DK262" s="393"/>
      <c r="DL262" s="393"/>
      <c r="DM262" s="393"/>
      <c r="DN262" s="393"/>
      <c r="DO262" s="393"/>
      <c r="DP262" s="393"/>
      <c r="DQ262" s="393"/>
      <c r="DR262" s="393"/>
      <c r="DS262" s="393"/>
      <c r="DT262" s="393"/>
      <c r="DU262" s="393"/>
      <c r="DV262" s="393"/>
      <c r="DW262" s="393"/>
      <c r="DX262" s="393"/>
      <c r="DY262" s="393"/>
      <c r="DZ262" s="393"/>
      <c r="EA262" s="393"/>
      <c r="EB262" s="393"/>
      <c r="EC262" s="393"/>
      <c r="ED262" s="393"/>
      <c r="EE262" s="393"/>
      <c r="EF262" s="393"/>
      <c r="EG262" s="393"/>
      <c r="EH262" s="393"/>
      <c r="EI262" s="393"/>
      <c r="EJ262" s="393"/>
      <c r="EK262" s="393"/>
      <c r="EL262" s="393"/>
      <c r="EM262" s="393"/>
      <c r="EN262" s="393"/>
      <c r="EO262" s="393"/>
      <c r="EP262" s="393"/>
      <c r="EQ262" s="393"/>
      <c r="ER262" s="393"/>
      <c r="ES262" s="393"/>
      <c r="ET262" s="393"/>
      <c r="EU262" s="393"/>
      <c r="EV262" s="393"/>
      <c r="EW262" s="393"/>
      <c r="EX262" s="393"/>
      <c r="EY262" s="393"/>
      <c r="EZ262" s="393"/>
      <c r="FA262" s="393"/>
      <c r="FB262" s="393"/>
      <c r="FC262" s="393"/>
      <c r="FD262" s="393"/>
      <c r="FE262" s="393"/>
      <c r="FF262" s="393"/>
      <c r="FG262" s="393"/>
      <c r="FH262" s="393"/>
      <c r="FI262" s="393"/>
      <c r="FJ262" s="393"/>
      <c r="FK262" s="393"/>
      <c r="FL262" s="393"/>
      <c r="FM262" s="393"/>
      <c r="FN262" s="393"/>
      <c r="FO262" s="393"/>
      <c r="FP262" s="393"/>
      <c r="FQ262" s="393"/>
      <c r="FR262" s="393"/>
      <c r="FS262" s="393"/>
      <c r="FT262" s="393"/>
      <c r="FU262" s="393"/>
      <c r="FV262" s="393"/>
      <c r="FW262" s="393"/>
      <c r="FX262" s="393"/>
      <c r="FY262" s="393"/>
      <c r="FZ262" s="393"/>
      <c r="GA262" s="393"/>
      <c r="GB262" s="393"/>
      <c r="GC262" s="393"/>
      <c r="GD262" s="393"/>
      <c r="GE262" s="393"/>
      <c r="GF262" s="393"/>
      <c r="GG262" s="393"/>
      <c r="GH262" s="393"/>
      <c r="GI262" s="393"/>
      <c r="GJ262" s="393"/>
      <c r="GK262" s="393"/>
      <c r="GL262" s="393"/>
      <c r="GM262" s="393"/>
      <c r="GN262" s="393"/>
      <c r="GO262" s="393"/>
      <c r="GP262" s="393"/>
      <c r="GQ262" s="393"/>
      <c r="GR262" s="393"/>
      <c r="GS262" s="393"/>
      <c r="GT262" s="393"/>
      <c r="GU262" s="393"/>
      <c r="GV262" s="393"/>
      <c r="GW262" s="393"/>
      <c r="GX262" s="393"/>
      <c r="GY262" s="393"/>
      <c r="GZ262" s="393"/>
      <c r="HA262" s="393"/>
      <c r="HB262" s="393"/>
      <c r="HC262" s="393"/>
      <c r="HD262" s="393"/>
      <c r="HE262" s="393"/>
      <c r="HF262" s="393"/>
      <c r="HG262" s="393"/>
      <c r="HH262" s="393"/>
      <c r="HI262" s="393"/>
      <c r="HJ262" s="393"/>
      <c r="HK262" s="393"/>
      <c r="HL262" s="393"/>
      <c r="HM262" s="393"/>
      <c r="HN262" s="393"/>
      <c r="HO262" s="393"/>
      <c r="HP262" s="393"/>
      <c r="HQ262" s="393"/>
      <c r="HR262" s="393"/>
      <c r="HS262" s="393"/>
      <c r="HT262" s="393"/>
      <c r="HU262" s="393"/>
      <c r="HV262" s="393"/>
      <c r="HW262" s="393"/>
      <c r="HX262" s="393"/>
      <c r="HY262" s="393"/>
      <c r="HZ262" s="393"/>
      <c r="IA262" s="393"/>
      <c r="IB262" s="393"/>
      <c r="IC262" s="393"/>
      <c r="ID262" s="393"/>
      <c r="IE262" s="393"/>
      <c r="IF262" s="393"/>
      <c r="IG262" s="393"/>
      <c r="IH262" s="393"/>
      <c r="II262" s="393"/>
      <c r="IJ262" s="393"/>
      <c r="IK262" s="393"/>
      <c r="IL262" s="393"/>
      <c r="IM262" s="393"/>
      <c r="IN262" s="393"/>
      <c r="IO262" s="393"/>
      <c r="IP262" s="393"/>
      <c r="IQ262" s="393"/>
      <c r="IR262" s="393"/>
    </row>
    <row r="263" spans="2:252" s="62" customFormat="1" ht="25.15" customHeight="1" x14ac:dyDescent="0.25">
      <c r="B263" s="181">
        <v>43465</v>
      </c>
      <c r="C263" s="317">
        <v>75</v>
      </c>
      <c r="D263" s="321">
        <f>IF(ISNUMBER(D262),Table3[[#This Row],[Amount]]+D262,0)</f>
        <v>258401.9</v>
      </c>
      <c r="E263" s="58"/>
      <c r="F263" s="58"/>
      <c r="G263" s="58"/>
      <c r="H263" s="58"/>
      <c r="I263" s="58"/>
      <c r="V263" s="393"/>
      <c r="W263" s="393"/>
      <c r="X263" s="393"/>
      <c r="Y263" s="393"/>
      <c r="Z263" s="393"/>
      <c r="AA263" s="393"/>
      <c r="AB263" s="393"/>
      <c r="AC263" s="393"/>
      <c r="AD263" s="393"/>
      <c r="AE263" s="393"/>
      <c r="AF263" s="393"/>
      <c r="AG263" s="393"/>
      <c r="AH263" s="393"/>
      <c r="AI263" s="393"/>
      <c r="AJ263" s="393"/>
      <c r="AK263" s="393"/>
      <c r="AL263" s="393"/>
      <c r="AM263" s="393"/>
      <c r="AN263" s="393"/>
      <c r="AO263" s="393"/>
      <c r="AP263" s="393"/>
      <c r="AQ263" s="393"/>
      <c r="AR263" s="393"/>
      <c r="AS263" s="393"/>
      <c r="AT263" s="393"/>
      <c r="AU263" s="393"/>
      <c r="AV263" s="393"/>
      <c r="AW263" s="393"/>
      <c r="AX263" s="393"/>
      <c r="AY263" s="393"/>
      <c r="AZ263" s="393"/>
      <c r="BA263" s="393"/>
      <c r="BB263" s="393"/>
      <c r="BC263" s="393"/>
      <c r="BD263" s="393"/>
      <c r="BE263" s="393"/>
      <c r="BF263" s="393"/>
      <c r="BG263" s="393"/>
      <c r="BH263" s="393"/>
      <c r="BI263" s="393"/>
      <c r="BJ263" s="393"/>
      <c r="BK263" s="393"/>
      <c r="BL263" s="393"/>
      <c r="BM263" s="393"/>
      <c r="BN263" s="393"/>
      <c r="BO263" s="393"/>
      <c r="BP263" s="393"/>
      <c r="BQ263" s="393"/>
      <c r="BR263" s="393"/>
      <c r="BS263" s="393"/>
      <c r="BT263" s="393"/>
      <c r="BU263" s="393"/>
      <c r="BV263" s="393"/>
      <c r="BW263" s="393"/>
      <c r="BX263" s="393"/>
      <c r="BY263" s="393"/>
      <c r="BZ263" s="393"/>
      <c r="CA263" s="393"/>
      <c r="CB263" s="393"/>
      <c r="CC263" s="393"/>
      <c r="CD263" s="393"/>
      <c r="CE263" s="393"/>
      <c r="CF263" s="393"/>
      <c r="CG263" s="393"/>
      <c r="CH263" s="393"/>
      <c r="CI263" s="393"/>
      <c r="CJ263" s="393"/>
      <c r="CK263" s="393"/>
      <c r="CL263" s="393"/>
      <c r="CM263" s="393"/>
      <c r="CN263" s="393"/>
      <c r="CO263" s="393"/>
      <c r="CP263" s="393"/>
      <c r="CQ263" s="393"/>
      <c r="CR263" s="393"/>
      <c r="CS263" s="393"/>
      <c r="CT263" s="393"/>
      <c r="CU263" s="393"/>
      <c r="CV263" s="393"/>
      <c r="CW263" s="393"/>
      <c r="CX263" s="393"/>
      <c r="CY263" s="393"/>
      <c r="CZ263" s="393"/>
      <c r="DA263" s="393"/>
      <c r="DB263" s="393"/>
      <c r="DC263" s="393"/>
      <c r="DD263" s="393"/>
      <c r="DE263" s="393"/>
      <c r="DF263" s="393"/>
      <c r="DG263" s="393"/>
      <c r="DH263" s="393"/>
      <c r="DI263" s="393"/>
      <c r="DJ263" s="393"/>
      <c r="DK263" s="393"/>
      <c r="DL263" s="393"/>
      <c r="DM263" s="393"/>
      <c r="DN263" s="393"/>
      <c r="DO263" s="393"/>
      <c r="DP263" s="393"/>
      <c r="DQ263" s="393"/>
      <c r="DR263" s="393"/>
      <c r="DS263" s="393"/>
      <c r="DT263" s="393"/>
      <c r="DU263" s="393"/>
      <c r="DV263" s="393"/>
      <c r="DW263" s="393"/>
      <c r="DX263" s="393"/>
      <c r="DY263" s="393"/>
      <c r="DZ263" s="393"/>
      <c r="EA263" s="393"/>
      <c r="EB263" s="393"/>
      <c r="EC263" s="393"/>
      <c r="ED263" s="393"/>
      <c r="EE263" s="393"/>
      <c r="EF263" s="393"/>
      <c r="EG263" s="393"/>
      <c r="EH263" s="393"/>
      <c r="EI263" s="393"/>
      <c r="EJ263" s="393"/>
      <c r="EK263" s="393"/>
      <c r="EL263" s="393"/>
      <c r="EM263" s="393"/>
      <c r="EN263" s="393"/>
      <c r="EO263" s="393"/>
      <c r="EP263" s="393"/>
      <c r="EQ263" s="393"/>
      <c r="ER263" s="393"/>
      <c r="ES263" s="393"/>
      <c r="ET263" s="393"/>
      <c r="EU263" s="393"/>
      <c r="EV263" s="393"/>
      <c r="EW263" s="393"/>
      <c r="EX263" s="393"/>
      <c r="EY263" s="393"/>
      <c r="EZ263" s="393"/>
      <c r="FA263" s="393"/>
      <c r="FB263" s="393"/>
      <c r="FC263" s="393"/>
      <c r="FD263" s="393"/>
      <c r="FE263" s="393"/>
      <c r="FF263" s="393"/>
      <c r="FG263" s="393"/>
      <c r="FH263" s="393"/>
      <c r="FI263" s="393"/>
      <c r="FJ263" s="393"/>
      <c r="FK263" s="393"/>
      <c r="FL263" s="393"/>
      <c r="FM263" s="393"/>
      <c r="FN263" s="393"/>
      <c r="FO263" s="393"/>
      <c r="FP263" s="393"/>
      <c r="FQ263" s="393"/>
      <c r="FR263" s="393"/>
      <c r="FS263" s="393"/>
      <c r="FT263" s="393"/>
      <c r="FU263" s="393"/>
      <c r="FV263" s="393"/>
      <c r="FW263" s="393"/>
      <c r="FX263" s="393"/>
      <c r="FY263" s="393"/>
      <c r="FZ263" s="393"/>
      <c r="GA263" s="393"/>
      <c r="GB263" s="393"/>
      <c r="GC263" s="393"/>
      <c r="GD263" s="393"/>
      <c r="GE263" s="393"/>
      <c r="GF263" s="393"/>
      <c r="GG263" s="393"/>
      <c r="GH263" s="393"/>
      <c r="GI263" s="393"/>
      <c r="GJ263" s="393"/>
      <c r="GK263" s="393"/>
      <c r="GL263" s="393"/>
      <c r="GM263" s="393"/>
      <c r="GN263" s="393"/>
      <c r="GO263" s="393"/>
      <c r="GP263" s="393"/>
      <c r="GQ263" s="393"/>
      <c r="GR263" s="393"/>
      <c r="GS263" s="393"/>
      <c r="GT263" s="393"/>
      <c r="GU263" s="393"/>
      <c r="GV263" s="393"/>
      <c r="GW263" s="393"/>
      <c r="GX263" s="393"/>
      <c r="GY263" s="393"/>
      <c r="GZ263" s="393"/>
      <c r="HA263" s="393"/>
      <c r="HB263" s="393"/>
      <c r="HC263" s="393"/>
      <c r="HD263" s="393"/>
      <c r="HE263" s="393"/>
      <c r="HF263" s="393"/>
      <c r="HG263" s="393"/>
      <c r="HH263" s="393"/>
      <c r="HI263" s="393"/>
      <c r="HJ263" s="393"/>
      <c r="HK263" s="393"/>
      <c r="HL263" s="393"/>
      <c r="HM263" s="393"/>
      <c r="HN263" s="393"/>
      <c r="HO263" s="393"/>
      <c r="HP263" s="393"/>
      <c r="HQ263" s="393"/>
      <c r="HR263" s="393"/>
      <c r="HS263" s="393"/>
      <c r="HT263" s="393"/>
      <c r="HU263" s="393"/>
      <c r="HV263" s="393"/>
      <c r="HW263" s="393"/>
      <c r="HX263" s="393"/>
      <c r="HY263" s="393"/>
      <c r="HZ263" s="393"/>
      <c r="IA263" s="393"/>
      <c r="IB263" s="393"/>
      <c r="IC263" s="393"/>
      <c r="ID263" s="393"/>
      <c r="IE263" s="393"/>
      <c r="IF263" s="393"/>
      <c r="IG263" s="393"/>
      <c r="IH263" s="393"/>
      <c r="II263" s="393"/>
      <c r="IJ263" s="393"/>
      <c r="IK263" s="393"/>
      <c r="IL263" s="393"/>
      <c r="IM263" s="393"/>
      <c r="IN263" s="393"/>
      <c r="IO263" s="393"/>
      <c r="IP263" s="393"/>
      <c r="IQ263" s="393"/>
      <c r="IR263" s="393"/>
    </row>
    <row r="264" spans="2:252" s="62" customFormat="1" ht="25.15" customHeight="1" x14ac:dyDescent="0.25">
      <c r="B264" s="181">
        <v>43479</v>
      </c>
      <c r="C264" s="317">
        <v>75</v>
      </c>
      <c r="D264" s="321">
        <f>IF(ISNUMBER(D263),Table3[[#This Row],[Amount]]+D263,0)</f>
        <v>258476.9</v>
      </c>
      <c r="E264" s="58"/>
      <c r="F264" s="58"/>
      <c r="G264" s="58"/>
      <c r="H264" s="58"/>
      <c r="I264" s="58"/>
      <c r="V264" s="393"/>
      <c r="W264" s="393"/>
      <c r="X264" s="393"/>
      <c r="Y264" s="393"/>
      <c r="Z264" s="393"/>
      <c r="AA264" s="393"/>
      <c r="AB264" s="393"/>
      <c r="AC264" s="393"/>
      <c r="AD264" s="393"/>
      <c r="AE264" s="393"/>
      <c r="AF264" s="393"/>
      <c r="AG264" s="393"/>
      <c r="AH264" s="393"/>
      <c r="AI264" s="393"/>
      <c r="AJ264" s="393"/>
      <c r="AK264" s="393"/>
      <c r="AL264" s="393"/>
      <c r="AM264" s="393"/>
      <c r="AN264" s="393"/>
      <c r="AO264" s="393"/>
      <c r="AP264" s="393"/>
      <c r="AQ264" s="393"/>
      <c r="AR264" s="393"/>
      <c r="AS264" s="393"/>
      <c r="AT264" s="393"/>
      <c r="AU264" s="393"/>
      <c r="AV264" s="393"/>
      <c r="AW264" s="393"/>
      <c r="AX264" s="393"/>
      <c r="AY264" s="393"/>
      <c r="AZ264" s="393"/>
      <c r="BA264" s="393"/>
      <c r="BB264" s="393"/>
      <c r="BC264" s="393"/>
      <c r="BD264" s="393"/>
      <c r="BE264" s="393"/>
      <c r="BF264" s="393"/>
      <c r="BG264" s="393"/>
      <c r="BH264" s="393"/>
      <c r="BI264" s="393"/>
      <c r="BJ264" s="393"/>
      <c r="BK264" s="393"/>
      <c r="BL264" s="393"/>
      <c r="BM264" s="393"/>
      <c r="BN264" s="393"/>
      <c r="BO264" s="393"/>
      <c r="BP264" s="393"/>
      <c r="BQ264" s="393"/>
      <c r="BR264" s="393"/>
      <c r="BS264" s="393"/>
      <c r="BT264" s="393"/>
      <c r="BU264" s="393"/>
      <c r="BV264" s="393"/>
      <c r="BW264" s="393"/>
      <c r="BX264" s="393"/>
      <c r="BY264" s="393"/>
      <c r="BZ264" s="393"/>
      <c r="CA264" s="393"/>
      <c r="CB264" s="393"/>
      <c r="CC264" s="393"/>
      <c r="CD264" s="393"/>
      <c r="CE264" s="393"/>
      <c r="CF264" s="393"/>
      <c r="CG264" s="393"/>
      <c r="CH264" s="393"/>
      <c r="CI264" s="393"/>
      <c r="CJ264" s="393"/>
      <c r="CK264" s="393"/>
      <c r="CL264" s="393"/>
      <c r="CM264" s="393"/>
      <c r="CN264" s="393"/>
      <c r="CO264" s="393"/>
      <c r="CP264" s="393"/>
      <c r="CQ264" s="393"/>
      <c r="CR264" s="393"/>
      <c r="CS264" s="393"/>
      <c r="CT264" s="393"/>
      <c r="CU264" s="393"/>
      <c r="CV264" s="393"/>
      <c r="CW264" s="393"/>
      <c r="CX264" s="393"/>
      <c r="CY264" s="393"/>
      <c r="CZ264" s="393"/>
      <c r="DA264" s="393"/>
      <c r="DB264" s="393"/>
      <c r="DC264" s="393"/>
      <c r="DD264" s="393"/>
      <c r="DE264" s="393"/>
      <c r="DF264" s="393"/>
      <c r="DG264" s="393"/>
      <c r="DH264" s="393"/>
      <c r="DI264" s="393"/>
      <c r="DJ264" s="393"/>
      <c r="DK264" s="393"/>
      <c r="DL264" s="393"/>
      <c r="DM264" s="393"/>
      <c r="DN264" s="393"/>
      <c r="DO264" s="393"/>
      <c r="DP264" s="393"/>
      <c r="DQ264" s="393"/>
      <c r="DR264" s="393"/>
      <c r="DS264" s="393"/>
      <c r="DT264" s="393"/>
      <c r="DU264" s="393"/>
      <c r="DV264" s="393"/>
      <c r="DW264" s="393"/>
      <c r="DX264" s="393"/>
      <c r="DY264" s="393"/>
      <c r="DZ264" s="393"/>
      <c r="EA264" s="393"/>
      <c r="EB264" s="393"/>
      <c r="EC264" s="393"/>
      <c r="ED264" s="393"/>
      <c r="EE264" s="393"/>
      <c r="EF264" s="393"/>
      <c r="EG264" s="393"/>
      <c r="EH264" s="393"/>
      <c r="EI264" s="393"/>
      <c r="EJ264" s="393"/>
      <c r="EK264" s="393"/>
      <c r="EL264" s="393"/>
      <c r="EM264" s="393"/>
      <c r="EN264" s="393"/>
      <c r="EO264" s="393"/>
      <c r="EP264" s="393"/>
      <c r="EQ264" s="393"/>
      <c r="ER264" s="393"/>
      <c r="ES264" s="393"/>
      <c r="ET264" s="393"/>
      <c r="EU264" s="393"/>
      <c r="EV264" s="393"/>
      <c r="EW264" s="393"/>
      <c r="EX264" s="393"/>
      <c r="EY264" s="393"/>
      <c r="EZ264" s="393"/>
      <c r="FA264" s="393"/>
      <c r="FB264" s="393"/>
      <c r="FC264" s="393"/>
      <c r="FD264" s="393"/>
      <c r="FE264" s="393"/>
      <c r="FF264" s="393"/>
      <c r="FG264" s="393"/>
      <c r="FH264" s="393"/>
      <c r="FI264" s="393"/>
      <c r="FJ264" s="393"/>
      <c r="FK264" s="393"/>
      <c r="FL264" s="393"/>
      <c r="FM264" s="393"/>
      <c r="FN264" s="393"/>
      <c r="FO264" s="393"/>
      <c r="FP264" s="393"/>
      <c r="FQ264" s="393"/>
      <c r="FR264" s="393"/>
      <c r="FS264" s="393"/>
      <c r="FT264" s="393"/>
      <c r="FU264" s="393"/>
      <c r="FV264" s="393"/>
      <c r="FW264" s="393"/>
      <c r="FX264" s="393"/>
      <c r="FY264" s="393"/>
      <c r="FZ264" s="393"/>
      <c r="GA264" s="393"/>
      <c r="GB264" s="393"/>
      <c r="GC264" s="393"/>
      <c r="GD264" s="393"/>
      <c r="GE264" s="393"/>
      <c r="GF264" s="393"/>
      <c r="GG264" s="393"/>
      <c r="GH264" s="393"/>
      <c r="GI264" s="393"/>
      <c r="GJ264" s="393"/>
      <c r="GK264" s="393"/>
      <c r="GL264" s="393"/>
      <c r="GM264" s="393"/>
      <c r="GN264" s="393"/>
      <c r="GO264" s="393"/>
      <c r="GP264" s="393"/>
      <c r="GQ264" s="393"/>
      <c r="GR264" s="393"/>
      <c r="GS264" s="393"/>
      <c r="GT264" s="393"/>
      <c r="GU264" s="393"/>
      <c r="GV264" s="393"/>
      <c r="GW264" s="393"/>
      <c r="GX264" s="393"/>
      <c r="GY264" s="393"/>
      <c r="GZ264" s="393"/>
      <c r="HA264" s="393"/>
      <c r="HB264" s="393"/>
      <c r="HC264" s="393"/>
      <c r="HD264" s="393"/>
      <c r="HE264" s="393"/>
      <c r="HF264" s="393"/>
      <c r="HG264" s="393"/>
      <c r="HH264" s="393"/>
      <c r="HI264" s="393"/>
      <c r="HJ264" s="393"/>
      <c r="HK264" s="393"/>
      <c r="HL264" s="393"/>
      <c r="HM264" s="393"/>
      <c r="HN264" s="393"/>
      <c r="HO264" s="393"/>
      <c r="HP264" s="393"/>
      <c r="HQ264" s="393"/>
      <c r="HR264" s="393"/>
      <c r="HS264" s="393"/>
      <c r="HT264" s="393"/>
      <c r="HU264" s="393"/>
      <c r="HV264" s="393"/>
      <c r="HW264" s="393"/>
      <c r="HX264" s="393"/>
      <c r="HY264" s="393"/>
      <c r="HZ264" s="393"/>
      <c r="IA264" s="393"/>
      <c r="IB264" s="393"/>
      <c r="IC264" s="393"/>
      <c r="ID264" s="393"/>
      <c r="IE264" s="393"/>
      <c r="IF264" s="393"/>
      <c r="IG264" s="393"/>
      <c r="IH264" s="393"/>
      <c r="II264" s="393"/>
      <c r="IJ264" s="393"/>
      <c r="IK264" s="393"/>
      <c r="IL264" s="393"/>
      <c r="IM264" s="393"/>
      <c r="IN264" s="393"/>
      <c r="IO264" s="393"/>
      <c r="IP264" s="393"/>
      <c r="IQ264" s="393"/>
      <c r="IR264" s="393"/>
    </row>
    <row r="265" spans="2:252" s="62" customFormat="1" ht="25.15" customHeight="1" x14ac:dyDescent="0.25">
      <c r="B265" s="181">
        <v>43493</v>
      </c>
      <c r="C265" s="317">
        <v>75</v>
      </c>
      <c r="D265" s="321">
        <f>IF(ISNUMBER(D264),Table3[[#This Row],[Amount]]+D264,0)</f>
        <v>258551.9</v>
      </c>
      <c r="E265" s="58"/>
      <c r="F265" s="58"/>
      <c r="G265" s="58"/>
      <c r="H265" s="58"/>
      <c r="I265" s="58"/>
      <c r="V265" s="393"/>
      <c r="W265" s="393"/>
      <c r="X265" s="393"/>
      <c r="Y265" s="393"/>
      <c r="Z265" s="393"/>
      <c r="AA265" s="393"/>
      <c r="AB265" s="393"/>
      <c r="AC265" s="393"/>
      <c r="AD265" s="393"/>
      <c r="AE265" s="393"/>
      <c r="AF265" s="393"/>
      <c r="AG265" s="393"/>
      <c r="AH265" s="393"/>
      <c r="AI265" s="393"/>
      <c r="AJ265" s="393"/>
      <c r="AK265" s="393"/>
      <c r="AL265" s="393"/>
      <c r="AM265" s="393"/>
      <c r="AN265" s="393"/>
      <c r="AO265" s="393"/>
      <c r="AP265" s="393"/>
      <c r="AQ265" s="393"/>
      <c r="AR265" s="393"/>
      <c r="AS265" s="393"/>
      <c r="AT265" s="393"/>
      <c r="AU265" s="393"/>
      <c r="AV265" s="393"/>
      <c r="AW265" s="393"/>
      <c r="AX265" s="393"/>
      <c r="AY265" s="393"/>
      <c r="AZ265" s="393"/>
      <c r="BA265" s="393"/>
      <c r="BB265" s="393"/>
      <c r="BC265" s="393"/>
      <c r="BD265" s="393"/>
      <c r="BE265" s="393"/>
      <c r="BF265" s="393"/>
      <c r="BG265" s="393"/>
      <c r="BH265" s="393"/>
      <c r="BI265" s="393"/>
      <c r="BJ265" s="393"/>
      <c r="BK265" s="393"/>
      <c r="BL265" s="393"/>
      <c r="BM265" s="393"/>
      <c r="BN265" s="393"/>
      <c r="BO265" s="393"/>
      <c r="BP265" s="393"/>
      <c r="BQ265" s="393"/>
      <c r="BR265" s="393"/>
      <c r="BS265" s="393"/>
      <c r="BT265" s="393"/>
      <c r="BU265" s="393"/>
      <c r="BV265" s="393"/>
      <c r="BW265" s="393"/>
      <c r="BX265" s="393"/>
      <c r="BY265" s="393"/>
      <c r="BZ265" s="393"/>
      <c r="CA265" s="393"/>
      <c r="CB265" s="393"/>
      <c r="CC265" s="393"/>
      <c r="CD265" s="393"/>
      <c r="CE265" s="393"/>
      <c r="CF265" s="393"/>
      <c r="CG265" s="393"/>
      <c r="CH265" s="393"/>
      <c r="CI265" s="393"/>
      <c r="CJ265" s="393"/>
      <c r="CK265" s="393"/>
      <c r="CL265" s="393"/>
      <c r="CM265" s="393"/>
      <c r="CN265" s="393"/>
      <c r="CO265" s="393"/>
      <c r="CP265" s="393"/>
      <c r="CQ265" s="393"/>
      <c r="CR265" s="393"/>
      <c r="CS265" s="393"/>
      <c r="CT265" s="393"/>
      <c r="CU265" s="393"/>
      <c r="CV265" s="393"/>
      <c r="CW265" s="393"/>
      <c r="CX265" s="393"/>
      <c r="CY265" s="393"/>
      <c r="CZ265" s="393"/>
      <c r="DA265" s="393"/>
      <c r="DB265" s="393"/>
      <c r="DC265" s="393"/>
      <c r="DD265" s="393"/>
      <c r="DE265" s="393"/>
      <c r="DF265" s="393"/>
      <c r="DG265" s="393"/>
      <c r="DH265" s="393"/>
      <c r="DI265" s="393"/>
      <c r="DJ265" s="393"/>
      <c r="DK265" s="393"/>
      <c r="DL265" s="393"/>
      <c r="DM265" s="393"/>
      <c r="DN265" s="393"/>
      <c r="DO265" s="393"/>
      <c r="DP265" s="393"/>
      <c r="DQ265" s="393"/>
      <c r="DR265" s="393"/>
      <c r="DS265" s="393"/>
      <c r="DT265" s="393"/>
      <c r="DU265" s="393"/>
      <c r="DV265" s="393"/>
      <c r="DW265" s="393"/>
      <c r="DX265" s="393"/>
      <c r="DY265" s="393"/>
      <c r="DZ265" s="393"/>
      <c r="EA265" s="393"/>
      <c r="EB265" s="393"/>
      <c r="EC265" s="393"/>
      <c r="ED265" s="393"/>
      <c r="EE265" s="393"/>
      <c r="EF265" s="393"/>
      <c r="EG265" s="393"/>
      <c r="EH265" s="393"/>
      <c r="EI265" s="393"/>
      <c r="EJ265" s="393"/>
      <c r="EK265" s="393"/>
      <c r="EL265" s="393"/>
      <c r="EM265" s="393"/>
      <c r="EN265" s="393"/>
      <c r="EO265" s="393"/>
      <c r="EP265" s="393"/>
      <c r="EQ265" s="393"/>
      <c r="ER265" s="393"/>
      <c r="ES265" s="393"/>
      <c r="ET265" s="393"/>
      <c r="EU265" s="393"/>
      <c r="EV265" s="393"/>
      <c r="EW265" s="393"/>
      <c r="EX265" s="393"/>
      <c r="EY265" s="393"/>
      <c r="EZ265" s="393"/>
      <c r="FA265" s="393"/>
      <c r="FB265" s="393"/>
      <c r="FC265" s="393"/>
      <c r="FD265" s="393"/>
      <c r="FE265" s="393"/>
      <c r="FF265" s="393"/>
      <c r="FG265" s="393"/>
      <c r="FH265" s="393"/>
      <c r="FI265" s="393"/>
      <c r="FJ265" s="393"/>
      <c r="FK265" s="393"/>
      <c r="FL265" s="393"/>
      <c r="FM265" s="393"/>
      <c r="FN265" s="393"/>
      <c r="FO265" s="393"/>
      <c r="FP265" s="393"/>
      <c r="FQ265" s="393"/>
      <c r="FR265" s="393"/>
      <c r="FS265" s="393"/>
      <c r="FT265" s="393"/>
      <c r="FU265" s="393"/>
      <c r="FV265" s="393"/>
      <c r="FW265" s="393"/>
      <c r="FX265" s="393"/>
      <c r="FY265" s="393"/>
      <c r="FZ265" s="393"/>
      <c r="GA265" s="393"/>
      <c r="GB265" s="393"/>
      <c r="GC265" s="393"/>
      <c r="GD265" s="393"/>
      <c r="GE265" s="393"/>
      <c r="GF265" s="393"/>
      <c r="GG265" s="393"/>
      <c r="GH265" s="393"/>
      <c r="GI265" s="393"/>
      <c r="GJ265" s="393"/>
      <c r="GK265" s="393"/>
      <c r="GL265" s="393"/>
      <c r="GM265" s="393"/>
      <c r="GN265" s="393"/>
      <c r="GO265" s="393"/>
      <c r="GP265" s="393"/>
      <c r="GQ265" s="393"/>
      <c r="GR265" s="393"/>
      <c r="GS265" s="393"/>
      <c r="GT265" s="393"/>
      <c r="GU265" s="393"/>
      <c r="GV265" s="393"/>
      <c r="GW265" s="393"/>
      <c r="GX265" s="393"/>
      <c r="GY265" s="393"/>
      <c r="GZ265" s="393"/>
      <c r="HA265" s="393"/>
      <c r="HB265" s="393"/>
      <c r="HC265" s="393"/>
      <c r="HD265" s="393"/>
      <c r="HE265" s="393"/>
      <c r="HF265" s="393"/>
      <c r="HG265" s="393"/>
      <c r="HH265" s="393"/>
      <c r="HI265" s="393"/>
      <c r="HJ265" s="393"/>
      <c r="HK265" s="393"/>
      <c r="HL265" s="393"/>
      <c r="HM265" s="393"/>
      <c r="HN265" s="393"/>
      <c r="HO265" s="393"/>
      <c r="HP265" s="393"/>
      <c r="HQ265" s="393"/>
      <c r="HR265" s="393"/>
      <c r="HS265" s="393"/>
      <c r="HT265" s="393"/>
      <c r="HU265" s="393"/>
      <c r="HV265" s="393"/>
      <c r="HW265" s="393"/>
      <c r="HX265" s="393"/>
      <c r="HY265" s="393"/>
      <c r="HZ265" s="393"/>
      <c r="IA265" s="393"/>
      <c r="IB265" s="393"/>
      <c r="IC265" s="393"/>
      <c r="ID265" s="393"/>
      <c r="IE265" s="393"/>
      <c r="IF265" s="393"/>
      <c r="IG265" s="393"/>
      <c r="IH265" s="393"/>
      <c r="II265" s="393"/>
      <c r="IJ265" s="393"/>
      <c r="IK265" s="393"/>
      <c r="IL265" s="393"/>
      <c r="IM265" s="393"/>
      <c r="IN265" s="393"/>
      <c r="IO265" s="393"/>
      <c r="IP265" s="393"/>
      <c r="IQ265" s="393"/>
      <c r="IR265" s="393"/>
    </row>
    <row r="266" spans="2:252" s="62" customFormat="1" ht="25.15" customHeight="1" x14ac:dyDescent="0.25">
      <c r="B266" s="181">
        <v>43507</v>
      </c>
      <c r="C266" s="317">
        <v>75</v>
      </c>
      <c r="D266" s="321">
        <f>IF(ISNUMBER(D265),Table3[[#This Row],[Amount]]+D265,0)</f>
        <v>258626.9</v>
      </c>
      <c r="E266" s="58"/>
      <c r="F266" s="58"/>
      <c r="G266" s="58"/>
      <c r="H266" s="58"/>
      <c r="I266" s="58"/>
      <c r="V266" s="393"/>
      <c r="W266" s="393"/>
      <c r="X266" s="393"/>
      <c r="Y266" s="393"/>
      <c r="Z266" s="393"/>
      <c r="AA266" s="393"/>
      <c r="AB266" s="393"/>
      <c r="AC266" s="393"/>
      <c r="AD266" s="393"/>
      <c r="AE266" s="393"/>
      <c r="AF266" s="393"/>
      <c r="AG266" s="393"/>
      <c r="AH266" s="393"/>
      <c r="AI266" s="393"/>
      <c r="AJ266" s="393"/>
      <c r="AK266" s="393"/>
      <c r="AL266" s="393"/>
      <c r="AM266" s="393"/>
      <c r="AN266" s="393"/>
      <c r="AO266" s="393"/>
      <c r="AP266" s="393"/>
      <c r="AQ266" s="393"/>
      <c r="AR266" s="393"/>
      <c r="AS266" s="393"/>
      <c r="AT266" s="393"/>
      <c r="AU266" s="393"/>
      <c r="AV266" s="393"/>
      <c r="AW266" s="393"/>
      <c r="AX266" s="393"/>
      <c r="AY266" s="393"/>
      <c r="AZ266" s="393"/>
      <c r="BA266" s="393"/>
      <c r="BB266" s="393"/>
      <c r="BC266" s="393"/>
      <c r="BD266" s="393"/>
      <c r="BE266" s="393"/>
      <c r="BF266" s="393"/>
      <c r="BG266" s="393"/>
      <c r="BH266" s="393"/>
      <c r="BI266" s="393"/>
      <c r="BJ266" s="393"/>
      <c r="BK266" s="393"/>
      <c r="BL266" s="393"/>
      <c r="BM266" s="393"/>
      <c r="BN266" s="393"/>
      <c r="BO266" s="393"/>
      <c r="BP266" s="393"/>
      <c r="BQ266" s="393"/>
      <c r="BR266" s="393"/>
      <c r="BS266" s="393"/>
      <c r="BT266" s="393"/>
      <c r="BU266" s="393"/>
      <c r="BV266" s="393"/>
      <c r="BW266" s="393"/>
      <c r="BX266" s="393"/>
      <c r="BY266" s="393"/>
      <c r="BZ266" s="393"/>
      <c r="CA266" s="393"/>
      <c r="CB266" s="393"/>
      <c r="CC266" s="393"/>
      <c r="CD266" s="393"/>
      <c r="CE266" s="393"/>
      <c r="CF266" s="393"/>
      <c r="CG266" s="393"/>
      <c r="CH266" s="393"/>
      <c r="CI266" s="393"/>
      <c r="CJ266" s="393"/>
      <c r="CK266" s="393"/>
      <c r="CL266" s="393"/>
      <c r="CM266" s="393"/>
      <c r="CN266" s="393"/>
      <c r="CO266" s="393"/>
      <c r="CP266" s="393"/>
      <c r="CQ266" s="393"/>
      <c r="CR266" s="393"/>
      <c r="CS266" s="393"/>
      <c r="CT266" s="393"/>
      <c r="CU266" s="393"/>
      <c r="CV266" s="393"/>
      <c r="CW266" s="393"/>
      <c r="CX266" s="393"/>
      <c r="CY266" s="393"/>
      <c r="CZ266" s="393"/>
      <c r="DA266" s="393"/>
      <c r="DB266" s="393"/>
      <c r="DC266" s="393"/>
      <c r="DD266" s="393"/>
      <c r="DE266" s="393"/>
      <c r="DF266" s="393"/>
      <c r="DG266" s="393"/>
      <c r="DH266" s="393"/>
      <c r="DI266" s="393"/>
      <c r="DJ266" s="393"/>
      <c r="DK266" s="393"/>
      <c r="DL266" s="393"/>
      <c r="DM266" s="393"/>
      <c r="DN266" s="393"/>
      <c r="DO266" s="393"/>
      <c r="DP266" s="393"/>
      <c r="DQ266" s="393"/>
      <c r="DR266" s="393"/>
      <c r="DS266" s="393"/>
      <c r="DT266" s="393"/>
      <c r="DU266" s="393"/>
      <c r="DV266" s="393"/>
      <c r="DW266" s="393"/>
      <c r="DX266" s="393"/>
      <c r="DY266" s="393"/>
      <c r="DZ266" s="393"/>
      <c r="EA266" s="393"/>
      <c r="EB266" s="393"/>
      <c r="EC266" s="393"/>
      <c r="ED266" s="393"/>
      <c r="EE266" s="393"/>
      <c r="EF266" s="393"/>
      <c r="EG266" s="393"/>
      <c r="EH266" s="393"/>
      <c r="EI266" s="393"/>
      <c r="EJ266" s="393"/>
      <c r="EK266" s="393"/>
      <c r="EL266" s="393"/>
      <c r="EM266" s="393"/>
      <c r="EN266" s="393"/>
      <c r="EO266" s="393"/>
      <c r="EP266" s="393"/>
      <c r="EQ266" s="393"/>
      <c r="ER266" s="393"/>
      <c r="ES266" s="393"/>
      <c r="ET266" s="393"/>
      <c r="EU266" s="393"/>
      <c r="EV266" s="393"/>
      <c r="EW266" s="393"/>
      <c r="EX266" s="393"/>
      <c r="EY266" s="393"/>
      <c r="EZ266" s="393"/>
      <c r="FA266" s="393"/>
      <c r="FB266" s="393"/>
      <c r="FC266" s="393"/>
      <c r="FD266" s="393"/>
      <c r="FE266" s="393"/>
      <c r="FF266" s="393"/>
      <c r="FG266" s="393"/>
      <c r="FH266" s="393"/>
      <c r="FI266" s="393"/>
      <c r="FJ266" s="393"/>
      <c r="FK266" s="393"/>
      <c r="FL266" s="393"/>
      <c r="FM266" s="393"/>
      <c r="FN266" s="393"/>
      <c r="FO266" s="393"/>
      <c r="FP266" s="393"/>
      <c r="FQ266" s="393"/>
      <c r="FR266" s="393"/>
      <c r="FS266" s="393"/>
      <c r="FT266" s="393"/>
      <c r="FU266" s="393"/>
      <c r="FV266" s="393"/>
      <c r="FW266" s="393"/>
      <c r="FX266" s="393"/>
      <c r="FY266" s="393"/>
      <c r="FZ266" s="393"/>
      <c r="GA266" s="393"/>
      <c r="GB266" s="393"/>
      <c r="GC266" s="393"/>
      <c r="GD266" s="393"/>
      <c r="GE266" s="393"/>
      <c r="GF266" s="393"/>
      <c r="GG266" s="393"/>
      <c r="GH266" s="393"/>
      <c r="GI266" s="393"/>
      <c r="GJ266" s="393"/>
      <c r="GK266" s="393"/>
      <c r="GL266" s="393"/>
      <c r="GM266" s="393"/>
      <c r="GN266" s="393"/>
      <c r="GO266" s="393"/>
      <c r="GP266" s="393"/>
      <c r="GQ266" s="393"/>
      <c r="GR266" s="393"/>
      <c r="GS266" s="393"/>
      <c r="GT266" s="393"/>
      <c r="GU266" s="393"/>
      <c r="GV266" s="393"/>
      <c r="GW266" s="393"/>
      <c r="GX266" s="393"/>
      <c r="GY266" s="393"/>
      <c r="GZ266" s="393"/>
      <c r="HA266" s="393"/>
      <c r="HB266" s="393"/>
      <c r="HC266" s="393"/>
      <c r="HD266" s="393"/>
      <c r="HE266" s="393"/>
      <c r="HF266" s="393"/>
      <c r="HG266" s="393"/>
      <c r="HH266" s="393"/>
      <c r="HI266" s="393"/>
      <c r="HJ266" s="393"/>
      <c r="HK266" s="393"/>
      <c r="HL266" s="393"/>
      <c r="HM266" s="393"/>
      <c r="HN266" s="393"/>
      <c r="HO266" s="393"/>
      <c r="HP266" s="393"/>
      <c r="HQ266" s="393"/>
      <c r="HR266" s="393"/>
      <c r="HS266" s="393"/>
      <c r="HT266" s="393"/>
      <c r="HU266" s="393"/>
      <c r="HV266" s="393"/>
      <c r="HW266" s="393"/>
      <c r="HX266" s="393"/>
      <c r="HY266" s="393"/>
      <c r="HZ266" s="393"/>
      <c r="IA266" s="393"/>
      <c r="IB266" s="393"/>
      <c r="IC266" s="393"/>
      <c r="ID266" s="393"/>
      <c r="IE266" s="393"/>
      <c r="IF266" s="393"/>
      <c r="IG266" s="393"/>
      <c r="IH266" s="393"/>
      <c r="II266" s="393"/>
      <c r="IJ266" s="393"/>
      <c r="IK266" s="393"/>
      <c r="IL266" s="393"/>
      <c r="IM266" s="393"/>
      <c r="IN266" s="393"/>
      <c r="IO266" s="393"/>
      <c r="IP266" s="393"/>
      <c r="IQ266" s="393"/>
      <c r="IR266" s="393"/>
    </row>
    <row r="267" spans="2:252" s="62" customFormat="1" ht="25.15" customHeight="1" x14ac:dyDescent="0.25">
      <c r="B267" s="181">
        <v>43521</v>
      </c>
      <c r="C267" s="317">
        <v>75</v>
      </c>
      <c r="D267" s="321">
        <f>IF(ISNUMBER(D266),Table3[[#This Row],[Amount]]+D266,0)</f>
        <v>258701.9</v>
      </c>
      <c r="E267" s="58"/>
      <c r="F267" s="58"/>
      <c r="G267" s="58"/>
      <c r="H267" s="58"/>
      <c r="I267" s="58"/>
      <c r="V267" s="393"/>
      <c r="W267" s="393"/>
      <c r="X267" s="393"/>
      <c r="Y267" s="393"/>
      <c r="Z267" s="393"/>
      <c r="AA267" s="393"/>
      <c r="AB267" s="393"/>
      <c r="AC267" s="393"/>
      <c r="AD267" s="393"/>
      <c r="AE267" s="393"/>
      <c r="AF267" s="393"/>
      <c r="AG267" s="393"/>
      <c r="AH267" s="393"/>
      <c r="AI267" s="393"/>
      <c r="AJ267" s="393"/>
      <c r="AK267" s="393"/>
      <c r="AL267" s="393"/>
      <c r="AM267" s="393"/>
      <c r="AN267" s="393"/>
      <c r="AO267" s="393"/>
      <c r="AP267" s="393"/>
      <c r="AQ267" s="393"/>
      <c r="AR267" s="393"/>
      <c r="AS267" s="393"/>
      <c r="AT267" s="393"/>
      <c r="AU267" s="393"/>
      <c r="AV267" s="393"/>
      <c r="AW267" s="393"/>
      <c r="AX267" s="393"/>
      <c r="AY267" s="393"/>
      <c r="AZ267" s="393"/>
      <c r="BA267" s="393"/>
      <c r="BB267" s="393"/>
      <c r="BC267" s="393"/>
      <c r="BD267" s="393"/>
      <c r="BE267" s="393"/>
      <c r="BF267" s="393"/>
      <c r="BG267" s="393"/>
      <c r="BH267" s="393"/>
      <c r="BI267" s="393"/>
      <c r="BJ267" s="393"/>
      <c r="BK267" s="393"/>
      <c r="BL267" s="393"/>
      <c r="BM267" s="393"/>
      <c r="BN267" s="393"/>
      <c r="BO267" s="393"/>
      <c r="BP267" s="393"/>
      <c r="BQ267" s="393"/>
      <c r="BR267" s="393"/>
      <c r="BS267" s="393"/>
      <c r="BT267" s="393"/>
      <c r="BU267" s="393"/>
      <c r="BV267" s="393"/>
      <c r="BW267" s="393"/>
      <c r="BX267" s="393"/>
      <c r="BY267" s="393"/>
      <c r="BZ267" s="393"/>
      <c r="CA267" s="393"/>
      <c r="CB267" s="393"/>
      <c r="CC267" s="393"/>
      <c r="CD267" s="393"/>
      <c r="CE267" s="393"/>
      <c r="CF267" s="393"/>
      <c r="CG267" s="393"/>
      <c r="CH267" s="393"/>
      <c r="CI267" s="393"/>
      <c r="CJ267" s="393"/>
      <c r="CK267" s="393"/>
      <c r="CL267" s="393"/>
      <c r="CM267" s="393"/>
      <c r="CN267" s="393"/>
      <c r="CO267" s="393"/>
      <c r="CP267" s="393"/>
      <c r="CQ267" s="393"/>
      <c r="CR267" s="393"/>
      <c r="CS267" s="393"/>
      <c r="CT267" s="393"/>
      <c r="CU267" s="393"/>
      <c r="CV267" s="393"/>
      <c r="CW267" s="393"/>
      <c r="CX267" s="393"/>
      <c r="CY267" s="393"/>
      <c r="CZ267" s="393"/>
      <c r="DA267" s="393"/>
      <c r="DB267" s="393"/>
      <c r="DC267" s="393"/>
      <c r="DD267" s="393"/>
      <c r="DE267" s="393"/>
      <c r="DF267" s="393"/>
      <c r="DG267" s="393"/>
      <c r="DH267" s="393"/>
      <c r="DI267" s="393"/>
      <c r="DJ267" s="393"/>
      <c r="DK267" s="393"/>
      <c r="DL267" s="393"/>
      <c r="DM267" s="393"/>
      <c r="DN267" s="393"/>
      <c r="DO267" s="393"/>
      <c r="DP267" s="393"/>
      <c r="DQ267" s="393"/>
      <c r="DR267" s="393"/>
      <c r="DS267" s="393"/>
      <c r="DT267" s="393"/>
      <c r="DU267" s="393"/>
      <c r="DV267" s="393"/>
      <c r="DW267" s="393"/>
      <c r="DX267" s="393"/>
      <c r="DY267" s="393"/>
      <c r="DZ267" s="393"/>
      <c r="EA267" s="393"/>
      <c r="EB267" s="393"/>
      <c r="EC267" s="393"/>
      <c r="ED267" s="393"/>
      <c r="EE267" s="393"/>
      <c r="EF267" s="393"/>
      <c r="EG267" s="393"/>
      <c r="EH267" s="393"/>
      <c r="EI267" s="393"/>
      <c r="EJ267" s="393"/>
      <c r="EK267" s="393"/>
      <c r="EL267" s="393"/>
      <c r="EM267" s="393"/>
      <c r="EN267" s="393"/>
      <c r="EO267" s="393"/>
      <c r="EP267" s="393"/>
      <c r="EQ267" s="393"/>
      <c r="ER267" s="393"/>
      <c r="ES267" s="393"/>
      <c r="ET267" s="393"/>
      <c r="EU267" s="393"/>
      <c r="EV267" s="393"/>
      <c r="EW267" s="393"/>
      <c r="EX267" s="393"/>
      <c r="EY267" s="393"/>
      <c r="EZ267" s="393"/>
      <c r="FA267" s="393"/>
      <c r="FB267" s="393"/>
      <c r="FC267" s="393"/>
      <c r="FD267" s="393"/>
      <c r="FE267" s="393"/>
      <c r="FF267" s="393"/>
      <c r="FG267" s="393"/>
      <c r="FH267" s="393"/>
      <c r="FI267" s="393"/>
      <c r="FJ267" s="393"/>
      <c r="FK267" s="393"/>
      <c r="FL267" s="393"/>
      <c r="FM267" s="393"/>
      <c r="FN267" s="393"/>
      <c r="FO267" s="393"/>
      <c r="FP267" s="393"/>
      <c r="FQ267" s="393"/>
      <c r="FR267" s="393"/>
      <c r="FS267" s="393"/>
      <c r="FT267" s="393"/>
      <c r="FU267" s="393"/>
      <c r="FV267" s="393"/>
      <c r="FW267" s="393"/>
      <c r="FX267" s="393"/>
      <c r="FY267" s="393"/>
      <c r="FZ267" s="393"/>
      <c r="GA267" s="393"/>
      <c r="GB267" s="393"/>
      <c r="GC267" s="393"/>
      <c r="GD267" s="393"/>
      <c r="GE267" s="393"/>
      <c r="GF267" s="393"/>
      <c r="GG267" s="393"/>
      <c r="GH267" s="393"/>
      <c r="GI267" s="393"/>
      <c r="GJ267" s="393"/>
      <c r="GK267" s="393"/>
      <c r="GL267" s="393"/>
      <c r="GM267" s="393"/>
      <c r="GN267" s="393"/>
      <c r="GO267" s="393"/>
      <c r="GP267" s="393"/>
      <c r="GQ267" s="393"/>
      <c r="GR267" s="393"/>
      <c r="GS267" s="393"/>
      <c r="GT267" s="393"/>
      <c r="GU267" s="393"/>
      <c r="GV267" s="393"/>
      <c r="GW267" s="393"/>
      <c r="GX267" s="393"/>
      <c r="GY267" s="393"/>
      <c r="GZ267" s="393"/>
      <c r="HA267" s="393"/>
      <c r="HB267" s="393"/>
      <c r="HC267" s="393"/>
      <c r="HD267" s="393"/>
      <c r="HE267" s="393"/>
      <c r="HF267" s="393"/>
      <c r="HG267" s="393"/>
      <c r="HH267" s="393"/>
      <c r="HI267" s="393"/>
      <c r="HJ267" s="393"/>
      <c r="HK267" s="393"/>
      <c r="HL267" s="393"/>
      <c r="HM267" s="393"/>
      <c r="HN267" s="393"/>
      <c r="HO267" s="393"/>
      <c r="HP267" s="393"/>
      <c r="HQ267" s="393"/>
      <c r="HR267" s="393"/>
      <c r="HS267" s="393"/>
      <c r="HT267" s="393"/>
      <c r="HU267" s="393"/>
      <c r="HV267" s="393"/>
      <c r="HW267" s="393"/>
      <c r="HX267" s="393"/>
      <c r="HY267" s="393"/>
      <c r="HZ267" s="393"/>
      <c r="IA267" s="393"/>
      <c r="IB267" s="393"/>
      <c r="IC267" s="393"/>
      <c r="ID267" s="393"/>
      <c r="IE267" s="393"/>
      <c r="IF267" s="393"/>
      <c r="IG267" s="393"/>
      <c r="IH267" s="393"/>
      <c r="II267" s="393"/>
      <c r="IJ267" s="393"/>
      <c r="IK267" s="393"/>
      <c r="IL267" s="393"/>
      <c r="IM267" s="393"/>
      <c r="IN267" s="393"/>
      <c r="IO267" s="393"/>
      <c r="IP267" s="393"/>
      <c r="IQ267" s="393"/>
      <c r="IR267" s="393"/>
    </row>
    <row r="268" spans="2:252" s="62" customFormat="1" ht="25.15" customHeight="1" x14ac:dyDescent="0.25">
      <c r="B268" s="181">
        <v>43535</v>
      </c>
      <c r="C268" s="317">
        <v>75</v>
      </c>
      <c r="D268" s="321">
        <f>IF(ISNUMBER(D267),Table3[[#This Row],[Amount]]+D267,0)</f>
        <v>258776.9</v>
      </c>
      <c r="E268" s="58"/>
      <c r="F268" s="58"/>
      <c r="G268" s="58"/>
      <c r="H268" s="58"/>
      <c r="I268" s="58"/>
      <c r="V268" s="393"/>
      <c r="W268" s="393"/>
      <c r="X268" s="393"/>
      <c r="Y268" s="393"/>
      <c r="Z268" s="393"/>
      <c r="AA268" s="393"/>
      <c r="AB268" s="393"/>
      <c r="AC268" s="393"/>
      <c r="AD268" s="393"/>
      <c r="AE268" s="393"/>
      <c r="AF268" s="393"/>
      <c r="AG268" s="393"/>
      <c r="AH268" s="393"/>
      <c r="AI268" s="393"/>
      <c r="AJ268" s="393"/>
      <c r="AK268" s="393"/>
      <c r="AL268" s="393"/>
      <c r="AM268" s="393"/>
      <c r="AN268" s="393"/>
      <c r="AO268" s="393"/>
      <c r="AP268" s="393"/>
      <c r="AQ268" s="393"/>
      <c r="AR268" s="393"/>
      <c r="AS268" s="393"/>
      <c r="AT268" s="393"/>
      <c r="AU268" s="393"/>
      <c r="AV268" s="393"/>
      <c r="AW268" s="393"/>
      <c r="AX268" s="393"/>
      <c r="AY268" s="393"/>
      <c r="AZ268" s="393"/>
      <c r="BA268" s="393"/>
      <c r="BB268" s="393"/>
      <c r="BC268" s="393"/>
      <c r="BD268" s="393"/>
      <c r="BE268" s="393"/>
      <c r="BF268" s="393"/>
      <c r="BG268" s="393"/>
      <c r="BH268" s="393"/>
      <c r="BI268" s="393"/>
      <c r="BJ268" s="393"/>
      <c r="BK268" s="393"/>
      <c r="BL268" s="393"/>
      <c r="BM268" s="393"/>
      <c r="BN268" s="393"/>
      <c r="BO268" s="393"/>
      <c r="BP268" s="393"/>
      <c r="BQ268" s="393"/>
      <c r="BR268" s="393"/>
      <c r="BS268" s="393"/>
      <c r="BT268" s="393"/>
      <c r="BU268" s="393"/>
      <c r="BV268" s="393"/>
      <c r="BW268" s="393"/>
      <c r="BX268" s="393"/>
      <c r="BY268" s="393"/>
      <c r="BZ268" s="393"/>
      <c r="CA268" s="393"/>
      <c r="CB268" s="393"/>
      <c r="CC268" s="393"/>
      <c r="CD268" s="393"/>
      <c r="CE268" s="393"/>
      <c r="CF268" s="393"/>
      <c r="CG268" s="393"/>
      <c r="CH268" s="393"/>
      <c r="CI268" s="393"/>
      <c r="CJ268" s="393"/>
      <c r="CK268" s="393"/>
      <c r="CL268" s="393"/>
      <c r="CM268" s="393"/>
      <c r="CN268" s="393"/>
      <c r="CO268" s="393"/>
      <c r="CP268" s="393"/>
      <c r="CQ268" s="393"/>
      <c r="CR268" s="393"/>
      <c r="CS268" s="393"/>
      <c r="CT268" s="393"/>
      <c r="CU268" s="393"/>
      <c r="CV268" s="393"/>
      <c r="CW268" s="393"/>
      <c r="CX268" s="393"/>
      <c r="CY268" s="393"/>
      <c r="CZ268" s="393"/>
      <c r="DA268" s="393"/>
      <c r="DB268" s="393"/>
      <c r="DC268" s="393"/>
      <c r="DD268" s="393"/>
      <c r="DE268" s="393"/>
      <c r="DF268" s="393"/>
      <c r="DG268" s="393"/>
      <c r="DH268" s="393"/>
      <c r="DI268" s="393"/>
      <c r="DJ268" s="393"/>
      <c r="DK268" s="393"/>
      <c r="DL268" s="393"/>
      <c r="DM268" s="393"/>
      <c r="DN268" s="393"/>
      <c r="DO268" s="393"/>
      <c r="DP268" s="393"/>
      <c r="DQ268" s="393"/>
      <c r="DR268" s="393"/>
      <c r="DS268" s="393"/>
      <c r="DT268" s="393"/>
      <c r="DU268" s="393"/>
      <c r="DV268" s="393"/>
      <c r="DW268" s="393"/>
      <c r="DX268" s="393"/>
      <c r="DY268" s="393"/>
      <c r="DZ268" s="393"/>
      <c r="EA268" s="393"/>
      <c r="EB268" s="393"/>
      <c r="EC268" s="393"/>
      <c r="ED268" s="393"/>
      <c r="EE268" s="393"/>
      <c r="EF268" s="393"/>
      <c r="EG268" s="393"/>
      <c r="EH268" s="393"/>
      <c r="EI268" s="393"/>
      <c r="EJ268" s="393"/>
      <c r="EK268" s="393"/>
      <c r="EL268" s="393"/>
      <c r="EM268" s="393"/>
      <c r="EN268" s="393"/>
      <c r="EO268" s="393"/>
      <c r="EP268" s="393"/>
      <c r="EQ268" s="393"/>
      <c r="ER268" s="393"/>
      <c r="ES268" s="393"/>
      <c r="ET268" s="393"/>
      <c r="EU268" s="393"/>
      <c r="EV268" s="393"/>
      <c r="EW268" s="393"/>
      <c r="EX268" s="393"/>
      <c r="EY268" s="393"/>
      <c r="EZ268" s="393"/>
      <c r="FA268" s="393"/>
      <c r="FB268" s="393"/>
      <c r="FC268" s="393"/>
      <c r="FD268" s="393"/>
      <c r="FE268" s="393"/>
      <c r="FF268" s="393"/>
      <c r="FG268" s="393"/>
      <c r="FH268" s="393"/>
      <c r="FI268" s="393"/>
      <c r="FJ268" s="393"/>
      <c r="FK268" s="393"/>
      <c r="FL268" s="393"/>
      <c r="FM268" s="393"/>
      <c r="FN268" s="393"/>
      <c r="FO268" s="393"/>
      <c r="FP268" s="393"/>
      <c r="FQ268" s="393"/>
      <c r="FR268" s="393"/>
      <c r="FS268" s="393"/>
      <c r="FT268" s="393"/>
      <c r="FU268" s="393"/>
      <c r="FV268" s="393"/>
      <c r="FW268" s="393"/>
      <c r="FX268" s="393"/>
      <c r="FY268" s="393"/>
      <c r="FZ268" s="393"/>
      <c r="GA268" s="393"/>
      <c r="GB268" s="393"/>
      <c r="GC268" s="393"/>
      <c r="GD268" s="393"/>
      <c r="GE268" s="393"/>
      <c r="GF268" s="393"/>
      <c r="GG268" s="393"/>
      <c r="GH268" s="393"/>
      <c r="GI268" s="393"/>
      <c r="GJ268" s="393"/>
      <c r="GK268" s="393"/>
      <c r="GL268" s="393"/>
      <c r="GM268" s="393"/>
      <c r="GN268" s="393"/>
      <c r="GO268" s="393"/>
      <c r="GP268" s="393"/>
      <c r="GQ268" s="393"/>
      <c r="GR268" s="393"/>
      <c r="GS268" s="393"/>
      <c r="GT268" s="393"/>
      <c r="GU268" s="393"/>
      <c r="GV268" s="393"/>
      <c r="GW268" s="393"/>
      <c r="GX268" s="393"/>
      <c r="GY268" s="393"/>
      <c r="GZ268" s="393"/>
      <c r="HA268" s="393"/>
      <c r="HB268" s="393"/>
      <c r="HC268" s="393"/>
      <c r="HD268" s="393"/>
      <c r="HE268" s="393"/>
      <c r="HF268" s="393"/>
      <c r="HG268" s="393"/>
      <c r="HH268" s="393"/>
      <c r="HI268" s="393"/>
      <c r="HJ268" s="393"/>
      <c r="HK268" s="393"/>
      <c r="HL268" s="393"/>
      <c r="HM268" s="393"/>
      <c r="HN268" s="393"/>
      <c r="HO268" s="393"/>
      <c r="HP268" s="393"/>
      <c r="HQ268" s="393"/>
      <c r="HR268" s="393"/>
      <c r="HS268" s="393"/>
      <c r="HT268" s="393"/>
      <c r="HU268" s="393"/>
      <c r="HV268" s="393"/>
      <c r="HW268" s="393"/>
      <c r="HX268" s="393"/>
      <c r="HY268" s="393"/>
      <c r="HZ268" s="393"/>
      <c r="IA268" s="393"/>
      <c r="IB268" s="393"/>
      <c r="IC268" s="393"/>
      <c r="ID268" s="393"/>
      <c r="IE268" s="393"/>
      <c r="IF268" s="393"/>
      <c r="IG268" s="393"/>
      <c r="IH268" s="393"/>
      <c r="II268" s="393"/>
      <c r="IJ268" s="393"/>
      <c r="IK268" s="393"/>
      <c r="IL268" s="393"/>
      <c r="IM268" s="393"/>
      <c r="IN268" s="393"/>
      <c r="IO268" s="393"/>
      <c r="IP268" s="393"/>
      <c r="IQ268" s="393"/>
      <c r="IR268" s="393"/>
    </row>
    <row r="269" spans="2:252" s="62" customFormat="1" ht="25.15" customHeight="1" x14ac:dyDescent="0.25">
      <c r="B269" s="181">
        <v>43549</v>
      </c>
      <c r="C269" s="317">
        <v>13936.92</v>
      </c>
      <c r="D269" s="321">
        <f>IF(ISNUMBER(D268),Table3[[#This Row],[Amount]]+D268,0)</f>
        <v>272713.82</v>
      </c>
      <c r="E269" s="58"/>
      <c r="F269" s="58"/>
      <c r="G269" s="58"/>
      <c r="H269" s="58"/>
      <c r="I269" s="58"/>
      <c r="V269" s="393"/>
      <c r="W269" s="393"/>
      <c r="X269" s="393"/>
      <c r="Y269" s="393"/>
      <c r="Z269" s="393"/>
      <c r="AA269" s="393"/>
      <c r="AB269" s="393"/>
      <c r="AC269" s="393"/>
      <c r="AD269" s="393"/>
      <c r="AE269" s="393"/>
      <c r="AF269" s="393"/>
      <c r="AG269" s="393"/>
      <c r="AH269" s="393"/>
      <c r="AI269" s="393"/>
      <c r="AJ269" s="393"/>
      <c r="AK269" s="393"/>
      <c r="AL269" s="393"/>
      <c r="AM269" s="393"/>
      <c r="AN269" s="393"/>
      <c r="AO269" s="393"/>
      <c r="AP269" s="393"/>
      <c r="AQ269" s="393"/>
      <c r="AR269" s="393"/>
      <c r="AS269" s="393"/>
      <c r="AT269" s="393"/>
      <c r="AU269" s="393"/>
      <c r="AV269" s="393"/>
      <c r="AW269" s="393"/>
      <c r="AX269" s="393"/>
      <c r="AY269" s="393"/>
      <c r="AZ269" s="393"/>
      <c r="BA269" s="393"/>
      <c r="BB269" s="393"/>
      <c r="BC269" s="393"/>
      <c r="BD269" s="393"/>
      <c r="BE269" s="393"/>
      <c r="BF269" s="393"/>
      <c r="BG269" s="393"/>
      <c r="BH269" s="393"/>
      <c r="BI269" s="393"/>
      <c r="BJ269" s="393"/>
      <c r="BK269" s="393"/>
      <c r="BL269" s="393"/>
      <c r="BM269" s="393"/>
      <c r="BN269" s="393"/>
      <c r="BO269" s="393"/>
      <c r="BP269" s="393"/>
      <c r="BQ269" s="393"/>
      <c r="BR269" s="393"/>
      <c r="BS269" s="393"/>
      <c r="BT269" s="393"/>
      <c r="BU269" s="393"/>
      <c r="BV269" s="393"/>
      <c r="BW269" s="393"/>
      <c r="BX269" s="393"/>
      <c r="BY269" s="393"/>
      <c r="BZ269" s="393"/>
      <c r="CA269" s="393"/>
      <c r="CB269" s="393"/>
      <c r="CC269" s="393"/>
      <c r="CD269" s="393"/>
      <c r="CE269" s="393"/>
      <c r="CF269" s="393"/>
      <c r="CG269" s="393"/>
      <c r="CH269" s="393"/>
      <c r="CI269" s="393"/>
      <c r="CJ269" s="393"/>
      <c r="CK269" s="393"/>
      <c r="CL269" s="393"/>
      <c r="CM269" s="393"/>
      <c r="CN269" s="393"/>
      <c r="CO269" s="393"/>
      <c r="CP269" s="393"/>
      <c r="CQ269" s="393"/>
      <c r="CR269" s="393"/>
      <c r="CS269" s="393"/>
      <c r="CT269" s="393"/>
      <c r="CU269" s="393"/>
      <c r="CV269" s="393"/>
      <c r="CW269" s="393"/>
      <c r="CX269" s="393"/>
      <c r="CY269" s="393"/>
      <c r="CZ269" s="393"/>
      <c r="DA269" s="393"/>
      <c r="DB269" s="393"/>
      <c r="DC269" s="393"/>
      <c r="DD269" s="393"/>
      <c r="DE269" s="393"/>
      <c r="DF269" s="393"/>
      <c r="DG269" s="393"/>
      <c r="DH269" s="393"/>
      <c r="DI269" s="393"/>
      <c r="DJ269" s="393"/>
      <c r="DK269" s="393"/>
      <c r="DL269" s="393"/>
      <c r="DM269" s="393"/>
      <c r="DN269" s="393"/>
      <c r="DO269" s="393"/>
      <c r="DP269" s="393"/>
      <c r="DQ269" s="393"/>
      <c r="DR269" s="393"/>
      <c r="DS269" s="393"/>
      <c r="DT269" s="393"/>
      <c r="DU269" s="393"/>
      <c r="DV269" s="393"/>
      <c r="DW269" s="393"/>
      <c r="DX269" s="393"/>
      <c r="DY269" s="393"/>
      <c r="DZ269" s="393"/>
      <c r="EA269" s="393"/>
      <c r="EB269" s="393"/>
      <c r="EC269" s="393"/>
      <c r="ED269" s="393"/>
      <c r="EE269" s="393"/>
      <c r="EF269" s="393"/>
      <c r="EG269" s="393"/>
      <c r="EH269" s="393"/>
      <c r="EI269" s="393"/>
      <c r="EJ269" s="393"/>
      <c r="EK269" s="393"/>
      <c r="EL269" s="393"/>
      <c r="EM269" s="393"/>
      <c r="EN269" s="393"/>
      <c r="EO269" s="393"/>
      <c r="EP269" s="393"/>
      <c r="EQ269" s="393"/>
      <c r="ER269" s="393"/>
      <c r="ES269" s="393"/>
      <c r="ET269" s="393"/>
      <c r="EU269" s="393"/>
      <c r="EV269" s="393"/>
      <c r="EW269" s="393"/>
      <c r="EX269" s="393"/>
      <c r="EY269" s="393"/>
      <c r="EZ269" s="393"/>
      <c r="FA269" s="393"/>
      <c r="FB269" s="393"/>
      <c r="FC269" s="393"/>
      <c r="FD269" s="393"/>
      <c r="FE269" s="393"/>
      <c r="FF269" s="393"/>
      <c r="FG269" s="393"/>
      <c r="FH269" s="393"/>
      <c r="FI269" s="393"/>
      <c r="FJ269" s="393"/>
      <c r="FK269" s="393"/>
      <c r="FL269" s="393"/>
      <c r="FM269" s="393"/>
      <c r="FN269" s="393"/>
      <c r="FO269" s="393"/>
      <c r="FP269" s="393"/>
      <c r="FQ269" s="393"/>
      <c r="FR269" s="393"/>
      <c r="FS269" s="393"/>
      <c r="FT269" s="393"/>
      <c r="FU269" s="393"/>
      <c r="FV269" s="393"/>
      <c r="FW269" s="393"/>
      <c r="FX269" s="393"/>
      <c r="FY269" s="393"/>
      <c r="FZ269" s="393"/>
      <c r="GA269" s="393"/>
      <c r="GB269" s="393"/>
      <c r="GC269" s="393"/>
      <c r="GD269" s="393"/>
      <c r="GE269" s="393"/>
      <c r="GF269" s="393"/>
      <c r="GG269" s="393"/>
      <c r="GH269" s="393"/>
      <c r="GI269" s="393"/>
      <c r="GJ269" s="393"/>
      <c r="GK269" s="393"/>
      <c r="GL269" s="393"/>
      <c r="GM269" s="393"/>
      <c r="GN269" s="393"/>
      <c r="GO269" s="393"/>
      <c r="GP269" s="393"/>
      <c r="GQ269" s="393"/>
      <c r="GR269" s="393"/>
      <c r="GS269" s="393"/>
      <c r="GT269" s="393"/>
      <c r="GU269" s="393"/>
      <c r="GV269" s="393"/>
      <c r="GW269" s="393"/>
      <c r="GX269" s="393"/>
      <c r="GY269" s="393"/>
      <c r="GZ269" s="393"/>
      <c r="HA269" s="393"/>
      <c r="HB269" s="393"/>
      <c r="HC269" s="393"/>
      <c r="HD269" s="393"/>
      <c r="HE269" s="393"/>
      <c r="HF269" s="393"/>
      <c r="HG269" s="393"/>
      <c r="HH269" s="393"/>
      <c r="HI269" s="393"/>
      <c r="HJ269" s="393"/>
      <c r="HK269" s="393"/>
      <c r="HL269" s="393"/>
      <c r="HM269" s="393"/>
      <c r="HN269" s="393"/>
      <c r="HO269" s="393"/>
      <c r="HP269" s="393"/>
      <c r="HQ269" s="393"/>
      <c r="HR269" s="393"/>
      <c r="HS269" s="393"/>
      <c r="HT269" s="393"/>
      <c r="HU269" s="393"/>
      <c r="HV269" s="393"/>
      <c r="HW269" s="393"/>
      <c r="HX269" s="393"/>
      <c r="HY269" s="393"/>
      <c r="HZ269" s="393"/>
      <c r="IA269" s="393"/>
      <c r="IB269" s="393"/>
      <c r="IC269" s="393"/>
      <c r="ID269" s="393"/>
      <c r="IE269" s="393"/>
      <c r="IF269" s="393"/>
      <c r="IG269" s="393"/>
      <c r="IH269" s="393"/>
      <c r="II269" s="393"/>
      <c r="IJ269" s="393"/>
      <c r="IK269" s="393"/>
      <c r="IL269" s="393"/>
      <c r="IM269" s="393"/>
      <c r="IN269" s="393"/>
      <c r="IO269" s="393"/>
      <c r="IP269" s="393"/>
      <c r="IQ269" s="393"/>
      <c r="IR269" s="393"/>
    </row>
    <row r="270" spans="2:252" s="62" customFormat="1" ht="25.15" customHeight="1" x14ac:dyDescent="0.25">
      <c r="B270" s="181">
        <v>43549</v>
      </c>
      <c r="C270" s="317">
        <v>875</v>
      </c>
      <c r="D270" s="321">
        <f>IF(ISNUMBER(D269),Table3[[#This Row],[Amount]]+D269,0)</f>
        <v>273588.82</v>
      </c>
      <c r="E270" s="58"/>
      <c r="F270" s="58"/>
      <c r="G270" s="58"/>
      <c r="H270" s="58"/>
      <c r="I270" s="58"/>
      <c r="V270" s="393"/>
      <c r="W270" s="393"/>
      <c r="X270" s="393"/>
      <c r="Y270" s="393"/>
      <c r="Z270" s="393"/>
      <c r="AA270" s="393"/>
      <c r="AB270" s="393"/>
      <c r="AC270" s="393"/>
      <c r="AD270" s="393"/>
      <c r="AE270" s="393"/>
      <c r="AF270" s="393"/>
      <c r="AG270" s="393"/>
      <c r="AH270" s="393"/>
      <c r="AI270" s="393"/>
      <c r="AJ270" s="393"/>
      <c r="AK270" s="393"/>
      <c r="AL270" s="393"/>
      <c r="AM270" s="393"/>
      <c r="AN270" s="393"/>
      <c r="AO270" s="393"/>
      <c r="AP270" s="393"/>
      <c r="AQ270" s="393"/>
      <c r="AR270" s="393"/>
      <c r="AS270" s="393"/>
      <c r="AT270" s="393"/>
      <c r="AU270" s="393"/>
      <c r="AV270" s="393"/>
      <c r="AW270" s="393"/>
      <c r="AX270" s="393"/>
      <c r="AY270" s="393"/>
      <c r="AZ270" s="393"/>
      <c r="BA270" s="393"/>
      <c r="BB270" s="393"/>
      <c r="BC270" s="393"/>
      <c r="BD270" s="393"/>
      <c r="BE270" s="393"/>
      <c r="BF270" s="393"/>
      <c r="BG270" s="393"/>
      <c r="BH270" s="393"/>
      <c r="BI270" s="393"/>
      <c r="BJ270" s="393"/>
      <c r="BK270" s="393"/>
      <c r="BL270" s="393"/>
      <c r="BM270" s="393"/>
      <c r="BN270" s="393"/>
      <c r="BO270" s="393"/>
      <c r="BP270" s="393"/>
      <c r="BQ270" s="393"/>
      <c r="BR270" s="393"/>
      <c r="BS270" s="393"/>
      <c r="BT270" s="393"/>
      <c r="BU270" s="393"/>
      <c r="BV270" s="393"/>
      <c r="BW270" s="393"/>
      <c r="BX270" s="393"/>
      <c r="BY270" s="393"/>
      <c r="BZ270" s="393"/>
      <c r="CA270" s="393"/>
      <c r="CB270" s="393"/>
      <c r="CC270" s="393"/>
      <c r="CD270" s="393"/>
      <c r="CE270" s="393"/>
      <c r="CF270" s="393"/>
      <c r="CG270" s="393"/>
      <c r="CH270" s="393"/>
      <c r="CI270" s="393"/>
      <c r="CJ270" s="393"/>
      <c r="CK270" s="393"/>
      <c r="CL270" s="393"/>
      <c r="CM270" s="393"/>
      <c r="CN270" s="393"/>
      <c r="CO270" s="393"/>
      <c r="CP270" s="393"/>
      <c r="CQ270" s="393"/>
      <c r="CR270" s="393"/>
      <c r="CS270" s="393"/>
      <c r="CT270" s="393"/>
      <c r="CU270" s="393"/>
      <c r="CV270" s="393"/>
      <c r="CW270" s="393"/>
      <c r="CX270" s="393"/>
      <c r="CY270" s="393"/>
      <c r="CZ270" s="393"/>
      <c r="DA270" s="393"/>
      <c r="DB270" s="393"/>
      <c r="DC270" s="393"/>
      <c r="DD270" s="393"/>
      <c r="DE270" s="393"/>
      <c r="DF270" s="393"/>
      <c r="DG270" s="393"/>
      <c r="DH270" s="393"/>
      <c r="DI270" s="393"/>
      <c r="DJ270" s="393"/>
      <c r="DK270" s="393"/>
      <c r="DL270" s="393"/>
      <c r="DM270" s="393"/>
      <c r="DN270" s="393"/>
      <c r="DO270" s="393"/>
      <c r="DP270" s="393"/>
      <c r="DQ270" s="393"/>
      <c r="DR270" s="393"/>
      <c r="DS270" s="393"/>
      <c r="DT270" s="393"/>
      <c r="DU270" s="393"/>
      <c r="DV270" s="393"/>
      <c r="DW270" s="393"/>
      <c r="DX270" s="393"/>
      <c r="DY270" s="393"/>
      <c r="DZ270" s="393"/>
      <c r="EA270" s="393"/>
      <c r="EB270" s="393"/>
      <c r="EC270" s="393"/>
      <c r="ED270" s="393"/>
      <c r="EE270" s="393"/>
      <c r="EF270" s="393"/>
      <c r="EG270" s="393"/>
      <c r="EH270" s="393"/>
      <c r="EI270" s="393"/>
      <c r="EJ270" s="393"/>
      <c r="EK270" s="393"/>
      <c r="EL270" s="393"/>
      <c r="EM270" s="393"/>
      <c r="EN270" s="393"/>
      <c r="EO270" s="393"/>
      <c r="EP270" s="393"/>
      <c r="EQ270" s="393"/>
      <c r="ER270" s="393"/>
      <c r="ES270" s="393"/>
      <c r="ET270" s="393"/>
      <c r="EU270" s="393"/>
      <c r="EV270" s="393"/>
      <c r="EW270" s="393"/>
      <c r="EX270" s="393"/>
      <c r="EY270" s="393"/>
      <c r="EZ270" s="393"/>
      <c r="FA270" s="393"/>
      <c r="FB270" s="393"/>
      <c r="FC270" s="393"/>
      <c r="FD270" s="393"/>
      <c r="FE270" s="393"/>
      <c r="FF270" s="393"/>
      <c r="FG270" s="393"/>
      <c r="FH270" s="393"/>
      <c r="FI270" s="393"/>
      <c r="FJ270" s="393"/>
      <c r="FK270" s="393"/>
      <c r="FL270" s="393"/>
      <c r="FM270" s="393"/>
      <c r="FN270" s="393"/>
      <c r="FO270" s="393"/>
      <c r="FP270" s="393"/>
      <c r="FQ270" s="393"/>
      <c r="FR270" s="393"/>
      <c r="FS270" s="393"/>
      <c r="FT270" s="393"/>
      <c r="FU270" s="393"/>
      <c r="FV270" s="393"/>
      <c r="FW270" s="393"/>
      <c r="FX270" s="393"/>
      <c r="FY270" s="393"/>
      <c r="FZ270" s="393"/>
      <c r="GA270" s="393"/>
      <c r="GB270" s="393"/>
      <c r="GC270" s="393"/>
      <c r="GD270" s="393"/>
      <c r="GE270" s="393"/>
      <c r="GF270" s="393"/>
      <c r="GG270" s="393"/>
      <c r="GH270" s="393"/>
      <c r="GI270" s="393"/>
      <c r="GJ270" s="393"/>
      <c r="GK270" s="393"/>
      <c r="GL270" s="393"/>
      <c r="GM270" s="393"/>
      <c r="GN270" s="393"/>
      <c r="GO270" s="393"/>
      <c r="GP270" s="393"/>
      <c r="GQ270" s="393"/>
      <c r="GR270" s="393"/>
      <c r="GS270" s="393"/>
      <c r="GT270" s="393"/>
      <c r="GU270" s="393"/>
      <c r="GV270" s="393"/>
      <c r="GW270" s="393"/>
      <c r="GX270" s="393"/>
      <c r="GY270" s="393"/>
      <c r="GZ270" s="393"/>
      <c r="HA270" s="393"/>
      <c r="HB270" s="393"/>
      <c r="HC270" s="393"/>
      <c r="HD270" s="393"/>
      <c r="HE270" s="393"/>
      <c r="HF270" s="393"/>
      <c r="HG270" s="393"/>
      <c r="HH270" s="393"/>
      <c r="HI270" s="393"/>
      <c r="HJ270" s="393"/>
      <c r="HK270" s="393"/>
      <c r="HL270" s="393"/>
      <c r="HM270" s="393"/>
      <c r="HN270" s="393"/>
      <c r="HO270" s="393"/>
      <c r="HP270" s="393"/>
      <c r="HQ270" s="393"/>
      <c r="HR270" s="393"/>
      <c r="HS270" s="393"/>
      <c r="HT270" s="393"/>
      <c r="HU270" s="393"/>
      <c r="HV270" s="393"/>
      <c r="HW270" s="393"/>
      <c r="HX270" s="393"/>
      <c r="HY270" s="393"/>
      <c r="HZ270" s="393"/>
      <c r="IA270" s="393"/>
      <c r="IB270" s="393"/>
      <c r="IC270" s="393"/>
      <c r="ID270" s="393"/>
      <c r="IE270" s="393"/>
      <c r="IF270" s="393"/>
      <c r="IG270" s="393"/>
      <c r="IH270" s="393"/>
      <c r="II270" s="393"/>
      <c r="IJ270" s="393"/>
      <c r="IK270" s="393"/>
      <c r="IL270" s="393"/>
      <c r="IM270" s="393"/>
      <c r="IN270" s="393"/>
      <c r="IO270" s="393"/>
      <c r="IP270" s="393"/>
      <c r="IQ270" s="393"/>
      <c r="IR270" s="393"/>
    </row>
    <row r="271" spans="2:252" s="62" customFormat="1" ht="25.15" customHeight="1" x14ac:dyDescent="0.25">
      <c r="B271" s="181">
        <v>43563</v>
      </c>
      <c r="C271" s="317">
        <v>875</v>
      </c>
      <c r="D271" s="321">
        <f>IF(ISNUMBER(D270),Table3[[#This Row],[Amount]]+D270,0)</f>
        <v>274463.82</v>
      </c>
      <c r="E271" s="58"/>
      <c r="F271" s="58"/>
      <c r="G271" s="58"/>
      <c r="H271" s="58"/>
      <c r="I271" s="58"/>
      <c r="V271" s="393"/>
      <c r="W271" s="393"/>
      <c r="X271" s="393"/>
      <c r="Y271" s="393"/>
      <c r="Z271" s="393"/>
      <c r="AA271" s="393"/>
      <c r="AB271" s="393"/>
      <c r="AC271" s="393"/>
      <c r="AD271" s="393"/>
      <c r="AE271" s="393"/>
      <c r="AF271" s="393"/>
      <c r="AG271" s="393"/>
      <c r="AH271" s="393"/>
      <c r="AI271" s="393"/>
      <c r="AJ271" s="393"/>
      <c r="AK271" s="393"/>
      <c r="AL271" s="393"/>
      <c r="AM271" s="393"/>
      <c r="AN271" s="393"/>
      <c r="AO271" s="393"/>
      <c r="AP271" s="393"/>
      <c r="AQ271" s="393"/>
      <c r="AR271" s="393"/>
      <c r="AS271" s="393"/>
      <c r="AT271" s="393"/>
      <c r="AU271" s="393"/>
      <c r="AV271" s="393"/>
      <c r="AW271" s="393"/>
      <c r="AX271" s="393"/>
      <c r="AY271" s="393"/>
      <c r="AZ271" s="393"/>
      <c r="BA271" s="393"/>
      <c r="BB271" s="393"/>
      <c r="BC271" s="393"/>
      <c r="BD271" s="393"/>
      <c r="BE271" s="393"/>
      <c r="BF271" s="393"/>
      <c r="BG271" s="393"/>
      <c r="BH271" s="393"/>
      <c r="BI271" s="393"/>
      <c r="BJ271" s="393"/>
      <c r="BK271" s="393"/>
      <c r="BL271" s="393"/>
      <c r="BM271" s="393"/>
      <c r="BN271" s="393"/>
      <c r="BO271" s="393"/>
      <c r="BP271" s="393"/>
      <c r="BQ271" s="393"/>
      <c r="BR271" s="393"/>
      <c r="BS271" s="393"/>
      <c r="BT271" s="393"/>
      <c r="BU271" s="393"/>
      <c r="BV271" s="393"/>
      <c r="BW271" s="393"/>
      <c r="BX271" s="393"/>
      <c r="BY271" s="393"/>
      <c r="BZ271" s="393"/>
      <c r="CA271" s="393"/>
      <c r="CB271" s="393"/>
      <c r="CC271" s="393"/>
      <c r="CD271" s="393"/>
      <c r="CE271" s="393"/>
      <c r="CF271" s="393"/>
      <c r="CG271" s="393"/>
      <c r="CH271" s="393"/>
      <c r="CI271" s="393"/>
      <c r="CJ271" s="393"/>
      <c r="CK271" s="393"/>
      <c r="CL271" s="393"/>
      <c r="CM271" s="393"/>
      <c r="CN271" s="393"/>
      <c r="CO271" s="393"/>
      <c r="CP271" s="393"/>
      <c r="CQ271" s="393"/>
      <c r="CR271" s="393"/>
      <c r="CS271" s="393"/>
      <c r="CT271" s="393"/>
      <c r="CU271" s="393"/>
      <c r="CV271" s="393"/>
      <c r="CW271" s="393"/>
      <c r="CX271" s="393"/>
      <c r="CY271" s="393"/>
      <c r="CZ271" s="393"/>
      <c r="DA271" s="393"/>
      <c r="DB271" s="393"/>
      <c r="DC271" s="393"/>
      <c r="DD271" s="393"/>
      <c r="DE271" s="393"/>
      <c r="DF271" s="393"/>
      <c r="DG271" s="393"/>
      <c r="DH271" s="393"/>
      <c r="DI271" s="393"/>
      <c r="DJ271" s="393"/>
      <c r="DK271" s="393"/>
      <c r="DL271" s="393"/>
      <c r="DM271" s="393"/>
      <c r="DN271" s="393"/>
      <c r="DO271" s="393"/>
      <c r="DP271" s="393"/>
      <c r="DQ271" s="393"/>
      <c r="DR271" s="393"/>
      <c r="DS271" s="393"/>
      <c r="DT271" s="393"/>
      <c r="DU271" s="393"/>
      <c r="DV271" s="393"/>
      <c r="DW271" s="393"/>
      <c r="DX271" s="393"/>
      <c r="DY271" s="393"/>
      <c r="DZ271" s="393"/>
      <c r="EA271" s="393"/>
      <c r="EB271" s="393"/>
      <c r="EC271" s="393"/>
      <c r="ED271" s="393"/>
      <c r="EE271" s="393"/>
      <c r="EF271" s="393"/>
      <c r="EG271" s="393"/>
      <c r="EH271" s="393"/>
      <c r="EI271" s="393"/>
      <c r="EJ271" s="393"/>
      <c r="EK271" s="393"/>
      <c r="EL271" s="393"/>
      <c r="EM271" s="393"/>
      <c r="EN271" s="393"/>
      <c r="EO271" s="393"/>
      <c r="EP271" s="393"/>
      <c r="EQ271" s="393"/>
      <c r="ER271" s="393"/>
      <c r="ES271" s="393"/>
      <c r="ET271" s="393"/>
      <c r="EU271" s="393"/>
      <c r="EV271" s="393"/>
      <c r="EW271" s="393"/>
      <c r="EX271" s="393"/>
      <c r="EY271" s="393"/>
      <c r="EZ271" s="393"/>
      <c r="FA271" s="393"/>
      <c r="FB271" s="393"/>
      <c r="FC271" s="393"/>
      <c r="FD271" s="393"/>
      <c r="FE271" s="393"/>
      <c r="FF271" s="393"/>
      <c r="FG271" s="393"/>
      <c r="FH271" s="393"/>
      <c r="FI271" s="393"/>
      <c r="FJ271" s="393"/>
      <c r="FK271" s="393"/>
      <c r="FL271" s="393"/>
      <c r="FM271" s="393"/>
      <c r="FN271" s="393"/>
      <c r="FO271" s="393"/>
      <c r="FP271" s="393"/>
      <c r="FQ271" s="393"/>
      <c r="FR271" s="393"/>
      <c r="FS271" s="393"/>
      <c r="FT271" s="393"/>
      <c r="FU271" s="393"/>
      <c r="FV271" s="393"/>
      <c r="FW271" s="393"/>
      <c r="FX271" s="393"/>
      <c r="FY271" s="393"/>
      <c r="FZ271" s="393"/>
      <c r="GA271" s="393"/>
      <c r="GB271" s="393"/>
      <c r="GC271" s="393"/>
      <c r="GD271" s="393"/>
      <c r="GE271" s="393"/>
      <c r="GF271" s="393"/>
      <c r="GG271" s="393"/>
      <c r="GH271" s="393"/>
      <c r="GI271" s="393"/>
      <c r="GJ271" s="393"/>
      <c r="GK271" s="393"/>
      <c r="GL271" s="393"/>
      <c r="GM271" s="393"/>
      <c r="GN271" s="393"/>
      <c r="GO271" s="393"/>
      <c r="GP271" s="393"/>
      <c r="GQ271" s="393"/>
      <c r="GR271" s="393"/>
      <c r="GS271" s="393"/>
      <c r="GT271" s="393"/>
      <c r="GU271" s="393"/>
      <c r="GV271" s="393"/>
      <c r="GW271" s="393"/>
      <c r="GX271" s="393"/>
      <c r="GY271" s="393"/>
      <c r="GZ271" s="393"/>
      <c r="HA271" s="393"/>
      <c r="HB271" s="393"/>
      <c r="HC271" s="393"/>
      <c r="HD271" s="393"/>
      <c r="HE271" s="393"/>
      <c r="HF271" s="393"/>
      <c r="HG271" s="393"/>
      <c r="HH271" s="393"/>
      <c r="HI271" s="393"/>
      <c r="HJ271" s="393"/>
      <c r="HK271" s="393"/>
      <c r="HL271" s="393"/>
      <c r="HM271" s="393"/>
      <c r="HN271" s="393"/>
      <c r="HO271" s="393"/>
      <c r="HP271" s="393"/>
      <c r="HQ271" s="393"/>
      <c r="HR271" s="393"/>
      <c r="HS271" s="393"/>
      <c r="HT271" s="393"/>
      <c r="HU271" s="393"/>
      <c r="HV271" s="393"/>
      <c r="HW271" s="393"/>
      <c r="HX271" s="393"/>
      <c r="HY271" s="393"/>
      <c r="HZ271" s="393"/>
      <c r="IA271" s="393"/>
      <c r="IB271" s="393"/>
      <c r="IC271" s="393"/>
      <c r="ID271" s="393"/>
      <c r="IE271" s="393"/>
      <c r="IF271" s="393"/>
      <c r="IG271" s="393"/>
      <c r="IH271" s="393"/>
      <c r="II271" s="393"/>
      <c r="IJ271" s="393"/>
      <c r="IK271" s="393"/>
      <c r="IL271" s="393"/>
      <c r="IM271" s="393"/>
      <c r="IN271" s="393"/>
      <c r="IO271" s="393"/>
      <c r="IP271" s="393"/>
      <c r="IQ271" s="393"/>
      <c r="IR271" s="393"/>
    </row>
    <row r="272" spans="2:252" s="62" customFormat="1" ht="25.15" customHeight="1" x14ac:dyDescent="0.25">
      <c r="B272" s="181">
        <v>43577</v>
      </c>
      <c r="C272" s="317">
        <v>875</v>
      </c>
      <c r="D272" s="321">
        <f>IF(ISNUMBER(D271),Table3[[#This Row],[Amount]]+D271,0)</f>
        <v>275338.82</v>
      </c>
      <c r="E272" s="58"/>
      <c r="F272" s="58"/>
      <c r="G272" s="58"/>
      <c r="H272" s="58"/>
      <c r="V272" s="393"/>
      <c r="W272" s="393"/>
      <c r="X272" s="393"/>
      <c r="Y272" s="393"/>
      <c r="Z272" s="393"/>
      <c r="AA272" s="393"/>
      <c r="AB272" s="393"/>
      <c r="AC272" s="393"/>
      <c r="AD272" s="393"/>
      <c r="AE272" s="393"/>
      <c r="AF272" s="393"/>
      <c r="AG272" s="393"/>
      <c r="AH272" s="393"/>
      <c r="AI272" s="393"/>
      <c r="AJ272" s="393"/>
      <c r="AK272" s="393"/>
      <c r="AL272" s="393"/>
      <c r="AM272" s="393"/>
      <c r="AN272" s="393"/>
      <c r="AO272" s="393"/>
      <c r="AP272" s="393"/>
      <c r="AQ272" s="393"/>
      <c r="AR272" s="393"/>
      <c r="AS272" s="393"/>
      <c r="AT272" s="393"/>
      <c r="AU272" s="393"/>
      <c r="AV272" s="393"/>
      <c r="AW272" s="393"/>
      <c r="AX272" s="393"/>
      <c r="AY272" s="393"/>
      <c r="AZ272" s="393"/>
      <c r="BA272" s="393"/>
      <c r="BB272" s="393"/>
      <c r="BC272" s="393"/>
      <c r="BD272" s="393"/>
      <c r="BE272" s="393"/>
      <c r="BF272" s="393"/>
      <c r="BG272" s="393"/>
      <c r="BH272" s="393"/>
      <c r="BI272" s="393"/>
      <c r="BJ272" s="393"/>
      <c r="BK272" s="393"/>
      <c r="BL272" s="393"/>
      <c r="BM272" s="393"/>
      <c r="BN272" s="393"/>
      <c r="BO272" s="393"/>
      <c r="BP272" s="393"/>
      <c r="BQ272" s="393"/>
      <c r="BR272" s="393"/>
      <c r="BS272" s="393"/>
      <c r="BT272" s="393"/>
      <c r="BU272" s="393"/>
      <c r="BV272" s="393"/>
      <c r="BW272" s="393"/>
      <c r="BX272" s="393"/>
      <c r="BY272" s="393"/>
      <c r="BZ272" s="393"/>
      <c r="CA272" s="393"/>
      <c r="CB272" s="393"/>
      <c r="CC272" s="393"/>
      <c r="CD272" s="393"/>
      <c r="CE272" s="393"/>
      <c r="CF272" s="393"/>
      <c r="CG272" s="393"/>
      <c r="CH272" s="393"/>
      <c r="CI272" s="393"/>
      <c r="CJ272" s="393"/>
      <c r="CK272" s="393"/>
      <c r="CL272" s="393"/>
      <c r="CM272" s="393"/>
      <c r="CN272" s="393"/>
      <c r="CO272" s="393"/>
      <c r="CP272" s="393"/>
      <c r="CQ272" s="393"/>
      <c r="CR272" s="393"/>
      <c r="CS272" s="393"/>
      <c r="CT272" s="393"/>
      <c r="CU272" s="393"/>
      <c r="CV272" s="393"/>
      <c r="CW272" s="393"/>
      <c r="CX272" s="393"/>
      <c r="CY272" s="393"/>
      <c r="CZ272" s="393"/>
      <c r="DA272" s="393"/>
      <c r="DB272" s="393"/>
      <c r="DC272" s="393"/>
      <c r="DD272" s="393"/>
      <c r="DE272" s="393"/>
      <c r="DF272" s="393"/>
      <c r="DG272" s="393"/>
      <c r="DH272" s="393"/>
      <c r="DI272" s="393"/>
      <c r="DJ272" s="393"/>
      <c r="DK272" s="393"/>
      <c r="DL272" s="393"/>
      <c r="DM272" s="393"/>
      <c r="DN272" s="393"/>
      <c r="DO272" s="393"/>
      <c r="DP272" s="393"/>
      <c r="DQ272" s="393"/>
      <c r="DR272" s="393"/>
      <c r="DS272" s="393"/>
      <c r="DT272" s="393"/>
      <c r="DU272" s="393"/>
      <c r="DV272" s="393"/>
      <c r="DW272" s="393"/>
      <c r="DX272" s="393"/>
      <c r="DY272" s="393"/>
      <c r="DZ272" s="393"/>
      <c r="EA272" s="393"/>
      <c r="EB272" s="393"/>
      <c r="EC272" s="393"/>
      <c r="ED272" s="393"/>
      <c r="EE272" s="393"/>
      <c r="EF272" s="393"/>
      <c r="EG272" s="393"/>
      <c r="EH272" s="393"/>
      <c r="EI272" s="393"/>
      <c r="EJ272" s="393"/>
      <c r="EK272" s="393"/>
      <c r="EL272" s="393"/>
      <c r="EM272" s="393"/>
      <c r="EN272" s="393"/>
      <c r="EO272" s="393"/>
      <c r="EP272" s="393"/>
      <c r="EQ272" s="393"/>
      <c r="ER272" s="393"/>
      <c r="ES272" s="393"/>
      <c r="ET272" s="393"/>
      <c r="EU272" s="393"/>
      <c r="EV272" s="393"/>
      <c r="EW272" s="393"/>
      <c r="EX272" s="393"/>
      <c r="EY272" s="393"/>
      <c r="EZ272" s="393"/>
      <c r="FA272" s="393"/>
      <c r="FB272" s="393"/>
      <c r="FC272" s="393"/>
      <c r="FD272" s="393"/>
      <c r="FE272" s="393"/>
      <c r="FF272" s="393"/>
      <c r="FG272" s="393"/>
      <c r="FH272" s="393"/>
      <c r="FI272" s="393"/>
      <c r="FJ272" s="393"/>
      <c r="FK272" s="393"/>
      <c r="FL272" s="393"/>
      <c r="FM272" s="393"/>
      <c r="FN272" s="393"/>
      <c r="FO272" s="393"/>
      <c r="FP272" s="393"/>
      <c r="FQ272" s="393"/>
      <c r="FR272" s="393"/>
      <c r="FS272" s="393"/>
      <c r="FT272" s="393"/>
      <c r="FU272" s="393"/>
      <c r="FV272" s="393"/>
      <c r="FW272" s="393"/>
      <c r="FX272" s="393"/>
      <c r="FY272" s="393"/>
      <c r="FZ272" s="393"/>
      <c r="GA272" s="393"/>
      <c r="GB272" s="393"/>
      <c r="GC272" s="393"/>
      <c r="GD272" s="393"/>
      <c r="GE272" s="393"/>
      <c r="GF272" s="393"/>
      <c r="GG272" s="393"/>
      <c r="GH272" s="393"/>
      <c r="GI272" s="393"/>
      <c r="GJ272" s="393"/>
      <c r="GK272" s="393"/>
      <c r="GL272" s="393"/>
      <c r="GM272" s="393"/>
      <c r="GN272" s="393"/>
      <c r="GO272" s="393"/>
      <c r="GP272" s="393"/>
      <c r="GQ272" s="393"/>
      <c r="GR272" s="393"/>
      <c r="GS272" s="393"/>
      <c r="GT272" s="393"/>
      <c r="GU272" s="393"/>
      <c r="GV272" s="393"/>
      <c r="GW272" s="393"/>
      <c r="GX272" s="393"/>
      <c r="GY272" s="393"/>
      <c r="GZ272" s="393"/>
      <c r="HA272" s="393"/>
      <c r="HB272" s="393"/>
      <c r="HC272" s="393"/>
      <c r="HD272" s="393"/>
      <c r="HE272" s="393"/>
      <c r="HF272" s="393"/>
      <c r="HG272" s="393"/>
      <c r="HH272" s="393"/>
      <c r="HI272" s="393"/>
      <c r="HJ272" s="393"/>
      <c r="HK272" s="393"/>
      <c r="HL272" s="393"/>
      <c r="HM272" s="393"/>
      <c r="HN272" s="393"/>
      <c r="HO272" s="393"/>
      <c r="HP272" s="393"/>
      <c r="HQ272" s="393"/>
      <c r="HR272" s="393"/>
      <c r="HS272" s="393"/>
      <c r="HT272" s="393"/>
      <c r="HU272" s="393"/>
      <c r="HV272" s="393"/>
      <c r="HW272" s="393"/>
      <c r="HX272" s="393"/>
      <c r="HY272" s="393"/>
      <c r="HZ272" s="393"/>
      <c r="IA272" s="393"/>
      <c r="IB272" s="393"/>
      <c r="IC272" s="393"/>
      <c r="ID272" s="393"/>
      <c r="IE272" s="393"/>
      <c r="IF272" s="393"/>
      <c r="IG272" s="393"/>
      <c r="IH272" s="393"/>
      <c r="II272" s="393"/>
      <c r="IJ272" s="393"/>
      <c r="IK272" s="393"/>
      <c r="IL272" s="393"/>
      <c r="IM272" s="393"/>
      <c r="IN272" s="393"/>
      <c r="IO272" s="393"/>
      <c r="IP272" s="393"/>
      <c r="IQ272" s="393"/>
      <c r="IR272" s="393"/>
    </row>
    <row r="273" spans="2:252" s="62" customFormat="1" ht="25.15" customHeight="1" x14ac:dyDescent="0.25">
      <c r="B273" s="181">
        <v>43591</v>
      </c>
      <c r="C273" s="317">
        <v>875</v>
      </c>
      <c r="D273" s="321">
        <f>IF(ISNUMBER(D272),Table3[[#This Row],[Amount]]+D272,0)</f>
        <v>276213.82</v>
      </c>
      <c r="E273" s="58"/>
      <c r="F273" s="58"/>
      <c r="G273" s="58"/>
      <c r="V273" s="393"/>
      <c r="W273" s="393"/>
      <c r="X273" s="393"/>
      <c r="Y273" s="393"/>
      <c r="Z273" s="393"/>
      <c r="AA273" s="393"/>
      <c r="AB273" s="393"/>
      <c r="AC273" s="393"/>
      <c r="AD273" s="393"/>
      <c r="AE273" s="393"/>
      <c r="AF273" s="393"/>
      <c r="AG273" s="393"/>
      <c r="AH273" s="393"/>
      <c r="AI273" s="393"/>
      <c r="AJ273" s="393"/>
      <c r="AK273" s="393"/>
      <c r="AL273" s="393"/>
      <c r="AM273" s="393"/>
      <c r="AN273" s="393"/>
      <c r="AO273" s="393"/>
      <c r="AP273" s="393"/>
      <c r="AQ273" s="393"/>
      <c r="AR273" s="393"/>
      <c r="AS273" s="393"/>
      <c r="AT273" s="393"/>
      <c r="AU273" s="393"/>
      <c r="AV273" s="393"/>
      <c r="AW273" s="393"/>
      <c r="AX273" s="393"/>
      <c r="AY273" s="393"/>
      <c r="AZ273" s="393"/>
      <c r="BA273" s="393"/>
      <c r="BB273" s="393"/>
      <c r="BC273" s="393"/>
      <c r="BD273" s="393"/>
      <c r="BE273" s="393"/>
      <c r="BF273" s="393"/>
      <c r="BG273" s="393"/>
      <c r="BH273" s="393"/>
      <c r="BI273" s="393"/>
      <c r="BJ273" s="393"/>
      <c r="BK273" s="393"/>
      <c r="BL273" s="393"/>
      <c r="BM273" s="393"/>
      <c r="BN273" s="393"/>
      <c r="BO273" s="393"/>
      <c r="BP273" s="393"/>
      <c r="BQ273" s="393"/>
      <c r="BR273" s="393"/>
      <c r="BS273" s="393"/>
      <c r="BT273" s="393"/>
      <c r="BU273" s="393"/>
      <c r="BV273" s="393"/>
      <c r="BW273" s="393"/>
      <c r="BX273" s="393"/>
      <c r="BY273" s="393"/>
      <c r="BZ273" s="393"/>
      <c r="CA273" s="393"/>
      <c r="CB273" s="393"/>
      <c r="CC273" s="393"/>
      <c r="CD273" s="393"/>
      <c r="CE273" s="393"/>
      <c r="CF273" s="393"/>
      <c r="CG273" s="393"/>
      <c r="CH273" s="393"/>
      <c r="CI273" s="393"/>
      <c r="CJ273" s="393"/>
      <c r="CK273" s="393"/>
      <c r="CL273" s="393"/>
      <c r="CM273" s="393"/>
      <c r="CN273" s="393"/>
      <c r="CO273" s="393"/>
      <c r="CP273" s="393"/>
      <c r="CQ273" s="393"/>
      <c r="CR273" s="393"/>
      <c r="CS273" s="393"/>
      <c r="CT273" s="393"/>
      <c r="CU273" s="393"/>
      <c r="CV273" s="393"/>
      <c r="CW273" s="393"/>
      <c r="CX273" s="393"/>
      <c r="CY273" s="393"/>
      <c r="CZ273" s="393"/>
      <c r="DA273" s="393"/>
      <c r="DB273" s="393"/>
      <c r="DC273" s="393"/>
      <c r="DD273" s="393"/>
      <c r="DE273" s="393"/>
      <c r="DF273" s="393"/>
      <c r="DG273" s="393"/>
      <c r="DH273" s="393"/>
      <c r="DI273" s="393"/>
      <c r="DJ273" s="393"/>
      <c r="DK273" s="393"/>
      <c r="DL273" s="393"/>
      <c r="DM273" s="393"/>
      <c r="DN273" s="393"/>
      <c r="DO273" s="393"/>
      <c r="DP273" s="393"/>
      <c r="DQ273" s="393"/>
      <c r="DR273" s="393"/>
      <c r="DS273" s="393"/>
      <c r="DT273" s="393"/>
      <c r="DU273" s="393"/>
      <c r="DV273" s="393"/>
      <c r="DW273" s="393"/>
      <c r="DX273" s="393"/>
      <c r="DY273" s="393"/>
      <c r="DZ273" s="393"/>
      <c r="EA273" s="393"/>
      <c r="EB273" s="393"/>
      <c r="EC273" s="393"/>
      <c r="ED273" s="393"/>
      <c r="EE273" s="393"/>
      <c r="EF273" s="393"/>
      <c r="EG273" s="393"/>
      <c r="EH273" s="393"/>
      <c r="EI273" s="393"/>
      <c r="EJ273" s="393"/>
      <c r="EK273" s="393"/>
      <c r="EL273" s="393"/>
      <c r="EM273" s="393"/>
      <c r="EN273" s="393"/>
      <c r="EO273" s="393"/>
      <c r="EP273" s="393"/>
      <c r="EQ273" s="393"/>
      <c r="ER273" s="393"/>
      <c r="ES273" s="393"/>
      <c r="ET273" s="393"/>
      <c r="EU273" s="393"/>
      <c r="EV273" s="393"/>
      <c r="EW273" s="393"/>
      <c r="EX273" s="393"/>
      <c r="EY273" s="393"/>
      <c r="EZ273" s="393"/>
      <c r="FA273" s="393"/>
      <c r="FB273" s="393"/>
      <c r="FC273" s="393"/>
      <c r="FD273" s="393"/>
      <c r="FE273" s="393"/>
      <c r="FF273" s="393"/>
      <c r="FG273" s="393"/>
      <c r="FH273" s="393"/>
      <c r="FI273" s="393"/>
      <c r="FJ273" s="393"/>
      <c r="FK273" s="393"/>
      <c r="FL273" s="393"/>
      <c r="FM273" s="393"/>
      <c r="FN273" s="393"/>
      <c r="FO273" s="393"/>
      <c r="FP273" s="393"/>
      <c r="FQ273" s="393"/>
      <c r="FR273" s="393"/>
      <c r="FS273" s="393"/>
      <c r="FT273" s="393"/>
      <c r="FU273" s="393"/>
      <c r="FV273" s="393"/>
      <c r="FW273" s="393"/>
      <c r="FX273" s="393"/>
      <c r="FY273" s="393"/>
      <c r="FZ273" s="393"/>
      <c r="GA273" s="393"/>
      <c r="GB273" s="393"/>
      <c r="GC273" s="393"/>
      <c r="GD273" s="393"/>
      <c r="GE273" s="393"/>
      <c r="GF273" s="393"/>
      <c r="GG273" s="393"/>
      <c r="GH273" s="393"/>
      <c r="GI273" s="393"/>
      <c r="GJ273" s="393"/>
      <c r="GK273" s="393"/>
      <c r="GL273" s="393"/>
      <c r="GM273" s="393"/>
      <c r="GN273" s="393"/>
      <c r="GO273" s="393"/>
      <c r="GP273" s="393"/>
      <c r="GQ273" s="393"/>
      <c r="GR273" s="393"/>
      <c r="GS273" s="393"/>
      <c r="GT273" s="393"/>
      <c r="GU273" s="393"/>
      <c r="GV273" s="393"/>
      <c r="GW273" s="393"/>
      <c r="GX273" s="393"/>
      <c r="GY273" s="393"/>
      <c r="GZ273" s="393"/>
      <c r="HA273" s="393"/>
      <c r="HB273" s="393"/>
      <c r="HC273" s="393"/>
      <c r="HD273" s="393"/>
      <c r="HE273" s="393"/>
      <c r="HF273" s="393"/>
      <c r="HG273" s="393"/>
      <c r="HH273" s="393"/>
      <c r="HI273" s="393"/>
      <c r="HJ273" s="393"/>
      <c r="HK273" s="393"/>
      <c r="HL273" s="393"/>
      <c r="HM273" s="393"/>
      <c r="HN273" s="393"/>
      <c r="HO273" s="393"/>
      <c r="HP273" s="393"/>
      <c r="HQ273" s="393"/>
      <c r="HR273" s="393"/>
      <c r="HS273" s="393"/>
      <c r="HT273" s="393"/>
      <c r="HU273" s="393"/>
      <c r="HV273" s="393"/>
      <c r="HW273" s="393"/>
      <c r="HX273" s="393"/>
      <c r="HY273" s="393"/>
      <c r="HZ273" s="393"/>
      <c r="IA273" s="393"/>
      <c r="IB273" s="393"/>
      <c r="IC273" s="393"/>
      <c r="ID273" s="393"/>
      <c r="IE273" s="393"/>
      <c r="IF273" s="393"/>
      <c r="IG273" s="393"/>
      <c r="IH273" s="393"/>
      <c r="II273" s="393"/>
      <c r="IJ273" s="393"/>
      <c r="IK273" s="393"/>
      <c r="IL273" s="393"/>
      <c r="IM273" s="393"/>
      <c r="IN273" s="393"/>
      <c r="IO273" s="393"/>
      <c r="IP273" s="393"/>
      <c r="IQ273" s="393"/>
      <c r="IR273" s="393"/>
    </row>
    <row r="274" spans="2:252" s="62" customFormat="1" ht="25.15" customHeight="1" x14ac:dyDescent="0.25">
      <c r="B274" s="181">
        <v>43606</v>
      </c>
      <c r="C274" s="317">
        <v>875</v>
      </c>
      <c r="D274" s="321">
        <f>IF(ISNUMBER(D273),Table3[[#This Row],[Amount]]+D273,0)</f>
        <v>277088.82</v>
      </c>
      <c r="V274" s="393"/>
      <c r="W274" s="393"/>
      <c r="X274" s="393"/>
      <c r="Y274" s="393"/>
      <c r="Z274" s="393"/>
      <c r="AA274" s="393"/>
      <c r="AB274" s="393"/>
      <c r="AC274" s="393"/>
      <c r="AD274" s="393"/>
      <c r="AE274" s="393"/>
      <c r="AF274" s="393"/>
      <c r="AG274" s="393"/>
      <c r="AH274" s="393"/>
      <c r="AI274" s="393"/>
      <c r="AJ274" s="393"/>
      <c r="AK274" s="393"/>
      <c r="AL274" s="393"/>
      <c r="AM274" s="393"/>
      <c r="AN274" s="393"/>
      <c r="AO274" s="393"/>
      <c r="AP274" s="393"/>
      <c r="AQ274" s="393"/>
      <c r="AR274" s="393"/>
      <c r="AS274" s="393"/>
      <c r="AT274" s="393"/>
      <c r="AU274" s="393"/>
      <c r="AV274" s="393"/>
      <c r="AW274" s="393"/>
      <c r="AX274" s="393"/>
      <c r="AY274" s="393"/>
      <c r="AZ274" s="393"/>
      <c r="BA274" s="393"/>
      <c r="BB274" s="393"/>
      <c r="BC274" s="393"/>
      <c r="BD274" s="393"/>
      <c r="BE274" s="393"/>
      <c r="BF274" s="393"/>
      <c r="BG274" s="393"/>
      <c r="BH274" s="393"/>
      <c r="BI274" s="393"/>
      <c r="BJ274" s="393"/>
      <c r="BK274" s="393"/>
      <c r="BL274" s="393"/>
      <c r="BM274" s="393"/>
      <c r="BN274" s="393"/>
      <c r="BO274" s="393"/>
      <c r="BP274" s="393"/>
      <c r="BQ274" s="393"/>
      <c r="BR274" s="393"/>
      <c r="BS274" s="393"/>
      <c r="BT274" s="393"/>
      <c r="BU274" s="393"/>
      <c r="BV274" s="393"/>
      <c r="BW274" s="393"/>
      <c r="BX274" s="393"/>
      <c r="BY274" s="393"/>
      <c r="BZ274" s="393"/>
      <c r="CA274" s="393"/>
      <c r="CB274" s="393"/>
      <c r="CC274" s="393"/>
      <c r="CD274" s="393"/>
      <c r="CE274" s="393"/>
      <c r="CF274" s="393"/>
      <c r="CG274" s="393"/>
      <c r="CH274" s="393"/>
      <c r="CI274" s="393"/>
      <c r="CJ274" s="393"/>
      <c r="CK274" s="393"/>
      <c r="CL274" s="393"/>
      <c r="CM274" s="393"/>
      <c r="CN274" s="393"/>
      <c r="CO274" s="393"/>
      <c r="CP274" s="393"/>
      <c r="CQ274" s="393"/>
      <c r="CR274" s="393"/>
      <c r="CS274" s="393"/>
      <c r="CT274" s="393"/>
      <c r="CU274" s="393"/>
      <c r="CV274" s="393"/>
      <c r="CW274" s="393"/>
      <c r="CX274" s="393"/>
      <c r="CY274" s="393"/>
      <c r="CZ274" s="393"/>
      <c r="DA274" s="393"/>
      <c r="DB274" s="393"/>
      <c r="DC274" s="393"/>
      <c r="DD274" s="393"/>
      <c r="DE274" s="393"/>
      <c r="DF274" s="393"/>
      <c r="DG274" s="393"/>
      <c r="DH274" s="393"/>
      <c r="DI274" s="393"/>
      <c r="DJ274" s="393"/>
      <c r="DK274" s="393"/>
      <c r="DL274" s="393"/>
      <c r="DM274" s="393"/>
      <c r="DN274" s="393"/>
      <c r="DO274" s="393"/>
      <c r="DP274" s="393"/>
      <c r="DQ274" s="393"/>
      <c r="DR274" s="393"/>
      <c r="DS274" s="393"/>
      <c r="DT274" s="393"/>
      <c r="DU274" s="393"/>
      <c r="DV274" s="393"/>
      <c r="DW274" s="393"/>
      <c r="DX274" s="393"/>
      <c r="DY274" s="393"/>
      <c r="DZ274" s="393"/>
      <c r="EA274" s="393"/>
      <c r="EB274" s="393"/>
      <c r="EC274" s="393"/>
      <c r="ED274" s="393"/>
      <c r="EE274" s="393"/>
      <c r="EF274" s="393"/>
      <c r="EG274" s="393"/>
      <c r="EH274" s="393"/>
      <c r="EI274" s="393"/>
      <c r="EJ274" s="393"/>
      <c r="EK274" s="393"/>
      <c r="EL274" s="393"/>
      <c r="EM274" s="393"/>
      <c r="EN274" s="393"/>
      <c r="EO274" s="393"/>
      <c r="EP274" s="393"/>
      <c r="EQ274" s="393"/>
      <c r="ER274" s="393"/>
      <c r="ES274" s="393"/>
      <c r="ET274" s="393"/>
      <c r="EU274" s="393"/>
      <c r="EV274" s="393"/>
      <c r="EW274" s="393"/>
      <c r="EX274" s="393"/>
      <c r="EY274" s="393"/>
      <c r="EZ274" s="393"/>
      <c r="FA274" s="393"/>
      <c r="FB274" s="393"/>
      <c r="FC274" s="393"/>
      <c r="FD274" s="393"/>
      <c r="FE274" s="393"/>
      <c r="FF274" s="393"/>
      <c r="FG274" s="393"/>
      <c r="FH274" s="393"/>
      <c r="FI274" s="393"/>
      <c r="FJ274" s="393"/>
      <c r="FK274" s="393"/>
      <c r="FL274" s="393"/>
      <c r="FM274" s="393"/>
      <c r="FN274" s="393"/>
      <c r="FO274" s="393"/>
      <c r="FP274" s="393"/>
      <c r="FQ274" s="393"/>
      <c r="FR274" s="393"/>
      <c r="FS274" s="393"/>
      <c r="FT274" s="393"/>
      <c r="FU274" s="393"/>
      <c r="FV274" s="393"/>
      <c r="FW274" s="393"/>
      <c r="FX274" s="393"/>
      <c r="FY274" s="393"/>
      <c r="FZ274" s="393"/>
      <c r="GA274" s="393"/>
      <c r="GB274" s="393"/>
      <c r="GC274" s="393"/>
      <c r="GD274" s="393"/>
      <c r="GE274" s="393"/>
      <c r="GF274" s="393"/>
      <c r="GG274" s="393"/>
      <c r="GH274" s="393"/>
      <c r="GI274" s="393"/>
      <c r="GJ274" s="393"/>
      <c r="GK274" s="393"/>
      <c r="GL274" s="393"/>
      <c r="GM274" s="393"/>
      <c r="GN274" s="393"/>
      <c r="GO274" s="393"/>
      <c r="GP274" s="393"/>
      <c r="GQ274" s="393"/>
      <c r="GR274" s="393"/>
      <c r="GS274" s="393"/>
      <c r="GT274" s="393"/>
      <c r="GU274" s="393"/>
      <c r="GV274" s="393"/>
      <c r="GW274" s="393"/>
      <c r="GX274" s="393"/>
      <c r="GY274" s="393"/>
      <c r="GZ274" s="393"/>
      <c r="HA274" s="393"/>
      <c r="HB274" s="393"/>
      <c r="HC274" s="393"/>
      <c r="HD274" s="393"/>
      <c r="HE274" s="393"/>
      <c r="HF274" s="393"/>
      <c r="HG274" s="393"/>
      <c r="HH274" s="393"/>
      <c r="HI274" s="393"/>
      <c r="HJ274" s="393"/>
      <c r="HK274" s="393"/>
      <c r="HL274" s="393"/>
      <c r="HM274" s="393"/>
      <c r="HN274" s="393"/>
      <c r="HO274" s="393"/>
      <c r="HP274" s="393"/>
      <c r="HQ274" s="393"/>
      <c r="HR274" s="393"/>
      <c r="HS274" s="393"/>
      <c r="HT274" s="393"/>
      <c r="HU274" s="393"/>
      <c r="HV274" s="393"/>
      <c r="HW274" s="393"/>
      <c r="HX274" s="393"/>
      <c r="HY274" s="393"/>
      <c r="HZ274" s="393"/>
      <c r="IA274" s="393"/>
      <c r="IB274" s="393"/>
      <c r="IC274" s="393"/>
      <c r="ID274" s="393"/>
      <c r="IE274" s="393"/>
      <c r="IF274" s="393"/>
      <c r="IG274" s="393"/>
      <c r="IH274" s="393"/>
      <c r="II274" s="393"/>
      <c r="IJ274" s="393"/>
      <c r="IK274" s="393"/>
      <c r="IL274" s="393"/>
      <c r="IM274" s="393"/>
      <c r="IN274" s="393"/>
      <c r="IO274" s="393"/>
      <c r="IP274" s="393"/>
      <c r="IQ274" s="393"/>
      <c r="IR274" s="393"/>
    </row>
    <row r="275" spans="2:252" s="62" customFormat="1" ht="25.15" customHeight="1" x14ac:dyDescent="0.25">
      <c r="B275" s="181">
        <v>43619</v>
      </c>
      <c r="C275" s="317">
        <v>875</v>
      </c>
      <c r="D275" s="321">
        <f>IF(ISNUMBER(D274),Table3[[#This Row],[Amount]]+D274,0)</f>
        <v>277963.82</v>
      </c>
      <c r="V275" s="393"/>
      <c r="W275" s="393"/>
      <c r="X275" s="393"/>
      <c r="Y275" s="393"/>
      <c r="Z275" s="393"/>
      <c r="AA275" s="393"/>
      <c r="AB275" s="393"/>
      <c r="AC275" s="393"/>
      <c r="AD275" s="393"/>
      <c r="AE275" s="393"/>
      <c r="AF275" s="393"/>
      <c r="AG275" s="393"/>
      <c r="AH275" s="393"/>
      <c r="AI275" s="393"/>
      <c r="AJ275" s="393"/>
      <c r="AK275" s="393"/>
      <c r="AL275" s="393"/>
      <c r="AM275" s="393"/>
      <c r="AN275" s="393"/>
      <c r="AO275" s="393"/>
      <c r="AP275" s="393"/>
      <c r="AQ275" s="393"/>
      <c r="AR275" s="393"/>
      <c r="AS275" s="393"/>
      <c r="AT275" s="393"/>
      <c r="AU275" s="393"/>
      <c r="AV275" s="393"/>
      <c r="AW275" s="393"/>
      <c r="AX275" s="393"/>
      <c r="AY275" s="393"/>
      <c r="AZ275" s="393"/>
      <c r="BA275" s="393"/>
      <c r="BB275" s="393"/>
      <c r="BC275" s="393"/>
      <c r="BD275" s="393"/>
      <c r="BE275" s="393"/>
      <c r="BF275" s="393"/>
      <c r="BG275" s="393"/>
      <c r="BH275" s="393"/>
      <c r="BI275" s="393"/>
      <c r="BJ275" s="393"/>
      <c r="BK275" s="393"/>
      <c r="BL275" s="393"/>
      <c r="BM275" s="393"/>
      <c r="BN275" s="393"/>
      <c r="BO275" s="393"/>
      <c r="BP275" s="393"/>
      <c r="BQ275" s="393"/>
      <c r="BR275" s="393"/>
      <c r="BS275" s="393"/>
      <c r="BT275" s="393"/>
      <c r="BU275" s="393"/>
      <c r="BV275" s="393"/>
      <c r="BW275" s="393"/>
      <c r="BX275" s="393"/>
      <c r="BY275" s="393"/>
      <c r="BZ275" s="393"/>
      <c r="CA275" s="393"/>
      <c r="CB275" s="393"/>
      <c r="CC275" s="393"/>
      <c r="CD275" s="393"/>
      <c r="CE275" s="393"/>
      <c r="CF275" s="393"/>
      <c r="CG275" s="393"/>
      <c r="CH275" s="393"/>
      <c r="CI275" s="393"/>
      <c r="CJ275" s="393"/>
      <c r="CK275" s="393"/>
      <c r="CL275" s="393"/>
      <c r="CM275" s="393"/>
      <c r="CN275" s="393"/>
      <c r="CO275" s="393"/>
      <c r="CP275" s="393"/>
      <c r="CQ275" s="393"/>
      <c r="CR275" s="393"/>
      <c r="CS275" s="393"/>
      <c r="CT275" s="393"/>
      <c r="CU275" s="393"/>
      <c r="CV275" s="393"/>
      <c r="CW275" s="393"/>
      <c r="CX275" s="393"/>
      <c r="CY275" s="393"/>
      <c r="CZ275" s="393"/>
      <c r="DA275" s="393"/>
      <c r="DB275" s="393"/>
      <c r="DC275" s="393"/>
      <c r="DD275" s="393"/>
      <c r="DE275" s="393"/>
      <c r="DF275" s="393"/>
      <c r="DG275" s="393"/>
      <c r="DH275" s="393"/>
      <c r="DI275" s="393"/>
      <c r="DJ275" s="393"/>
      <c r="DK275" s="393"/>
      <c r="DL275" s="393"/>
      <c r="DM275" s="393"/>
      <c r="DN275" s="393"/>
      <c r="DO275" s="393"/>
      <c r="DP275" s="393"/>
      <c r="DQ275" s="393"/>
      <c r="DR275" s="393"/>
      <c r="DS275" s="393"/>
      <c r="DT275" s="393"/>
      <c r="DU275" s="393"/>
      <c r="DV275" s="393"/>
      <c r="DW275" s="393"/>
      <c r="DX275" s="393"/>
      <c r="DY275" s="393"/>
      <c r="DZ275" s="393"/>
      <c r="EA275" s="393"/>
      <c r="EB275" s="393"/>
      <c r="EC275" s="393"/>
      <c r="ED275" s="393"/>
      <c r="EE275" s="393"/>
      <c r="EF275" s="393"/>
      <c r="EG275" s="393"/>
      <c r="EH275" s="393"/>
      <c r="EI275" s="393"/>
      <c r="EJ275" s="393"/>
      <c r="EK275" s="393"/>
      <c r="EL275" s="393"/>
      <c r="EM275" s="393"/>
      <c r="EN275" s="393"/>
      <c r="EO275" s="393"/>
      <c r="EP275" s="393"/>
      <c r="EQ275" s="393"/>
      <c r="ER275" s="393"/>
      <c r="ES275" s="393"/>
      <c r="ET275" s="393"/>
      <c r="EU275" s="393"/>
      <c r="EV275" s="393"/>
      <c r="EW275" s="393"/>
      <c r="EX275" s="393"/>
      <c r="EY275" s="393"/>
      <c r="EZ275" s="393"/>
      <c r="FA275" s="393"/>
      <c r="FB275" s="393"/>
      <c r="FC275" s="393"/>
      <c r="FD275" s="393"/>
      <c r="FE275" s="393"/>
      <c r="FF275" s="393"/>
      <c r="FG275" s="393"/>
      <c r="FH275" s="393"/>
      <c r="FI275" s="393"/>
      <c r="FJ275" s="393"/>
      <c r="FK275" s="393"/>
      <c r="FL275" s="393"/>
      <c r="FM275" s="393"/>
      <c r="FN275" s="393"/>
      <c r="FO275" s="393"/>
      <c r="FP275" s="393"/>
      <c r="FQ275" s="393"/>
      <c r="FR275" s="393"/>
      <c r="FS275" s="393"/>
      <c r="FT275" s="393"/>
      <c r="FU275" s="393"/>
      <c r="FV275" s="393"/>
      <c r="FW275" s="393"/>
      <c r="FX275" s="393"/>
      <c r="FY275" s="393"/>
      <c r="FZ275" s="393"/>
      <c r="GA275" s="393"/>
      <c r="GB275" s="393"/>
      <c r="GC275" s="393"/>
      <c r="GD275" s="393"/>
      <c r="GE275" s="393"/>
      <c r="GF275" s="393"/>
      <c r="GG275" s="393"/>
      <c r="GH275" s="393"/>
      <c r="GI275" s="393"/>
      <c r="GJ275" s="393"/>
      <c r="GK275" s="393"/>
      <c r="GL275" s="393"/>
      <c r="GM275" s="393"/>
      <c r="GN275" s="393"/>
      <c r="GO275" s="393"/>
      <c r="GP275" s="393"/>
      <c r="GQ275" s="393"/>
      <c r="GR275" s="393"/>
      <c r="GS275" s="393"/>
      <c r="GT275" s="393"/>
      <c r="GU275" s="393"/>
      <c r="GV275" s="393"/>
      <c r="GW275" s="393"/>
      <c r="GX275" s="393"/>
      <c r="GY275" s="393"/>
      <c r="GZ275" s="393"/>
      <c r="HA275" s="393"/>
      <c r="HB275" s="393"/>
      <c r="HC275" s="393"/>
      <c r="HD275" s="393"/>
      <c r="HE275" s="393"/>
      <c r="HF275" s="393"/>
      <c r="HG275" s="393"/>
      <c r="HH275" s="393"/>
      <c r="HI275" s="393"/>
      <c r="HJ275" s="393"/>
      <c r="HK275" s="393"/>
      <c r="HL275" s="393"/>
      <c r="HM275" s="393"/>
      <c r="HN275" s="393"/>
      <c r="HO275" s="393"/>
      <c r="HP275" s="393"/>
      <c r="HQ275" s="393"/>
      <c r="HR275" s="393"/>
      <c r="HS275" s="393"/>
      <c r="HT275" s="393"/>
      <c r="HU275" s="393"/>
      <c r="HV275" s="393"/>
      <c r="HW275" s="393"/>
      <c r="HX275" s="393"/>
      <c r="HY275" s="393"/>
      <c r="HZ275" s="393"/>
      <c r="IA275" s="393"/>
      <c r="IB275" s="393"/>
      <c r="IC275" s="393"/>
      <c r="ID275" s="393"/>
      <c r="IE275" s="393"/>
      <c r="IF275" s="393"/>
      <c r="IG275" s="393"/>
      <c r="IH275" s="393"/>
      <c r="II275" s="393"/>
      <c r="IJ275" s="393"/>
      <c r="IK275" s="393"/>
      <c r="IL275" s="393"/>
      <c r="IM275" s="393"/>
      <c r="IN275" s="393"/>
      <c r="IO275" s="393"/>
      <c r="IP275" s="393"/>
      <c r="IQ275" s="393"/>
      <c r="IR275" s="393"/>
    </row>
    <row r="276" spans="2:252" s="62" customFormat="1" ht="25.15" customHeight="1" x14ac:dyDescent="0.25">
      <c r="B276" s="181">
        <v>43633</v>
      </c>
      <c r="C276" s="317">
        <v>875</v>
      </c>
      <c r="D276" s="321">
        <f>IF(ISNUMBER(D275),Table3[[#This Row],[Amount]]+D275,0)</f>
        <v>278838.82</v>
      </c>
      <c r="V276" s="393"/>
      <c r="W276" s="393"/>
      <c r="X276" s="393"/>
      <c r="Y276" s="393"/>
      <c r="Z276" s="393"/>
      <c r="AA276" s="393"/>
      <c r="AB276" s="393"/>
      <c r="AC276" s="393"/>
      <c r="AD276" s="393"/>
      <c r="AE276" s="393"/>
      <c r="AF276" s="393"/>
      <c r="AG276" s="393"/>
      <c r="AH276" s="393"/>
      <c r="AI276" s="393"/>
      <c r="AJ276" s="393"/>
      <c r="AK276" s="393"/>
      <c r="AL276" s="393"/>
      <c r="AM276" s="393"/>
      <c r="AN276" s="393"/>
      <c r="AO276" s="393"/>
      <c r="AP276" s="393"/>
      <c r="AQ276" s="393"/>
      <c r="AR276" s="393"/>
      <c r="AS276" s="393"/>
      <c r="AT276" s="393"/>
      <c r="AU276" s="393"/>
      <c r="AV276" s="393"/>
      <c r="AW276" s="393"/>
      <c r="AX276" s="393"/>
      <c r="AY276" s="393"/>
      <c r="AZ276" s="393"/>
      <c r="BA276" s="393"/>
      <c r="BB276" s="393"/>
      <c r="BC276" s="393"/>
      <c r="BD276" s="393"/>
      <c r="BE276" s="393"/>
      <c r="BF276" s="393"/>
      <c r="BG276" s="393"/>
      <c r="BH276" s="393"/>
      <c r="BI276" s="393"/>
      <c r="BJ276" s="393"/>
      <c r="BK276" s="393"/>
      <c r="BL276" s="393"/>
      <c r="BM276" s="393"/>
      <c r="BN276" s="393"/>
      <c r="BO276" s="393"/>
      <c r="BP276" s="393"/>
      <c r="BQ276" s="393"/>
      <c r="BR276" s="393"/>
      <c r="BS276" s="393"/>
      <c r="BT276" s="393"/>
      <c r="BU276" s="393"/>
      <c r="BV276" s="393"/>
      <c r="BW276" s="393"/>
      <c r="BX276" s="393"/>
      <c r="BY276" s="393"/>
      <c r="BZ276" s="393"/>
      <c r="CA276" s="393"/>
      <c r="CB276" s="393"/>
      <c r="CC276" s="393"/>
      <c r="CD276" s="393"/>
      <c r="CE276" s="393"/>
      <c r="CF276" s="393"/>
      <c r="CG276" s="393"/>
      <c r="CH276" s="393"/>
      <c r="CI276" s="393"/>
      <c r="CJ276" s="393"/>
      <c r="CK276" s="393"/>
      <c r="CL276" s="393"/>
      <c r="CM276" s="393"/>
      <c r="CN276" s="393"/>
      <c r="CO276" s="393"/>
      <c r="CP276" s="393"/>
      <c r="CQ276" s="393"/>
      <c r="CR276" s="393"/>
      <c r="CS276" s="393"/>
      <c r="CT276" s="393"/>
      <c r="CU276" s="393"/>
      <c r="CV276" s="393"/>
      <c r="CW276" s="393"/>
      <c r="CX276" s="393"/>
      <c r="CY276" s="393"/>
      <c r="CZ276" s="393"/>
      <c r="DA276" s="393"/>
      <c r="DB276" s="393"/>
      <c r="DC276" s="393"/>
      <c r="DD276" s="393"/>
      <c r="DE276" s="393"/>
      <c r="DF276" s="393"/>
      <c r="DG276" s="393"/>
      <c r="DH276" s="393"/>
      <c r="DI276" s="393"/>
      <c r="DJ276" s="393"/>
      <c r="DK276" s="393"/>
      <c r="DL276" s="393"/>
      <c r="DM276" s="393"/>
      <c r="DN276" s="393"/>
      <c r="DO276" s="393"/>
      <c r="DP276" s="393"/>
      <c r="DQ276" s="393"/>
      <c r="DR276" s="393"/>
      <c r="DS276" s="393"/>
      <c r="DT276" s="393"/>
      <c r="DU276" s="393"/>
      <c r="DV276" s="393"/>
      <c r="DW276" s="393"/>
      <c r="DX276" s="393"/>
      <c r="DY276" s="393"/>
      <c r="DZ276" s="393"/>
      <c r="EA276" s="393"/>
      <c r="EB276" s="393"/>
      <c r="EC276" s="393"/>
      <c r="ED276" s="393"/>
      <c r="EE276" s="393"/>
      <c r="EF276" s="393"/>
      <c r="EG276" s="393"/>
      <c r="EH276" s="393"/>
      <c r="EI276" s="393"/>
      <c r="EJ276" s="393"/>
      <c r="EK276" s="393"/>
      <c r="EL276" s="393"/>
      <c r="EM276" s="393"/>
      <c r="EN276" s="393"/>
      <c r="EO276" s="393"/>
      <c r="EP276" s="393"/>
      <c r="EQ276" s="393"/>
      <c r="ER276" s="393"/>
      <c r="ES276" s="393"/>
      <c r="ET276" s="393"/>
      <c r="EU276" s="393"/>
      <c r="EV276" s="393"/>
      <c r="EW276" s="393"/>
      <c r="EX276" s="393"/>
      <c r="EY276" s="393"/>
      <c r="EZ276" s="393"/>
      <c r="FA276" s="393"/>
      <c r="FB276" s="393"/>
      <c r="FC276" s="393"/>
      <c r="FD276" s="393"/>
      <c r="FE276" s="393"/>
      <c r="FF276" s="393"/>
      <c r="FG276" s="393"/>
      <c r="FH276" s="393"/>
      <c r="FI276" s="393"/>
      <c r="FJ276" s="393"/>
      <c r="FK276" s="393"/>
      <c r="FL276" s="393"/>
      <c r="FM276" s="393"/>
      <c r="FN276" s="393"/>
      <c r="FO276" s="393"/>
      <c r="FP276" s="393"/>
      <c r="FQ276" s="393"/>
      <c r="FR276" s="393"/>
      <c r="FS276" s="393"/>
      <c r="FT276" s="393"/>
      <c r="FU276" s="393"/>
      <c r="FV276" s="393"/>
      <c r="FW276" s="393"/>
      <c r="FX276" s="393"/>
      <c r="FY276" s="393"/>
      <c r="FZ276" s="393"/>
      <c r="GA276" s="393"/>
      <c r="GB276" s="393"/>
      <c r="GC276" s="393"/>
      <c r="GD276" s="393"/>
      <c r="GE276" s="393"/>
      <c r="GF276" s="393"/>
      <c r="GG276" s="393"/>
      <c r="GH276" s="393"/>
      <c r="GI276" s="393"/>
      <c r="GJ276" s="393"/>
      <c r="GK276" s="393"/>
      <c r="GL276" s="393"/>
      <c r="GM276" s="393"/>
      <c r="GN276" s="393"/>
      <c r="GO276" s="393"/>
      <c r="GP276" s="393"/>
      <c r="GQ276" s="393"/>
      <c r="GR276" s="393"/>
      <c r="GS276" s="393"/>
      <c r="GT276" s="393"/>
      <c r="GU276" s="393"/>
      <c r="GV276" s="393"/>
      <c r="GW276" s="393"/>
      <c r="GX276" s="393"/>
      <c r="GY276" s="393"/>
      <c r="GZ276" s="393"/>
      <c r="HA276" s="393"/>
      <c r="HB276" s="393"/>
      <c r="HC276" s="393"/>
      <c r="HD276" s="393"/>
      <c r="HE276" s="393"/>
      <c r="HF276" s="393"/>
      <c r="HG276" s="393"/>
      <c r="HH276" s="393"/>
      <c r="HI276" s="393"/>
      <c r="HJ276" s="393"/>
      <c r="HK276" s="393"/>
      <c r="HL276" s="393"/>
      <c r="HM276" s="393"/>
      <c r="HN276" s="393"/>
      <c r="HO276" s="393"/>
      <c r="HP276" s="393"/>
      <c r="HQ276" s="393"/>
      <c r="HR276" s="393"/>
      <c r="HS276" s="393"/>
      <c r="HT276" s="393"/>
      <c r="HU276" s="393"/>
      <c r="HV276" s="393"/>
      <c r="HW276" s="393"/>
      <c r="HX276" s="393"/>
      <c r="HY276" s="393"/>
      <c r="HZ276" s="393"/>
      <c r="IA276" s="393"/>
      <c r="IB276" s="393"/>
      <c r="IC276" s="393"/>
      <c r="ID276" s="393"/>
      <c r="IE276" s="393"/>
      <c r="IF276" s="393"/>
      <c r="IG276" s="393"/>
      <c r="IH276" s="393"/>
      <c r="II276" s="393"/>
      <c r="IJ276" s="393"/>
      <c r="IK276" s="393"/>
      <c r="IL276" s="393"/>
      <c r="IM276" s="393"/>
      <c r="IN276" s="393"/>
      <c r="IO276" s="393"/>
      <c r="IP276" s="393"/>
      <c r="IQ276" s="393"/>
      <c r="IR276" s="393"/>
    </row>
    <row r="277" spans="2:252" s="62" customFormat="1" ht="25.15" customHeight="1" x14ac:dyDescent="0.25">
      <c r="B277" s="181">
        <v>43648</v>
      </c>
      <c r="C277" s="317">
        <v>875</v>
      </c>
      <c r="D277" s="321">
        <f>IF(ISNUMBER(D276),Table3[[#This Row],[Amount]]+D276,0)</f>
        <v>279713.82</v>
      </c>
      <c r="V277" s="393"/>
      <c r="W277" s="393"/>
      <c r="X277" s="393"/>
      <c r="Y277" s="393"/>
      <c r="Z277" s="393"/>
      <c r="AA277" s="393"/>
      <c r="AB277" s="393"/>
      <c r="AC277" s="393"/>
      <c r="AD277" s="393"/>
      <c r="AE277" s="393"/>
      <c r="AF277" s="393"/>
      <c r="AG277" s="393"/>
      <c r="AH277" s="393"/>
      <c r="AI277" s="393"/>
      <c r="AJ277" s="393"/>
      <c r="AK277" s="393"/>
      <c r="AL277" s="393"/>
      <c r="AM277" s="393"/>
      <c r="AN277" s="393"/>
      <c r="AO277" s="393"/>
      <c r="AP277" s="393"/>
      <c r="AQ277" s="393"/>
      <c r="AR277" s="393"/>
      <c r="AS277" s="393"/>
      <c r="AT277" s="393"/>
      <c r="AU277" s="393"/>
      <c r="AV277" s="393"/>
      <c r="AW277" s="393"/>
      <c r="AX277" s="393"/>
      <c r="AY277" s="393"/>
      <c r="AZ277" s="393"/>
      <c r="BA277" s="393"/>
      <c r="BB277" s="393"/>
      <c r="BC277" s="393"/>
      <c r="BD277" s="393"/>
      <c r="BE277" s="393"/>
      <c r="BF277" s="393"/>
      <c r="BG277" s="393"/>
      <c r="BH277" s="393"/>
      <c r="BI277" s="393"/>
      <c r="BJ277" s="393"/>
      <c r="BK277" s="393"/>
      <c r="BL277" s="393"/>
      <c r="BM277" s="393"/>
      <c r="BN277" s="393"/>
      <c r="BO277" s="393"/>
      <c r="BP277" s="393"/>
      <c r="BQ277" s="393"/>
      <c r="BR277" s="393"/>
      <c r="BS277" s="393"/>
      <c r="BT277" s="393"/>
      <c r="BU277" s="393"/>
      <c r="BV277" s="393"/>
      <c r="BW277" s="393"/>
      <c r="BX277" s="393"/>
      <c r="BY277" s="393"/>
      <c r="BZ277" s="393"/>
      <c r="CA277" s="393"/>
      <c r="CB277" s="393"/>
      <c r="CC277" s="393"/>
      <c r="CD277" s="393"/>
      <c r="CE277" s="393"/>
      <c r="CF277" s="393"/>
      <c r="CG277" s="393"/>
      <c r="CH277" s="393"/>
      <c r="CI277" s="393"/>
      <c r="CJ277" s="393"/>
      <c r="CK277" s="393"/>
      <c r="CL277" s="393"/>
      <c r="CM277" s="393"/>
      <c r="CN277" s="393"/>
      <c r="CO277" s="393"/>
      <c r="CP277" s="393"/>
      <c r="CQ277" s="393"/>
      <c r="CR277" s="393"/>
      <c r="CS277" s="393"/>
      <c r="CT277" s="393"/>
      <c r="CU277" s="393"/>
      <c r="CV277" s="393"/>
      <c r="CW277" s="393"/>
      <c r="CX277" s="393"/>
      <c r="CY277" s="393"/>
      <c r="CZ277" s="393"/>
      <c r="DA277" s="393"/>
      <c r="DB277" s="393"/>
      <c r="DC277" s="393"/>
      <c r="DD277" s="393"/>
      <c r="DE277" s="393"/>
      <c r="DF277" s="393"/>
      <c r="DG277" s="393"/>
      <c r="DH277" s="393"/>
      <c r="DI277" s="393"/>
      <c r="DJ277" s="393"/>
      <c r="DK277" s="393"/>
      <c r="DL277" s="393"/>
      <c r="DM277" s="393"/>
      <c r="DN277" s="393"/>
      <c r="DO277" s="393"/>
      <c r="DP277" s="393"/>
      <c r="DQ277" s="393"/>
      <c r="DR277" s="393"/>
      <c r="DS277" s="393"/>
      <c r="DT277" s="393"/>
      <c r="DU277" s="393"/>
      <c r="DV277" s="393"/>
      <c r="DW277" s="393"/>
      <c r="DX277" s="393"/>
      <c r="DY277" s="393"/>
      <c r="DZ277" s="393"/>
      <c r="EA277" s="393"/>
      <c r="EB277" s="393"/>
      <c r="EC277" s="393"/>
      <c r="ED277" s="393"/>
      <c r="EE277" s="393"/>
      <c r="EF277" s="393"/>
      <c r="EG277" s="393"/>
      <c r="EH277" s="393"/>
      <c r="EI277" s="393"/>
      <c r="EJ277" s="393"/>
      <c r="EK277" s="393"/>
      <c r="EL277" s="393"/>
      <c r="EM277" s="393"/>
      <c r="EN277" s="393"/>
      <c r="EO277" s="393"/>
      <c r="EP277" s="393"/>
      <c r="EQ277" s="393"/>
      <c r="ER277" s="393"/>
      <c r="ES277" s="393"/>
      <c r="ET277" s="393"/>
      <c r="EU277" s="393"/>
      <c r="EV277" s="393"/>
      <c r="EW277" s="393"/>
      <c r="EX277" s="393"/>
      <c r="EY277" s="393"/>
      <c r="EZ277" s="393"/>
      <c r="FA277" s="393"/>
      <c r="FB277" s="393"/>
      <c r="FC277" s="393"/>
      <c r="FD277" s="393"/>
      <c r="FE277" s="393"/>
      <c r="FF277" s="393"/>
      <c r="FG277" s="393"/>
      <c r="FH277" s="393"/>
      <c r="FI277" s="393"/>
      <c r="FJ277" s="393"/>
      <c r="FK277" s="393"/>
      <c r="FL277" s="393"/>
      <c r="FM277" s="393"/>
      <c r="FN277" s="393"/>
      <c r="FO277" s="393"/>
      <c r="FP277" s="393"/>
      <c r="FQ277" s="393"/>
      <c r="FR277" s="393"/>
      <c r="FS277" s="393"/>
      <c r="FT277" s="393"/>
      <c r="FU277" s="393"/>
      <c r="FV277" s="393"/>
      <c r="FW277" s="393"/>
      <c r="FX277" s="393"/>
      <c r="FY277" s="393"/>
      <c r="FZ277" s="393"/>
      <c r="GA277" s="393"/>
      <c r="GB277" s="393"/>
      <c r="GC277" s="393"/>
      <c r="GD277" s="393"/>
      <c r="GE277" s="393"/>
      <c r="GF277" s="393"/>
      <c r="GG277" s="393"/>
      <c r="GH277" s="393"/>
      <c r="GI277" s="393"/>
      <c r="GJ277" s="393"/>
      <c r="GK277" s="393"/>
      <c r="GL277" s="393"/>
      <c r="GM277" s="393"/>
      <c r="GN277" s="393"/>
      <c r="GO277" s="393"/>
      <c r="GP277" s="393"/>
      <c r="GQ277" s="393"/>
      <c r="GR277" s="393"/>
      <c r="GS277" s="393"/>
      <c r="GT277" s="393"/>
      <c r="GU277" s="393"/>
      <c r="GV277" s="393"/>
      <c r="GW277" s="393"/>
      <c r="GX277" s="393"/>
      <c r="GY277" s="393"/>
      <c r="GZ277" s="393"/>
      <c r="HA277" s="393"/>
      <c r="HB277" s="393"/>
      <c r="HC277" s="393"/>
      <c r="HD277" s="393"/>
      <c r="HE277" s="393"/>
      <c r="HF277" s="393"/>
      <c r="HG277" s="393"/>
      <c r="HH277" s="393"/>
      <c r="HI277" s="393"/>
      <c r="HJ277" s="393"/>
      <c r="HK277" s="393"/>
      <c r="HL277" s="393"/>
      <c r="HM277" s="393"/>
      <c r="HN277" s="393"/>
      <c r="HO277" s="393"/>
      <c r="HP277" s="393"/>
      <c r="HQ277" s="393"/>
      <c r="HR277" s="393"/>
      <c r="HS277" s="393"/>
      <c r="HT277" s="393"/>
      <c r="HU277" s="393"/>
      <c r="HV277" s="393"/>
      <c r="HW277" s="393"/>
      <c r="HX277" s="393"/>
      <c r="HY277" s="393"/>
      <c r="HZ277" s="393"/>
      <c r="IA277" s="393"/>
      <c r="IB277" s="393"/>
      <c r="IC277" s="393"/>
      <c r="ID277" s="393"/>
      <c r="IE277" s="393"/>
      <c r="IF277" s="393"/>
      <c r="IG277" s="393"/>
      <c r="IH277" s="393"/>
      <c r="II277" s="393"/>
      <c r="IJ277" s="393"/>
      <c r="IK277" s="393"/>
      <c r="IL277" s="393"/>
      <c r="IM277" s="393"/>
      <c r="IN277" s="393"/>
      <c r="IO277" s="393"/>
      <c r="IP277" s="393"/>
      <c r="IQ277" s="393"/>
      <c r="IR277" s="393"/>
    </row>
    <row r="278" spans="2:252" s="62" customFormat="1" ht="25.15" customHeight="1" x14ac:dyDescent="0.25">
      <c r="B278" s="181">
        <v>43661</v>
      </c>
      <c r="C278" s="317">
        <v>875</v>
      </c>
      <c r="D278" s="321">
        <f>IF(ISNUMBER(D277),Table3[[#This Row],[Amount]]+D277,0)</f>
        <v>280588.82</v>
      </c>
      <c r="V278" s="393"/>
      <c r="W278" s="393"/>
      <c r="X278" s="393"/>
      <c r="Y278" s="393"/>
      <c r="Z278" s="393"/>
      <c r="AA278" s="393"/>
      <c r="AB278" s="393"/>
      <c r="AC278" s="393"/>
      <c r="AD278" s="393"/>
      <c r="AE278" s="393"/>
      <c r="AF278" s="393"/>
      <c r="AG278" s="393"/>
      <c r="AH278" s="393"/>
      <c r="AI278" s="393"/>
      <c r="AJ278" s="393"/>
      <c r="AK278" s="393"/>
      <c r="AL278" s="393"/>
      <c r="AM278" s="393"/>
      <c r="AN278" s="393"/>
      <c r="AO278" s="393"/>
      <c r="AP278" s="393"/>
      <c r="AQ278" s="393"/>
      <c r="AR278" s="393"/>
      <c r="AS278" s="393"/>
      <c r="AT278" s="393"/>
      <c r="AU278" s="393"/>
      <c r="AV278" s="393"/>
      <c r="AW278" s="393"/>
      <c r="AX278" s="393"/>
      <c r="AY278" s="393"/>
      <c r="AZ278" s="393"/>
      <c r="BA278" s="393"/>
      <c r="BB278" s="393"/>
      <c r="BC278" s="393"/>
      <c r="BD278" s="393"/>
      <c r="BE278" s="393"/>
      <c r="BF278" s="393"/>
      <c r="BG278" s="393"/>
      <c r="BH278" s="393"/>
      <c r="BI278" s="393"/>
      <c r="BJ278" s="393"/>
      <c r="BK278" s="393"/>
      <c r="BL278" s="393"/>
      <c r="BM278" s="393"/>
      <c r="BN278" s="393"/>
      <c r="BO278" s="393"/>
      <c r="BP278" s="393"/>
      <c r="BQ278" s="393"/>
      <c r="BR278" s="393"/>
      <c r="BS278" s="393"/>
      <c r="BT278" s="393"/>
      <c r="BU278" s="393"/>
      <c r="BV278" s="393"/>
      <c r="BW278" s="393"/>
      <c r="BX278" s="393"/>
      <c r="BY278" s="393"/>
      <c r="BZ278" s="393"/>
      <c r="CA278" s="393"/>
      <c r="CB278" s="393"/>
      <c r="CC278" s="393"/>
      <c r="CD278" s="393"/>
      <c r="CE278" s="393"/>
      <c r="CF278" s="393"/>
      <c r="CG278" s="393"/>
      <c r="CH278" s="393"/>
      <c r="CI278" s="393"/>
      <c r="CJ278" s="393"/>
      <c r="CK278" s="393"/>
      <c r="CL278" s="393"/>
      <c r="CM278" s="393"/>
      <c r="CN278" s="393"/>
      <c r="CO278" s="393"/>
      <c r="CP278" s="393"/>
      <c r="CQ278" s="393"/>
      <c r="CR278" s="393"/>
      <c r="CS278" s="393"/>
      <c r="CT278" s="393"/>
      <c r="CU278" s="393"/>
      <c r="CV278" s="393"/>
      <c r="CW278" s="393"/>
      <c r="CX278" s="393"/>
      <c r="CY278" s="393"/>
      <c r="CZ278" s="393"/>
      <c r="DA278" s="393"/>
      <c r="DB278" s="393"/>
      <c r="DC278" s="393"/>
      <c r="DD278" s="393"/>
      <c r="DE278" s="393"/>
      <c r="DF278" s="393"/>
      <c r="DG278" s="393"/>
      <c r="DH278" s="393"/>
      <c r="DI278" s="393"/>
      <c r="DJ278" s="393"/>
      <c r="DK278" s="393"/>
      <c r="DL278" s="393"/>
      <c r="DM278" s="393"/>
      <c r="DN278" s="393"/>
      <c r="DO278" s="393"/>
      <c r="DP278" s="393"/>
      <c r="DQ278" s="393"/>
      <c r="DR278" s="393"/>
      <c r="DS278" s="393"/>
      <c r="DT278" s="393"/>
      <c r="DU278" s="393"/>
      <c r="DV278" s="393"/>
      <c r="DW278" s="393"/>
      <c r="DX278" s="393"/>
      <c r="DY278" s="393"/>
      <c r="DZ278" s="393"/>
      <c r="EA278" s="393"/>
      <c r="EB278" s="393"/>
      <c r="EC278" s="393"/>
      <c r="ED278" s="393"/>
      <c r="EE278" s="393"/>
      <c r="EF278" s="393"/>
      <c r="EG278" s="393"/>
      <c r="EH278" s="393"/>
      <c r="EI278" s="393"/>
      <c r="EJ278" s="393"/>
      <c r="EK278" s="393"/>
      <c r="EL278" s="393"/>
      <c r="EM278" s="393"/>
      <c r="EN278" s="393"/>
      <c r="EO278" s="393"/>
      <c r="EP278" s="393"/>
      <c r="EQ278" s="393"/>
      <c r="ER278" s="393"/>
      <c r="ES278" s="393"/>
      <c r="ET278" s="393"/>
      <c r="EU278" s="393"/>
      <c r="EV278" s="393"/>
      <c r="EW278" s="393"/>
      <c r="EX278" s="393"/>
      <c r="EY278" s="393"/>
      <c r="EZ278" s="393"/>
      <c r="FA278" s="393"/>
      <c r="FB278" s="393"/>
      <c r="FC278" s="393"/>
      <c r="FD278" s="393"/>
      <c r="FE278" s="393"/>
      <c r="FF278" s="393"/>
      <c r="FG278" s="393"/>
      <c r="FH278" s="393"/>
      <c r="FI278" s="393"/>
      <c r="FJ278" s="393"/>
      <c r="FK278" s="393"/>
      <c r="FL278" s="393"/>
      <c r="FM278" s="393"/>
      <c r="FN278" s="393"/>
      <c r="FO278" s="393"/>
      <c r="FP278" s="393"/>
      <c r="FQ278" s="393"/>
      <c r="FR278" s="393"/>
      <c r="FS278" s="393"/>
      <c r="FT278" s="393"/>
      <c r="FU278" s="393"/>
      <c r="FV278" s="393"/>
      <c r="FW278" s="393"/>
      <c r="FX278" s="393"/>
      <c r="FY278" s="393"/>
      <c r="FZ278" s="393"/>
      <c r="GA278" s="393"/>
      <c r="GB278" s="393"/>
      <c r="GC278" s="393"/>
      <c r="GD278" s="393"/>
      <c r="GE278" s="393"/>
      <c r="GF278" s="393"/>
      <c r="GG278" s="393"/>
      <c r="GH278" s="393"/>
      <c r="GI278" s="393"/>
      <c r="GJ278" s="393"/>
      <c r="GK278" s="393"/>
      <c r="GL278" s="393"/>
      <c r="GM278" s="393"/>
      <c r="GN278" s="393"/>
      <c r="GO278" s="393"/>
      <c r="GP278" s="393"/>
      <c r="GQ278" s="393"/>
      <c r="GR278" s="393"/>
      <c r="GS278" s="393"/>
      <c r="GT278" s="393"/>
      <c r="GU278" s="393"/>
      <c r="GV278" s="393"/>
      <c r="GW278" s="393"/>
      <c r="GX278" s="393"/>
      <c r="GY278" s="393"/>
      <c r="GZ278" s="393"/>
      <c r="HA278" s="393"/>
      <c r="HB278" s="393"/>
      <c r="HC278" s="393"/>
      <c r="HD278" s="393"/>
      <c r="HE278" s="393"/>
      <c r="HF278" s="393"/>
      <c r="HG278" s="393"/>
      <c r="HH278" s="393"/>
      <c r="HI278" s="393"/>
      <c r="HJ278" s="393"/>
      <c r="HK278" s="393"/>
      <c r="HL278" s="393"/>
      <c r="HM278" s="393"/>
      <c r="HN278" s="393"/>
      <c r="HO278" s="393"/>
      <c r="HP278" s="393"/>
      <c r="HQ278" s="393"/>
      <c r="HR278" s="393"/>
      <c r="HS278" s="393"/>
      <c r="HT278" s="393"/>
      <c r="HU278" s="393"/>
      <c r="HV278" s="393"/>
      <c r="HW278" s="393"/>
      <c r="HX278" s="393"/>
      <c r="HY278" s="393"/>
      <c r="HZ278" s="393"/>
      <c r="IA278" s="393"/>
      <c r="IB278" s="393"/>
      <c r="IC278" s="393"/>
      <c r="ID278" s="393"/>
      <c r="IE278" s="393"/>
      <c r="IF278" s="393"/>
      <c r="IG278" s="393"/>
      <c r="IH278" s="393"/>
      <c r="II278" s="393"/>
      <c r="IJ278" s="393"/>
      <c r="IK278" s="393"/>
      <c r="IL278" s="393"/>
      <c r="IM278" s="393"/>
      <c r="IN278" s="393"/>
      <c r="IO278" s="393"/>
      <c r="IP278" s="393"/>
      <c r="IQ278" s="393"/>
      <c r="IR278" s="393"/>
    </row>
    <row r="279" spans="2:252" s="62" customFormat="1" ht="25.15" customHeight="1" x14ac:dyDescent="0.25">
      <c r="B279" s="181">
        <v>43675</v>
      </c>
      <c r="C279" s="317">
        <v>875</v>
      </c>
      <c r="D279" s="321">
        <f>IF(ISNUMBER(D278),Table3[[#This Row],[Amount]]+D278,0)</f>
        <v>281463.82</v>
      </c>
      <c r="V279" s="393"/>
      <c r="W279" s="393"/>
      <c r="X279" s="393"/>
      <c r="Y279" s="393"/>
      <c r="Z279" s="393"/>
      <c r="AA279" s="393"/>
      <c r="AB279" s="393"/>
      <c r="AC279" s="393"/>
      <c r="AD279" s="393"/>
      <c r="AE279" s="393"/>
      <c r="AF279" s="393"/>
      <c r="AG279" s="393"/>
      <c r="AH279" s="393"/>
      <c r="AI279" s="393"/>
      <c r="AJ279" s="393"/>
      <c r="AK279" s="393"/>
      <c r="AL279" s="393"/>
      <c r="AM279" s="393"/>
      <c r="AN279" s="393"/>
      <c r="AO279" s="393"/>
      <c r="AP279" s="393"/>
      <c r="AQ279" s="393"/>
      <c r="AR279" s="393"/>
      <c r="AS279" s="393"/>
      <c r="AT279" s="393"/>
      <c r="AU279" s="393"/>
      <c r="AV279" s="393"/>
      <c r="AW279" s="393"/>
      <c r="AX279" s="393"/>
      <c r="AY279" s="393"/>
      <c r="AZ279" s="393"/>
      <c r="BA279" s="393"/>
      <c r="BB279" s="393"/>
      <c r="BC279" s="393"/>
      <c r="BD279" s="393"/>
      <c r="BE279" s="393"/>
      <c r="BF279" s="393"/>
      <c r="BG279" s="393"/>
      <c r="BH279" s="393"/>
      <c r="BI279" s="393"/>
      <c r="BJ279" s="393"/>
      <c r="BK279" s="393"/>
      <c r="BL279" s="393"/>
      <c r="BM279" s="393"/>
      <c r="BN279" s="393"/>
      <c r="BO279" s="393"/>
      <c r="BP279" s="393"/>
      <c r="BQ279" s="393"/>
      <c r="BR279" s="393"/>
      <c r="BS279" s="393"/>
      <c r="BT279" s="393"/>
      <c r="BU279" s="393"/>
      <c r="BV279" s="393"/>
      <c r="BW279" s="393"/>
      <c r="BX279" s="393"/>
      <c r="BY279" s="393"/>
      <c r="BZ279" s="393"/>
      <c r="CA279" s="393"/>
      <c r="CB279" s="393"/>
      <c r="CC279" s="393"/>
      <c r="CD279" s="393"/>
      <c r="CE279" s="393"/>
      <c r="CF279" s="393"/>
      <c r="CG279" s="393"/>
      <c r="CH279" s="393"/>
      <c r="CI279" s="393"/>
      <c r="CJ279" s="393"/>
      <c r="CK279" s="393"/>
      <c r="CL279" s="393"/>
      <c r="CM279" s="393"/>
      <c r="CN279" s="393"/>
      <c r="CO279" s="393"/>
      <c r="CP279" s="393"/>
      <c r="CQ279" s="393"/>
      <c r="CR279" s="393"/>
      <c r="CS279" s="393"/>
      <c r="CT279" s="393"/>
      <c r="CU279" s="393"/>
      <c r="CV279" s="393"/>
      <c r="CW279" s="393"/>
      <c r="CX279" s="393"/>
      <c r="CY279" s="393"/>
      <c r="CZ279" s="393"/>
      <c r="DA279" s="393"/>
      <c r="DB279" s="393"/>
      <c r="DC279" s="393"/>
      <c r="DD279" s="393"/>
      <c r="DE279" s="393"/>
      <c r="DF279" s="393"/>
      <c r="DG279" s="393"/>
      <c r="DH279" s="393"/>
      <c r="DI279" s="393"/>
      <c r="DJ279" s="393"/>
      <c r="DK279" s="393"/>
      <c r="DL279" s="393"/>
      <c r="DM279" s="393"/>
      <c r="DN279" s="393"/>
      <c r="DO279" s="393"/>
      <c r="DP279" s="393"/>
      <c r="DQ279" s="393"/>
      <c r="DR279" s="393"/>
      <c r="DS279" s="393"/>
      <c r="DT279" s="393"/>
      <c r="DU279" s="393"/>
      <c r="DV279" s="393"/>
      <c r="DW279" s="393"/>
      <c r="DX279" s="393"/>
      <c r="DY279" s="393"/>
      <c r="DZ279" s="393"/>
      <c r="EA279" s="393"/>
      <c r="EB279" s="393"/>
      <c r="EC279" s="393"/>
      <c r="ED279" s="393"/>
      <c r="EE279" s="393"/>
      <c r="EF279" s="393"/>
      <c r="EG279" s="393"/>
      <c r="EH279" s="393"/>
      <c r="EI279" s="393"/>
      <c r="EJ279" s="393"/>
      <c r="EK279" s="393"/>
      <c r="EL279" s="393"/>
      <c r="EM279" s="393"/>
      <c r="EN279" s="393"/>
      <c r="EO279" s="393"/>
      <c r="EP279" s="393"/>
      <c r="EQ279" s="393"/>
      <c r="ER279" s="393"/>
      <c r="ES279" s="393"/>
      <c r="ET279" s="393"/>
      <c r="EU279" s="393"/>
      <c r="EV279" s="393"/>
      <c r="EW279" s="393"/>
      <c r="EX279" s="393"/>
      <c r="EY279" s="393"/>
      <c r="EZ279" s="393"/>
      <c r="FA279" s="393"/>
      <c r="FB279" s="393"/>
      <c r="FC279" s="393"/>
      <c r="FD279" s="393"/>
      <c r="FE279" s="393"/>
      <c r="FF279" s="393"/>
      <c r="FG279" s="393"/>
      <c r="FH279" s="393"/>
      <c r="FI279" s="393"/>
      <c r="FJ279" s="393"/>
      <c r="FK279" s="393"/>
      <c r="FL279" s="393"/>
      <c r="FM279" s="393"/>
      <c r="FN279" s="393"/>
      <c r="FO279" s="393"/>
      <c r="FP279" s="393"/>
      <c r="FQ279" s="393"/>
      <c r="FR279" s="393"/>
      <c r="FS279" s="393"/>
      <c r="FT279" s="393"/>
      <c r="FU279" s="393"/>
      <c r="FV279" s="393"/>
      <c r="FW279" s="393"/>
      <c r="FX279" s="393"/>
      <c r="FY279" s="393"/>
      <c r="FZ279" s="393"/>
      <c r="GA279" s="393"/>
      <c r="GB279" s="393"/>
      <c r="GC279" s="393"/>
      <c r="GD279" s="393"/>
      <c r="GE279" s="393"/>
      <c r="GF279" s="393"/>
      <c r="GG279" s="393"/>
      <c r="GH279" s="393"/>
      <c r="GI279" s="393"/>
      <c r="GJ279" s="393"/>
      <c r="GK279" s="393"/>
      <c r="GL279" s="393"/>
      <c r="GM279" s="393"/>
      <c r="GN279" s="393"/>
      <c r="GO279" s="393"/>
      <c r="GP279" s="393"/>
      <c r="GQ279" s="393"/>
      <c r="GR279" s="393"/>
      <c r="GS279" s="393"/>
      <c r="GT279" s="393"/>
      <c r="GU279" s="393"/>
      <c r="GV279" s="393"/>
      <c r="GW279" s="393"/>
      <c r="GX279" s="393"/>
      <c r="GY279" s="393"/>
      <c r="GZ279" s="393"/>
      <c r="HA279" s="393"/>
      <c r="HB279" s="393"/>
      <c r="HC279" s="393"/>
      <c r="HD279" s="393"/>
      <c r="HE279" s="393"/>
      <c r="HF279" s="393"/>
      <c r="HG279" s="393"/>
      <c r="HH279" s="393"/>
      <c r="HI279" s="393"/>
      <c r="HJ279" s="393"/>
      <c r="HK279" s="393"/>
      <c r="HL279" s="393"/>
      <c r="HM279" s="393"/>
      <c r="HN279" s="393"/>
      <c r="HO279" s="393"/>
      <c r="HP279" s="393"/>
      <c r="HQ279" s="393"/>
      <c r="HR279" s="393"/>
      <c r="HS279" s="393"/>
      <c r="HT279" s="393"/>
      <c r="HU279" s="393"/>
      <c r="HV279" s="393"/>
      <c r="HW279" s="393"/>
      <c r="HX279" s="393"/>
      <c r="HY279" s="393"/>
      <c r="HZ279" s="393"/>
      <c r="IA279" s="393"/>
      <c r="IB279" s="393"/>
      <c r="IC279" s="393"/>
      <c r="ID279" s="393"/>
      <c r="IE279" s="393"/>
      <c r="IF279" s="393"/>
      <c r="IG279" s="393"/>
      <c r="IH279" s="393"/>
      <c r="II279" s="393"/>
      <c r="IJ279" s="393"/>
      <c r="IK279" s="393"/>
      <c r="IL279" s="393"/>
      <c r="IM279" s="393"/>
      <c r="IN279" s="393"/>
      <c r="IO279" s="393"/>
      <c r="IP279" s="393"/>
      <c r="IQ279" s="393"/>
      <c r="IR279" s="393"/>
    </row>
    <row r="280" spans="2:252" s="62" customFormat="1" ht="25.15" customHeight="1" x14ac:dyDescent="0.25">
      <c r="B280" s="181">
        <v>43689</v>
      </c>
      <c r="C280" s="317">
        <v>875</v>
      </c>
      <c r="D280" s="321">
        <f>IF(ISNUMBER(D279),Table3[[#This Row],[Amount]]+D279,0)</f>
        <v>282338.82</v>
      </c>
      <c r="V280" s="393"/>
      <c r="W280" s="393"/>
      <c r="X280" s="393"/>
      <c r="Y280" s="393"/>
      <c r="Z280" s="393"/>
      <c r="AA280" s="393"/>
      <c r="AB280" s="393"/>
      <c r="AC280" s="393"/>
      <c r="AD280" s="393"/>
      <c r="AE280" s="393"/>
      <c r="AF280" s="393"/>
      <c r="AG280" s="393"/>
      <c r="AH280" s="393"/>
      <c r="AI280" s="393"/>
      <c r="AJ280" s="393"/>
      <c r="AK280" s="393"/>
      <c r="AL280" s="393"/>
      <c r="AM280" s="393"/>
      <c r="AN280" s="393"/>
      <c r="AO280" s="393"/>
      <c r="AP280" s="393"/>
      <c r="AQ280" s="393"/>
      <c r="AR280" s="393"/>
      <c r="AS280" s="393"/>
      <c r="AT280" s="393"/>
      <c r="AU280" s="393"/>
      <c r="AV280" s="393"/>
      <c r="AW280" s="393"/>
      <c r="AX280" s="393"/>
      <c r="AY280" s="393"/>
      <c r="AZ280" s="393"/>
      <c r="BA280" s="393"/>
      <c r="BB280" s="393"/>
      <c r="BC280" s="393"/>
      <c r="BD280" s="393"/>
      <c r="BE280" s="393"/>
      <c r="BF280" s="393"/>
      <c r="BG280" s="393"/>
      <c r="BH280" s="393"/>
      <c r="BI280" s="393"/>
      <c r="BJ280" s="393"/>
      <c r="BK280" s="393"/>
      <c r="BL280" s="393"/>
      <c r="BM280" s="393"/>
      <c r="BN280" s="393"/>
      <c r="BO280" s="393"/>
      <c r="BP280" s="393"/>
      <c r="BQ280" s="393"/>
      <c r="BR280" s="393"/>
      <c r="BS280" s="393"/>
      <c r="BT280" s="393"/>
      <c r="BU280" s="393"/>
      <c r="BV280" s="393"/>
      <c r="BW280" s="393"/>
      <c r="BX280" s="393"/>
      <c r="BY280" s="393"/>
      <c r="BZ280" s="393"/>
      <c r="CA280" s="393"/>
      <c r="CB280" s="393"/>
      <c r="CC280" s="393"/>
      <c r="CD280" s="393"/>
      <c r="CE280" s="393"/>
      <c r="CF280" s="393"/>
      <c r="CG280" s="393"/>
      <c r="CH280" s="393"/>
      <c r="CI280" s="393"/>
      <c r="CJ280" s="393"/>
      <c r="CK280" s="393"/>
      <c r="CL280" s="393"/>
      <c r="CM280" s="393"/>
      <c r="CN280" s="393"/>
      <c r="CO280" s="393"/>
      <c r="CP280" s="393"/>
      <c r="CQ280" s="393"/>
      <c r="CR280" s="393"/>
      <c r="CS280" s="393"/>
      <c r="CT280" s="393"/>
      <c r="CU280" s="393"/>
      <c r="CV280" s="393"/>
      <c r="CW280" s="393"/>
      <c r="CX280" s="393"/>
      <c r="CY280" s="393"/>
      <c r="CZ280" s="393"/>
      <c r="DA280" s="393"/>
      <c r="DB280" s="393"/>
      <c r="DC280" s="393"/>
      <c r="DD280" s="393"/>
      <c r="DE280" s="393"/>
      <c r="DF280" s="393"/>
      <c r="DG280" s="393"/>
      <c r="DH280" s="393"/>
      <c r="DI280" s="393"/>
      <c r="DJ280" s="393"/>
      <c r="DK280" s="393"/>
      <c r="DL280" s="393"/>
      <c r="DM280" s="393"/>
      <c r="DN280" s="393"/>
      <c r="DO280" s="393"/>
      <c r="DP280" s="393"/>
      <c r="DQ280" s="393"/>
      <c r="DR280" s="393"/>
      <c r="DS280" s="393"/>
      <c r="DT280" s="393"/>
      <c r="DU280" s="393"/>
      <c r="DV280" s="393"/>
      <c r="DW280" s="393"/>
      <c r="DX280" s="393"/>
      <c r="DY280" s="393"/>
      <c r="DZ280" s="393"/>
      <c r="EA280" s="393"/>
      <c r="EB280" s="393"/>
      <c r="EC280" s="393"/>
      <c r="ED280" s="393"/>
      <c r="EE280" s="393"/>
      <c r="EF280" s="393"/>
      <c r="EG280" s="393"/>
      <c r="EH280" s="393"/>
      <c r="EI280" s="393"/>
      <c r="EJ280" s="393"/>
      <c r="EK280" s="393"/>
      <c r="EL280" s="393"/>
      <c r="EM280" s="393"/>
      <c r="EN280" s="393"/>
      <c r="EO280" s="393"/>
      <c r="EP280" s="393"/>
      <c r="EQ280" s="393"/>
      <c r="ER280" s="393"/>
      <c r="ES280" s="393"/>
      <c r="ET280" s="393"/>
      <c r="EU280" s="393"/>
      <c r="EV280" s="393"/>
      <c r="EW280" s="393"/>
      <c r="EX280" s="393"/>
      <c r="EY280" s="393"/>
      <c r="EZ280" s="393"/>
      <c r="FA280" s="393"/>
      <c r="FB280" s="393"/>
      <c r="FC280" s="393"/>
      <c r="FD280" s="393"/>
      <c r="FE280" s="393"/>
      <c r="FF280" s="393"/>
      <c r="FG280" s="393"/>
      <c r="FH280" s="393"/>
      <c r="FI280" s="393"/>
      <c r="FJ280" s="393"/>
      <c r="FK280" s="393"/>
      <c r="FL280" s="393"/>
      <c r="FM280" s="393"/>
      <c r="FN280" s="393"/>
      <c r="FO280" s="393"/>
      <c r="FP280" s="393"/>
      <c r="FQ280" s="393"/>
      <c r="FR280" s="393"/>
      <c r="FS280" s="393"/>
      <c r="FT280" s="393"/>
      <c r="FU280" s="393"/>
      <c r="FV280" s="393"/>
      <c r="FW280" s="393"/>
      <c r="FX280" s="393"/>
      <c r="FY280" s="393"/>
      <c r="FZ280" s="393"/>
      <c r="GA280" s="393"/>
      <c r="GB280" s="393"/>
      <c r="GC280" s="393"/>
      <c r="GD280" s="393"/>
      <c r="GE280" s="393"/>
      <c r="GF280" s="393"/>
      <c r="GG280" s="393"/>
      <c r="GH280" s="393"/>
      <c r="GI280" s="393"/>
      <c r="GJ280" s="393"/>
      <c r="GK280" s="393"/>
      <c r="GL280" s="393"/>
      <c r="GM280" s="393"/>
      <c r="GN280" s="393"/>
      <c r="GO280" s="393"/>
      <c r="GP280" s="393"/>
      <c r="GQ280" s="393"/>
      <c r="GR280" s="393"/>
      <c r="GS280" s="393"/>
      <c r="GT280" s="393"/>
      <c r="GU280" s="393"/>
      <c r="GV280" s="393"/>
      <c r="GW280" s="393"/>
      <c r="GX280" s="393"/>
      <c r="GY280" s="393"/>
      <c r="GZ280" s="393"/>
      <c r="HA280" s="393"/>
      <c r="HB280" s="393"/>
      <c r="HC280" s="393"/>
      <c r="HD280" s="393"/>
      <c r="HE280" s="393"/>
      <c r="HF280" s="393"/>
      <c r="HG280" s="393"/>
      <c r="HH280" s="393"/>
      <c r="HI280" s="393"/>
      <c r="HJ280" s="393"/>
      <c r="HK280" s="393"/>
      <c r="HL280" s="393"/>
      <c r="HM280" s="393"/>
      <c r="HN280" s="393"/>
      <c r="HO280" s="393"/>
      <c r="HP280" s="393"/>
      <c r="HQ280" s="393"/>
      <c r="HR280" s="393"/>
      <c r="HS280" s="393"/>
      <c r="HT280" s="393"/>
      <c r="HU280" s="393"/>
      <c r="HV280" s="393"/>
      <c r="HW280" s="393"/>
      <c r="HX280" s="393"/>
      <c r="HY280" s="393"/>
      <c r="HZ280" s="393"/>
      <c r="IA280" s="393"/>
      <c r="IB280" s="393"/>
      <c r="IC280" s="393"/>
      <c r="ID280" s="393"/>
      <c r="IE280" s="393"/>
      <c r="IF280" s="393"/>
      <c r="IG280" s="393"/>
      <c r="IH280" s="393"/>
      <c r="II280" s="393"/>
      <c r="IJ280" s="393"/>
      <c r="IK280" s="393"/>
      <c r="IL280" s="393"/>
      <c r="IM280" s="393"/>
      <c r="IN280" s="393"/>
      <c r="IO280" s="393"/>
      <c r="IP280" s="393"/>
      <c r="IQ280" s="393"/>
      <c r="IR280" s="393"/>
    </row>
    <row r="281" spans="2:252" s="62" customFormat="1" ht="25.15" customHeight="1" x14ac:dyDescent="0.25">
      <c r="B281" s="181">
        <v>43704</v>
      </c>
      <c r="C281" s="317">
        <v>17826.05</v>
      </c>
      <c r="D281" s="321">
        <f>IF(ISNUMBER(D280),Table3[[#This Row],[Amount]]+D280,0)</f>
        <v>300164.87</v>
      </c>
      <c r="V281" s="393"/>
      <c r="W281" s="393"/>
      <c r="X281" s="393"/>
      <c r="Y281" s="393"/>
      <c r="Z281" s="393"/>
      <c r="AA281" s="393"/>
      <c r="AB281" s="393"/>
      <c r="AC281" s="393"/>
      <c r="AD281" s="393"/>
      <c r="AE281" s="393"/>
      <c r="AF281" s="393"/>
      <c r="AG281" s="393"/>
      <c r="AH281" s="393"/>
      <c r="AI281" s="393"/>
      <c r="AJ281" s="393"/>
      <c r="AK281" s="393"/>
      <c r="AL281" s="393"/>
      <c r="AM281" s="393"/>
      <c r="AN281" s="393"/>
      <c r="AO281" s="393"/>
      <c r="AP281" s="393"/>
      <c r="AQ281" s="393"/>
      <c r="AR281" s="393"/>
      <c r="AS281" s="393"/>
      <c r="AT281" s="393"/>
      <c r="AU281" s="393"/>
      <c r="AV281" s="393"/>
      <c r="AW281" s="393"/>
      <c r="AX281" s="393"/>
      <c r="AY281" s="393"/>
      <c r="AZ281" s="393"/>
      <c r="BA281" s="393"/>
      <c r="BB281" s="393"/>
      <c r="BC281" s="393"/>
      <c r="BD281" s="393"/>
      <c r="BE281" s="393"/>
      <c r="BF281" s="393"/>
      <c r="BG281" s="393"/>
      <c r="BH281" s="393"/>
      <c r="BI281" s="393"/>
      <c r="BJ281" s="393"/>
      <c r="BK281" s="393"/>
      <c r="BL281" s="393"/>
      <c r="BM281" s="393"/>
      <c r="BN281" s="393"/>
      <c r="BO281" s="393"/>
      <c r="BP281" s="393"/>
      <c r="BQ281" s="393"/>
      <c r="BR281" s="393"/>
      <c r="BS281" s="393"/>
      <c r="BT281" s="393"/>
      <c r="BU281" s="393"/>
      <c r="BV281" s="393"/>
      <c r="BW281" s="393"/>
      <c r="BX281" s="393"/>
      <c r="BY281" s="393"/>
      <c r="BZ281" s="393"/>
      <c r="CA281" s="393"/>
      <c r="CB281" s="393"/>
      <c r="CC281" s="393"/>
      <c r="CD281" s="393"/>
      <c r="CE281" s="393"/>
      <c r="CF281" s="393"/>
      <c r="CG281" s="393"/>
      <c r="CH281" s="393"/>
      <c r="CI281" s="393"/>
      <c r="CJ281" s="393"/>
      <c r="CK281" s="393"/>
      <c r="CL281" s="393"/>
      <c r="CM281" s="393"/>
      <c r="CN281" s="393"/>
      <c r="CO281" s="393"/>
      <c r="CP281" s="393"/>
      <c r="CQ281" s="393"/>
      <c r="CR281" s="393"/>
      <c r="CS281" s="393"/>
      <c r="CT281" s="393"/>
      <c r="CU281" s="393"/>
      <c r="CV281" s="393"/>
      <c r="CW281" s="393"/>
      <c r="CX281" s="393"/>
      <c r="CY281" s="393"/>
      <c r="CZ281" s="393"/>
      <c r="DA281" s="393"/>
      <c r="DB281" s="393"/>
      <c r="DC281" s="393"/>
      <c r="DD281" s="393"/>
      <c r="DE281" s="393"/>
      <c r="DF281" s="393"/>
      <c r="DG281" s="393"/>
      <c r="DH281" s="393"/>
      <c r="DI281" s="393"/>
      <c r="DJ281" s="393"/>
      <c r="DK281" s="393"/>
      <c r="DL281" s="393"/>
      <c r="DM281" s="393"/>
      <c r="DN281" s="393"/>
      <c r="DO281" s="393"/>
      <c r="DP281" s="393"/>
      <c r="DQ281" s="393"/>
      <c r="DR281" s="393"/>
      <c r="DS281" s="393"/>
      <c r="DT281" s="393"/>
      <c r="DU281" s="393"/>
      <c r="DV281" s="393"/>
      <c r="DW281" s="393"/>
      <c r="DX281" s="393"/>
      <c r="DY281" s="393"/>
      <c r="DZ281" s="393"/>
      <c r="EA281" s="393"/>
      <c r="EB281" s="393"/>
      <c r="EC281" s="393"/>
      <c r="ED281" s="393"/>
      <c r="EE281" s="393"/>
      <c r="EF281" s="393"/>
      <c r="EG281" s="393"/>
      <c r="EH281" s="393"/>
      <c r="EI281" s="393"/>
      <c r="EJ281" s="393"/>
      <c r="EK281" s="393"/>
      <c r="EL281" s="393"/>
      <c r="EM281" s="393"/>
      <c r="EN281" s="393"/>
      <c r="EO281" s="393"/>
      <c r="EP281" s="393"/>
      <c r="EQ281" s="393"/>
      <c r="ER281" s="393"/>
      <c r="ES281" s="393"/>
      <c r="ET281" s="393"/>
      <c r="EU281" s="393"/>
      <c r="EV281" s="393"/>
      <c r="EW281" s="393"/>
      <c r="EX281" s="393"/>
      <c r="EY281" s="393"/>
      <c r="EZ281" s="393"/>
      <c r="FA281" s="393"/>
      <c r="FB281" s="393"/>
      <c r="FC281" s="393"/>
      <c r="FD281" s="393"/>
      <c r="FE281" s="393"/>
      <c r="FF281" s="393"/>
      <c r="FG281" s="393"/>
      <c r="FH281" s="393"/>
      <c r="FI281" s="393"/>
      <c r="FJ281" s="393"/>
      <c r="FK281" s="393"/>
      <c r="FL281" s="393"/>
      <c r="FM281" s="393"/>
      <c r="FN281" s="393"/>
      <c r="FO281" s="393"/>
      <c r="FP281" s="393"/>
      <c r="FQ281" s="393"/>
      <c r="FR281" s="393"/>
      <c r="FS281" s="393"/>
      <c r="FT281" s="393"/>
      <c r="FU281" s="393"/>
      <c r="FV281" s="393"/>
      <c r="FW281" s="393"/>
      <c r="FX281" s="393"/>
      <c r="FY281" s="393"/>
      <c r="FZ281" s="393"/>
      <c r="GA281" s="393"/>
      <c r="GB281" s="393"/>
      <c r="GC281" s="393"/>
      <c r="GD281" s="393"/>
      <c r="GE281" s="393"/>
      <c r="GF281" s="393"/>
      <c r="GG281" s="393"/>
      <c r="GH281" s="393"/>
      <c r="GI281" s="393"/>
      <c r="GJ281" s="393"/>
      <c r="GK281" s="393"/>
      <c r="GL281" s="393"/>
      <c r="GM281" s="393"/>
      <c r="GN281" s="393"/>
      <c r="GO281" s="393"/>
      <c r="GP281" s="393"/>
      <c r="GQ281" s="393"/>
      <c r="GR281" s="393"/>
      <c r="GS281" s="393"/>
      <c r="GT281" s="393"/>
      <c r="GU281" s="393"/>
      <c r="GV281" s="393"/>
      <c r="GW281" s="393"/>
      <c r="GX281" s="393"/>
      <c r="GY281" s="393"/>
      <c r="GZ281" s="393"/>
      <c r="HA281" s="393"/>
      <c r="HB281" s="393"/>
      <c r="HC281" s="393"/>
      <c r="HD281" s="393"/>
      <c r="HE281" s="393"/>
      <c r="HF281" s="393"/>
      <c r="HG281" s="393"/>
      <c r="HH281" s="393"/>
      <c r="HI281" s="393"/>
      <c r="HJ281" s="393"/>
      <c r="HK281" s="393"/>
      <c r="HL281" s="393"/>
      <c r="HM281" s="393"/>
      <c r="HN281" s="393"/>
      <c r="HO281" s="393"/>
      <c r="HP281" s="393"/>
      <c r="HQ281" s="393"/>
      <c r="HR281" s="393"/>
      <c r="HS281" s="393"/>
      <c r="HT281" s="393"/>
      <c r="HU281" s="393"/>
      <c r="HV281" s="393"/>
      <c r="HW281" s="393"/>
      <c r="HX281" s="393"/>
      <c r="HY281" s="393"/>
      <c r="HZ281" s="393"/>
      <c r="IA281" s="393"/>
      <c r="IB281" s="393"/>
      <c r="IC281" s="393"/>
      <c r="ID281" s="393"/>
      <c r="IE281" s="393"/>
      <c r="IF281" s="393"/>
      <c r="IG281" s="393"/>
      <c r="IH281" s="393"/>
      <c r="II281" s="393"/>
      <c r="IJ281" s="393"/>
      <c r="IK281" s="393"/>
      <c r="IL281" s="393"/>
      <c r="IM281" s="393"/>
      <c r="IN281" s="393"/>
      <c r="IO281" s="393"/>
      <c r="IP281" s="393"/>
      <c r="IQ281" s="393"/>
      <c r="IR281" s="393"/>
    </row>
    <row r="282" spans="2:252" s="62" customFormat="1" ht="25.15" customHeight="1" x14ac:dyDescent="0.25">
      <c r="B282" s="181">
        <v>43703</v>
      </c>
      <c r="C282" s="317">
        <v>875</v>
      </c>
      <c r="D282" s="321">
        <f>IF(ISNUMBER(D281),Table3[[#This Row],[Amount]]+D281,0)</f>
        <v>301039.87</v>
      </c>
      <c r="V282" s="393"/>
      <c r="W282" s="393"/>
      <c r="X282" s="393"/>
      <c r="Y282" s="393"/>
      <c r="Z282" s="393"/>
      <c r="AA282" s="393"/>
      <c r="AB282" s="393"/>
      <c r="AC282" s="393"/>
      <c r="AD282" s="393"/>
      <c r="AE282" s="393"/>
      <c r="AF282" s="393"/>
      <c r="AG282" s="393"/>
      <c r="AH282" s="393"/>
      <c r="AI282" s="393"/>
      <c r="AJ282" s="393"/>
      <c r="AK282" s="393"/>
      <c r="AL282" s="393"/>
      <c r="AM282" s="393"/>
      <c r="AN282" s="393"/>
      <c r="AO282" s="393"/>
      <c r="AP282" s="393"/>
      <c r="AQ282" s="393"/>
      <c r="AR282" s="393"/>
      <c r="AS282" s="393"/>
      <c r="AT282" s="393"/>
      <c r="AU282" s="393"/>
      <c r="AV282" s="393"/>
      <c r="AW282" s="393"/>
      <c r="AX282" s="393"/>
      <c r="AY282" s="393"/>
      <c r="AZ282" s="393"/>
      <c r="BA282" s="393"/>
      <c r="BB282" s="393"/>
      <c r="BC282" s="393"/>
      <c r="BD282" s="393"/>
      <c r="BE282" s="393"/>
      <c r="BF282" s="393"/>
      <c r="BG282" s="393"/>
      <c r="BH282" s="393"/>
      <c r="BI282" s="393"/>
      <c r="BJ282" s="393"/>
      <c r="BK282" s="393"/>
      <c r="BL282" s="393"/>
      <c r="BM282" s="393"/>
      <c r="BN282" s="393"/>
      <c r="BO282" s="393"/>
      <c r="BP282" s="393"/>
      <c r="BQ282" s="393"/>
      <c r="BR282" s="393"/>
      <c r="BS282" s="393"/>
      <c r="BT282" s="393"/>
      <c r="BU282" s="393"/>
      <c r="BV282" s="393"/>
      <c r="BW282" s="393"/>
      <c r="BX282" s="393"/>
      <c r="BY282" s="393"/>
      <c r="BZ282" s="393"/>
      <c r="CA282" s="393"/>
      <c r="CB282" s="393"/>
      <c r="CC282" s="393"/>
      <c r="CD282" s="393"/>
      <c r="CE282" s="393"/>
      <c r="CF282" s="393"/>
      <c r="CG282" s="393"/>
      <c r="CH282" s="393"/>
      <c r="CI282" s="393"/>
      <c r="CJ282" s="393"/>
      <c r="CK282" s="393"/>
      <c r="CL282" s="393"/>
      <c r="CM282" s="393"/>
      <c r="CN282" s="393"/>
      <c r="CO282" s="393"/>
      <c r="CP282" s="393"/>
      <c r="CQ282" s="393"/>
      <c r="CR282" s="393"/>
      <c r="CS282" s="393"/>
      <c r="CT282" s="393"/>
      <c r="CU282" s="393"/>
      <c r="CV282" s="393"/>
      <c r="CW282" s="393"/>
      <c r="CX282" s="393"/>
      <c r="CY282" s="393"/>
      <c r="CZ282" s="393"/>
      <c r="DA282" s="393"/>
      <c r="DB282" s="393"/>
      <c r="DC282" s="393"/>
      <c r="DD282" s="393"/>
      <c r="DE282" s="393"/>
      <c r="DF282" s="393"/>
      <c r="DG282" s="393"/>
      <c r="DH282" s="393"/>
      <c r="DI282" s="393"/>
      <c r="DJ282" s="393"/>
      <c r="DK282" s="393"/>
      <c r="DL282" s="393"/>
      <c r="DM282" s="393"/>
      <c r="DN282" s="393"/>
      <c r="DO282" s="393"/>
      <c r="DP282" s="393"/>
      <c r="DQ282" s="393"/>
      <c r="DR282" s="393"/>
      <c r="DS282" s="393"/>
      <c r="DT282" s="393"/>
      <c r="DU282" s="393"/>
      <c r="DV282" s="393"/>
      <c r="DW282" s="393"/>
      <c r="DX282" s="393"/>
      <c r="DY282" s="393"/>
      <c r="DZ282" s="393"/>
      <c r="EA282" s="393"/>
      <c r="EB282" s="393"/>
      <c r="EC282" s="393"/>
      <c r="ED282" s="393"/>
      <c r="EE282" s="393"/>
      <c r="EF282" s="393"/>
      <c r="EG282" s="393"/>
      <c r="EH282" s="393"/>
      <c r="EI282" s="393"/>
      <c r="EJ282" s="393"/>
      <c r="EK282" s="393"/>
      <c r="EL282" s="393"/>
      <c r="EM282" s="393"/>
      <c r="EN282" s="393"/>
      <c r="EO282" s="393"/>
      <c r="EP282" s="393"/>
      <c r="EQ282" s="393"/>
      <c r="ER282" s="393"/>
      <c r="ES282" s="393"/>
      <c r="ET282" s="393"/>
      <c r="EU282" s="393"/>
      <c r="EV282" s="393"/>
      <c r="EW282" s="393"/>
      <c r="EX282" s="393"/>
      <c r="EY282" s="393"/>
      <c r="EZ282" s="393"/>
      <c r="FA282" s="393"/>
      <c r="FB282" s="393"/>
      <c r="FC282" s="393"/>
      <c r="FD282" s="393"/>
      <c r="FE282" s="393"/>
      <c r="FF282" s="393"/>
      <c r="FG282" s="393"/>
      <c r="FH282" s="393"/>
      <c r="FI282" s="393"/>
      <c r="FJ282" s="393"/>
      <c r="FK282" s="393"/>
      <c r="FL282" s="393"/>
      <c r="FM282" s="393"/>
      <c r="FN282" s="393"/>
      <c r="FO282" s="393"/>
      <c r="FP282" s="393"/>
      <c r="FQ282" s="393"/>
      <c r="FR282" s="393"/>
      <c r="FS282" s="393"/>
      <c r="FT282" s="393"/>
      <c r="FU282" s="393"/>
      <c r="FV282" s="393"/>
      <c r="FW282" s="393"/>
      <c r="FX282" s="393"/>
      <c r="FY282" s="393"/>
      <c r="FZ282" s="393"/>
      <c r="GA282" s="393"/>
      <c r="GB282" s="393"/>
      <c r="GC282" s="393"/>
      <c r="GD282" s="393"/>
      <c r="GE282" s="393"/>
      <c r="GF282" s="393"/>
      <c r="GG282" s="393"/>
      <c r="GH282" s="393"/>
      <c r="GI282" s="393"/>
      <c r="GJ282" s="393"/>
      <c r="GK282" s="393"/>
      <c r="GL282" s="393"/>
      <c r="GM282" s="393"/>
      <c r="GN282" s="393"/>
      <c r="GO282" s="393"/>
      <c r="GP282" s="393"/>
      <c r="GQ282" s="393"/>
      <c r="GR282" s="393"/>
      <c r="GS282" s="393"/>
      <c r="GT282" s="393"/>
      <c r="GU282" s="393"/>
      <c r="GV282" s="393"/>
      <c r="GW282" s="393"/>
      <c r="GX282" s="393"/>
      <c r="GY282" s="393"/>
      <c r="GZ282" s="393"/>
      <c r="HA282" s="393"/>
      <c r="HB282" s="393"/>
      <c r="HC282" s="393"/>
      <c r="HD282" s="393"/>
      <c r="HE282" s="393"/>
      <c r="HF282" s="393"/>
      <c r="HG282" s="393"/>
      <c r="HH282" s="393"/>
      <c r="HI282" s="393"/>
      <c r="HJ282" s="393"/>
      <c r="HK282" s="393"/>
      <c r="HL282" s="393"/>
      <c r="HM282" s="393"/>
      <c r="HN282" s="393"/>
      <c r="HO282" s="393"/>
      <c r="HP282" s="393"/>
      <c r="HQ282" s="393"/>
      <c r="HR282" s="393"/>
      <c r="HS282" s="393"/>
      <c r="HT282" s="393"/>
      <c r="HU282" s="393"/>
      <c r="HV282" s="393"/>
      <c r="HW282" s="393"/>
      <c r="HX282" s="393"/>
      <c r="HY282" s="393"/>
      <c r="HZ282" s="393"/>
      <c r="IA282" s="393"/>
      <c r="IB282" s="393"/>
      <c r="IC282" s="393"/>
      <c r="ID282" s="393"/>
      <c r="IE282" s="393"/>
      <c r="IF282" s="393"/>
      <c r="IG282" s="393"/>
      <c r="IH282" s="393"/>
      <c r="II282" s="393"/>
      <c r="IJ282" s="393"/>
      <c r="IK282" s="393"/>
      <c r="IL282" s="393"/>
      <c r="IM282" s="393"/>
      <c r="IN282" s="393"/>
      <c r="IO282" s="393"/>
      <c r="IP282" s="393"/>
      <c r="IQ282" s="393"/>
      <c r="IR282" s="393"/>
    </row>
    <row r="283" spans="2:252" ht="25.15" customHeight="1" x14ac:dyDescent="0.3">
      <c r="B283" s="319" t="s">
        <v>58</v>
      </c>
      <c r="C283" s="320">
        <f>SUBTOTAL(109,Table3[Amount])</f>
        <v>301079.87</v>
      </c>
      <c r="D283" s="319"/>
    </row>
    <row r="284" spans="2:252" ht="25.15" customHeight="1" x14ac:dyDescent="0.3"/>
    <row r="285" spans="2:252" ht="25.15" customHeight="1" x14ac:dyDescent="0.3"/>
    <row r="286" spans="2:252" ht="25.15" customHeight="1" x14ac:dyDescent="0.3"/>
    <row r="287" spans="2:252" ht="25.15" customHeight="1" x14ac:dyDescent="0.3"/>
    <row r="288" spans="2:252" ht="25.15" customHeight="1" x14ac:dyDescent="0.3"/>
    <row r="289" ht="25.15" customHeight="1" x14ac:dyDescent="0.3"/>
    <row r="290" ht="25.15" customHeight="1" x14ac:dyDescent="0.3"/>
    <row r="291" ht="25.15" customHeight="1" x14ac:dyDescent="0.3"/>
    <row r="292" ht="25.15" customHeight="1" x14ac:dyDescent="0.3"/>
    <row r="293" ht="25.15" customHeight="1" x14ac:dyDescent="0.3"/>
    <row r="294" ht="25.15" customHeight="1" x14ac:dyDescent="0.3"/>
    <row r="295" ht="25.15" customHeight="1" x14ac:dyDescent="0.3"/>
    <row r="296" ht="25.15" customHeight="1" x14ac:dyDescent="0.3"/>
    <row r="297" ht="25.15" customHeight="1" x14ac:dyDescent="0.3"/>
    <row r="298" ht="25.15" customHeight="1" x14ac:dyDescent="0.3"/>
    <row r="299" ht="25.15" customHeight="1" x14ac:dyDescent="0.3"/>
    <row r="300" ht="25.15" customHeight="1" x14ac:dyDescent="0.3"/>
    <row r="301" ht="25.15" customHeight="1" x14ac:dyDescent="0.3"/>
    <row r="302" ht="25.15" customHeight="1" x14ac:dyDescent="0.3"/>
    <row r="303" ht="25.15" customHeight="1" x14ac:dyDescent="0.3"/>
    <row r="304" ht="25.15" customHeight="1" x14ac:dyDescent="0.3"/>
    <row r="305" ht="25.15" customHeight="1" x14ac:dyDescent="0.3"/>
    <row r="306" ht="25.15" customHeight="1" x14ac:dyDescent="0.3"/>
    <row r="307" ht="25.15" customHeight="1" x14ac:dyDescent="0.3"/>
    <row r="308" ht="25.15" customHeight="1" x14ac:dyDescent="0.3"/>
    <row r="309" ht="25.15" customHeight="1" x14ac:dyDescent="0.3"/>
    <row r="310" ht="25.15" customHeight="1" x14ac:dyDescent="0.3"/>
    <row r="311" ht="25.15" customHeight="1" x14ac:dyDescent="0.3"/>
    <row r="312" ht="25.15" customHeight="1" x14ac:dyDescent="0.3"/>
    <row r="313" ht="25.15" customHeight="1" x14ac:dyDescent="0.3"/>
    <row r="314" ht="25.15" customHeight="1" x14ac:dyDescent="0.3"/>
    <row r="315" ht="25.15" customHeight="1" x14ac:dyDescent="0.3"/>
    <row r="316" ht="25.15" customHeight="1" x14ac:dyDescent="0.3"/>
    <row r="317" ht="25.15" customHeight="1" x14ac:dyDescent="0.3"/>
    <row r="318" ht="25.15" customHeight="1" x14ac:dyDescent="0.3"/>
    <row r="319" ht="25.15" customHeight="1" x14ac:dyDescent="0.3"/>
    <row r="320" ht="25.15" customHeight="1" x14ac:dyDescent="0.3"/>
    <row r="321" ht="25.15" customHeight="1" x14ac:dyDescent="0.3"/>
    <row r="322" ht="25.15" customHeight="1" x14ac:dyDescent="0.3"/>
    <row r="323" ht="25.15" customHeight="1" x14ac:dyDescent="0.3"/>
    <row r="324" ht="25.15" customHeight="1" x14ac:dyDescent="0.3"/>
    <row r="325" ht="25.15" customHeight="1" x14ac:dyDescent="0.3"/>
    <row r="326" ht="25.15" customHeight="1" x14ac:dyDescent="0.3"/>
    <row r="327" ht="25.15" customHeight="1" x14ac:dyDescent="0.3"/>
    <row r="328" ht="25.15" customHeight="1" x14ac:dyDescent="0.3"/>
    <row r="329" ht="25.15" customHeight="1" x14ac:dyDescent="0.3"/>
    <row r="330" ht="25.15" customHeight="1" x14ac:dyDescent="0.3"/>
    <row r="331" ht="25.15" customHeight="1" x14ac:dyDescent="0.3"/>
    <row r="332" ht="25.15" customHeight="1" x14ac:dyDescent="0.3"/>
    <row r="333" ht="25.15" customHeight="1" x14ac:dyDescent="0.3"/>
    <row r="334" ht="25.15" customHeight="1" x14ac:dyDescent="0.3"/>
    <row r="335" ht="25.15" customHeight="1" x14ac:dyDescent="0.3"/>
    <row r="336" ht="25.15" customHeight="1" x14ac:dyDescent="0.3"/>
    <row r="337" ht="25.15" customHeight="1" x14ac:dyDescent="0.3"/>
    <row r="338" ht="25.15" customHeight="1" x14ac:dyDescent="0.3"/>
    <row r="339" ht="25.15" customHeight="1" x14ac:dyDescent="0.3"/>
    <row r="340" ht="25.15" customHeight="1" x14ac:dyDescent="0.3"/>
    <row r="341" ht="25.15" customHeight="1" x14ac:dyDescent="0.3"/>
    <row r="342" ht="25.15" customHeight="1" x14ac:dyDescent="0.3"/>
    <row r="343" ht="25.15" customHeight="1" x14ac:dyDescent="0.3"/>
    <row r="344" ht="25.15" customHeight="1" x14ac:dyDescent="0.3"/>
    <row r="345" ht="25.15" customHeight="1" x14ac:dyDescent="0.3"/>
    <row r="346" ht="25.15" customHeight="1" x14ac:dyDescent="0.3"/>
    <row r="347" ht="25.15" customHeight="1" x14ac:dyDescent="0.3"/>
    <row r="348" ht="25.15" customHeight="1" x14ac:dyDescent="0.3"/>
    <row r="349" ht="25.15" customHeight="1" x14ac:dyDescent="0.3"/>
    <row r="350" ht="25.15" customHeight="1" x14ac:dyDescent="0.3"/>
    <row r="351" ht="25.15" customHeight="1" x14ac:dyDescent="0.3"/>
    <row r="352" ht="25.15" customHeight="1" x14ac:dyDescent="0.3"/>
    <row r="353" ht="25.15" customHeight="1" x14ac:dyDescent="0.3"/>
    <row r="354" ht="25.15" customHeight="1" x14ac:dyDescent="0.3"/>
    <row r="355" ht="25.15" customHeight="1" x14ac:dyDescent="0.3"/>
    <row r="356" ht="25.15" customHeight="1" x14ac:dyDescent="0.3"/>
    <row r="357" ht="25.15" customHeight="1" x14ac:dyDescent="0.3"/>
    <row r="358" ht="25.15" customHeight="1" x14ac:dyDescent="0.3"/>
    <row r="359" ht="25.15" customHeight="1" x14ac:dyDescent="0.3"/>
    <row r="360" ht="25.15" customHeight="1" x14ac:dyDescent="0.3"/>
    <row r="361" ht="25.15" customHeight="1" x14ac:dyDescent="0.3"/>
    <row r="362" ht="25.15" customHeight="1" x14ac:dyDescent="0.3"/>
    <row r="363" ht="25.15" customHeight="1" x14ac:dyDescent="0.3"/>
    <row r="364" ht="25.15" customHeight="1" x14ac:dyDescent="0.3"/>
    <row r="365" ht="25.15" customHeight="1" x14ac:dyDescent="0.3"/>
    <row r="366" ht="25.15" customHeight="1" x14ac:dyDescent="0.3"/>
    <row r="367" ht="25.15" customHeight="1" x14ac:dyDescent="0.3"/>
    <row r="368" ht="25.15" customHeight="1" x14ac:dyDescent="0.3"/>
    <row r="369" ht="25.15" customHeight="1" x14ac:dyDescent="0.3"/>
    <row r="370" ht="25.15" customHeight="1" x14ac:dyDescent="0.3"/>
    <row r="371" ht="25.15" customHeight="1" x14ac:dyDescent="0.3"/>
    <row r="372" ht="25.15" customHeight="1" x14ac:dyDescent="0.3"/>
    <row r="373" ht="25.15" customHeight="1" x14ac:dyDescent="0.3"/>
    <row r="374" ht="25.15" customHeight="1" x14ac:dyDescent="0.3"/>
    <row r="375" ht="25.15" customHeight="1" x14ac:dyDescent="0.3"/>
    <row r="376" ht="25.15" customHeight="1" x14ac:dyDescent="0.3"/>
    <row r="377" ht="25.15" customHeight="1" x14ac:dyDescent="0.3"/>
    <row r="378" ht="25.15" customHeight="1" x14ac:dyDescent="0.3"/>
    <row r="379" ht="25.15" customHeight="1" x14ac:dyDescent="0.3"/>
    <row r="380" ht="25.15" customHeight="1" x14ac:dyDescent="0.3"/>
    <row r="381" ht="25.15" customHeight="1" x14ac:dyDescent="0.3"/>
    <row r="382" ht="25.15" customHeight="1" x14ac:dyDescent="0.3"/>
    <row r="383" ht="25.15" customHeight="1" x14ac:dyDescent="0.3"/>
    <row r="384" ht="25.15" customHeight="1" x14ac:dyDescent="0.3"/>
    <row r="385" ht="25.15" customHeight="1" x14ac:dyDescent="0.3"/>
    <row r="386" ht="25.15" customHeight="1" x14ac:dyDescent="0.3"/>
    <row r="387" ht="25.15" customHeight="1" x14ac:dyDescent="0.3"/>
    <row r="388" ht="25.15" customHeight="1" x14ac:dyDescent="0.3"/>
    <row r="389" ht="25.15" customHeight="1" x14ac:dyDescent="0.3"/>
    <row r="390" ht="25.15" customHeight="1" x14ac:dyDescent="0.3"/>
    <row r="391" ht="25.15" customHeight="1" x14ac:dyDescent="0.3"/>
    <row r="392" ht="25.15" customHeight="1" x14ac:dyDescent="0.3"/>
    <row r="393" ht="25.15" customHeight="1" x14ac:dyDescent="0.3"/>
    <row r="394" ht="25.15" customHeight="1" x14ac:dyDescent="0.3"/>
    <row r="395" ht="25.15" customHeight="1" x14ac:dyDescent="0.3"/>
    <row r="396" ht="25.15" customHeight="1" x14ac:dyDescent="0.3"/>
    <row r="397" ht="25.15" customHeight="1" x14ac:dyDescent="0.3"/>
    <row r="398" ht="25.15" customHeight="1" x14ac:dyDescent="0.3"/>
    <row r="399" ht="25.15" customHeight="1" x14ac:dyDescent="0.3"/>
    <row r="400" ht="25.15" customHeight="1" x14ac:dyDescent="0.3"/>
    <row r="401" ht="25.15" customHeight="1" x14ac:dyDescent="0.3"/>
    <row r="402" ht="25.15" customHeight="1" x14ac:dyDescent="0.3"/>
    <row r="403" ht="25.15" customHeight="1" x14ac:dyDescent="0.3"/>
    <row r="404" ht="25.15" customHeight="1" x14ac:dyDescent="0.3"/>
    <row r="405" ht="25.15" customHeight="1" x14ac:dyDescent="0.3"/>
    <row r="406" ht="25.15" customHeight="1" x14ac:dyDescent="0.3"/>
    <row r="407" ht="25.15" customHeight="1" x14ac:dyDescent="0.3"/>
    <row r="408" ht="25.15" customHeight="1" x14ac:dyDescent="0.3"/>
    <row r="409" ht="25.15" customHeight="1" x14ac:dyDescent="0.3"/>
    <row r="410" ht="25.15" customHeight="1" x14ac:dyDescent="0.3"/>
    <row r="411" ht="25.15" customHeight="1" x14ac:dyDescent="0.3"/>
    <row r="412" ht="25.15" customHeight="1" x14ac:dyDescent="0.3"/>
    <row r="413" ht="25.15" customHeight="1" x14ac:dyDescent="0.3"/>
    <row r="414" ht="25.15" customHeight="1" x14ac:dyDescent="0.3"/>
    <row r="415" ht="25.15" customHeight="1" x14ac:dyDescent="0.3"/>
    <row r="416" ht="25.15" customHeight="1" x14ac:dyDescent="0.3"/>
    <row r="417" ht="25.15" customHeight="1" x14ac:dyDescent="0.3"/>
    <row r="418" ht="25.15" customHeight="1" x14ac:dyDescent="0.3"/>
    <row r="419" ht="25.15" customHeight="1" x14ac:dyDescent="0.3"/>
    <row r="420" ht="25.15" customHeight="1" x14ac:dyDescent="0.3"/>
    <row r="421" ht="25.15" customHeight="1" x14ac:dyDescent="0.3"/>
    <row r="422" ht="25.15" customHeight="1" x14ac:dyDescent="0.3"/>
    <row r="423" ht="25.15" customHeight="1" x14ac:dyDescent="0.3"/>
    <row r="424" ht="25.15" customHeight="1" x14ac:dyDescent="0.3"/>
    <row r="425" ht="25.15" customHeight="1" x14ac:dyDescent="0.3"/>
    <row r="426" ht="25.15" customHeight="1" x14ac:dyDescent="0.3"/>
    <row r="427" ht="25.15" customHeight="1" x14ac:dyDescent="0.3"/>
    <row r="428" ht="25.15" customHeight="1" x14ac:dyDescent="0.3"/>
    <row r="429" ht="25.15" customHeight="1" x14ac:dyDescent="0.3"/>
    <row r="430" ht="25.15" customHeight="1" x14ac:dyDescent="0.3"/>
    <row r="431" ht="25.15" customHeight="1" x14ac:dyDescent="0.3"/>
    <row r="432" ht="25.15" customHeight="1" x14ac:dyDescent="0.3"/>
    <row r="433" ht="25.15" customHeight="1" x14ac:dyDescent="0.3"/>
    <row r="434" ht="25.15" customHeight="1" x14ac:dyDescent="0.3"/>
    <row r="435" ht="25.15" customHeight="1" x14ac:dyDescent="0.3"/>
    <row r="436" ht="25.15" customHeight="1" x14ac:dyDescent="0.3"/>
    <row r="437" ht="25.15" customHeight="1" x14ac:dyDescent="0.3"/>
    <row r="438" ht="25.15" customHeight="1" x14ac:dyDescent="0.3"/>
    <row r="439" ht="25.15" customHeight="1" x14ac:dyDescent="0.3"/>
    <row r="440" ht="25.15" customHeight="1" x14ac:dyDescent="0.3"/>
    <row r="441" ht="25.15" customHeight="1" x14ac:dyDescent="0.3"/>
    <row r="442" ht="25.15" customHeight="1" x14ac:dyDescent="0.3"/>
    <row r="443" ht="25.15" customHeight="1" x14ac:dyDescent="0.3"/>
    <row r="444" ht="25.15" customHeight="1" x14ac:dyDescent="0.3"/>
    <row r="445" ht="25.15" customHeight="1" x14ac:dyDescent="0.3"/>
    <row r="446" ht="25.15" customHeight="1" x14ac:dyDescent="0.3"/>
    <row r="447" ht="25.15" customHeight="1" x14ac:dyDescent="0.3"/>
    <row r="448" ht="25.15" customHeight="1" x14ac:dyDescent="0.3"/>
    <row r="449" ht="25.15" customHeight="1" x14ac:dyDescent="0.3"/>
    <row r="450" ht="25.15" customHeight="1" x14ac:dyDescent="0.3"/>
    <row r="451" ht="25.15" customHeight="1" x14ac:dyDescent="0.3"/>
    <row r="452" ht="25.15" customHeight="1" x14ac:dyDescent="0.3"/>
    <row r="453" ht="25.15" customHeight="1" x14ac:dyDescent="0.3"/>
    <row r="454" ht="25.15" customHeight="1" x14ac:dyDescent="0.3"/>
    <row r="455" ht="25.15" customHeight="1" x14ac:dyDescent="0.3"/>
    <row r="456" ht="25.15" customHeight="1" x14ac:dyDescent="0.3"/>
    <row r="457" ht="25.15" customHeight="1" x14ac:dyDescent="0.3"/>
    <row r="458" ht="25.15" customHeight="1" x14ac:dyDescent="0.3"/>
    <row r="459" ht="25.15" customHeight="1" x14ac:dyDescent="0.3"/>
    <row r="460" ht="25.15" customHeight="1" x14ac:dyDescent="0.3"/>
    <row r="461" ht="25.15" customHeight="1" x14ac:dyDescent="0.3"/>
    <row r="462" ht="25.15" customHeight="1" x14ac:dyDescent="0.3"/>
    <row r="463" ht="25.15" customHeight="1" x14ac:dyDescent="0.3"/>
    <row r="464" ht="25.15" customHeight="1" x14ac:dyDescent="0.3"/>
    <row r="465" ht="25.15" customHeight="1" x14ac:dyDescent="0.3"/>
    <row r="466" ht="25.15" customHeight="1" x14ac:dyDescent="0.3"/>
    <row r="467" ht="25.15" customHeight="1" x14ac:dyDescent="0.3"/>
    <row r="468" ht="25.15" customHeight="1" x14ac:dyDescent="0.3"/>
    <row r="469" ht="25.15" customHeight="1" x14ac:dyDescent="0.3"/>
    <row r="470" ht="25.15" customHeight="1" x14ac:dyDescent="0.3"/>
    <row r="471" ht="25.15" customHeight="1" x14ac:dyDescent="0.3"/>
    <row r="472" ht="25.15" customHeight="1" x14ac:dyDescent="0.3"/>
    <row r="473" ht="25.15" customHeight="1" x14ac:dyDescent="0.3"/>
    <row r="474" ht="25.15" customHeight="1" x14ac:dyDescent="0.3"/>
    <row r="475" ht="25.15" customHeight="1" x14ac:dyDescent="0.3"/>
    <row r="476" ht="25.15" customHeight="1" x14ac:dyDescent="0.3"/>
    <row r="477" ht="25.15" customHeight="1" x14ac:dyDescent="0.3"/>
    <row r="478" ht="25.15" customHeight="1" x14ac:dyDescent="0.3"/>
    <row r="479" ht="25.15" customHeight="1" x14ac:dyDescent="0.3"/>
    <row r="480" ht="25.15" customHeight="1" x14ac:dyDescent="0.3"/>
    <row r="481" ht="25.15" customHeight="1" x14ac:dyDescent="0.3"/>
    <row r="482" ht="25.15" customHeight="1" x14ac:dyDescent="0.3"/>
    <row r="483" ht="25.15" customHeight="1" x14ac:dyDescent="0.3"/>
    <row r="484" ht="25.15" customHeight="1" x14ac:dyDescent="0.3"/>
    <row r="485" ht="25.15" customHeight="1" x14ac:dyDescent="0.3"/>
    <row r="486" ht="25.15" customHeight="1" x14ac:dyDescent="0.3"/>
    <row r="487" ht="25.15" customHeight="1" x14ac:dyDescent="0.3"/>
    <row r="488" ht="25.15" customHeight="1" x14ac:dyDescent="0.3"/>
    <row r="489" ht="25.15" customHeight="1" x14ac:dyDescent="0.3"/>
    <row r="490" ht="25.15" customHeight="1" x14ac:dyDescent="0.3"/>
    <row r="491" ht="25.15" customHeight="1" x14ac:dyDescent="0.3"/>
    <row r="492" ht="25.15" customHeight="1" x14ac:dyDescent="0.3"/>
    <row r="493" ht="25.15" customHeight="1" x14ac:dyDescent="0.3"/>
    <row r="494" ht="25.15" customHeight="1" x14ac:dyDescent="0.3"/>
    <row r="495" ht="25.15" customHeight="1" x14ac:dyDescent="0.3"/>
    <row r="496" ht="25.15" customHeight="1" x14ac:dyDescent="0.3"/>
    <row r="497" ht="25.15" customHeight="1" x14ac:dyDescent="0.3"/>
    <row r="498" ht="25.15" customHeight="1" x14ac:dyDescent="0.3"/>
    <row r="499" ht="25.15" customHeight="1" x14ac:dyDescent="0.3"/>
    <row r="500" ht="25.15" customHeight="1" x14ac:dyDescent="0.3"/>
    <row r="501" ht="25.15" customHeight="1" x14ac:dyDescent="0.3"/>
    <row r="502" ht="25.15" customHeight="1" x14ac:dyDescent="0.3"/>
    <row r="503" ht="25.15" customHeight="1" x14ac:dyDescent="0.3"/>
    <row r="504" ht="25.15" customHeight="1" x14ac:dyDescent="0.3"/>
    <row r="505" ht="25.15" customHeight="1" x14ac:dyDescent="0.3"/>
    <row r="506" ht="25.15" customHeight="1" x14ac:dyDescent="0.3"/>
    <row r="507" ht="25.15" customHeight="1" x14ac:dyDescent="0.3"/>
    <row r="508" ht="25.15" customHeight="1" x14ac:dyDescent="0.3"/>
    <row r="509" ht="25.15" customHeight="1" x14ac:dyDescent="0.3"/>
    <row r="510" ht="25.15" customHeight="1" x14ac:dyDescent="0.3"/>
    <row r="511" ht="25.15" customHeight="1" x14ac:dyDescent="0.3"/>
    <row r="512" ht="25.15" customHeight="1" x14ac:dyDescent="0.3"/>
    <row r="513" ht="25.15" customHeight="1" x14ac:dyDescent="0.3"/>
    <row r="514" ht="25.15" customHeight="1" x14ac:dyDescent="0.3"/>
    <row r="515" ht="25.15" customHeight="1" x14ac:dyDescent="0.3"/>
    <row r="516" ht="25.15" customHeight="1" x14ac:dyDescent="0.3"/>
    <row r="517" ht="25.15" customHeight="1" x14ac:dyDescent="0.3"/>
    <row r="518" ht="25.15" customHeight="1" x14ac:dyDescent="0.3"/>
    <row r="519" ht="25.15" customHeight="1" x14ac:dyDescent="0.3"/>
    <row r="520" ht="25.15" customHeight="1" x14ac:dyDescent="0.3"/>
    <row r="521" ht="25.15" customHeight="1" x14ac:dyDescent="0.3"/>
    <row r="522" ht="25.15" customHeight="1" x14ac:dyDescent="0.3"/>
    <row r="523" ht="25.15" customHeight="1" x14ac:dyDescent="0.3"/>
    <row r="524" ht="25.15" customHeight="1" x14ac:dyDescent="0.3"/>
    <row r="525" ht="25.15" customHeight="1" x14ac:dyDescent="0.3"/>
    <row r="526" ht="25.15" customHeight="1" x14ac:dyDescent="0.3"/>
    <row r="527" ht="25.15" customHeight="1" x14ac:dyDescent="0.3"/>
    <row r="528" ht="25.15" customHeight="1" x14ac:dyDescent="0.3"/>
    <row r="529" ht="25.15" customHeight="1" x14ac:dyDescent="0.3"/>
    <row r="530" ht="25.15" customHeight="1" x14ac:dyDescent="0.3"/>
    <row r="531" ht="25.15" customHeight="1" x14ac:dyDescent="0.3"/>
    <row r="532" ht="25.15" customHeight="1" x14ac:dyDescent="0.3"/>
    <row r="533" ht="25.15" customHeight="1" x14ac:dyDescent="0.3"/>
    <row r="534" ht="25.15" customHeight="1" x14ac:dyDescent="0.3"/>
    <row r="535" ht="25.15" customHeight="1" x14ac:dyDescent="0.3"/>
    <row r="536" ht="25.15" customHeight="1" x14ac:dyDescent="0.3"/>
    <row r="537" ht="25.15" customHeight="1" x14ac:dyDescent="0.3"/>
    <row r="538" ht="25.15" customHeight="1" x14ac:dyDescent="0.3"/>
    <row r="539" ht="25.15" customHeight="1" x14ac:dyDescent="0.3"/>
    <row r="540" ht="25.15" customHeight="1" x14ac:dyDescent="0.3"/>
    <row r="541" ht="25.15" customHeight="1" x14ac:dyDescent="0.3"/>
    <row r="542" ht="25.15" customHeight="1" x14ac:dyDescent="0.3"/>
    <row r="543" ht="25.15" customHeight="1" x14ac:dyDescent="0.3"/>
    <row r="544" ht="25.15" customHeight="1" x14ac:dyDescent="0.3"/>
    <row r="545" ht="25.15" customHeight="1" x14ac:dyDescent="0.3"/>
    <row r="546" ht="25.15" customHeight="1" x14ac:dyDescent="0.3"/>
    <row r="547" ht="25.15" customHeight="1" x14ac:dyDescent="0.3"/>
    <row r="548" ht="25.15" customHeight="1" x14ac:dyDescent="0.3"/>
    <row r="549" ht="25.15" customHeight="1" x14ac:dyDescent="0.3"/>
    <row r="550" ht="25.15" customHeight="1" x14ac:dyDescent="0.3"/>
    <row r="551" ht="25.15" customHeight="1" x14ac:dyDescent="0.3"/>
    <row r="552" ht="25.15" customHeight="1" x14ac:dyDescent="0.3"/>
    <row r="553" ht="25.15" customHeight="1" x14ac:dyDescent="0.3"/>
    <row r="554" ht="25.15" customHeight="1" x14ac:dyDescent="0.3"/>
    <row r="555" ht="25.15" customHeight="1" x14ac:dyDescent="0.3"/>
    <row r="556" ht="25.15" customHeight="1" x14ac:dyDescent="0.3"/>
    <row r="557" ht="25.15" customHeight="1" x14ac:dyDescent="0.3"/>
    <row r="558" ht="25.15" customHeight="1" x14ac:dyDescent="0.3"/>
    <row r="559" ht="25.15" customHeight="1" x14ac:dyDescent="0.3"/>
    <row r="560" ht="25.15" customHeight="1" x14ac:dyDescent="0.3"/>
    <row r="561" ht="25.15" customHeight="1" x14ac:dyDescent="0.3"/>
    <row r="562" ht="25.15" customHeight="1" x14ac:dyDescent="0.3"/>
    <row r="563" ht="25.15" customHeight="1" x14ac:dyDescent="0.3"/>
    <row r="564" ht="25.15" customHeight="1" x14ac:dyDescent="0.3"/>
    <row r="565" ht="25.15" customHeight="1" x14ac:dyDescent="0.3"/>
    <row r="566" ht="25.15" customHeight="1" x14ac:dyDescent="0.3"/>
    <row r="567" ht="25.15" customHeight="1" x14ac:dyDescent="0.3"/>
    <row r="568" ht="25.15" customHeight="1" x14ac:dyDescent="0.3"/>
    <row r="569" ht="25.15" customHeight="1" x14ac:dyDescent="0.3"/>
    <row r="570" ht="25.15" customHeight="1" x14ac:dyDescent="0.3"/>
    <row r="571" ht="25.15" customHeight="1" x14ac:dyDescent="0.3"/>
    <row r="572" ht="25.15" customHeight="1" x14ac:dyDescent="0.3"/>
    <row r="573" ht="25.15" customHeight="1" x14ac:dyDescent="0.3"/>
    <row r="574" ht="25.15" customHeight="1" x14ac:dyDescent="0.3"/>
    <row r="575" ht="25.15" customHeight="1" x14ac:dyDescent="0.3"/>
    <row r="576" ht="25.15" customHeight="1" x14ac:dyDescent="0.3"/>
    <row r="577" ht="25.15" customHeight="1" x14ac:dyDescent="0.3"/>
    <row r="578" ht="25.15" customHeight="1" x14ac:dyDescent="0.3"/>
    <row r="579" ht="25.15" customHeight="1" x14ac:dyDescent="0.3"/>
    <row r="580" ht="25.15" customHeight="1" x14ac:dyDescent="0.3"/>
    <row r="581" ht="25.15" customHeight="1" x14ac:dyDescent="0.3"/>
    <row r="582" ht="25.15" customHeight="1" x14ac:dyDescent="0.3"/>
    <row r="583" ht="25.15" customHeight="1" x14ac:dyDescent="0.3"/>
    <row r="584" ht="25.15" customHeight="1" x14ac:dyDescent="0.3"/>
    <row r="585" ht="25.15" customHeight="1" x14ac:dyDescent="0.3"/>
    <row r="586" ht="25.15" customHeight="1" x14ac:dyDescent="0.3"/>
    <row r="587" ht="25.15" customHeight="1" x14ac:dyDescent="0.3"/>
    <row r="588" ht="25.15" customHeight="1" x14ac:dyDescent="0.3"/>
    <row r="589" ht="25.15" customHeight="1" x14ac:dyDescent="0.3"/>
    <row r="590" ht="25.15" customHeight="1" x14ac:dyDescent="0.3"/>
    <row r="591" ht="25.15" customHeight="1" x14ac:dyDescent="0.3"/>
    <row r="592" ht="25.15" customHeight="1" x14ac:dyDescent="0.3"/>
    <row r="593" ht="25.15" customHeight="1" x14ac:dyDescent="0.3"/>
    <row r="594" ht="25.15" customHeight="1" x14ac:dyDescent="0.3"/>
    <row r="595" ht="25.15" customHeight="1" x14ac:dyDescent="0.3"/>
    <row r="596" ht="25.15" customHeight="1" x14ac:dyDescent="0.3"/>
    <row r="597" ht="25.15" customHeight="1" x14ac:dyDescent="0.3"/>
    <row r="598" ht="25.15" customHeight="1" x14ac:dyDescent="0.3"/>
    <row r="599" ht="25.15" customHeight="1" x14ac:dyDescent="0.3"/>
    <row r="600" ht="25.15" customHeight="1" x14ac:dyDescent="0.3"/>
    <row r="601" ht="25.15" customHeight="1" x14ac:dyDescent="0.3"/>
    <row r="602" ht="25.15" customHeight="1" x14ac:dyDescent="0.3"/>
    <row r="603" ht="25.15" customHeight="1" x14ac:dyDescent="0.3"/>
    <row r="604" ht="25.15" customHeight="1" x14ac:dyDescent="0.3"/>
    <row r="605" ht="25.15" customHeight="1" x14ac:dyDescent="0.3"/>
    <row r="606" ht="25.15" customHeight="1" x14ac:dyDescent="0.3"/>
    <row r="607" ht="25.15" customHeight="1" x14ac:dyDescent="0.3"/>
    <row r="608" ht="25.15" customHeight="1" x14ac:dyDescent="0.3"/>
    <row r="609" ht="25.15" customHeight="1" x14ac:dyDescent="0.3"/>
    <row r="610" ht="25.15" customHeight="1" x14ac:dyDescent="0.3"/>
    <row r="611" ht="25.15" customHeight="1" x14ac:dyDescent="0.3"/>
    <row r="612" ht="25.15" customHeight="1" x14ac:dyDescent="0.3"/>
    <row r="613" ht="25.15" customHeight="1" x14ac:dyDescent="0.3"/>
    <row r="614" ht="25.15" customHeight="1" x14ac:dyDescent="0.3"/>
    <row r="615" ht="25.15" customHeight="1" x14ac:dyDescent="0.3"/>
    <row r="616" ht="25.15" customHeight="1" x14ac:dyDescent="0.3"/>
    <row r="617" ht="25.15" customHeight="1" x14ac:dyDescent="0.3"/>
    <row r="618" ht="25.15" customHeight="1" x14ac:dyDescent="0.3"/>
    <row r="619" ht="25.15" customHeight="1" x14ac:dyDescent="0.3"/>
    <row r="620" ht="25.15" customHeight="1" x14ac:dyDescent="0.3"/>
    <row r="621" ht="25.15" customHeight="1" x14ac:dyDescent="0.3"/>
    <row r="622" ht="25.15" customHeight="1" x14ac:dyDescent="0.3"/>
    <row r="623" ht="25.15" customHeight="1" x14ac:dyDescent="0.3"/>
    <row r="624" ht="25.15" customHeight="1" x14ac:dyDescent="0.3"/>
    <row r="625" ht="25.15" customHeight="1" x14ac:dyDescent="0.3"/>
    <row r="626" ht="25.15" customHeight="1" x14ac:dyDescent="0.3"/>
    <row r="627" ht="25.15" customHeight="1" x14ac:dyDescent="0.3"/>
    <row r="628" ht="25.15" customHeight="1" x14ac:dyDescent="0.3"/>
    <row r="629" ht="25.15" customHeight="1" x14ac:dyDescent="0.3"/>
    <row r="630" ht="25.15" customHeight="1" x14ac:dyDescent="0.3"/>
    <row r="631" ht="25.15" customHeight="1" x14ac:dyDescent="0.3"/>
    <row r="632" ht="25.15" customHeight="1" x14ac:dyDescent="0.3"/>
    <row r="633" ht="25.15" customHeight="1" x14ac:dyDescent="0.3"/>
    <row r="634" ht="25.15" customHeight="1" x14ac:dyDescent="0.3"/>
    <row r="635" ht="25.15" customHeight="1" x14ac:dyDescent="0.3"/>
    <row r="636" ht="25.15" customHeight="1" x14ac:dyDescent="0.3"/>
    <row r="637" ht="25.15" customHeight="1" x14ac:dyDescent="0.3"/>
    <row r="638" ht="25.15" customHeight="1" x14ac:dyDescent="0.3"/>
    <row r="639" ht="25.15" customHeight="1" x14ac:dyDescent="0.3"/>
    <row r="640" ht="25.15" customHeight="1" x14ac:dyDescent="0.3"/>
    <row r="641" ht="25.15" customHeight="1" x14ac:dyDescent="0.3"/>
    <row r="642" ht="25.15" customHeight="1" x14ac:dyDescent="0.3"/>
    <row r="643" ht="25.15" customHeight="1" x14ac:dyDescent="0.3"/>
    <row r="644" ht="25.15" customHeight="1" x14ac:dyDescent="0.3"/>
    <row r="645" ht="25.15" customHeight="1" x14ac:dyDescent="0.3"/>
    <row r="646" ht="25.15" customHeight="1" x14ac:dyDescent="0.3"/>
    <row r="647" ht="25.15" customHeight="1" x14ac:dyDescent="0.3"/>
    <row r="648" ht="25.15" customHeight="1" x14ac:dyDescent="0.3"/>
    <row r="649" ht="25.15" customHeight="1" x14ac:dyDescent="0.3"/>
    <row r="650" ht="25.15" customHeight="1" x14ac:dyDescent="0.3"/>
    <row r="651" ht="25.15" customHeight="1" x14ac:dyDescent="0.3"/>
    <row r="652" ht="25.15" customHeight="1" x14ac:dyDescent="0.3"/>
    <row r="653" ht="25.15" customHeight="1" x14ac:dyDescent="0.3"/>
    <row r="654" ht="25.15" customHeight="1" x14ac:dyDescent="0.3"/>
    <row r="655" ht="25.15" customHeight="1" x14ac:dyDescent="0.3"/>
    <row r="656" ht="25.15" customHeight="1" x14ac:dyDescent="0.3"/>
    <row r="657" ht="25.15" customHeight="1" x14ac:dyDescent="0.3"/>
    <row r="658" ht="25.15" customHeight="1" x14ac:dyDescent="0.3"/>
    <row r="659" ht="25.15" customHeight="1" x14ac:dyDescent="0.3"/>
    <row r="660" ht="25.15" customHeight="1" x14ac:dyDescent="0.3"/>
    <row r="661" ht="25.15" customHeight="1" x14ac:dyDescent="0.3"/>
    <row r="662" ht="25.15" customHeight="1" x14ac:dyDescent="0.3"/>
    <row r="663" ht="25.15" customHeight="1" x14ac:dyDescent="0.3"/>
    <row r="664" ht="25.15" customHeight="1" x14ac:dyDescent="0.3"/>
    <row r="665" ht="25.15" customHeight="1" x14ac:dyDescent="0.3"/>
    <row r="666" ht="25.15" customHeight="1" x14ac:dyDescent="0.3"/>
    <row r="667" ht="25.15" customHeight="1" x14ac:dyDescent="0.3"/>
    <row r="668" ht="25.15" customHeight="1" x14ac:dyDescent="0.3"/>
    <row r="669" ht="25.15" customHeight="1" x14ac:dyDescent="0.3"/>
    <row r="670" ht="25.15" customHeight="1" x14ac:dyDescent="0.3"/>
    <row r="671" ht="25.15" customHeight="1" x14ac:dyDescent="0.3"/>
    <row r="672" ht="25.15" customHeight="1" x14ac:dyDescent="0.3"/>
    <row r="673" ht="25.15" customHeight="1" x14ac:dyDescent="0.3"/>
    <row r="674" ht="25.15" customHeight="1" x14ac:dyDescent="0.3"/>
    <row r="675" ht="25.15" customHeight="1" x14ac:dyDescent="0.3"/>
    <row r="676" ht="25.15" customHeight="1" x14ac:dyDescent="0.3"/>
    <row r="677" ht="25.15" customHeight="1" x14ac:dyDescent="0.3"/>
    <row r="678" ht="25.15" customHeight="1" x14ac:dyDescent="0.3"/>
    <row r="679" ht="25.15" customHeight="1" x14ac:dyDescent="0.3"/>
    <row r="680" ht="25.15" customHeight="1" x14ac:dyDescent="0.3"/>
    <row r="681" ht="25.15" customHeight="1" x14ac:dyDescent="0.3"/>
    <row r="682" ht="25.15" customHeight="1" x14ac:dyDescent="0.3"/>
    <row r="683" ht="25.15" customHeight="1" x14ac:dyDescent="0.3"/>
    <row r="684" ht="25.15" customHeight="1" x14ac:dyDescent="0.3"/>
    <row r="685" ht="25.15" customHeight="1" x14ac:dyDescent="0.3"/>
    <row r="686" ht="25.15" customHeight="1" x14ac:dyDescent="0.3"/>
    <row r="687" ht="25.15" customHeight="1" x14ac:dyDescent="0.3"/>
    <row r="688" ht="25.15" customHeight="1" x14ac:dyDescent="0.3"/>
    <row r="689" ht="25.15" customHeight="1" x14ac:dyDescent="0.3"/>
    <row r="690" ht="25.15" customHeight="1" x14ac:dyDescent="0.3"/>
    <row r="691" ht="25.15" customHeight="1" x14ac:dyDescent="0.3"/>
    <row r="692" ht="25.15" customHeight="1" x14ac:dyDescent="0.3"/>
    <row r="693" ht="25.15" customHeight="1" x14ac:dyDescent="0.3"/>
    <row r="694" ht="25.15" customHeight="1" x14ac:dyDescent="0.3"/>
    <row r="695" ht="25.15" customHeight="1" x14ac:dyDescent="0.3"/>
    <row r="696" ht="25.15" customHeight="1" x14ac:dyDescent="0.3"/>
    <row r="697" ht="25.15" customHeight="1" x14ac:dyDescent="0.3"/>
    <row r="698" ht="25.15" customHeight="1" x14ac:dyDescent="0.3"/>
    <row r="699" ht="25.15" customHeight="1" x14ac:dyDescent="0.3"/>
    <row r="700" ht="25.15" customHeight="1" x14ac:dyDescent="0.3"/>
    <row r="701" ht="25.15" customHeight="1" x14ac:dyDescent="0.3"/>
    <row r="702" ht="25.15" customHeight="1" x14ac:dyDescent="0.3"/>
    <row r="703" ht="25.15" customHeight="1" x14ac:dyDescent="0.3"/>
    <row r="704" ht="25.15" customHeight="1" x14ac:dyDescent="0.3"/>
    <row r="705" ht="25.15" customHeight="1" x14ac:dyDescent="0.3"/>
    <row r="706" ht="25.15" customHeight="1" x14ac:dyDescent="0.3"/>
    <row r="707" ht="25.15" customHeight="1" x14ac:dyDescent="0.3"/>
    <row r="708" ht="25.15" customHeight="1" x14ac:dyDescent="0.3"/>
    <row r="709" ht="25.15" customHeight="1" x14ac:dyDescent="0.3"/>
    <row r="710" ht="25.15" customHeight="1" x14ac:dyDescent="0.3"/>
    <row r="711" ht="25.15" customHeight="1" x14ac:dyDescent="0.3"/>
    <row r="712" ht="25.15" customHeight="1" x14ac:dyDescent="0.3"/>
    <row r="713" ht="25.15" customHeight="1" x14ac:dyDescent="0.3"/>
    <row r="714" ht="25.15" customHeight="1" x14ac:dyDescent="0.3"/>
    <row r="715" ht="25.15" customHeight="1" x14ac:dyDescent="0.3"/>
    <row r="716" ht="25.15" customHeight="1" x14ac:dyDescent="0.3"/>
    <row r="717" ht="25.15" customHeight="1" x14ac:dyDescent="0.3"/>
    <row r="718" ht="25.15" customHeight="1" x14ac:dyDescent="0.3"/>
    <row r="719" ht="25.15" customHeight="1" x14ac:dyDescent="0.3"/>
    <row r="720" ht="25.15" customHeight="1" x14ac:dyDescent="0.3"/>
    <row r="721" ht="25.15" customHeight="1" x14ac:dyDescent="0.3"/>
    <row r="722" ht="25.15" customHeight="1" x14ac:dyDescent="0.3"/>
    <row r="723" ht="25.15" customHeight="1" x14ac:dyDescent="0.3"/>
    <row r="724" ht="25.15" customHeight="1" x14ac:dyDescent="0.3"/>
    <row r="725" ht="25.15" customHeight="1" x14ac:dyDescent="0.3"/>
    <row r="726" ht="25.15" customHeight="1" x14ac:dyDescent="0.3"/>
    <row r="727" ht="25.15" customHeight="1" x14ac:dyDescent="0.3"/>
    <row r="728" ht="25.15" customHeight="1" x14ac:dyDescent="0.3"/>
    <row r="729" ht="25.15" customHeight="1" x14ac:dyDescent="0.3"/>
    <row r="730" ht="25.15" customHeight="1" x14ac:dyDescent="0.3"/>
    <row r="731" ht="25.15" customHeight="1" x14ac:dyDescent="0.3"/>
    <row r="732" ht="25.15" customHeight="1" x14ac:dyDescent="0.3"/>
    <row r="733" ht="25.15" customHeight="1" x14ac:dyDescent="0.3"/>
    <row r="734" ht="25.15" customHeight="1" x14ac:dyDescent="0.3"/>
    <row r="735" ht="25.15" customHeight="1" x14ac:dyDescent="0.3"/>
    <row r="736" ht="25.15" customHeight="1" x14ac:dyDescent="0.3"/>
    <row r="737" ht="25.15" customHeight="1" x14ac:dyDescent="0.3"/>
    <row r="738" ht="25.15" customHeight="1" x14ac:dyDescent="0.3"/>
    <row r="739" ht="25.15" customHeight="1" x14ac:dyDescent="0.3"/>
    <row r="740" ht="25.15" customHeight="1" x14ac:dyDescent="0.3"/>
    <row r="741" ht="25.15" customHeight="1" x14ac:dyDescent="0.3"/>
    <row r="742" ht="25.15" customHeight="1" x14ac:dyDescent="0.3"/>
    <row r="743" ht="25.15" customHeight="1" x14ac:dyDescent="0.3"/>
    <row r="744" ht="25.15" customHeight="1" x14ac:dyDescent="0.3"/>
    <row r="745" ht="25.15" customHeight="1" x14ac:dyDescent="0.3"/>
    <row r="746" ht="25.15" customHeight="1" x14ac:dyDescent="0.3"/>
    <row r="747" ht="25.15" customHeight="1" x14ac:dyDescent="0.3"/>
    <row r="748" ht="25.15" customHeight="1" x14ac:dyDescent="0.3"/>
    <row r="749" ht="25.15" customHeight="1" x14ac:dyDescent="0.3"/>
    <row r="750" ht="25.15" customHeight="1" x14ac:dyDescent="0.3"/>
    <row r="751" ht="25.15" customHeight="1" x14ac:dyDescent="0.3"/>
    <row r="752" ht="25.15" customHeight="1" x14ac:dyDescent="0.3"/>
    <row r="753" ht="25.15" customHeight="1" x14ac:dyDescent="0.3"/>
    <row r="754" ht="25.15" customHeight="1" x14ac:dyDescent="0.3"/>
    <row r="755" ht="25.15" customHeight="1" x14ac:dyDescent="0.3"/>
    <row r="756" ht="25.15" customHeight="1" x14ac:dyDescent="0.3"/>
    <row r="757" ht="25.15" customHeight="1" x14ac:dyDescent="0.3"/>
    <row r="758" ht="25.15" customHeight="1" x14ac:dyDescent="0.3"/>
    <row r="759" ht="25.15" customHeight="1" x14ac:dyDescent="0.3"/>
    <row r="760" ht="25.15" customHeight="1" x14ac:dyDescent="0.3"/>
    <row r="761" ht="25.15" customHeight="1" x14ac:dyDescent="0.3"/>
    <row r="762" ht="25.15" customHeight="1" x14ac:dyDescent="0.3"/>
    <row r="763" ht="25.15" customHeight="1" x14ac:dyDescent="0.3"/>
    <row r="764" ht="25.15" customHeight="1" x14ac:dyDescent="0.3"/>
    <row r="765" ht="25.15" customHeight="1" x14ac:dyDescent="0.3"/>
    <row r="766" ht="25.15" customHeight="1" x14ac:dyDescent="0.3"/>
    <row r="767" ht="25.15" customHeight="1" x14ac:dyDescent="0.3"/>
    <row r="768" ht="25.15" customHeight="1" x14ac:dyDescent="0.3"/>
    <row r="769" ht="25.15" customHeight="1" x14ac:dyDescent="0.3"/>
    <row r="770" ht="25.15" customHeight="1" x14ac:dyDescent="0.3"/>
    <row r="771" ht="25.15" customHeight="1" x14ac:dyDescent="0.3"/>
    <row r="772" ht="25.15" customHeight="1" x14ac:dyDescent="0.3"/>
    <row r="773" ht="25.15" customHeight="1" x14ac:dyDescent="0.3"/>
    <row r="774" ht="25.15" customHeight="1" x14ac:dyDescent="0.3"/>
    <row r="775" ht="25.15" customHeight="1" x14ac:dyDescent="0.3"/>
    <row r="776" ht="25.15" customHeight="1" x14ac:dyDescent="0.3"/>
    <row r="777" ht="25.15" customHeight="1" x14ac:dyDescent="0.3"/>
    <row r="778" ht="25.15" customHeight="1" x14ac:dyDescent="0.3"/>
    <row r="779" ht="25.15" customHeight="1" x14ac:dyDescent="0.3"/>
    <row r="780" ht="25.15" customHeight="1" x14ac:dyDescent="0.3"/>
    <row r="781" ht="25.15" customHeight="1" x14ac:dyDescent="0.3"/>
    <row r="782" ht="25.15" customHeight="1" x14ac:dyDescent="0.3"/>
    <row r="783" ht="25.15" customHeight="1" x14ac:dyDescent="0.3"/>
    <row r="784" ht="25.15" customHeight="1" x14ac:dyDescent="0.3"/>
    <row r="785" ht="25.15" customHeight="1" x14ac:dyDescent="0.3"/>
    <row r="786" ht="25.15" customHeight="1" x14ac:dyDescent="0.3"/>
    <row r="787" ht="25.15" customHeight="1" x14ac:dyDescent="0.3"/>
    <row r="788" ht="25.15" customHeight="1" x14ac:dyDescent="0.3"/>
    <row r="789" ht="25.15" customHeight="1" x14ac:dyDescent="0.3"/>
    <row r="790" ht="25.15" customHeight="1" x14ac:dyDescent="0.3"/>
    <row r="791" ht="25.15" customHeight="1" x14ac:dyDescent="0.3"/>
    <row r="792" ht="25.15" customHeight="1" x14ac:dyDescent="0.3"/>
    <row r="793" ht="25.15" customHeight="1" x14ac:dyDescent="0.3"/>
    <row r="794" ht="25.15" customHeight="1" x14ac:dyDescent="0.3"/>
    <row r="795" ht="25.15" customHeight="1" x14ac:dyDescent="0.3"/>
    <row r="796" ht="25.15" customHeight="1" x14ac:dyDescent="0.3"/>
    <row r="797" ht="25.15" customHeight="1" x14ac:dyDescent="0.3"/>
    <row r="798" ht="25.15" customHeight="1" x14ac:dyDescent="0.3"/>
    <row r="799" ht="25.15" customHeight="1" x14ac:dyDescent="0.3"/>
    <row r="800" ht="25.15" customHeight="1" x14ac:dyDescent="0.3"/>
    <row r="801" ht="25.15" customHeight="1" x14ac:dyDescent="0.3"/>
    <row r="802" ht="25.15" customHeight="1" x14ac:dyDescent="0.3"/>
    <row r="803" ht="25.15" customHeight="1" x14ac:dyDescent="0.3"/>
    <row r="804" ht="25.15" customHeight="1" x14ac:dyDescent="0.3"/>
    <row r="805" ht="25.15" customHeight="1" x14ac:dyDescent="0.3"/>
    <row r="806" ht="25.15" customHeight="1" x14ac:dyDescent="0.3"/>
    <row r="807" ht="25.15" customHeight="1" x14ac:dyDescent="0.3"/>
    <row r="808" ht="25.15" customHeight="1" x14ac:dyDescent="0.3"/>
    <row r="809" ht="25.15" customHeight="1" x14ac:dyDescent="0.3"/>
    <row r="810" ht="25.15" customHeight="1" x14ac:dyDescent="0.3"/>
    <row r="811" ht="25.15" customHeight="1" x14ac:dyDescent="0.3"/>
    <row r="812" ht="25.15" customHeight="1" x14ac:dyDescent="0.3"/>
    <row r="813" ht="25.15" customHeight="1" x14ac:dyDescent="0.3"/>
    <row r="814" ht="25.15" customHeight="1" x14ac:dyDescent="0.3"/>
    <row r="815" ht="25.15" customHeight="1" x14ac:dyDescent="0.3"/>
    <row r="816" ht="25.15" customHeight="1" x14ac:dyDescent="0.3"/>
    <row r="817" ht="25.15" customHeight="1" x14ac:dyDescent="0.3"/>
    <row r="818" ht="25.15" customHeight="1" x14ac:dyDescent="0.3"/>
    <row r="819" ht="25.15" customHeight="1" x14ac:dyDescent="0.3"/>
    <row r="820" ht="25.15" customHeight="1" x14ac:dyDescent="0.3"/>
    <row r="821" ht="25.15" customHeight="1" x14ac:dyDescent="0.3"/>
    <row r="822" ht="25.15" customHeight="1" x14ac:dyDescent="0.3"/>
    <row r="823" ht="25.15" customHeight="1" x14ac:dyDescent="0.3"/>
    <row r="824" ht="25.15" customHeight="1" x14ac:dyDescent="0.3"/>
    <row r="825" ht="25.15" customHeight="1" x14ac:dyDescent="0.3"/>
    <row r="826" ht="25.15" customHeight="1" x14ac:dyDescent="0.3"/>
    <row r="827" ht="25.15" customHeight="1" x14ac:dyDescent="0.3"/>
    <row r="828" ht="25.15" customHeight="1" x14ac:dyDescent="0.3"/>
    <row r="829" ht="25.15" customHeight="1" x14ac:dyDescent="0.3"/>
    <row r="830" ht="25.15" customHeight="1" x14ac:dyDescent="0.3"/>
    <row r="831" ht="25.15" customHeight="1" x14ac:dyDescent="0.3"/>
    <row r="832" ht="25.15" customHeight="1" x14ac:dyDescent="0.3"/>
    <row r="833" ht="25.15" customHeight="1" x14ac:dyDescent="0.3"/>
    <row r="834" ht="25.15" customHeight="1" x14ac:dyDescent="0.3"/>
    <row r="835" ht="25.15" customHeight="1" x14ac:dyDescent="0.3"/>
    <row r="836" ht="25.15" customHeight="1" x14ac:dyDescent="0.3"/>
    <row r="837" ht="25.15" customHeight="1" x14ac:dyDescent="0.3"/>
    <row r="838" ht="25.15" customHeight="1" x14ac:dyDescent="0.3"/>
    <row r="839" ht="25.15" customHeight="1" x14ac:dyDescent="0.3"/>
    <row r="840" ht="25.15" customHeight="1" x14ac:dyDescent="0.3"/>
    <row r="841" ht="25.15" customHeight="1" x14ac:dyDescent="0.3"/>
    <row r="842" ht="25.15" customHeight="1" x14ac:dyDescent="0.3"/>
    <row r="843" ht="25.15" customHeight="1" x14ac:dyDescent="0.3"/>
    <row r="844" ht="25.15" customHeight="1" x14ac:dyDescent="0.3"/>
    <row r="845" ht="25.15" customHeight="1" x14ac:dyDescent="0.3"/>
    <row r="846" ht="25.15" customHeight="1" x14ac:dyDescent="0.3"/>
    <row r="847" ht="25.15" customHeight="1" x14ac:dyDescent="0.3"/>
    <row r="848" ht="25.15" customHeight="1" x14ac:dyDescent="0.3"/>
    <row r="849" ht="25.15" customHeight="1" x14ac:dyDescent="0.3"/>
    <row r="850" ht="25.15" customHeight="1" x14ac:dyDescent="0.3"/>
    <row r="851" ht="25.15" customHeight="1" x14ac:dyDescent="0.3"/>
    <row r="852" ht="25.15" customHeight="1" x14ac:dyDescent="0.3"/>
    <row r="853" ht="25.15" customHeight="1" x14ac:dyDescent="0.3"/>
    <row r="854" ht="25.15" customHeight="1" x14ac:dyDescent="0.3"/>
    <row r="855" ht="25.15" customHeight="1" x14ac:dyDescent="0.3"/>
    <row r="856" ht="25.15" customHeight="1" x14ac:dyDescent="0.3"/>
    <row r="857" ht="25.15" customHeight="1" x14ac:dyDescent="0.3"/>
    <row r="858" ht="25.15" customHeight="1" x14ac:dyDescent="0.3"/>
    <row r="859" ht="25.15" customHeight="1" x14ac:dyDescent="0.3"/>
    <row r="860" ht="25.15" customHeight="1" x14ac:dyDescent="0.3"/>
    <row r="861" ht="25.15" customHeight="1" x14ac:dyDescent="0.3"/>
    <row r="862" ht="25.15" customHeight="1" x14ac:dyDescent="0.3"/>
    <row r="863" ht="25.15" customHeight="1" x14ac:dyDescent="0.3"/>
    <row r="864" ht="25.15" customHeight="1" x14ac:dyDescent="0.3"/>
    <row r="865" ht="25.15" customHeight="1" x14ac:dyDescent="0.3"/>
    <row r="866" ht="25.15" customHeight="1" x14ac:dyDescent="0.3"/>
    <row r="867" ht="25.15" customHeight="1" x14ac:dyDescent="0.3"/>
    <row r="868" ht="25.15" customHeight="1" x14ac:dyDescent="0.3"/>
    <row r="869" ht="25.15" customHeight="1" x14ac:dyDescent="0.3"/>
    <row r="870" ht="25.15" customHeight="1" x14ac:dyDescent="0.3"/>
    <row r="871" ht="25.15" customHeight="1" x14ac:dyDescent="0.3"/>
    <row r="872" ht="25.15" customHeight="1" x14ac:dyDescent="0.3"/>
    <row r="873" ht="25.15" customHeight="1" x14ac:dyDescent="0.3"/>
    <row r="874" ht="25.15" customHeight="1" x14ac:dyDescent="0.3"/>
    <row r="875" ht="25.15" customHeight="1" x14ac:dyDescent="0.3"/>
    <row r="876" ht="25.15" customHeight="1" x14ac:dyDescent="0.3"/>
    <row r="877" ht="25.15" customHeight="1" x14ac:dyDescent="0.3"/>
    <row r="878" ht="25.15" customHeight="1" x14ac:dyDescent="0.3"/>
    <row r="879" ht="25.15" customHeight="1" x14ac:dyDescent="0.3"/>
    <row r="880" ht="25.15" customHeight="1" x14ac:dyDescent="0.3"/>
    <row r="881" ht="25.15" customHeight="1" x14ac:dyDescent="0.3"/>
    <row r="882" ht="25.15" customHeight="1" x14ac:dyDescent="0.3"/>
    <row r="883" ht="25.15" customHeight="1" x14ac:dyDescent="0.3"/>
    <row r="884" ht="25.15" customHeight="1" x14ac:dyDescent="0.3"/>
    <row r="885" ht="25.15" customHeight="1" x14ac:dyDescent="0.3"/>
    <row r="886" ht="25.15" customHeight="1" x14ac:dyDescent="0.3"/>
    <row r="887" ht="25.15" customHeight="1" x14ac:dyDescent="0.3"/>
    <row r="888" ht="25.15" customHeight="1" x14ac:dyDescent="0.3"/>
    <row r="889" ht="25.15" customHeight="1" x14ac:dyDescent="0.3"/>
    <row r="890" ht="25.15" customHeight="1" x14ac:dyDescent="0.3"/>
    <row r="891" ht="25.15" customHeight="1" x14ac:dyDescent="0.3"/>
    <row r="892" ht="25.15" customHeight="1" x14ac:dyDescent="0.3"/>
    <row r="893" ht="25.15" customHeight="1" x14ac:dyDescent="0.3"/>
    <row r="894" ht="25.15" customHeight="1" x14ac:dyDescent="0.3"/>
    <row r="895" ht="25.15" customHeight="1" x14ac:dyDescent="0.3"/>
    <row r="896" ht="25.15" customHeight="1" x14ac:dyDescent="0.3"/>
    <row r="897" ht="25.15" customHeight="1" x14ac:dyDescent="0.3"/>
    <row r="898" ht="25.15" customHeight="1" x14ac:dyDescent="0.3"/>
    <row r="899" ht="25.15" customHeight="1" x14ac:dyDescent="0.3"/>
    <row r="900" ht="25.15" customHeight="1" x14ac:dyDescent="0.3"/>
    <row r="901" ht="25.15" customHeight="1" x14ac:dyDescent="0.3"/>
    <row r="902" ht="25.15" customHeight="1" x14ac:dyDescent="0.3"/>
    <row r="903" ht="25.15" customHeight="1" x14ac:dyDescent="0.3"/>
    <row r="904" ht="25.15" customHeight="1" x14ac:dyDescent="0.3"/>
    <row r="905" ht="25.15" customHeight="1" x14ac:dyDescent="0.3"/>
    <row r="906" ht="25.15" customHeight="1" x14ac:dyDescent="0.3"/>
    <row r="907" ht="25.15" customHeight="1" x14ac:dyDescent="0.3"/>
    <row r="908" ht="25.15" customHeight="1" x14ac:dyDescent="0.3"/>
    <row r="909" ht="25.15" customHeight="1" x14ac:dyDescent="0.3"/>
    <row r="910" ht="25.15" customHeight="1" x14ac:dyDescent="0.3"/>
    <row r="911" ht="25.15" customHeight="1" x14ac:dyDescent="0.3"/>
    <row r="912" ht="25.15" customHeight="1" x14ac:dyDescent="0.3"/>
    <row r="913" ht="25.15" customHeight="1" x14ac:dyDescent="0.3"/>
    <row r="914" ht="25.15" customHeight="1" x14ac:dyDescent="0.3"/>
    <row r="915" ht="25.15" customHeight="1" x14ac:dyDescent="0.3"/>
    <row r="916" ht="25.15" customHeight="1" x14ac:dyDescent="0.3"/>
    <row r="917" ht="25.15" customHeight="1" x14ac:dyDescent="0.3"/>
    <row r="918" ht="25.15" customHeight="1" x14ac:dyDescent="0.3"/>
    <row r="919" ht="25.15" customHeight="1" x14ac:dyDescent="0.3"/>
    <row r="920" ht="25.15" customHeight="1" x14ac:dyDescent="0.3"/>
    <row r="921" ht="25.15" customHeight="1" x14ac:dyDescent="0.3"/>
    <row r="922" ht="25.15" customHeight="1" x14ac:dyDescent="0.3"/>
    <row r="923" ht="25.15" customHeight="1" x14ac:dyDescent="0.3"/>
    <row r="924" ht="25.15" customHeight="1" x14ac:dyDescent="0.3"/>
    <row r="925" ht="25.15" customHeight="1" x14ac:dyDescent="0.3"/>
    <row r="926" ht="25.15" customHeight="1" x14ac:dyDescent="0.3"/>
    <row r="927" ht="25.15" customHeight="1" x14ac:dyDescent="0.3"/>
    <row r="928" ht="25.15" customHeight="1" x14ac:dyDescent="0.3"/>
    <row r="929" ht="25.15" customHeight="1" x14ac:dyDescent="0.3"/>
    <row r="930" ht="25.15" customHeight="1" x14ac:dyDescent="0.3"/>
    <row r="931" ht="25.15" customHeight="1" x14ac:dyDescent="0.3"/>
    <row r="932" ht="25.15" customHeight="1" x14ac:dyDescent="0.3"/>
    <row r="933" ht="25.15" customHeight="1" x14ac:dyDescent="0.3"/>
    <row r="934" ht="25.15" customHeight="1" x14ac:dyDescent="0.3"/>
    <row r="935" ht="25.15" customHeight="1" x14ac:dyDescent="0.3"/>
    <row r="936" ht="25.15" customHeight="1" x14ac:dyDescent="0.3"/>
    <row r="937" ht="25.15" customHeight="1" x14ac:dyDescent="0.3"/>
    <row r="938" ht="25.15" customHeight="1" x14ac:dyDescent="0.3"/>
    <row r="939" ht="25.15" customHeight="1" x14ac:dyDescent="0.3"/>
    <row r="940" ht="25.15" customHeight="1" x14ac:dyDescent="0.3"/>
    <row r="941" ht="25.15" customHeight="1" x14ac:dyDescent="0.3"/>
    <row r="942" ht="25.15" customHeight="1" x14ac:dyDescent="0.3"/>
    <row r="943" ht="25.15" customHeight="1" x14ac:dyDescent="0.3"/>
    <row r="944" ht="25.15" customHeight="1" x14ac:dyDescent="0.3"/>
    <row r="945" ht="25.15" customHeight="1" x14ac:dyDescent="0.3"/>
    <row r="946" ht="25.15" customHeight="1" x14ac:dyDescent="0.3"/>
    <row r="947" ht="25.15" customHeight="1" x14ac:dyDescent="0.3"/>
    <row r="948" ht="25.15" customHeight="1" x14ac:dyDescent="0.3"/>
    <row r="949" ht="25.15" customHeight="1" x14ac:dyDescent="0.3"/>
    <row r="950" ht="25.15" customHeight="1" x14ac:dyDescent="0.3"/>
    <row r="951" ht="25.15" customHeight="1" x14ac:dyDescent="0.3"/>
    <row r="952" ht="25.15" customHeight="1" x14ac:dyDescent="0.3"/>
    <row r="953" ht="25.15" customHeight="1" x14ac:dyDescent="0.3"/>
    <row r="954" ht="25.15" customHeight="1" x14ac:dyDescent="0.3"/>
    <row r="955" ht="25.15" customHeight="1" x14ac:dyDescent="0.3"/>
    <row r="956" ht="25.15" customHeight="1" x14ac:dyDescent="0.3"/>
    <row r="957" ht="25.15" customHeight="1" x14ac:dyDescent="0.3"/>
    <row r="958" ht="25.15" customHeight="1" x14ac:dyDescent="0.3"/>
    <row r="959" ht="25.15" customHeight="1" x14ac:dyDescent="0.3"/>
    <row r="960" ht="25.15" customHeight="1" x14ac:dyDescent="0.3"/>
    <row r="961" ht="25.15" customHeight="1" x14ac:dyDescent="0.3"/>
    <row r="962" ht="25.15" customHeight="1" x14ac:dyDescent="0.3"/>
    <row r="963" ht="25.15" customHeight="1" x14ac:dyDescent="0.3"/>
    <row r="964" ht="25.15" customHeight="1" x14ac:dyDescent="0.3"/>
    <row r="965" ht="25.15" customHeight="1" x14ac:dyDescent="0.3"/>
    <row r="966" ht="25.15" customHeight="1" x14ac:dyDescent="0.3"/>
    <row r="967" ht="25.15" customHeight="1" x14ac:dyDescent="0.3"/>
    <row r="968" ht="25.15" customHeight="1" x14ac:dyDescent="0.3"/>
    <row r="969" ht="25.15" customHeight="1" x14ac:dyDescent="0.3"/>
    <row r="970" ht="25.15" customHeight="1" x14ac:dyDescent="0.3"/>
    <row r="971" ht="25.15" customHeight="1" x14ac:dyDescent="0.3"/>
    <row r="972" ht="25.15" customHeight="1" x14ac:dyDescent="0.3"/>
    <row r="973" ht="25.15" customHeight="1" x14ac:dyDescent="0.3"/>
    <row r="974" ht="25.15" customHeight="1" x14ac:dyDescent="0.3"/>
    <row r="975" ht="25.15" customHeight="1" x14ac:dyDescent="0.3"/>
    <row r="976" ht="25.15" customHeight="1" x14ac:dyDescent="0.3"/>
    <row r="977" ht="25.15" customHeight="1" x14ac:dyDescent="0.3"/>
    <row r="978" ht="25.15" customHeight="1" x14ac:dyDescent="0.3"/>
    <row r="979" ht="25.15" customHeight="1" x14ac:dyDescent="0.3"/>
    <row r="980" ht="25.15" customHeight="1" x14ac:dyDescent="0.3"/>
    <row r="981" ht="25.15" customHeight="1" x14ac:dyDescent="0.3"/>
    <row r="982" ht="25.15" customHeight="1" x14ac:dyDescent="0.3"/>
    <row r="983" ht="25.15" customHeight="1" x14ac:dyDescent="0.3"/>
    <row r="984" ht="25.15" customHeight="1" x14ac:dyDescent="0.3"/>
    <row r="985" ht="25.15" customHeight="1" x14ac:dyDescent="0.3"/>
    <row r="986" ht="25.15" customHeight="1" x14ac:dyDescent="0.3"/>
    <row r="987" ht="25.15" customHeight="1" x14ac:dyDescent="0.3"/>
    <row r="988" ht="25.15" customHeight="1" x14ac:dyDescent="0.3"/>
    <row r="989" ht="25.15" customHeight="1" x14ac:dyDescent="0.3"/>
    <row r="990" ht="25.15" customHeight="1" x14ac:dyDescent="0.3"/>
    <row r="991" ht="25.15" customHeight="1" x14ac:dyDescent="0.3"/>
    <row r="992" ht="25.15" customHeight="1" x14ac:dyDescent="0.3"/>
    <row r="993" ht="25.15" customHeight="1" x14ac:dyDescent="0.3"/>
    <row r="994" ht="25.15" customHeight="1" x14ac:dyDescent="0.3"/>
    <row r="995" ht="25.15" customHeight="1" x14ac:dyDescent="0.3"/>
    <row r="996" ht="25.15" customHeight="1" x14ac:dyDescent="0.3"/>
    <row r="997" ht="25.15" customHeight="1" x14ac:dyDescent="0.3"/>
    <row r="998" ht="25.15" customHeight="1" x14ac:dyDescent="0.3"/>
    <row r="999" ht="25.15" customHeight="1" x14ac:dyDescent="0.3"/>
    <row r="1000" ht="25.15" customHeight="1" x14ac:dyDescent="0.3"/>
    <row r="1001" ht="25.15" customHeight="1" x14ac:dyDescent="0.3"/>
    <row r="1002" ht="25.15" customHeight="1" x14ac:dyDescent="0.3"/>
    <row r="1003" ht="25.15" customHeight="1" x14ac:dyDescent="0.3"/>
    <row r="1004" ht="25.15" customHeight="1" x14ac:dyDescent="0.3"/>
    <row r="1005" ht="25.15" customHeight="1" x14ac:dyDescent="0.3"/>
    <row r="1006" ht="25.15" customHeight="1" x14ac:dyDescent="0.3"/>
    <row r="1007" ht="25.15" customHeight="1" x14ac:dyDescent="0.3"/>
    <row r="1008" ht="25.15" customHeight="1" x14ac:dyDescent="0.3"/>
    <row r="1009" ht="25.15" customHeight="1" x14ac:dyDescent="0.3"/>
    <row r="1010" ht="25.15" customHeight="1" x14ac:dyDescent="0.3"/>
    <row r="1011" ht="25.15" customHeight="1" x14ac:dyDescent="0.3"/>
    <row r="1012" ht="25.15" customHeight="1" x14ac:dyDescent="0.3"/>
    <row r="1013" ht="25.15" customHeight="1" x14ac:dyDescent="0.3"/>
    <row r="1014" ht="25.15" customHeight="1" x14ac:dyDescent="0.3"/>
    <row r="1015" ht="25.15" customHeight="1" x14ac:dyDescent="0.3"/>
    <row r="1016" ht="25.15" customHeight="1" x14ac:dyDescent="0.3"/>
    <row r="1017" ht="25.15" customHeight="1" x14ac:dyDescent="0.3"/>
    <row r="1018" ht="25.15" customHeight="1" x14ac:dyDescent="0.3"/>
    <row r="1019" ht="25.15" customHeight="1" x14ac:dyDescent="0.3"/>
    <row r="1020" ht="25.15" customHeight="1" x14ac:dyDescent="0.3"/>
    <row r="1021" ht="25.15" customHeight="1" x14ac:dyDescent="0.3"/>
    <row r="1022" ht="25.15" customHeight="1" x14ac:dyDescent="0.3"/>
    <row r="1023" ht="25.15" customHeight="1" x14ac:dyDescent="0.3"/>
    <row r="1024" ht="25.15" customHeight="1" x14ac:dyDescent="0.3"/>
    <row r="1025" ht="25.15" customHeight="1" x14ac:dyDescent="0.3"/>
    <row r="1026" ht="25.15" customHeight="1" x14ac:dyDescent="0.3"/>
    <row r="1027" ht="25.15" customHeight="1" x14ac:dyDescent="0.3"/>
    <row r="1028" ht="25.15" customHeight="1" x14ac:dyDescent="0.3"/>
    <row r="1029" ht="25.15" customHeight="1" x14ac:dyDescent="0.3"/>
    <row r="1030" ht="25.15" customHeight="1" x14ac:dyDescent="0.3"/>
    <row r="1031" ht="25.15" customHeight="1" x14ac:dyDescent="0.3"/>
    <row r="1032" ht="25.15" customHeight="1" x14ac:dyDescent="0.3"/>
    <row r="1033" ht="25.15" customHeight="1" x14ac:dyDescent="0.3"/>
    <row r="1034" ht="25.15" customHeight="1" x14ac:dyDescent="0.3"/>
    <row r="1035" ht="25.15" customHeight="1" x14ac:dyDescent="0.3"/>
    <row r="1036" ht="25.15" customHeight="1" x14ac:dyDescent="0.3"/>
    <row r="1037" ht="25.15" customHeight="1" x14ac:dyDescent="0.3"/>
    <row r="1038" ht="25.15" customHeight="1" x14ac:dyDescent="0.3"/>
    <row r="1039" ht="25.15" customHeight="1" x14ac:dyDescent="0.3"/>
    <row r="1040" ht="25.15" customHeight="1" x14ac:dyDescent="0.3"/>
    <row r="1041" ht="25.15" customHeight="1" x14ac:dyDescent="0.3"/>
    <row r="1042" ht="25.15" customHeight="1" x14ac:dyDescent="0.3"/>
    <row r="1043" ht="25.15" customHeight="1" x14ac:dyDescent="0.3"/>
    <row r="1044" ht="25.15" customHeight="1" x14ac:dyDescent="0.3"/>
    <row r="1045" ht="25.15" customHeight="1" x14ac:dyDescent="0.3"/>
    <row r="1046" ht="25.15" customHeight="1" x14ac:dyDescent="0.3"/>
    <row r="1047" ht="25.15" customHeight="1" x14ac:dyDescent="0.3"/>
    <row r="1048" ht="25.15" customHeight="1" x14ac:dyDescent="0.3"/>
    <row r="1049" ht="25.15" customHeight="1" x14ac:dyDescent="0.3"/>
    <row r="1050" ht="25.15" customHeight="1" x14ac:dyDescent="0.3"/>
    <row r="1051" ht="25.15" customHeight="1" x14ac:dyDescent="0.3"/>
    <row r="1052" ht="25.15" customHeight="1" x14ac:dyDescent="0.3"/>
    <row r="1053" ht="25.15" customHeight="1" x14ac:dyDescent="0.3"/>
    <row r="1054" ht="25.15" customHeight="1" x14ac:dyDescent="0.3"/>
    <row r="1055" ht="25.15" customHeight="1" x14ac:dyDescent="0.3"/>
    <row r="1056" ht="25.15" customHeight="1" x14ac:dyDescent="0.3"/>
    <row r="1057" ht="25.15" customHeight="1" x14ac:dyDescent="0.3"/>
    <row r="1058" ht="25.15" customHeight="1" x14ac:dyDescent="0.3"/>
    <row r="1059" ht="25.15" customHeight="1" x14ac:dyDescent="0.3"/>
    <row r="1060" ht="25.15" customHeight="1" x14ac:dyDescent="0.3"/>
    <row r="1061" ht="25.15" customHeight="1" x14ac:dyDescent="0.3"/>
    <row r="1062" ht="25.15" customHeight="1" x14ac:dyDescent="0.3"/>
    <row r="1063" ht="25.15" customHeight="1" x14ac:dyDescent="0.3"/>
    <row r="1064" ht="25.15" customHeight="1" x14ac:dyDescent="0.3"/>
    <row r="1065" ht="25.15" customHeight="1" x14ac:dyDescent="0.3"/>
    <row r="1066" ht="25.15" customHeight="1" x14ac:dyDescent="0.3"/>
    <row r="1067" ht="25.15" customHeight="1" x14ac:dyDescent="0.3"/>
    <row r="1068" ht="25.15" customHeight="1" x14ac:dyDescent="0.3"/>
    <row r="1069" ht="25.15" customHeight="1" x14ac:dyDescent="0.3"/>
    <row r="1070" ht="25.15" customHeight="1" x14ac:dyDescent="0.3"/>
    <row r="1071" ht="25.15" customHeight="1" x14ac:dyDescent="0.3"/>
    <row r="1072" ht="25.15" customHeight="1" x14ac:dyDescent="0.3"/>
    <row r="1073" ht="25.15" customHeight="1" x14ac:dyDescent="0.3"/>
    <row r="1074" ht="25.15" customHeight="1" x14ac:dyDescent="0.3"/>
    <row r="1075" ht="25.15" customHeight="1" x14ac:dyDescent="0.3"/>
    <row r="1076" ht="25.15" customHeight="1" x14ac:dyDescent="0.3"/>
    <row r="1077" ht="25.15" customHeight="1" x14ac:dyDescent="0.3"/>
    <row r="1078" ht="25.15" customHeight="1" x14ac:dyDescent="0.3"/>
    <row r="1079" ht="25.15" customHeight="1" x14ac:dyDescent="0.3"/>
    <row r="1080" ht="25.15" customHeight="1" x14ac:dyDescent="0.3"/>
    <row r="1081" ht="25.15" customHeight="1" x14ac:dyDescent="0.3"/>
    <row r="1082" ht="25.15" customHeight="1" x14ac:dyDescent="0.3"/>
    <row r="1083" ht="25.15" customHeight="1" x14ac:dyDescent="0.3"/>
    <row r="1084" ht="25.15" customHeight="1" x14ac:dyDescent="0.3"/>
    <row r="1085" ht="25.15" customHeight="1" x14ac:dyDescent="0.3"/>
    <row r="1086" ht="25.15" customHeight="1" x14ac:dyDescent="0.3"/>
    <row r="1087" ht="25.15" customHeight="1" x14ac:dyDescent="0.3"/>
    <row r="1088" ht="25.15" customHeight="1" x14ac:dyDescent="0.3"/>
    <row r="1089" ht="25.15" customHeight="1" x14ac:dyDescent="0.3"/>
    <row r="1090" ht="25.15" customHeight="1" x14ac:dyDescent="0.3"/>
    <row r="1091" ht="25.15" customHeight="1" x14ac:dyDescent="0.3"/>
    <row r="1092" ht="25.15" customHeight="1" x14ac:dyDescent="0.3"/>
    <row r="1093" ht="25.15" customHeight="1" x14ac:dyDescent="0.3"/>
    <row r="1094" ht="25.15" customHeight="1" x14ac:dyDescent="0.3"/>
    <row r="1095" ht="25.15" customHeight="1" x14ac:dyDescent="0.3"/>
    <row r="1096" ht="25.15" customHeight="1" x14ac:dyDescent="0.3"/>
    <row r="1097" ht="25.15" customHeight="1" x14ac:dyDescent="0.3"/>
    <row r="1098" ht="25.15" customHeight="1" x14ac:dyDescent="0.3"/>
    <row r="1099" ht="25.15" customHeight="1" x14ac:dyDescent="0.3"/>
    <row r="1100" ht="25.15" customHeight="1" x14ac:dyDescent="0.3"/>
    <row r="1101" ht="25.15" customHeight="1" x14ac:dyDescent="0.3"/>
    <row r="1102" ht="25.15" customHeight="1" x14ac:dyDescent="0.3"/>
    <row r="1103" ht="25.15" customHeight="1" x14ac:dyDescent="0.3"/>
    <row r="1104" ht="25.15" customHeight="1" x14ac:dyDescent="0.3"/>
    <row r="1105" ht="25.15" customHeight="1" x14ac:dyDescent="0.3"/>
    <row r="1106" ht="25.15" customHeight="1" x14ac:dyDescent="0.3"/>
    <row r="1107" ht="25.15" customHeight="1" x14ac:dyDescent="0.3"/>
    <row r="1108" ht="25.15" customHeight="1" x14ac:dyDescent="0.3"/>
    <row r="1109" ht="25.15" customHeight="1" x14ac:dyDescent="0.3"/>
    <row r="1110" ht="25.15" customHeight="1" x14ac:dyDescent="0.3"/>
    <row r="1111" ht="25.15" customHeight="1" x14ac:dyDescent="0.3"/>
    <row r="1112" ht="25.15" customHeight="1" x14ac:dyDescent="0.3"/>
    <row r="1113" ht="25.15" customHeight="1" x14ac:dyDescent="0.3"/>
    <row r="1114" ht="25.15" customHeight="1" x14ac:dyDescent="0.3"/>
    <row r="1115" ht="25.15" customHeight="1" x14ac:dyDescent="0.3"/>
    <row r="1116" ht="25.15" customHeight="1" x14ac:dyDescent="0.3"/>
    <row r="1117" ht="25.15" customHeight="1" x14ac:dyDescent="0.3"/>
    <row r="1118" ht="25.15" customHeight="1" x14ac:dyDescent="0.3"/>
    <row r="1119" ht="25.15" customHeight="1" x14ac:dyDescent="0.3"/>
    <row r="1120" ht="25.15" customHeight="1" x14ac:dyDescent="0.3"/>
    <row r="1121" ht="25.15" customHeight="1" x14ac:dyDescent="0.3"/>
    <row r="1122" ht="25.15" customHeight="1" x14ac:dyDescent="0.3"/>
    <row r="1123" ht="25.15" customHeight="1" x14ac:dyDescent="0.3"/>
    <row r="1124" ht="25.15" customHeight="1" x14ac:dyDescent="0.3"/>
    <row r="1125" ht="25.15" customHeight="1" x14ac:dyDescent="0.3"/>
    <row r="1126" ht="25.15" customHeight="1" x14ac:dyDescent="0.3"/>
    <row r="1127" ht="25.15" customHeight="1" x14ac:dyDescent="0.3"/>
    <row r="1128" ht="25.15" customHeight="1" x14ac:dyDescent="0.3"/>
    <row r="1129" ht="25.15" customHeight="1" x14ac:dyDescent="0.3"/>
    <row r="1130" ht="25.15" customHeight="1" x14ac:dyDescent="0.3"/>
    <row r="1131" ht="25.15" customHeight="1" x14ac:dyDescent="0.3"/>
    <row r="1132" ht="25.15" customHeight="1" x14ac:dyDescent="0.3"/>
    <row r="1133" ht="25.15" customHeight="1" x14ac:dyDescent="0.3"/>
    <row r="1134" ht="25.15" customHeight="1" x14ac:dyDescent="0.3"/>
    <row r="1135" ht="25.15" customHeight="1" x14ac:dyDescent="0.3"/>
    <row r="1136" ht="25.15" customHeight="1" x14ac:dyDescent="0.3"/>
    <row r="1137" ht="25.15" customHeight="1" x14ac:dyDescent="0.3"/>
    <row r="1138" ht="25.15" customHeight="1" x14ac:dyDescent="0.3"/>
    <row r="1139" ht="25.15" customHeight="1" x14ac:dyDescent="0.3"/>
    <row r="1140" ht="25.15" customHeight="1" x14ac:dyDescent="0.3"/>
    <row r="1141" ht="25.15" customHeight="1" x14ac:dyDescent="0.3"/>
    <row r="1142" ht="25.15" customHeight="1" x14ac:dyDescent="0.3"/>
    <row r="1143" ht="25.15" customHeight="1" x14ac:dyDescent="0.3"/>
    <row r="1144" ht="25.15" customHeight="1" x14ac:dyDescent="0.3"/>
    <row r="1145" ht="25.15" customHeight="1" x14ac:dyDescent="0.3"/>
    <row r="1146" ht="25.15" customHeight="1" x14ac:dyDescent="0.3"/>
    <row r="1147" ht="25.15" customHeight="1" x14ac:dyDescent="0.3"/>
    <row r="1148" ht="25.15" customHeight="1" x14ac:dyDescent="0.3"/>
    <row r="1149" ht="25.15" customHeight="1" x14ac:dyDescent="0.3"/>
    <row r="1150" ht="25.15" customHeight="1" x14ac:dyDescent="0.3"/>
    <row r="1151" ht="25.15" customHeight="1" x14ac:dyDescent="0.3"/>
    <row r="1152" ht="25.15" customHeight="1" x14ac:dyDescent="0.3"/>
    <row r="1153" ht="25.15" customHeight="1" x14ac:dyDescent="0.3"/>
    <row r="1154" ht="25.15" customHeight="1" x14ac:dyDescent="0.3"/>
    <row r="1155" ht="25.15" customHeight="1" x14ac:dyDescent="0.3"/>
    <row r="1156" ht="25.15" customHeight="1" x14ac:dyDescent="0.3"/>
    <row r="1157" ht="25.15" customHeight="1" x14ac:dyDescent="0.3"/>
    <row r="1158" ht="25.15" customHeight="1" x14ac:dyDescent="0.3"/>
    <row r="1159" ht="25.15" customHeight="1" x14ac:dyDescent="0.3"/>
    <row r="1160" ht="25.15" customHeight="1" x14ac:dyDescent="0.3"/>
    <row r="1161" ht="25.15" customHeight="1" x14ac:dyDescent="0.3"/>
    <row r="1162" ht="25.15" customHeight="1" x14ac:dyDescent="0.3"/>
    <row r="1163" ht="25.15" customHeight="1" x14ac:dyDescent="0.3"/>
    <row r="1164" ht="25.15" customHeight="1" x14ac:dyDescent="0.3"/>
    <row r="1165" ht="25.15" customHeight="1" x14ac:dyDescent="0.3"/>
    <row r="1166" ht="25.15" customHeight="1" x14ac:dyDescent="0.3"/>
    <row r="1167" ht="25.15" customHeight="1" x14ac:dyDescent="0.3"/>
    <row r="1168" ht="25.15" customHeight="1" x14ac:dyDescent="0.3"/>
    <row r="1169" ht="25.15" customHeight="1" x14ac:dyDescent="0.3"/>
    <row r="1170" ht="25.15" customHeight="1" x14ac:dyDescent="0.3"/>
    <row r="1171" ht="25.15" customHeight="1" x14ac:dyDescent="0.3"/>
    <row r="1172" ht="25.15" customHeight="1" x14ac:dyDescent="0.3"/>
    <row r="1173" ht="25.15" customHeight="1" x14ac:dyDescent="0.3"/>
    <row r="1174" ht="25.15" customHeight="1" x14ac:dyDescent="0.3"/>
    <row r="1175" ht="25.15" customHeight="1" x14ac:dyDescent="0.3"/>
    <row r="1176" ht="25.15" customHeight="1" x14ac:dyDescent="0.3"/>
    <row r="1177" ht="25.15" customHeight="1" x14ac:dyDescent="0.3"/>
    <row r="1178" ht="25.15" customHeight="1" x14ac:dyDescent="0.3"/>
    <row r="1179" ht="25.15" customHeight="1" x14ac:dyDescent="0.3"/>
    <row r="1180" ht="25.15" customHeight="1" x14ac:dyDescent="0.3"/>
    <row r="1181" ht="25.15" customHeight="1" x14ac:dyDescent="0.3"/>
    <row r="1182" ht="25.15" customHeight="1" x14ac:dyDescent="0.3"/>
    <row r="1183" ht="25.15" customHeight="1" x14ac:dyDescent="0.3"/>
    <row r="1184" ht="25.15" customHeight="1" x14ac:dyDescent="0.3"/>
    <row r="1185" ht="25.15" customHeight="1" x14ac:dyDescent="0.3"/>
    <row r="1186" ht="25.15" customHeight="1" x14ac:dyDescent="0.3"/>
    <row r="1187" ht="25.15" customHeight="1" x14ac:dyDescent="0.3"/>
    <row r="1188" ht="25.15" customHeight="1" x14ac:dyDescent="0.3"/>
    <row r="1189" ht="25.15" customHeight="1" x14ac:dyDescent="0.3"/>
    <row r="1190" ht="25.15" customHeight="1" x14ac:dyDescent="0.3"/>
    <row r="1191" ht="25.15" customHeight="1" x14ac:dyDescent="0.3"/>
    <row r="1192" ht="25.15" customHeight="1" x14ac:dyDescent="0.3"/>
    <row r="1193" ht="25.15" customHeight="1" x14ac:dyDescent="0.3"/>
    <row r="1194" ht="25.15" customHeight="1" x14ac:dyDescent="0.3"/>
    <row r="1195" ht="25.15" customHeight="1" x14ac:dyDescent="0.3"/>
    <row r="1196" ht="25.15" customHeight="1" x14ac:dyDescent="0.3"/>
    <row r="1197" ht="25.15" customHeight="1" x14ac:dyDescent="0.3"/>
    <row r="1198" ht="25.15" customHeight="1" x14ac:dyDescent="0.3"/>
    <row r="1199" ht="25.15" customHeight="1" x14ac:dyDescent="0.3"/>
    <row r="1200" ht="25.15" customHeight="1" x14ac:dyDescent="0.3"/>
    <row r="1201" ht="25.15" customHeight="1" x14ac:dyDescent="0.3"/>
    <row r="1202" ht="25.15" customHeight="1" x14ac:dyDescent="0.3"/>
    <row r="1203" ht="25.15" customHeight="1" x14ac:dyDescent="0.3"/>
    <row r="1204" ht="25.15" customHeight="1" x14ac:dyDescent="0.3"/>
    <row r="1205" ht="25.15" customHeight="1" x14ac:dyDescent="0.3"/>
    <row r="1206" ht="25.15" customHeight="1" x14ac:dyDescent="0.3"/>
    <row r="1207" ht="25.15" customHeight="1" x14ac:dyDescent="0.3"/>
    <row r="1208" ht="25.15" customHeight="1" x14ac:dyDescent="0.3"/>
    <row r="1209" ht="25.15" customHeight="1" x14ac:dyDescent="0.3"/>
    <row r="1210" ht="25.15" customHeight="1" x14ac:dyDescent="0.3"/>
    <row r="1211" ht="25.15" customHeight="1" x14ac:dyDescent="0.3"/>
    <row r="1212" ht="25.15" customHeight="1" x14ac:dyDescent="0.3"/>
    <row r="1213" ht="25.15" customHeight="1" x14ac:dyDescent="0.3"/>
    <row r="1214" ht="25.15" customHeight="1" x14ac:dyDescent="0.3"/>
    <row r="1215" ht="25.15" customHeight="1" x14ac:dyDescent="0.3"/>
    <row r="1216" ht="25.15" customHeight="1" x14ac:dyDescent="0.3"/>
    <row r="1217" ht="25.15" customHeight="1" x14ac:dyDescent="0.3"/>
    <row r="1218" ht="25.15" customHeight="1" x14ac:dyDescent="0.3"/>
    <row r="1219" ht="25.15" customHeight="1" x14ac:dyDescent="0.3"/>
    <row r="1220" ht="25.15" customHeight="1" x14ac:dyDescent="0.3"/>
    <row r="1221" ht="25.15" customHeight="1" x14ac:dyDescent="0.3"/>
    <row r="1222" ht="25.15" customHeight="1" x14ac:dyDescent="0.3"/>
    <row r="1223" ht="25.15" customHeight="1" x14ac:dyDescent="0.3"/>
    <row r="1224" ht="25.15" customHeight="1" x14ac:dyDescent="0.3"/>
    <row r="1225" ht="25.15" customHeight="1" x14ac:dyDescent="0.3"/>
    <row r="1226" ht="25.15" customHeight="1" x14ac:dyDescent="0.3"/>
    <row r="1227" ht="25.15" customHeight="1" x14ac:dyDescent="0.3"/>
    <row r="1228" ht="25.15" customHeight="1" x14ac:dyDescent="0.3"/>
    <row r="1229" ht="25.15" customHeight="1" x14ac:dyDescent="0.3"/>
    <row r="1230" ht="25.15" customHeight="1" x14ac:dyDescent="0.3"/>
    <row r="1231" ht="25.15" customHeight="1" x14ac:dyDescent="0.3"/>
    <row r="1232" ht="25.15" customHeight="1" x14ac:dyDescent="0.3"/>
    <row r="1233" ht="25.15" customHeight="1" x14ac:dyDescent="0.3"/>
    <row r="1234" ht="25.15" customHeight="1" x14ac:dyDescent="0.3"/>
    <row r="1235" ht="25.15" customHeight="1" x14ac:dyDescent="0.3"/>
    <row r="1236" ht="25.15" customHeight="1" x14ac:dyDescent="0.3"/>
    <row r="1237" ht="25.15" customHeight="1" x14ac:dyDescent="0.3"/>
    <row r="1238" ht="25.15" customHeight="1" x14ac:dyDescent="0.3"/>
    <row r="1239" ht="25.15" customHeight="1" x14ac:dyDescent="0.3"/>
    <row r="1240" ht="25.15" customHeight="1" x14ac:dyDescent="0.3"/>
    <row r="1241" ht="25.15" customHeight="1" x14ac:dyDescent="0.3"/>
    <row r="1242" ht="25.15" customHeight="1" x14ac:dyDescent="0.3"/>
    <row r="1243" ht="25.15" customHeight="1" x14ac:dyDescent="0.3"/>
    <row r="1244" ht="25.15" customHeight="1" x14ac:dyDescent="0.3"/>
    <row r="1245" ht="25.15" customHeight="1" x14ac:dyDescent="0.3"/>
    <row r="1246" ht="25.15" customHeight="1" x14ac:dyDescent="0.3"/>
    <row r="1247" ht="25.15" customHeight="1" x14ac:dyDescent="0.3"/>
    <row r="1248" ht="25.15" customHeight="1" x14ac:dyDescent="0.3"/>
    <row r="1249" ht="25.15" customHeight="1" x14ac:dyDescent="0.3"/>
    <row r="1250" ht="25.15" customHeight="1" x14ac:dyDescent="0.3"/>
    <row r="1251" ht="25.15" customHeight="1" x14ac:dyDescent="0.3"/>
    <row r="1252" ht="25.15" customHeight="1" x14ac:dyDescent="0.3"/>
    <row r="1253" ht="25.15" customHeight="1" x14ac:dyDescent="0.3"/>
    <row r="1254" ht="25.15" customHeight="1" x14ac:dyDescent="0.3"/>
    <row r="1255" ht="25.15" customHeight="1" x14ac:dyDescent="0.3"/>
    <row r="1256" ht="25.15" customHeight="1" x14ac:dyDescent="0.3"/>
    <row r="1257" ht="25.15" customHeight="1" x14ac:dyDescent="0.3"/>
    <row r="1258" ht="25.15" customHeight="1" x14ac:dyDescent="0.3"/>
    <row r="1259" ht="25.15" customHeight="1" x14ac:dyDescent="0.3"/>
    <row r="1260" ht="25.15" customHeight="1" x14ac:dyDescent="0.3"/>
    <row r="1261" ht="25.15" customHeight="1" x14ac:dyDescent="0.3"/>
    <row r="1262" ht="25.15" customHeight="1" x14ac:dyDescent="0.3"/>
    <row r="1263" ht="25.15" customHeight="1" x14ac:dyDescent="0.3"/>
    <row r="1264" ht="25.15" customHeight="1" x14ac:dyDescent="0.3"/>
    <row r="1265" ht="25.15" customHeight="1" x14ac:dyDescent="0.3"/>
    <row r="1266" ht="25.15" customHeight="1" x14ac:dyDescent="0.3"/>
    <row r="1267" ht="25.15" customHeight="1" x14ac:dyDescent="0.3"/>
    <row r="1268" ht="25.15" customHeight="1" x14ac:dyDescent="0.3"/>
    <row r="1269" ht="25.15" customHeight="1" x14ac:dyDescent="0.3"/>
    <row r="1270" ht="25.15" customHeight="1" x14ac:dyDescent="0.3"/>
    <row r="1271" ht="25.15" customHeight="1" x14ac:dyDescent="0.3"/>
    <row r="1272" ht="25.15" customHeight="1" x14ac:dyDescent="0.3"/>
    <row r="1273" ht="25.15" customHeight="1" x14ac:dyDescent="0.3"/>
    <row r="1274" ht="25.15" customHeight="1" x14ac:dyDescent="0.3"/>
    <row r="1275" ht="25.15" customHeight="1" x14ac:dyDescent="0.3"/>
    <row r="1276" ht="25.15" customHeight="1" x14ac:dyDescent="0.3"/>
    <row r="1277" ht="25.15" customHeight="1" x14ac:dyDescent="0.3"/>
    <row r="1278" ht="25.15" customHeight="1" x14ac:dyDescent="0.3"/>
    <row r="1279" ht="25.15" customHeight="1" x14ac:dyDescent="0.3"/>
    <row r="1280" ht="25.15" customHeight="1" x14ac:dyDescent="0.3"/>
    <row r="1281" ht="25.15" customHeight="1" x14ac:dyDescent="0.3"/>
    <row r="1282" ht="25.15" customHeight="1" x14ac:dyDescent="0.3"/>
    <row r="1283" ht="25.15" customHeight="1" x14ac:dyDescent="0.3"/>
    <row r="1284" ht="25.15" customHeight="1" x14ac:dyDescent="0.3"/>
    <row r="1285" ht="25.15" customHeight="1" x14ac:dyDescent="0.3"/>
    <row r="1286" ht="25.15" customHeight="1" x14ac:dyDescent="0.3"/>
    <row r="1287" ht="25.15" customHeight="1" x14ac:dyDescent="0.3"/>
    <row r="1288" ht="25.15" customHeight="1" x14ac:dyDescent="0.3"/>
    <row r="1289" ht="25.15" customHeight="1" x14ac:dyDescent="0.3"/>
    <row r="1290" ht="25.15" customHeight="1" x14ac:dyDescent="0.3"/>
    <row r="1291" ht="25.15" customHeight="1" x14ac:dyDescent="0.3"/>
    <row r="1292" ht="25.15" customHeight="1" x14ac:dyDescent="0.3"/>
    <row r="1293" ht="25.15" customHeight="1" x14ac:dyDescent="0.3"/>
    <row r="1294" ht="25.15" customHeight="1" x14ac:dyDescent="0.3"/>
    <row r="1295" ht="25.15" customHeight="1" x14ac:dyDescent="0.3"/>
    <row r="1296" ht="25.15" customHeight="1" x14ac:dyDescent="0.3"/>
    <row r="1297" ht="25.15" customHeight="1" x14ac:dyDescent="0.3"/>
    <row r="1298" ht="25.15" customHeight="1" x14ac:dyDescent="0.3"/>
    <row r="1299" ht="25.15" customHeight="1" x14ac:dyDescent="0.3"/>
    <row r="1300" ht="25.15" customHeight="1" x14ac:dyDescent="0.3"/>
    <row r="1301" ht="25.15" customHeight="1" x14ac:dyDescent="0.3"/>
    <row r="1302" ht="25.15" customHeight="1" x14ac:dyDescent="0.3"/>
    <row r="1303" ht="25.15" customHeight="1" x14ac:dyDescent="0.3"/>
    <row r="1304" ht="25.15" customHeight="1" x14ac:dyDescent="0.3"/>
    <row r="1305" ht="25.15" customHeight="1" x14ac:dyDescent="0.3"/>
    <row r="1306" ht="25.15" customHeight="1" x14ac:dyDescent="0.3"/>
    <row r="1307" ht="25.15" customHeight="1" x14ac:dyDescent="0.3"/>
    <row r="1308" ht="25.15" customHeight="1" x14ac:dyDescent="0.3"/>
    <row r="1309" ht="25.15" customHeight="1" x14ac:dyDescent="0.3"/>
    <row r="1310" ht="25.15" customHeight="1" x14ac:dyDescent="0.3"/>
    <row r="1311" ht="25.15" customHeight="1" x14ac:dyDescent="0.3"/>
    <row r="1312" ht="25.15" customHeight="1" x14ac:dyDescent="0.3"/>
    <row r="1313" ht="25.15" customHeight="1" x14ac:dyDescent="0.3"/>
    <row r="1314" ht="25.15" customHeight="1" x14ac:dyDescent="0.3"/>
    <row r="1315" ht="25.15" customHeight="1" x14ac:dyDescent="0.3"/>
    <row r="1316" ht="25.15" customHeight="1" x14ac:dyDescent="0.3"/>
    <row r="1317" ht="25.15" customHeight="1" x14ac:dyDescent="0.3"/>
    <row r="1318" ht="25.15" customHeight="1" x14ac:dyDescent="0.3"/>
    <row r="1319" ht="25.15" customHeight="1" x14ac:dyDescent="0.3"/>
    <row r="1320" ht="25.15" customHeight="1" x14ac:dyDescent="0.3"/>
    <row r="1321" ht="25.15" customHeight="1" x14ac:dyDescent="0.3"/>
    <row r="1322" ht="25.15" customHeight="1" x14ac:dyDescent="0.3"/>
    <row r="1323" ht="25.15" customHeight="1" x14ac:dyDescent="0.3"/>
    <row r="1324" ht="25.15" customHeight="1" x14ac:dyDescent="0.3"/>
    <row r="1325" ht="25.15" customHeight="1" x14ac:dyDescent="0.3"/>
    <row r="1326" ht="25.15" customHeight="1" x14ac:dyDescent="0.3"/>
    <row r="1327" ht="25.15" customHeight="1" x14ac:dyDescent="0.3"/>
    <row r="1328" ht="25.15" customHeight="1" x14ac:dyDescent="0.3"/>
    <row r="1329" ht="25.15" customHeight="1" x14ac:dyDescent="0.3"/>
    <row r="1330" ht="25.15" customHeight="1" x14ac:dyDescent="0.3"/>
    <row r="1331" ht="25.15" customHeight="1" x14ac:dyDescent="0.3"/>
    <row r="1332" ht="25.15" customHeight="1" x14ac:dyDescent="0.3"/>
    <row r="1333" ht="25.15" customHeight="1" x14ac:dyDescent="0.3"/>
    <row r="1334" ht="25.15" customHeight="1" x14ac:dyDescent="0.3"/>
    <row r="1335" ht="25.15" customHeight="1" x14ac:dyDescent="0.3"/>
    <row r="1336" ht="25.15" customHeight="1" x14ac:dyDescent="0.3"/>
    <row r="1337" ht="25.15" customHeight="1" x14ac:dyDescent="0.3"/>
    <row r="1338" ht="25.15" customHeight="1" x14ac:dyDescent="0.3"/>
    <row r="1339" ht="25.15" customHeight="1" x14ac:dyDescent="0.3"/>
    <row r="1340" ht="25.15" customHeight="1" x14ac:dyDescent="0.3"/>
    <row r="1341" ht="25.15" customHeight="1" x14ac:dyDescent="0.3"/>
    <row r="1342" ht="25.15" customHeight="1" x14ac:dyDescent="0.3"/>
    <row r="1343" ht="25.15" customHeight="1" x14ac:dyDescent="0.3"/>
    <row r="1344" ht="25.15" customHeight="1" x14ac:dyDescent="0.3"/>
    <row r="1345" ht="25.15" customHeight="1" x14ac:dyDescent="0.3"/>
    <row r="1346" ht="25.15" customHeight="1" x14ac:dyDescent="0.3"/>
    <row r="1347" ht="25.15" customHeight="1" x14ac:dyDescent="0.3"/>
    <row r="1348" ht="25.15" customHeight="1" x14ac:dyDescent="0.3"/>
    <row r="1349" ht="25.15" customHeight="1" x14ac:dyDescent="0.3"/>
    <row r="1350" ht="25.15" customHeight="1" x14ac:dyDescent="0.3"/>
    <row r="1351" ht="25.15" customHeight="1" x14ac:dyDescent="0.3"/>
    <row r="1352" ht="25.15" customHeight="1" x14ac:dyDescent="0.3"/>
    <row r="1353" ht="25.15" customHeight="1" x14ac:dyDescent="0.3"/>
    <row r="1354" ht="25.15" customHeight="1" x14ac:dyDescent="0.3"/>
    <row r="1355" ht="25.15" customHeight="1" x14ac:dyDescent="0.3"/>
    <row r="1356" ht="25.15" customHeight="1" x14ac:dyDescent="0.3"/>
    <row r="1357" ht="25.15" customHeight="1" x14ac:dyDescent="0.3"/>
    <row r="1358" ht="25.15" customHeight="1" x14ac:dyDescent="0.3"/>
    <row r="1359" ht="25.15" customHeight="1" x14ac:dyDescent="0.3"/>
    <row r="1360" ht="25.15" customHeight="1" x14ac:dyDescent="0.3"/>
    <row r="1361" ht="25.15" customHeight="1" x14ac:dyDescent="0.3"/>
    <row r="1362" ht="25.15" customHeight="1" x14ac:dyDescent="0.3"/>
    <row r="1363" ht="25.15" customHeight="1" x14ac:dyDescent="0.3"/>
    <row r="1364" ht="25.15" customHeight="1" x14ac:dyDescent="0.3"/>
    <row r="1365" ht="25.15" customHeight="1" x14ac:dyDescent="0.3"/>
    <row r="1366" ht="25.15" customHeight="1" x14ac:dyDescent="0.3"/>
    <row r="1367" ht="25.15" customHeight="1" x14ac:dyDescent="0.3"/>
    <row r="1368" ht="25.15" customHeight="1" x14ac:dyDescent="0.3"/>
    <row r="1369" ht="25.15" customHeight="1" x14ac:dyDescent="0.3"/>
    <row r="1370" ht="25.15" customHeight="1" x14ac:dyDescent="0.3"/>
    <row r="1371" ht="25.15" customHeight="1" x14ac:dyDescent="0.3"/>
    <row r="1372" ht="25.15" customHeight="1" x14ac:dyDescent="0.3"/>
    <row r="1373" ht="25.15" customHeight="1" x14ac:dyDescent="0.3"/>
    <row r="1374" ht="25.15" customHeight="1" x14ac:dyDescent="0.3"/>
    <row r="1375" ht="25.15" customHeight="1" x14ac:dyDescent="0.3"/>
    <row r="1376" ht="25.15" customHeight="1" x14ac:dyDescent="0.3"/>
    <row r="1377" ht="24.6" customHeight="1" x14ac:dyDescent="0.3"/>
    <row r="1378" ht="24.6" customHeight="1" x14ac:dyDescent="0.3"/>
    <row r="1379" ht="24.6" customHeight="1" x14ac:dyDescent="0.3"/>
    <row r="1380" ht="24.6" customHeight="1" x14ac:dyDescent="0.3"/>
    <row r="1381" ht="24.6" customHeight="1" x14ac:dyDescent="0.3"/>
    <row r="1382" ht="24.6" customHeight="1" x14ac:dyDescent="0.3"/>
    <row r="1383" ht="24.6" customHeight="1" x14ac:dyDescent="0.3"/>
    <row r="1384" ht="24.6" customHeight="1" x14ac:dyDescent="0.3"/>
    <row r="1385" ht="24.6" customHeight="1" x14ac:dyDescent="0.3"/>
    <row r="1386" ht="24.6" customHeight="1" x14ac:dyDescent="0.3"/>
    <row r="2169" spans="2:21" x14ac:dyDescent="0.3">
      <c r="B2169" s="391"/>
      <c r="C2169" s="391"/>
      <c r="D2169" s="391"/>
      <c r="E2169" s="391"/>
      <c r="F2169" s="391"/>
      <c r="G2169" s="391"/>
      <c r="H2169" s="391"/>
      <c r="I2169" s="391"/>
      <c r="J2169" s="391"/>
      <c r="K2169" s="391"/>
      <c r="L2169" s="391"/>
      <c r="M2169" s="391"/>
      <c r="N2169" s="391"/>
      <c r="O2169" s="391"/>
      <c r="P2169" s="391"/>
      <c r="Q2169" s="391"/>
      <c r="R2169" s="391"/>
      <c r="S2169" s="391"/>
      <c r="T2169" s="391"/>
      <c r="U2169" s="391"/>
    </row>
    <row r="2170" spans="2:21" x14ac:dyDescent="0.3">
      <c r="B2170" s="391"/>
      <c r="C2170" s="391"/>
      <c r="D2170" s="391"/>
      <c r="E2170" s="391"/>
      <c r="F2170" s="391"/>
      <c r="G2170" s="391"/>
      <c r="H2170" s="391"/>
      <c r="I2170" s="391"/>
      <c r="J2170" s="391"/>
      <c r="K2170" s="391"/>
      <c r="L2170" s="391"/>
      <c r="M2170" s="391"/>
      <c r="N2170" s="391"/>
      <c r="O2170" s="391"/>
      <c r="P2170" s="391"/>
      <c r="Q2170" s="391"/>
      <c r="R2170" s="391"/>
      <c r="S2170" s="391"/>
      <c r="T2170" s="391"/>
      <c r="U2170" s="391"/>
    </row>
    <row r="2171" spans="2:21" x14ac:dyDescent="0.3">
      <c r="B2171" s="391"/>
      <c r="C2171" s="391"/>
      <c r="D2171" s="391"/>
      <c r="E2171" s="391"/>
      <c r="F2171" s="391"/>
      <c r="G2171" s="391"/>
      <c r="H2171" s="391"/>
      <c r="I2171" s="391"/>
      <c r="J2171" s="391"/>
      <c r="K2171" s="391"/>
      <c r="L2171" s="391"/>
      <c r="M2171" s="391"/>
      <c r="N2171" s="391"/>
      <c r="O2171" s="391"/>
      <c r="P2171" s="391"/>
      <c r="Q2171" s="391"/>
      <c r="R2171" s="391"/>
      <c r="S2171" s="391"/>
      <c r="T2171" s="391"/>
      <c r="U2171" s="391"/>
    </row>
    <row r="2172" spans="2:21" x14ac:dyDescent="0.3">
      <c r="B2172" s="391"/>
      <c r="C2172" s="391"/>
      <c r="D2172" s="391"/>
      <c r="E2172" s="391"/>
      <c r="F2172" s="391"/>
      <c r="G2172" s="391"/>
      <c r="H2172" s="391"/>
      <c r="I2172" s="391"/>
      <c r="J2172" s="391"/>
      <c r="K2172" s="391"/>
      <c r="L2172" s="391"/>
      <c r="M2172" s="391"/>
      <c r="N2172" s="391"/>
      <c r="O2172" s="391"/>
      <c r="P2172" s="391"/>
      <c r="Q2172" s="391"/>
      <c r="R2172" s="391"/>
      <c r="S2172" s="391"/>
      <c r="T2172" s="391"/>
      <c r="U2172" s="391"/>
    </row>
    <row r="2173" spans="2:21" x14ac:dyDescent="0.3">
      <c r="B2173" s="391"/>
      <c r="C2173" s="391"/>
      <c r="D2173" s="391"/>
      <c r="E2173" s="391"/>
      <c r="F2173" s="391"/>
      <c r="G2173" s="391"/>
      <c r="H2173" s="391"/>
      <c r="I2173" s="391"/>
      <c r="J2173" s="391"/>
      <c r="K2173" s="391"/>
      <c r="L2173" s="391"/>
      <c r="M2173" s="391"/>
      <c r="N2173" s="391"/>
      <c r="O2173" s="391"/>
      <c r="P2173" s="391"/>
      <c r="Q2173" s="391"/>
      <c r="R2173" s="391"/>
      <c r="S2173" s="391"/>
      <c r="T2173" s="391"/>
      <c r="U2173" s="391"/>
    </row>
    <row r="2174" spans="2:21" x14ac:dyDescent="0.3">
      <c r="B2174" s="391"/>
      <c r="C2174" s="391"/>
      <c r="D2174" s="391"/>
      <c r="E2174" s="391"/>
      <c r="F2174" s="391"/>
      <c r="G2174" s="391"/>
      <c r="H2174" s="391"/>
      <c r="I2174" s="391"/>
      <c r="J2174" s="391"/>
      <c r="K2174" s="391"/>
      <c r="L2174" s="391"/>
      <c r="M2174" s="391"/>
      <c r="N2174" s="391"/>
      <c r="O2174" s="391"/>
      <c r="P2174" s="391"/>
      <c r="Q2174" s="391"/>
      <c r="R2174" s="391"/>
      <c r="S2174" s="391"/>
      <c r="T2174" s="391"/>
      <c r="U2174" s="391"/>
    </row>
    <row r="2175" spans="2:21" x14ac:dyDescent="0.3">
      <c r="B2175" s="391"/>
      <c r="C2175" s="391"/>
      <c r="D2175" s="391"/>
      <c r="E2175" s="391"/>
      <c r="F2175" s="391"/>
      <c r="G2175" s="391"/>
      <c r="H2175" s="391"/>
      <c r="I2175" s="391"/>
      <c r="J2175" s="391"/>
      <c r="K2175" s="391"/>
      <c r="L2175" s="391"/>
      <c r="M2175" s="391"/>
      <c r="N2175" s="391"/>
      <c r="O2175" s="391"/>
      <c r="P2175" s="391"/>
      <c r="Q2175" s="391"/>
      <c r="R2175" s="391"/>
      <c r="S2175" s="391"/>
      <c r="T2175" s="391"/>
      <c r="U2175" s="391"/>
    </row>
    <row r="2176" spans="2:21" x14ac:dyDescent="0.3">
      <c r="B2176" s="391"/>
      <c r="C2176" s="391"/>
      <c r="D2176" s="391"/>
      <c r="E2176" s="391"/>
      <c r="F2176" s="391"/>
      <c r="G2176" s="391"/>
      <c r="H2176" s="391"/>
      <c r="I2176" s="391"/>
      <c r="J2176" s="391"/>
      <c r="K2176" s="391"/>
      <c r="L2176" s="391"/>
      <c r="M2176" s="391"/>
      <c r="N2176" s="391"/>
      <c r="O2176" s="391"/>
      <c r="P2176" s="391"/>
      <c r="Q2176" s="391"/>
      <c r="R2176" s="391"/>
      <c r="S2176" s="391"/>
      <c r="T2176" s="391"/>
      <c r="U2176" s="391"/>
    </row>
    <row r="2177" spans="2:21" x14ac:dyDescent="0.3">
      <c r="B2177" s="391"/>
      <c r="C2177" s="391"/>
      <c r="D2177" s="391"/>
      <c r="E2177" s="391"/>
      <c r="F2177" s="391"/>
      <c r="G2177" s="391"/>
      <c r="H2177" s="391"/>
      <c r="I2177" s="391"/>
      <c r="J2177" s="391"/>
      <c r="K2177" s="391"/>
      <c r="L2177" s="391"/>
      <c r="M2177" s="391"/>
      <c r="N2177" s="391"/>
      <c r="O2177" s="391"/>
      <c r="P2177" s="391"/>
      <c r="Q2177" s="391"/>
      <c r="R2177" s="391"/>
      <c r="S2177" s="391"/>
      <c r="T2177" s="391"/>
      <c r="U2177" s="391"/>
    </row>
    <row r="2178" spans="2:21" x14ac:dyDescent="0.3">
      <c r="B2178" s="391"/>
      <c r="C2178" s="391"/>
      <c r="D2178" s="391"/>
      <c r="E2178" s="391"/>
      <c r="F2178" s="391"/>
      <c r="G2178" s="391"/>
      <c r="H2178" s="391"/>
      <c r="I2178" s="391"/>
      <c r="J2178" s="391"/>
      <c r="K2178" s="391"/>
      <c r="L2178" s="391"/>
      <c r="M2178" s="391"/>
      <c r="N2178" s="391"/>
      <c r="O2178" s="391"/>
      <c r="P2178" s="391"/>
      <c r="Q2178" s="391"/>
      <c r="R2178" s="391"/>
      <c r="S2178" s="391"/>
      <c r="T2178" s="391"/>
      <c r="U2178" s="391"/>
    </row>
    <row r="2179" spans="2:21" x14ac:dyDescent="0.3">
      <c r="B2179" s="391"/>
      <c r="C2179" s="391"/>
      <c r="D2179" s="391"/>
      <c r="E2179" s="391"/>
      <c r="F2179" s="391"/>
      <c r="G2179" s="391"/>
      <c r="H2179" s="391"/>
      <c r="I2179" s="391"/>
      <c r="J2179" s="391"/>
      <c r="K2179" s="391"/>
      <c r="L2179" s="391"/>
      <c r="M2179" s="391"/>
      <c r="N2179" s="391"/>
      <c r="O2179" s="391"/>
      <c r="P2179" s="391"/>
      <c r="Q2179" s="391"/>
      <c r="R2179" s="391"/>
      <c r="S2179" s="391"/>
      <c r="T2179" s="391"/>
      <c r="U2179" s="391"/>
    </row>
    <row r="2180" spans="2:21" x14ac:dyDescent="0.3">
      <c r="B2180" s="391"/>
      <c r="C2180" s="391"/>
      <c r="D2180" s="391"/>
      <c r="E2180" s="391"/>
      <c r="F2180" s="391"/>
      <c r="G2180" s="391"/>
      <c r="H2180" s="391"/>
      <c r="I2180" s="391"/>
      <c r="J2180" s="391"/>
      <c r="K2180" s="391"/>
      <c r="L2180" s="391"/>
      <c r="M2180" s="391"/>
      <c r="N2180" s="391"/>
      <c r="O2180" s="391"/>
      <c r="P2180" s="391"/>
      <c r="Q2180" s="391"/>
      <c r="R2180" s="391"/>
      <c r="S2180" s="391"/>
      <c r="T2180" s="391"/>
      <c r="U2180" s="391"/>
    </row>
    <row r="2181" spans="2:21" x14ac:dyDescent="0.3">
      <c r="B2181" s="391"/>
      <c r="C2181" s="391"/>
      <c r="D2181" s="391"/>
      <c r="E2181" s="391"/>
      <c r="F2181" s="391"/>
      <c r="G2181" s="391"/>
      <c r="H2181" s="391"/>
      <c r="I2181" s="391"/>
      <c r="J2181" s="391"/>
      <c r="K2181" s="391"/>
      <c r="L2181" s="391"/>
      <c r="M2181" s="391"/>
      <c r="N2181" s="391"/>
      <c r="O2181" s="391"/>
      <c r="P2181" s="391"/>
      <c r="Q2181" s="391"/>
      <c r="R2181" s="391"/>
      <c r="S2181" s="391"/>
      <c r="T2181" s="391"/>
      <c r="U2181" s="391"/>
    </row>
    <row r="2182" spans="2:21" x14ac:dyDescent="0.3">
      <c r="B2182" s="391"/>
      <c r="C2182" s="391"/>
      <c r="D2182" s="391"/>
      <c r="E2182" s="391"/>
      <c r="F2182" s="391"/>
      <c r="G2182" s="391"/>
      <c r="H2182" s="391"/>
      <c r="I2182" s="391"/>
      <c r="J2182" s="391"/>
      <c r="K2182" s="391"/>
      <c r="L2182" s="391"/>
      <c r="M2182" s="391"/>
      <c r="N2182" s="391"/>
      <c r="O2182" s="391"/>
      <c r="P2182" s="391"/>
      <c r="Q2182" s="391"/>
      <c r="R2182" s="391"/>
      <c r="S2182" s="391"/>
      <c r="T2182" s="391"/>
      <c r="U2182" s="391"/>
    </row>
    <row r="2183" spans="2:21" x14ac:dyDescent="0.3">
      <c r="B2183" s="391"/>
      <c r="C2183" s="391"/>
      <c r="D2183" s="391"/>
      <c r="E2183" s="391"/>
      <c r="F2183" s="391"/>
      <c r="G2183" s="391"/>
      <c r="H2183" s="391"/>
      <c r="I2183" s="391"/>
      <c r="J2183" s="391"/>
      <c r="K2183" s="391"/>
      <c r="L2183" s="391"/>
      <c r="M2183" s="391"/>
      <c r="N2183" s="391"/>
      <c r="O2183" s="391"/>
      <c r="P2183" s="391"/>
      <c r="Q2183" s="391"/>
      <c r="R2183" s="391"/>
      <c r="S2183" s="391"/>
      <c r="T2183" s="391"/>
      <c r="U2183" s="391"/>
    </row>
    <row r="2184" spans="2:21" x14ac:dyDescent="0.3">
      <c r="B2184" s="391"/>
      <c r="C2184" s="391"/>
      <c r="D2184" s="391"/>
      <c r="E2184" s="391"/>
      <c r="F2184" s="391"/>
      <c r="G2184" s="391"/>
      <c r="H2184" s="391"/>
      <c r="I2184" s="391"/>
      <c r="J2184" s="391"/>
      <c r="K2184" s="391"/>
      <c r="L2184" s="391"/>
      <c r="M2184" s="391"/>
      <c r="N2184" s="391"/>
      <c r="O2184" s="391"/>
      <c r="P2184" s="391"/>
      <c r="Q2184" s="391"/>
      <c r="R2184" s="391"/>
      <c r="S2184" s="391"/>
      <c r="T2184" s="391"/>
      <c r="U2184" s="391"/>
    </row>
    <row r="2185" spans="2:21" x14ac:dyDescent="0.3">
      <c r="B2185" s="391"/>
      <c r="C2185" s="391"/>
      <c r="D2185" s="391"/>
      <c r="E2185" s="391"/>
      <c r="F2185" s="391"/>
      <c r="G2185" s="391"/>
      <c r="H2185" s="391"/>
      <c r="I2185" s="391"/>
      <c r="J2185" s="391"/>
      <c r="K2185" s="391"/>
      <c r="L2185" s="391"/>
      <c r="M2185" s="391"/>
      <c r="N2185" s="391"/>
      <c r="O2185" s="391"/>
      <c r="P2185" s="391"/>
      <c r="Q2185" s="391"/>
      <c r="R2185" s="391"/>
      <c r="S2185" s="391"/>
      <c r="T2185" s="391"/>
      <c r="U2185" s="391"/>
    </row>
    <row r="2186" spans="2:21" x14ac:dyDescent="0.3">
      <c r="B2186" s="391"/>
      <c r="C2186" s="391"/>
      <c r="D2186" s="391"/>
      <c r="E2186" s="391"/>
      <c r="F2186" s="391"/>
      <c r="G2186" s="391"/>
      <c r="H2186" s="391"/>
      <c r="I2186" s="391"/>
      <c r="J2186" s="391"/>
      <c r="K2186" s="391"/>
      <c r="L2186" s="391"/>
      <c r="M2186" s="391"/>
      <c r="N2186" s="391"/>
      <c r="O2186" s="391"/>
      <c r="P2186" s="391"/>
      <c r="Q2186" s="391"/>
      <c r="R2186" s="391"/>
      <c r="S2186" s="391"/>
      <c r="T2186" s="391"/>
      <c r="U2186" s="391"/>
    </row>
    <row r="2187" spans="2:21" x14ac:dyDescent="0.3">
      <c r="B2187" s="391"/>
      <c r="C2187" s="391"/>
      <c r="D2187" s="391"/>
      <c r="E2187" s="391"/>
      <c r="F2187" s="391"/>
      <c r="G2187" s="391"/>
      <c r="H2187" s="391"/>
      <c r="I2187" s="391"/>
      <c r="J2187" s="391"/>
      <c r="K2187" s="391"/>
      <c r="L2187" s="391"/>
      <c r="M2187" s="391"/>
      <c r="N2187" s="391"/>
      <c r="O2187" s="391"/>
      <c r="P2187" s="391"/>
      <c r="Q2187" s="391"/>
      <c r="R2187" s="391"/>
      <c r="S2187" s="391"/>
      <c r="T2187" s="391"/>
      <c r="U2187" s="391"/>
    </row>
    <row r="2188" spans="2:21" x14ac:dyDescent="0.3">
      <c r="B2188" s="391"/>
      <c r="C2188" s="391"/>
      <c r="D2188" s="391"/>
      <c r="E2188" s="391"/>
      <c r="F2188" s="391"/>
      <c r="G2188" s="391"/>
      <c r="H2188" s="391"/>
      <c r="I2188" s="391"/>
      <c r="J2188" s="391"/>
      <c r="K2188" s="391"/>
      <c r="L2188" s="391"/>
      <c r="M2188" s="391"/>
      <c r="N2188" s="391"/>
      <c r="O2188" s="391"/>
      <c r="P2188" s="391"/>
      <c r="Q2188" s="391"/>
      <c r="R2188" s="391"/>
      <c r="S2188" s="391"/>
      <c r="T2188" s="391"/>
      <c r="U2188" s="391"/>
    </row>
    <row r="2189" spans="2:21" x14ac:dyDescent="0.3">
      <c r="B2189" s="391"/>
      <c r="C2189" s="391"/>
      <c r="D2189" s="391"/>
      <c r="E2189" s="391"/>
      <c r="F2189" s="391"/>
      <c r="G2189" s="391"/>
      <c r="H2189" s="391"/>
      <c r="I2189" s="391"/>
      <c r="J2189" s="391"/>
      <c r="K2189" s="391"/>
      <c r="L2189" s="391"/>
      <c r="M2189" s="391"/>
      <c r="N2189" s="391"/>
      <c r="O2189" s="391"/>
      <c r="P2189" s="391"/>
      <c r="Q2189" s="391"/>
      <c r="R2189" s="391"/>
      <c r="S2189" s="391"/>
      <c r="T2189" s="391"/>
      <c r="U2189" s="391"/>
    </row>
    <row r="2190" spans="2:21" x14ac:dyDescent="0.3">
      <c r="B2190" s="391"/>
      <c r="C2190" s="391"/>
      <c r="D2190" s="391"/>
      <c r="E2190" s="391"/>
      <c r="F2190" s="391"/>
      <c r="G2190" s="391"/>
      <c r="H2190" s="391"/>
      <c r="I2190" s="391"/>
      <c r="J2190" s="391"/>
      <c r="K2190" s="391"/>
      <c r="L2190" s="391"/>
      <c r="M2190" s="391"/>
      <c r="N2190" s="391"/>
      <c r="O2190" s="391"/>
      <c r="P2190" s="391"/>
      <c r="Q2190" s="391"/>
      <c r="R2190" s="391"/>
      <c r="S2190" s="391"/>
      <c r="T2190" s="391"/>
      <c r="U2190" s="391"/>
    </row>
    <row r="2191" spans="2:21" x14ac:dyDescent="0.3">
      <c r="B2191" s="391"/>
      <c r="C2191" s="391"/>
      <c r="D2191" s="391"/>
      <c r="E2191" s="391"/>
      <c r="F2191" s="391"/>
      <c r="G2191" s="391"/>
      <c r="H2191" s="391"/>
      <c r="I2191" s="391"/>
      <c r="J2191" s="391"/>
      <c r="K2191" s="391"/>
      <c r="L2191" s="391"/>
      <c r="M2191" s="391"/>
      <c r="N2191" s="391"/>
      <c r="O2191" s="391"/>
      <c r="P2191" s="391"/>
      <c r="Q2191" s="391"/>
      <c r="R2191" s="391"/>
      <c r="S2191" s="391"/>
      <c r="T2191" s="391"/>
      <c r="U2191" s="391"/>
    </row>
    <row r="2192" spans="2:21" x14ac:dyDescent="0.3">
      <c r="B2192" s="391"/>
      <c r="C2192" s="391"/>
      <c r="D2192" s="391"/>
      <c r="E2192" s="391"/>
      <c r="F2192" s="391"/>
      <c r="G2192" s="391"/>
      <c r="H2192" s="391"/>
      <c r="I2192" s="391"/>
      <c r="J2192" s="391"/>
      <c r="K2192" s="391"/>
      <c r="L2192" s="391"/>
      <c r="M2192" s="391"/>
      <c r="N2192" s="391"/>
      <c r="O2192" s="391"/>
      <c r="P2192" s="391"/>
      <c r="Q2192" s="391"/>
      <c r="R2192" s="391"/>
      <c r="S2192" s="391"/>
      <c r="T2192" s="391"/>
      <c r="U2192" s="391"/>
    </row>
    <row r="2193" spans="2:21" x14ac:dyDescent="0.3">
      <c r="B2193" s="391"/>
      <c r="C2193" s="391"/>
      <c r="D2193" s="391"/>
      <c r="E2193" s="391"/>
      <c r="F2193" s="391"/>
      <c r="G2193" s="391"/>
      <c r="H2193" s="391"/>
      <c r="I2193" s="391"/>
      <c r="J2193" s="391"/>
      <c r="K2193" s="391"/>
      <c r="L2193" s="391"/>
      <c r="M2193" s="391"/>
      <c r="N2193" s="391"/>
      <c r="O2193" s="391"/>
      <c r="P2193" s="391"/>
      <c r="Q2193" s="391"/>
      <c r="R2193" s="391"/>
      <c r="S2193" s="391"/>
      <c r="T2193" s="391"/>
      <c r="U2193" s="391"/>
    </row>
    <row r="2194" spans="2:21" x14ac:dyDescent="0.3">
      <c r="B2194" s="391"/>
      <c r="C2194" s="391"/>
      <c r="D2194" s="391"/>
      <c r="E2194" s="391"/>
      <c r="F2194" s="391"/>
      <c r="G2194" s="391"/>
      <c r="H2194" s="391"/>
      <c r="I2194" s="391"/>
      <c r="J2194" s="391"/>
      <c r="K2194" s="391"/>
      <c r="L2194" s="391"/>
      <c r="M2194" s="391"/>
      <c r="N2194" s="391"/>
      <c r="O2194" s="391"/>
      <c r="P2194" s="391"/>
      <c r="Q2194" s="391"/>
      <c r="R2194" s="391"/>
      <c r="S2194" s="391"/>
      <c r="T2194" s="391"/>
      <c r="U2194" s="391"/>
    </row>
    <row r="2195" spans="2:21" x14ac:dyDescent="0.3">
      <c r="B2195" s="391"/>
      <c r="C2195" s="391"/>
      <c r="D2195" s="391"/>
      <c r="E2195" s="391"/>
      <c r="F2195" s="391"/>
      <c r="G2195" s="391"/>
      <c r="H2195" s="391"/>
      <c r="I2195" s="391"/>
      <c r="J2195" s="391"/>
      <c r="K2195" s="391"/>
      <c r="L2195" s="391"/>
      <c r="M2195" s="391"/>
      <c r="N2195" s="391"/>
      <c r="O2195" s="391"/>
      <c r="P2195" s="391"/>
      <c r="Q2195" s="391"/>
      <c r="R2195" s="391"/>
      <c r="S2195" s="391"/>
      <c r="T2195" s="391"/>
      <c r="U2195" s="391"/>
    </row>
    <row r="2196" spans="2:21" x14ac:dyDescent="0.3">
      <c r="B2196" s="391"/>
      <c r="C2196" s="391"/>
      <c r="D2196" s="391"/>
      <c r="E2196" s="391"/>
      <c r="F2196" s="391"/>
      <c r="G2196" s="391"/>
      <c r="H2196" s="391"/>
      <c r="I2196" s="391"/>
      <c r="J2196" s="391"/>
      <c r="K2196" s="391"/>
      <c r="L2196" s="391"/>
      <c r="M2196" s="391"/>
      <c r="N2196" s="391"/>
      <c r="O2196" s="391"/>
      <c r="P2196" s="391"/>
      <c r="Q2196" s="391"/>
      <c r="R2196" s="391"/>
      <c r="S2196" s="391"/>
      <c r="T2196" s="391"/>
      <c r="U2196" s="391"/>
    </row>
    <row r="2197" spans="2:21" x14ac:dyDescent="0.3">
      <c r="B2197" s="391"/>
      <c r="C2197" s="391"/>
      <c r="D2197" s="391"/>
      <c r="E2197" s="391"/>
      <c r="F2197" s="391"/>
      <c r="G2197" s="391"/>
      <c r="H2197" s="391"/>
      <c r="I2197" s="391"/>
      <c r="J2197" s="391"/>
      <c r="K2197" s="391"/>
      <c r="L2197" s="391"/>
      <c r="M2197" s="391"/>
      <c r="N2197" s="391"/>
      <c r="O2197" s="391"/>
      <c r="P2197" s="391"/>
      <c r="Q2197" s="391"/>
      <c r="R2197" s="391"/>
      <c r="S2197" s="391"/>
      <c r="T2197" s="391"/>
      <c r="U2197" s="391"/>
    </row>
    <row r="2198" spans="2:21" x14ac:dyDescent="0.3">
      <c r="B2198" s="391"/>
      <c r="C2198" s="391"/>
      <c r="D2198" s="391"/>
      <c r="E2198" s="391"/>
      <c r="F2198" s="391"/>
      <c r="G2198" s="391"/>
      <c r="H2198" s="391"/>
      <c r="I2198" s="391"/>
      <c r="J2198" s="391"/>
      <c r="K2198" s="391"/>
      <c r="L2198" s="391"/>
      <c r="M2198" s="391"/>
      <c r="N2198" s="391"/>
      <c r="O2198" s="391"/>
      <c r="P2198" s="391"/>
      <c r="Q2198" s="391"/>
      <c r="R2198" s="391"/>
      <c r="S2198" s="391"/>
      <c r="T2198" s="391"/>
      <c r="U2198" s="391"/>
    </row>
    <row r="2199" spans="2:21" x14ac:dyDescent="0.3">
      <c r="B2199" s="391"/>
      <c r="C2199" s="391"/>
      <c r="D2199" s="391"/>
      <c r="E2199" s="391"/>
      <c r="F2199" s="391"/>
      <c r="G2199" s="391"/>
      <c r="H2199" s="391"/>
      <c r="I2199" s="391"/>
      <c r="J2199" s="391"/>
      <c r="K2199" s="391"/>
      <c r="L2199" s="391"/>
      <c r="M2199" s="391"/>
      <c r="N2199" s="391"/>
      <c r="O2199" s="391"/>
      <c r="P2199" s="391"/>
      <c r="Q2199" s="391"/>
      <c r="R2199" s="391"/>
      <c r="S2199" s="391"/>
      <c r="T2199" s="391"/>
      <c r="U2199" s="391"/>
    </row>
    <row r="2200" spans="2:21" x14ac:dyDescent="0.3">
      <c r="B2200" s="391"/>
      <c r="C2200" s="391"/>
      <c r="D2200" s="391"/>
      <c r="E2200" s="391"/>
      <c r="F2200" s="391"/>
      <c r="G2200" s="391"/>
      <c r="H2200" s="391"/>
      <c r="I2200" s="391"/>
      <c r="J2200" s="391"/>
      <c r="K2200" s="391"/>
      <c r="L2200" s="391"/>
      <c r="M2200" s="391"/>
      <c r="N2200" s="391"/>
      <c r="O2200" s="391"/>
      <c r="P2200" s="391"/>
      <c r="Q2200" s="391"/>
      <c r="R2200" s="391"/>
      <c r="S2200" s="391"/>
      <c r="T2200" s="391"/>
      <c r="U2200" s="391"/>
    </row>
    <row r="2201" spans="2:21" x14ac:dyDescent="0.3">
      <c r="B2201" s="391"/>
      <c r="C2201" s="391"/>
      <c r="D2201" s="391"/>
      <c r="E2201" s="391"/>
      <c r="F2201" s="391"/>
      <c r="G2201" s="391"/>
      <c r="H2201" s="391"/>
      <c r="I2201" s="391"/>
      <c r="J2201" s="391"/>
      <c r="K2201" s="391"/>
      <c r="L2201" s="391"/>
      <c r="M2201" s="391"/>
      <c r="N2201" s="391"/>
      <c r="O2201" s="391"/>
      <c r="P2201" s="391"/>
      <c r="Q2201" s="391"/>
      <c r="R2201" s="391"/>
      <c r="S2201" s="391"/>
      <c r="T2201" s="391"/>
      <c r="U2201" s="391"/>
    </row>
    <row r="2202" spans="2:21" x14ac:dyDescent="0.3">
      <c r="B2202" s="391"/>
      <c r="C2202" s="391"/>
      <c r="D2202" s="391"/>
      <c r="E2202" s="391"/>
      <c r="F2202" s="391"/>
      <c r="G2202" s="391"/>
      <c r="H2202" s="391"/>
      <c r="I2202" s="391"/>
      <c r="J2202" s="391"/>
      <c r="K2202" s="391"/>
      <c r="L2202" s="391"/>
      <c r="M2202" s="391"/>
      <c r="N2202" s="391"/>
      <c r="O2202" s="391"/>
      <c r="P2202" s="391"/>
      <c r="Q2202" s="391"/>
      <c r="R2202" s="391"/>
      <c r="S2202" s="391"/>
      <c r="T2202" s="391"/>
      <c r="U2202" s="391"/>
    </row>
    <row r="2203" spans="2:21" x14ac:dyDescent="0.3">
      <c r="B2203" s="391"/>
      <c r="C2203" s="391"/>
      <c r="D2203" s="391"/>
      <c r="E2203" s="391"/>
      <c r="F2203" s="391"/>
      <c r="G2203" s="391"/>
      <c r="H2203" s="391"/>
      <c r="I2203" s="391"/>
      <c r="J2203" s="391"/>
      <c r="K2203" s="391"/>
      <c r="L2203" s="391"/>
      <c r="M2203" s="391"/>
      <c r="N2203" s="391"/>
      <c r="O2203" s="391"/>
      <c r="P2203" s="391"/>
      <c r="Q2203" s="391"/>
      <c r="R2203" s="391"/>
      <c r="S2203" s="391"/>
      <c r="T2203" s="391"/>
      <c r="U2203" s="391"/>
    </row>
    <row r="2204" spans="2:21" x14ac:dyDescent="0.3">
      <c r="B2204" s="391"/>
      <c r="C2204" s="391"/>
      <c r="D2204" s="391"/>
      <c r="E2204" s="391"/>
      <c r="F2204" s="391"/>
      <c r="G2204" s="391"/>
      <c r="H2204" s="391"/>
      <c r="I2204" s="391"/>
      <c r="J2204" s="391"/>
      <c r="K2204" s="391"/>
      <c r="L2204" s="391"/>
      <c r="M2204" s="391"/>
      <c r="N2204" s="391"/>
      <c r="O2204" s="391"/>
      <c r="P2204" s="391"/>
      <c r="Q2204" s="391"/>
      <c r="R2204" s="391"/>
      <c r="S2204" s="391"/>
      <c r="T2204" s="391"/>
      <c r="U2204" s="391"/>
    </row>
    <row r="2205" spans="2:21" x14ac:dyDescent="0.3">
      <c r="B2205" s="391"/>
      <c r="C2205" s="391"/>
      <c r="D2205" s="391"/>
      <c r="E2205" s="391"/>
      <c r="F2205" s="391"/>
      <c r="G2205" s="391"/>
      <c r="H2205" s="391"/>
      <c r="I2205" s="391"/>
      <c r="J2205" s="391"/>
      <c r="K2205" s="391"/>
      <c r="L2205" s="391"/>
      <c r="M2205" s="391"/>
      <c r="N2205" s="391"/>
      <c r="O2205" s="391"/>
      <c r="P2205" s="391"/>
      <c r="Q2205" s="391"/>
      <c r="R2205" s="391"/>
      <c r="S2205" s="391"/>
      <c r="T2205" s="391"/>
      <c r="U2205" s="391"/>
    </row>
    <row r="2206" spans="2:21" x14ac:dyDescent="0.3">
      <c r="B2206" s="391"/>
      <c r="C2206" s="391"/>
      <c r="D2206" s="391"/>
      <c r="E2206" s="391"/>
      <c r="F2206" s="391"/>
      <c r="G2206" s="391"/>
      <c r="H2206" s="391"/>
      <c r="I2206" s="391"/>
      <c r="J2206" s="391"/>
      <c r="K2206" s="391"/>
      <c r="L2206" s="391"/>
      <c r="M2206" s="391"/>
      <c r="N2206" s="391"/>
      <c r="O2206" s="391"/>
      <c r="P2206" s="391"/>
      <c r="Q2206" s="391"/>
      <c r="R2206" s="391"/>
      <c r="S2206" s="391"/>
      <c r="T2206" s="391"/>
      <c r="U2206" s="391"/>
    </row>
    <row r="2207" spans="2:21" x14ac:dyDescent="0.3">
      <c r="B2207" s="391"/>
      <c r="C2207" s="391"/>
      <c r="D2207" s="391"/>
      <c r="E2207" s="391"/>
      <c r="F2207" s="391"/>
      <c r="G2207" s="391"/>
      <c r="H2207" s="391"/>
      <c r="I2207" s="391"/>
      <c r="J2207" s="391"/>
      <c r="K2207" s="391"/>
      <c r="L2207" s="391"/>
      <c r="M2207" s="391"/>
      <c r="N2207" s="391"/>
      <c r="O2207" s="391"/>
      <c r="P2207" s="391"/>
      <c r="Q2207" s="391"/>
      <c r="R2207" s="391"/>
      <c r="S2207" s="391"/>
      <c r="T2207" s="391"/>
      <c r="U2207" s="391"/>
    </row>
    <row r="2208" spans="2:21" x14ac:dyDescent="0.3">
      <c r="B2208" s="391"/>
      <c r="C2208" s="391"/>
      <c r="D2208" s="391"/>
      <c r="E2208" s="391"/>
      <c r="F2208" s="391"/>
      <c r="G2208" s="391"/>
      <c r="H2208" s="391"/>
      <c r="I2208" s="391"/>
      <c r="J2208" s="391"/>
      <c r="K2208" s="391"/>
      <c r="L2208" s="391"/>
      <c r="M2208" s="391"/>
      <c r="N2208" s="391"/>
      <c r="O2208" s="391"/>
      <c r="P2208" s="391"/>
      <c r="Q2208" s="391"/>
      <c r="R2208" s="391"/>
      <c r="S2208" s="391"/>
      <c r="T2208" s="391"/>
      <c r="U2208" s="391"/>
    </row>
    <row r="2209" spans="2:21" x14ac:dyDescent="0.3">
      <c r="B2209" s="391"/>
      <c r="C2209" s="391"/>
      <c r="D2209" s="391"/>
      <c r="E2209" s="391"/>
      <c r="F2209" s="391"/>
      <c r="G2209" s="391"/>
      <c r="H2209" s="391"/>
      <c r="I2209" s="391"/>
      <c r="J2209" s="391"/>
      <c r="K2209" s="391"/>
      <c r="L2209" s="391"/>
      <c r="M2209" s="391"/>
      <c r="N2209" s="391"/>
      <c r="O2209" s="391"/>
      <c r="P2209" s="391"/>
      <c r="Q2209" s="391"/>
      <c r="R2209" s="391"/>
      <c r="S2209" s="391"/>
      <c r="T2209" s="391"/>
      <c r="U2209" s="391"/>
    </row>
    <row r="2210" spans="2:21" x14ac:dyDescent="0.3">
      <c r="B2210" s="391"/>
      <c r="C2210" s="391"/>
      <c r="D2210" s="391"/>
      <c r="E2210" s="391"/>
      <c r="F2210" s="391"/>
      <c r="G2210" s="391"/>
      <c r="H2210" s="391"/>
      <c r="I2210" s="391"/>
      <c r="J2210" s="391"/>
      <c r="K2210" s="391"/>
      <c r="L2210" s="391"/>
      <c r="M2210" s="391"/>
      <c r="N2210" s="391"/>
      <c r="O2210" s="391"/>
      <c r="P2210" s="391"/>
      <c r="Q2210" s="391"/>
      <c r="R2210" s="391"/>
      <c r="S2210" s="391"/>
      <c r="T2210" s="391"/>
      <c r="U2210" s="391"/>
    </row>
    <row r="2211" spans="2:21" x14ac:dyDescent="0.3">
      <c r="B2211" s="391"/>
      <c r="C2211" s="391"/>
      <c r="D2211" s="391"/>
      <c r="E2211" s="391"/>
      <c r="F2211" s="391"/>
      <c r="G2211" s="391"/>
      <c r="H2211" s="391"/>
      <c r="I2211" s="391"/>
      <c r="J2211" s="391"/>
      <c r="K2211" s="391"/>
      <c r="L2211" s="391"/>
      <c r="M2211" s="391"/>
      <c r="N2211" s="391"/>
      <c r="O2211" s="391"/>
      <c r="P2211" s="391"/>
      <c r="Q2211" s="391"/>
      <c r="R2211" s="391"/>
      <c r="S2211" s="391"/>
      <c r="T2211" s="391"/>
      <c r="U2211" s="391"/>
    </row>
    <row r="2212" spans="2:21" x14ac:dyDescent="0.3">
      <c r="B2212" s="391"/>
      <c r="C2212" s="391"/>
      <c r="D2212" s="391"/>
      <c r="E2212" s="391"/>
      <c r="F2212" s="391"/>
      <c r="G2212" s="391"/>
      <c r="H2212" s="391"/>
      <c r="I2212" s="391"/>
      <c r="J2212" s="391"/>
      <c r="K2212" s="391"/>
      <c r="L2212" s="391"/>
      <c r="M2212" s="391"/>
      <c r="N2212" s="391"/>
      <c r="O2212" s="391"/>
      <c r="P2212" s="391"/>
      <c r="Q2212" s="391"/>
      <c r="R2212" s="391"/>
      <c r="S2212" s="391"/>
      <c r="T2212" s="391"/>
      <c r="U2212" s="391"/>
    </row>
    <row r="2213" spans="2:21" x14ac:dyDescent="0.3">
      <c r="B2213" s="391"/>
      <c r="C2213" s="391"/>
      <c r="D2213" s="391"/>
      <c r="E2213" s="391"/>
      <c r="F2213" s="391"/>
      <c r="G2213" s="391"/>
      <c r="H2213" s="391"/>
      <c r="I2213" s="391"/>
      <c r="J2213" s="391"/>
      <c r="K2213" s="391"/>
      <c r="L2213" s="391"/>
      <c r="M2213" s="391"/>
      <c r="N2213" s="391"/>
      <c r="O2213" s="391"/>
      <c r="P2213" s="391"/>
      <c r="Q2213" s="391"/>
      <c r="R2213" s="391"/>
      <c r="S2213" s="391"/>
      <c r="T2213" s="391"/>
      <c r="U2213" s="391"/>
    </row>
    <row r="2214" spans="2:21" x14ac:dyDescent="0.3">
      <c r="B2214" s="391"/>
      <c r="C2214" s="391"/>
      <c r="D2214" s="391"/>
      <c r="E2214" s="391"/>
      <c r="F2214" s="391"/>
      <c r="G2214" s="391"/>
      <c r="H2214" s="391"/>
      <c r="I2214" s="391"/>
      <c r="J2214" s="391"/>
      <c r="K2214" s="391"/>
      <c r="L2214" s="391"/>
      <c r="M2214" s="391"/>
      <c r="N2214" s="391"/>
      <c r="O2214" s="391"/>
      <c r="P2214" s="391"/>
      <c r="Q2214" s="391"/>
      <c r="R2214" s="391"/>
      <c r="S2214" s="391"/>
      <c r="T2214" s="391"/>
      <c r="U2214" s="391"/>
    </row>
    <row r="2215" spans="2:21" x14ac:dyDescent="0.3">
      <c r="B2215" s="391"/>
      <c r="C2215" s="391"/>
      <c r="D2215" s="391"/>
      <c r="E2215" s="391"/>
      <c r="F2215" s="391"/>
      <c r="G2215" s="391"/>
      <c r="H2215" s="391"/>
      <c r="I2215" s="391"/>
      <c r="J2215" s="391"/>
      <c r="K2215" s="391"/>
      <c r="L2215" s="391"/>
      <c r="M2215" s="391"/>
      <c r="N2215" s="391"/>
      <c r="O2215" s="391"/>
      <c r="P2215" s="391"/>
      <c r="Q2215" s="391"/>
      <c r="R2215" s="391"/>
      <c r="S2215" s="391"/>
      <c r="T2215" s="391"/>
      <c r="U2215" s="391"/>
    </row>
    <row r="2216" spans="2:21" x14ac:dyDescent="0.3">
      <c r="B2216" s="391"/>
      <c r="C2216" s="391"/>
      <c r="D2216" s="391"/>
      <c r="E2216" s="391"/>
      <c r="F2216" s="391"/>
      <c r="G2216" s="391"/>
      <c r="H2216" s="391"/>
      <c r="I2216" s="391"/>
      <c r="J2216" s="391"/>
      <c r="K2216" s="391"/>
      <c r="L2216" s="391"/>
      <c r="M2216" s="391"/>
      <c r="N2216" s="391"/>
      <c r="O2216" s="391"/>
      <c r="P2216" s="391"/>
      <c r="Q2216" s="391"/>
      <c r="R2216" s="391"/>
      <c r="S2216" s="391"/>
      <c r="T2216" s="391"/>
      <c r="U2216" s="391"/>
    </row>
    <row r="2217" spans="2:21" x14ac:dyDescent="0.3">
      <c r="B2217" s="391"/>
      <c r="C2217" s="391"/>
      <c r="D2217" s="391"/>
      <c r="E2217" s="391"/>
      <c r="F2217" s="391"/>
      <c r="G2217" s="391"/>
      <c r="H2217" s="391"/>
      <c r="I2217" s="391"/>
      <c r="J2217" s="391"/>
      <c r="K2217" s="391"/>
      <c r="L2217" s="391"/>
      <c r="M2217" s="391"/>
      <c r="N2217" s="391"/>
      <c r="O2217" s="391"/>
      <c r="P2217" s="391"/>
      <c r="Q2217" s="391"/>
      <c r="R2217" s="391"/>
      <c r="S2217" s="391"/>
      <c r="T2217" s="391"/>
      <c r="U2217" s="391"/>
    </row>
    <row r="2218" spans="2:21" x14ac:dyDescent="0.3">
      <c r="B2218" s="391"/>
      <c r="C2218" s="391"/>
      <c r="D2218" s="391"/>
      <c r="E2218" s="391"/>
      <c r="F2218" s="391"/>
      <c r="G2218" s="391"/>
      <c r="H2218" s="391"/>
      <c r="I2218" s="391"/>
      <c r="J2218" s="391"/>
      <c r="K2218" s="391"/>
      <c r="L2218" s="391"/>
      <c r="M2218" s="391"/>
      <c r="N2218" s="391"/>
      <c r="O2218" s="391"/>
      <c r="P2218" s="391"/>
      <c r="Q2218" s="391"/>
      <c r="R2218" s="391"/>
      <c r="S2218" s="391"/>
      <c r="T2218" s="391"/>
      <c r="U2218" s="391"/>
    </row>
    <row r="2219" spans="2:21" x14ac:dyDescent="0.3">
      <c r="B2219" s="391"/>
      <c r="C2219" s="391"/>
      <c r="D2219" s="391"/>
      <c r="E2219" s="391"/>
      <c r="F2219" s="391"/>
      <c r="G2219" s="391"/>
      <c r="H2219" s="391"/>
      <c r="I2219" s="391"/>
      <c r="J2219" s="391"/>
      <c r="K2219" s="391"/>
      <c r="L2219" s="391"/>
      <c r="M2219" s="391"/>
      <c r="N2219" s="391"/>
      <c r="O2219" s="391"/>
      <c r="P2219" s="391"/>
      <c r="Q2219" s="391"/>
      <c r="R2219" s="391"/>
      <c r="S2219" s="391"/>
      <c r="T2219" s="391"/>
      <c r="U2219" s="391"/>
    </row>
    <row r="2220" spans="2:21" x14ac:dyDescent="0.3">
      <c r="B2220" s="391"/>
      <c r="C2220" s="391"/>
      <c r="D2220" s="391"/>
      <c r="E2220" s="391"/>
      <c r="F2220" s="391"/>
      <c r="G2220" s="391"/>
      <c r="H2220" s="391"/>
      <c r="I2220" s="391"/>
      <c r="J2220" s="391"/>
      <c r="K2220" s="391"/>
      <c r="L2220" s="391"/>
      <c r="M2220" s="391"/>
      <c r="N2220" s="391"/>
      <c r="O2220" s="391"/>
      <c r="P2220" s="391"/>
      <c r="Q2220" s="391"/>
      <c r="R2220" s="391"/>
      <c r="S2220" s="391"/>
      <c r="T2220" s="391"/>
      <c r="U2220" s="391"/>
    </row>
    <row r="2221" spans="2:21" x14ac:dyDescent="0.3">
      <c r="B2221" s="391"/>
      <c r="C2221" s="391"/>
      <c r="D2221" s="391"/>
      <c r="E2221" s="391"/>
      <c r="F2221" s="391"/>
      <c r="G2221" s="391"/>
      <c r="H2221" s="391"/>
      <c r="I2221" s="391"/>
      <c r="J2221" s="391"/>
      <c r="K2221" s="391"/>
      <c r="L2221" s="391"/>
      <c r="M2221" s="391"/>
      <c r="N2221" s="391"/>
      <c r="O2221" s="391"/>
      <c r="P2221" s="391"/>
      <c r="Q2221" s="391"/>
      <c r="R2221" s="391"/>
      <c r="S2221" s="391"/>
      <c r="T2221" s="391"/>
      <c r="U2221" s="391"/>
    </row>
    <row r="2222" spans="2:21" x14ac:dyDescent="0.3">
      <c r="B2222" s="391"/>
      <c r="C2222" s="391"/>
      <c r="D2222" s="391"/>
      <c r="E2222" s="391"/>
      <c r="F2222" s="391"/>
      <c r="G2222" s="391"/>
      <c r="H2222" s="391"/>
      <c r="I2222" s="391"/>
      <c r="J2222" s="391"/>
      <c r="K2222" s="391"/>
      <c r="L2222" s="391"/>
      <c r="M2222" s="391"/>
      <c r="N2222" s="391"/>
      <c r="O2222" s="391"/>
      <c r="P2222" s="391"/>
      <c r="Q2222" s="391"/>
      <c r="R2222" s="391"/>
      <c r="S2222" s="391"/>
      <c r="T2222" s="391"/>
      <c r="U2222" s="391"/>
    </row>
    <row r="2223" spans="2:21" x14ac:dyDescent="0.3">
      <c r="B2223" s="391"/>
      <c r="C2223" s="391"/>
      <c r="D2223" s="391"/>
      <c r="E2223" s="391"/>
      <c r="F2223" s="391"/>
      <c r="G2223" s="391"/>
      <c r="H2223" s="391"/>
      <c r="I2223" s="391"/>
      <c r="J2223" s="391"/>
      <c r="K2223" s="391"/>
      <c r="L2223" s="391"/>
      <c r="M2223" s="391"/>
      <c r="N2223" s="391"/>
      <c r="O2223" s="391"/>
      <c r="P2223" s="391"/>
      <c r="Q2223" s="391"/>
      <c r="R2223" s="391"/>
      <c r="S2223" s="391"/>
      <c r="T2223" s="391"/>
      <c r="U2223" s="391"/>
    </row>
    <row r="2224" spans="2:21" x14ac:dyDescent="0.3">
      <c r="B2224" s="391"/>
      <c r="C2224" s="391"/>
      <c r="D2224" s="391"/>
      <c r="E2224" s="391"/>
      <c r="F2224" s="391"/>
      <c r="G2224" s="391"/>
      <c r="H2224" s="391"/>
      <c r="I2224" s="391"/>
      <c r="J2224" s="391"/>
      <c r="K2224" s="391"/>
      <c r="L2224" s="391"/>
      <c r="M2224" s="391"/>
      <c r="N2224" s="391"/>
      <c r="O2224" s="391"/>
      <c r="P2224" s="391"/>
      <c r="Q2224" s="391"/>
      <c r="R2224" s="391"/>
      <c r="S2224" s="391"/>
      <c r="T2224" s="391"/>
      <c r="U2224" s="391"/>
    </row>
    <row r="2225" spans="2:21" x14ac:dyDescent="0.3">
      <c r="B2225" s="391"/>
      <c r="C2225" s="391"/>
      <c r="D2225" s="391"/>
      <c r="E2225" s="391"/>
      <c r="F2225" s="391"/>
      <c r="G2225" s="391"/>
      <c r="H2225" s="391"/>
      <c r="I2225" s="391"/>
      <c r="J2225" s="391"/>
      <c r="K2225" s="391"/>
      <c r="L2225" s="391"/>
      <c r="M2225" s="391"/>
      <c r="N2225" s="391"/>
      <c r="O2225" s="391"/>
      <c r="P2225" s="391"/>
      <c r="Q2225" s="391"/>
      <c r="R2225" s="391"/>
      <c r="S2225" s="391"/>
      <c r="T2225" s="391"/>
      <c r="U2225" s="391"/>
    </row>
    <row r="2226" spans="2:21" x14ac:dyDescent="0.3">
      <c r="B2226" s="391"/>
      <c r="C2226" s="391"/>
      <c r="D2226" s="391"/>
      <c r="E2226" s="391"/>
      <c r="F2226" s="391"/>
      <c r="G2226" s="391"/>
      <c r="H2226" s="391"/>
      <c r="I2226" s="391"/>
      <c r="J2226" s="391"/>
      <c r="K2226" s="391"/>
      <c r="L2226" s="391"/>
      <c r="M2226" s="391"/>
      <c r="N2226" s="391"/>
      <c r="O2226" s="391"/>
      <c r="P2226" s="391"/>
      <c r="Q2226" s="391"/>
      <c r="R2226" s="391"/>
      <c r="S2226" s="391"/>
      <c r="T2226" s="391"/>
      <c r="U2226" s="391"/>
    </row>
    <row r="2227" spans="2:21" x14ac:dyDescent="0.3">
      <c r="B2227" s="391"/>
      <c r="C2227" s="391"/>
      <c r="D2227" s="391"/>
      <c r="E2227" s="391"/>
      <c r="F2227" s="391"/>
      <c r="G2227" s="391"/>
      <c r="H2227" s="391"/>
      <c r="I2227" s="391"/>
      <c r="J2227" s="391"/>
      <c r="K2227" s="391"/>
      <c r="L2227" s="391"/>
      <c r="M2227" s="391"/>
      <c r="N2227" s="391"/>
      <c r="O2227" s="391"/>
      <c r="P2227" s="391"/>
      <c r="Q2227" s="391"/>
      <c r="R2227" s="391"/>
      <c r="S2227" s="391"/>
      <c r="T2227" s="391"/>
      <c r="U2227" s="391"/>
    </row>
    <row r="2228" spans="2:21" x14ac:dyDescent="0.3">
      <c r="B2228" s="391"/>
      <c r="C2228" s="391"/>
      <c r="D2228" s="391"/>
      <c r="E2228" s="391"/>
      <c r="F2228" s="391"/>
      <c r="G2228" s="391"/>
      <c r="H2228" s="391"/>
      <c r="I2228" s="391"/>
      <c r="J2228" s="391"/>
      <c r="K2228" s="391"/>
      <c r="L2228" s="391"/>
      <c r="M2228" s="391"/>
      <c r="N2228" s="391"/>
      <c r="O2228" s="391"/>
      <c r="P2228" s="391"/>
      <c r="Q2228" s="391"/>
      <c r="R2228" s="391"/>
      <c r="S2228" s="391"/>
      <c r="T2228" s="391"/>
      <c r="U2228" s="391"/>
    </row>
    <row r="2229" spans="2:21" x14ac:dyDescent="0.3">
      <c r="B2229" s="391"/>
      <c r="C2229" s="391"/>
      <c r="D2229" s="391"/>
      <c r="E2229" s="391"/>
      <c r="F2229" s="391"/>
      <c r="G2229" s="391"/>
      <c r="H2229" s="391"/>
      <c r="I2229" s="391"/>
      <c r="J2229" s="391"/>
      <c r="K2229" s="391"/>
      <c r="L2229" s="391"/>
      <c r="M2229" s="391"/>
      <c r="N2229" s="391"/>
      <c r="O2229" s="391"/>
      <c r="P2229" s="391"/>
      <c r="Q2229" s="391"/>
      <c r="R2229" s="391"/>
      <c r="S2229" s="391"/>
      <c r="T2229" s="391"/>
      <c r="U2229" s="391"/>
    </row>
    <row r="2230" spans="2:21" x14ac:dyDescent="0.3">
      <c r="B2230" s="391"/>
      <c r="C2230" s="391"/>
      <c r="D2230" s="391"/>
      <c r="E2230" s="391"/>
      <c r="F2230" s="391"/>
      <c r="G2230" s="391"/>
      <c r="H2230" s="391"/>
      <c r="I2230" s="391"/>
      <c r="J2230" s="391"/>
      <c r="K2230" s="391"/>
      <c r="L2230" s="391"/>
      <c r="M2230" s="391"/>
      <c r="N2230" s="391"/>
      <c r="O2230" s="391"/>
      <c r="P2230" s="391"/>
      <c r="Q2230" s="391"/>
      <c r="R2230" s="391"/>
      <c r="S2230" s="391"/>
      <c r="T2230" s="391"/>
      <c r="U2230" s="391"/>
    </row>
    <row r="2231" spans="2:21" x14ac:dyDescent="0.3">
      <c r="B2231" s="391"/>
      <c r="C2231" s="391"/>
      <c r="D2231" s="391"/>
      <c r="E2231" s="391"/>
      <c r="F2231" s="391"/>
      <c r="G2231" s="391"/>
      <c r="H2231" s="391"/>
      <c r="I2231" s="391"/>
      <c r="J2231" s="391"/>
      <c r="K2231" s="391"/>
      <c r="L2231" s="391"/>
      <c r="M2231" s="391"/>
      <c r="N2231" s="391"/>
      <c r="O2231" s="391"/>
      <c r="P2231" s="391"/>
      <c r="Q2231" s="391"/>
      <c r="R2231" s="391"/>
      <c r="S2231" s="391"/>
      <c r="T2231" s="391"/>
      <c r="U2231" s="391"/>
    </row>
    <row r="2232" spans="2:21" x14ac:dyDescent="0.3">
      <c r="B2232" s="391"/>
      <c r="C2232" s="391"/>
      <c r="D2232" s="391"/>
      <c r="E2232" s="391"/>
      <c r="F2232" s="391"/>
      <c r="G2232" s="391"/>
      <c r="H2232" s="391"/>
      <c r="I2232" s="391"/>
      <c r="J2232" s="391"/>
      <c r="K2232" s="391"/>
      <c r="L2232" s="391"/>
      <c r="M2232" s="391"/>
      <c r="N2232" s="391"/>
      <c r="O2232" s="391"/>
      <c r="P2232" s="391"/>
      <c r="Q2232" s="391"/>
      <c r="R2232" s="391"/>
      <c r="S2232" s="391"/>
      <c r="T2232" s="391"/>
      <c r="U2232" s="391"/>
    </row>
    <row r="2233" spans="2:21" x14ac:dyDescent="0.3">
      <c r="B2233" s="391"/>
      <c r="C2233" s="391"/>
      <c r="D2233" s="391"/>
      <c r="E2233" s="391"/>
      <c r="F2233" s="391"/>
      <c r="G2233" s="391"/>
      <c r="H2233" s="391"/>
      <c r="I2233" s="391"/>
      <c r="J2233" s="391"/>
      <c r="K2233" s="391"/>
      <c r="L2233" s="391"/>
      <c r="M2233" s="391"/>
      <c r="N2233" s="391"/>
      <c r="O2233" s="391"/>
      <c r="P2233" s="391"/>
      <c r="Q2233" s="391"/>
      <c r="R2233" s="391"/>
      <c r="S2233" s="391"/>
      <c r="T2233" s="391"/>
      <c r="U2233" s="391"/>
    </row>
    <row r="2234" spans="2:21" x14ac:dyDescent="0.3">
      <c r="B2234" s="391"/>
      <c r="C2234" s="391"/>
      <c r="D2234" s="391"/>
      <c r="E2234" s="391"/>
      <c r="F2234" s="391"/>
      <c r="G2234" s="391"/>
      <c r="H2234" s="391"/>
      <c r="I2234" s="391"/>
      <c r="J2234" s="391"/>
      <c r="K2234" s="391"/>
      <c r="L2234" s="391"/>
      <c r="M2234" s="391"/>
      <c r="N2234" s="391"/>
      <c r="O2234" s="391"/>
      <c r="P2234" s="391"/>
      <c r="Q2234" s="391"/>
      <c r="R2234" s="391"/>
      <c r="S2234" s="391"/>
      <c r="T2234" s="391"/>
      <c r="U2234" s="391"/>
    </row>
    <row r="2235" spans="2:21" x14ac:dyDescent="0.3">
      <c r="B2235" s="391"/>
      <c r="C2235" s="391"/>
      <c r="D2235" s="391"/>
      <c r="E2235" s="391"/>
      <c r="F2235" s="391"/>
      <c r="G2235" s="391"/>
      <c r="H2235" s="391"/>
      <c r="I2235" s="391"/>
      <c r="J2235" s="391"/>
      <c r="K2235" s="391"/>
      <c r="L2235" s="391"/>
      <c r="M2235" s="391"/>
      <c r="N2235" s="391"/>
      <c r="O2235" s="391"/>
      <c r="P2235" s="391"/>
      <c r="Q2235" s="391"/>
      <c r="R2235" s="391"/>
      <c r="S2235" s="391"/>
      <c r="T2235" s="391"/>
      <c r="U2235" s="391"/>
    </row>
    <row r="2236" spans="2:21" x14ac:dyDescent="0.3">
      <c r="B2236" s="391"/>
      <c r="C2236" s="391"/>
      <c r="D2236" s="391"/>
      <c r="E2236" s="391"/>
      <c r="F2236" s="391"/>
      <c r="G2236" s="391"/>
      <c r="H2236" s="391"/>
      <c r="I2236" s="391"/>
      <c r="J2236" s="391"/>
      <c r="K2236" s="391"/>
      <c r="L2236" s="391"/>
      <c r="M2236" s="391"/>
      <c r="N2236" s="391"/>
      <c r="O2236" s="391"/>
      <c r="P2236" s="391"/>
      <c r="Q2236" s="391"/>
      <c r="R2236" s="391"/>
      <c r="S2236" s="391"/>
      <c r="T2236" s="391"/>
      <c r="U2236" s="391"/>
    </row>
    <row r="2237" spans="2:21" x14ac:dyDescent="0.3">
      <c r="B2237" s="391"/>
      <c r="C2237" s="391"/>
      <c r="D2237" s="391"/>
      <c r="E2237" s="391"/>
      <c r="F2237" s="391"/>
      <c r="G2237" s="391"/>
      <c r="H2237" s="391"/>
      <c r="I2237" s="391"/>
      <c r="J2237" s="391"/>
      <c r="K2237" s="391"/>
      <c r="L2237" s="391"/>
      <c r="M2237" s="391"/>
      <c r="N2237" s="391"/>
      <c r="O2237" s="391"/>
      <c r="P2237" s="391"/>
      <c r="Q2237" s="391"/>
      <c r="R2237" s="391"/>
      <c r="S2237" s="391"/>
      <c r="T2237" s="391"/>
      <c r="U2237" s="391"/>
    </row>
    <row r="2238" spans="2:21" x14ac:dyDescent="0.3">
      <c r="B2238" s="391"/>
      <c r="C2238" s="391"/>
      <c r="D2238" s="391"/>
      <c r="E2238" s="391"/>
      <c r="F2238" s="391"/>
      <c r="G2238" s="391"/>
      <c r="H2238" s="391"/>
      <c r="I2238" s="391"/>
      <c r="J2238" s="391"/>
      <c r="K2238" s="391"/>
      <c r="L2238" s="391"/>
      <c r="M2238" s="391"/>
      <c r="N2238" s="391"/>
      <c r="O2238" s="391"/>
      <c r="P2238" s="391"/>
      <c r="Q2238" s="391"/>
      <c r="R2238" s="391"/>
      <c r="S2238" s="391"/>
      <c r="T2238" s="391"/>
      <c r="U2238" s="391"/>
    </row>
    <row r="2239" spans="2:21" x14ac:dyDescent="0.3">
      <c r="B2239" s="391"/>
      <c r="C2239" s="391"/>
      <c r="D2239" s="391"/>
      <c r="E2239" s="391"/>
      <c r="F2239" s="391"/>
      <c r="G2239" s="391"/>
      <c r="H2239" s="391"/>
      <c r="I2239" s="391"/>
      <c r="J2239" s="391"/>
      <c r="K2239" s="391"/>
      <c r="L2239" s="391"/>
      <c r="M2239" s="391"/>
      <c r="N2239" s="391"/>
      <c r="O2239" s="391"/>
      <c r="P2239" s="391"/>
      <c r="Q2239" s="391"/>
      <c r="R2239" s="391"/>
      <c r="S2239" s="391"/>
      <c r="T2239" s="391"/>
      <c r="U2239" s="391"/>
    </row>
    <row r="2240" spans="2:21" x14ac:dyDescent="0.3">
      <c r="B2240" s="391"/>
      <c r="C2240" s="391"/>
      <c r="D2240" s="391"/>
      <c r="E2240" s="391"/>
      <c r="F2240" s="391"/>
      <c r="G2240" s="391"/>
      <c r="H2240" s="391"/>
      <c r="I2240" s="391"/>
      <c r="J2240" s="391"/>
      <c r="K2240" s="391"/>
      <c r="L2240" s="391"/>
      <c r="M2240" s="391"/>
      <c r="N2240" s="391"/>
      <c r="O2240" s="391"/>
      <c r="P2240" s="391"/>
      <c r="Q2240" s="391"/>
      <c r="R2240" s="391"/>
      <c r="S2240" s="391"/>
      <c r="T2240" s="391"/>
      <c r="U2240" s="391"/>
    </row>
    <row r="2241" spans="2:21" x14ac:dyDescent="0.3">
      <c r="B2241" s="391"/>
      <c r="C2241" s="391"/>
      <c r="D2241" s="391"/>
      <c r="E2241" s="391"/>
      <c r="F2241" s="391"/>
      <c r="G2241" s="391"/>
      <c r="H2241" s="391"/>
      <c r="I2241" s="391"/>
      <c r="J2241" s="391"/>
      <c r="K2241" s="391"/>
      <c r="L2241" s="391"/>
      <c r="M2241" s="391"/>
      <c r="N2241" s="391"/>
      <c r="O2241" s="391"/>
      <c r="P2241" s="391"/>
      <c r="Q2241" s="391"/>
      <c r="R2241" s="391"/>
      <c r="S2241" s="391"/>
      <c r="T2241" s="391"/>
      <c r="U2241" s="391"/>
    </row>
    <row r="2242" spans="2:21" x14ac:dyDescent="0.3">
      <c r="B2242" s="391"/>
      <c r="C2242" s="391"/>
      <c r="D2242" s="391"/>
      <c r="E2242" s="391"/>
      <c r="F2242" s="391"/>
      <c r="G2242" s="391"/>
      <c r="H2242" s="391"/>
      <c r="I2242" s="391"/>
      <c r="J2242" s="391"/>
      <c r="K2242" s="391"/>
      <c r="L2242" s="391"/>
      <c r="M2242" s="391"/>
      <c r="N2242" s="391"/>
      <c r="O2242" s="391"/>
      <c r="P2242" s="391"/>
      <c r="Q2242" s="391"/>
      <c r="R2242" s="391"/>
      <c r="S2242" s="391"/>
      <c r="T2242" s="391"/>
      <c r="U2242" s="391"/>
    </row>
    <row r="2243" spans="2:21" x14ac:dyDescent="0.3">
      <c r="B2243" s="391"/>
      <c r="C2243" s="391"/>
      <c r="D2243" s="391"/>
      <c r="E2243" s="391"/>
      <c r="F2243" s="391"/>
      <c r="G2243" s="391"/>
      <c r="H2243" s="391"/>
      <c r="I2243" s="391"/>
      <c r="J2243" s="391"/>
      <c r="K2243" s="391"/>
      <c r="L2243" s="391"/>
      <c r="M2243" s="391"/>
      <c r="N2243" s="391"/>
      <c r="O2243" s="391"/>
      <c r="P2243" s="391"/>
      <c r="Q2243" s="391"/>
      <c r="R2243" s="391"/>
      <c r="S2243" s="391"/>
      <c r="T2243" s="391"/>
      <c r="U2243" s="391"/>
    </row>
    <row r="2244" spans="2:21" x14ac:dyDescent="0.3">
      <c r="B2244" s="391"/>
      <c r="C2244" s="391"/>
      <c r="D2244" s="391"/>
      <c r="E2244" s="391"/>
      <c r="F2244" s="391"/>
      <c r="G2244" s="391"/>
      <c r="H2244" s="391"/>
      <c r="I2244" s="391"/>
      <c r="J2244" s="391"/>
      <c r="K2244" s="391"/>
      <c r="L2244" s="391"/>
      <c r="M2244" s="391"/>
      <c r="N2244" s="391"/>
      <c r="O2244" s="391"/>
      <c r="P2244" s="391"/>
      <c r="Q2244" s="391"/>
      <c r="R2244" s="391"/>
      <c r="S2244" s="391"/>
      <c r="T2244" s="391"/>
      <c r="U2244" s="391"/>
    </row>
    <row r="2245" spans="2:21" x14ac:dyDescent="0.3">
      <c r="B2245" s="391"/>
      <c r="C2245" s="391"/>
      <c r="D2245" s="391"/>
      <c r="E2245" s="391"/>
      <c r="F2245" s="391"/>
      <c r="G2245" s="391"/>
      <c r="H2245" s="391"/>
      <c r="I2245" s="391"/>
      <c r="J2245" s="391"/>
      <c r="K2245" s="391"/>
      <c r="L2245" s="391"/>
      <c r="M2245" s="391"/>
      <c r="N2245" s="391"/>
      <c r="O2245" s="391"/>
      <c r="P2245" s="391"/>
      <c r="Q2245" s="391"/>
      <c r="R2245" s="391"/>
      <c r="S2245" s="391"/>
      <c r="T2245" s="391"/>
      <c r="U2245" s="391"/>
    </row>
    <row r="2246" spans="2:21" x14ac:dyDescent="0.3">
      <c r="B2246" s="391"/>
      <c r="C2246" s="391"/>
      <c r="D2246" s="391"/>
      <c r="E2246" s="391"/>
      <c r="F2246" s="391"/>
      <c r="G2246" s="391"/>
      <c r="H2246" s="391"/>
      <c r="I2246" s="391"/>
      <c r="J2246" s="391"/>
      <c r="K2246" s="391"/>
      <c r="L2246" s="391"/>
      <c r="M2246" s="391"/>
      <c r="N2246" s="391"/>
      <c r="O2246" s="391"/>
      <c r="P2246" s="391"/>
      <c r="Q2246" s="391"/>
      <c r="R2246" s="391"/>
      <c r="S2246" s="391"/>
      <c r="T2246" s="391"/>
      <c r="U2246" s="391"/>
    </row>
    <row r="2247" spans="2:21" x14ac:dyDescent="0.3">
      <c r="B2247" s="391"/>
      <c r="C2247" s="391"/>
      <c r="D2247" s="391"/>
      <c r="E2247" s="391"/>
      <c r="F2247" s="391"/>
      <c r="G2247" s="391"/>
      <c r="H2247" s="391"/>
      <c r="I2247" s="391"/>
      <c r="J2247" s="391"/>
      <c r="K2247" s="391"/>
      <c r="L2247" s="391"/>
      <c r="M2247" s="391"/>
      <c r="N2247" s="391"/>
      <c r="O2247" s="391"/>
      <c r="P2247" s="391"/>
      <c r="Q2247" s="391"/>
      <c r="R2247" s="391"/>
      <c r="S2247" s="391"/>
      <c r="T2247" s="391"/>
      <c r="U2247" s="391"/>
    </row>
    <row r="2248" spans="2:21" x14ac:dyDescent="0.3">
      <c r="B2248" s="391"/>
      <c r="C2248" s="391"/>
      <c r="D2248" s="391"/>
      <c r="E2248" s="391"/>
      <c r="F2248" s="391"/>
      <c r="G2248" s="391"/>
      <c r="H2248" s="391"/>
      <c r="I2248" s="391"/>
      <c r="J2248" s="391"/>
      <c r="K2248" s="391"/>
      <c r="L2248" s="391"/>
      <c r="M2248" s="391"/>
      <c r="N2248" s="391"/>
      <c r="O2248" s="391"/>
      <c r="P2248" s="391"/>
      <c r="Q2248" s="391"/>
      <c r="R2248" s="391"/>
      <c r="S2248" s="391"/>
      <c r="T2248" s="391"/>
      <c r="U2248" s="391"/>
    </row>
    <row r="2249" spans="2:21" x14ac:dyDescent="0.3">
      <c r="B2249" s="391"/>
      <c r="C2249" s="391"/>
      <c r="D2249" s="391"/>
      <c r="E2249" s="391"/>
      <c r="F2249" s="391"/>
      <c r="G2249" s="391"/>
      <c r="H2249" s="391"/>
      <c r="I2249" s="391"/>
      <c r="J2249" s="391"/>
      <c r="K2249" s="391"/>
      <c r="L2249" s="391"/>
      <c r="M2249" s="391"/>
      <c r="N2249" s="391"/>
      <c r="O2249" s="391"/>
      <c r="P2249" s="391"/>
      <c r="Q2249" s="391"/>
      <c r="R2249" s="391"/>
      <c r="S2249" s="391"/>
      <c r="T2249" s="391"/>
      <c r="U2249" s="391"/>
    </row>
    <row r="2250" spans="2:21" x14ac:dyDescent="0.3">
      <c r="B2250" s="391"/>
      <c r="C2250" s="391"/>
      <c r="D2250" s="391"/>
      <c r="E2250" s="391"/>
      <c r="F2250" s="391"/>
      <c r="G2250" s="391"/>
      <c r="H2250" s="391"/>
      <c r="I2250" s="391"/>
      <c r="J2250" s="391"/>
      <c r="K2250" s="391"/>
      <c r="L2250" s="391"/>
      <c r="M2250" s="391"/>
      <c r="N2250" s="391"/>
      <c r="O2250" s="391"/>
      <c r="P2250" s="391"/>
      <c r="Q2250" s="391"/>
      <c r="R2250" s="391"/>
      <c r="S2250" s="391"/>
      <c r="T2250" s="391"/>
      <c r="U2250" s="391"/>
    </row>
    <row r="2251" spans="2:21" x14ac:dyDescent="0.3">
      <c r="B2251" s="391"/>
      <c r="C2251" s="391"/>
      <c r="D2251" s="391"/>
      <c r="E2251" s="391"/>
      <c r="F2251" s="391"/>
      <c r="G2251" s="391"/>
      <c r="H2251" s="391"/>
      <c r="I2251" s="391"/>
      <c r="J2251" s="391"/>
      <c r="K2251" s="391"/>
      <c r="L2251" s="391"/>
      <c r="M2251" s="391"/>
      <c r="N2251" s="391"/>
      <c r="O2251" s="391"/>
      <c r="P2251" s="391"/>
      <c r="Q2251" s="391"/>
      <c r="R2251" s="391"/>
      <c r="S2251" s="391"/>
      <c r="T2251" s="391"/>
      <c r="U2251" s="391"/>
    </row>
    <row r="2252" spans="2:21" x14ac:dyDescent="0.3">
      <c r="B2252" s="391"/>
      <c r="C2252" s="391"/>
      <c r="D2252" s="391"/>
      <c r="E2252" s="391"/>
      <c r="F2252" s="391"/>
      <c r="G2252" s="391"/>
      <c r="H2252" s="391"/>
      <c r="I2252" s="391"/>
      <c r="J2252" s="391"/>
      <c r="K2252" s="391"/>
      <c r="L2252" s="391"/>
      <c r="M2252" s="391"/>
      <c r="N2252" s="391"/>
      <c r="O2252" s="391"/>
      <c r="P2252" s="391"/>
      <c r="Q2252" s="391"/>
      <c r="R2252" s="391"/>
      <c r="S2252" s="391"/>
      <c r="T2252" s="391"/>
      <c r="U2252" s="391"/>
    </row>
    <row r="2253" spans="2:21" x14ac:dyDescent="0.3">
      <c r="B2253" s="391"/>
      <c r="C2253" s="391"/>
      <c r="D2253" s="391"/>
      <c r="E2253" s="391"/>
      <c r="F2253" s="391"/>
      <c r="G2253" s="391"/>
      <c r="H2253" s="391"/>
      <c r="I2253" s="391"/>
      <c r="J2253" s="391"/>
      <c r="K2253" s="391"/>
      <c r="L2253" s="391"/>
      <c r="M2253" s="391"/>
      <c r="N2253" s="391"/>
      <c r="O2253" s="391"/>
      <c r="P2253" s="391"/>
      <c r="Q2253" s="391"/>
      <c r="R2253" s="391"/>
      <c r="S2253" s="391"/>
      <c r="T2253" s="391"/>
      <c r="U2253" s="391"/>
    </row>
    <row r="2254" spans="2:21" x14ac:dyDescent="0.3">
      <c r="B2254" s="391"/>
      <c r="C2254" s="391"/>
      <c r="D2254" s="391"/>
      <c r="E2254" s="391"/>
      <c r="F2254" s="391"/>
      <c r="G2254" s="391"/>
      <c r="H2254" s="391"/>
      <c r="I2254" s="391"/>
      <c r="J2254" s="391"/>
      <c r="K2254" s="391"/>
      <c r="L2254" s="391"/>
      <c r="M2254" s="391"/>
      <c r="N2254" s="391"/>
      <c r="O2254" s="391"/>
      <c r="P2254" s="391"/>
      <c r="Q2254" s="391"/>
      <c r="R2254" s="391"/>
      <c r="S2254" s="391"/>
      <c r="T2254" s="391"/>
      <c r="U2254" s="391"/>
    </row>
    <row r="2255" spans="2:21" x14ac:dyDescent="0.3">
      <c r="B2255" s="391"/>
      <c r="C2255" s="391"/>
      <c r="D2255" s="391"/>
      <c r="E2255" s="391"/>
      <c r="F2255" s="391"/>
      <c r="G2255" s="391"/>
      <c r="H2255" s="391"/>
      <c r="I2255" s="391"/>
      <c r="J2255" s="391"/>
      <c r="K2255" s="391"/>
      <c r="L2255" s="391"/>
      <c r="M2255" s="391"/>
      <c r="N2255" s="391"/>
      <c r="O2255" s="391"/>
      <c r="P2255" s="391"/>
      <c r="Q2255" s="391"/>
      <c r="R2255" s="391"/>
      <c r="S2255" s="391"/>
      <c r="T2255" s="391"/>
      <c r="U2255" s="391"/>
    </row>
    <row r="2256" spans="2:21" x14ac:dyDescent="0.3">
      <c r="B2256" s="391"/>
      <c r="C2256" s="391"/>
      <c r="D2256" s="391"/>
      <c r="E2256" s="391"/>
      <c r="F2256" s="391"/>
      <c r="G2256" s="391"/>
      <c r="H2256" s="391"/>
      <c r="I2256" s="391"/>
      <c r="J2256" s="391"/>
      <c r="K2256" s="391"/>
      <c r="L2256" s="391"/>
      <c r="M2256" s="391"/>
      <c r="N2256" s="391"/>
      <c r="O2256" s="391"/>
      <c r="P2256" s="391"/>
      <c r="Q2256" s="391"/>
      <c r="R2256" s="391"/>
      <c r="S2256" s="391"/>
      <c r="T2256" s="391"/>
      <c r="U2256" s="391"/>
    </row>
    <row r="2257" spans="2:21" x14ac:dyDescent="0.3">
      <c r="B2257" s="391"/>
      <c r="C2257" s="391"/>
      <c r="D2257" s="391"/>
      <c r="E2257" s="391"/>
      <c r="F2257" s="391"/>
      <c r="G2257" s="391"/>
      <c r="H2257" s="391"/>
      <c r="I2257" s="391"/>
      <c r="J2257" s="391"/>
      <c r="K2257" s="391"/>
      <c r="L2257" s="391"/>
      <c r="M2257" s="391"/>
      <c r="N2257" s="391"/>
      <c r="O2257" s="391"/>
      <c r="P2257" s="391"/>
      <c r="Q2257" s="391"/>
      <c r="R2257" s="391"/>
      <c r="S2257" s="391"/>
      <c r="T2257" s="391"/>
      <c r="U2257" s="391"/>
    </row>
    <row r="2258" spans="2:21" x14ac:dyDescent="0.3">
      <c r="B2258" s="391"/>
      <c r="C2258" s="391"/>
      <c r="D2258" s="391"/>
      <c r="E2258" s="391"/>
      <c r="F2258" s="391"/>
      <c r="G2258" s="391"/>
      <c r="H2258" s="391"/>
      <c r="I2258" s="391"/>
      <c r="J2258" s="391"/>
      <c r="K2258" s="391"/>
      <c r="L2258" s="391"/>
      <c r="M2258" s="391"/>
      <c r="N2258" s="391"/>
      <c r="O2258" s="391"/>
      <c r="P2258" s="391"/>
      <c r="Q2258" s="391"/>
      <c r="R2258" s="391"/>
      <c r="S2258" s="391"/>
      <c r="T2258" s="391"/>
      <c r="U2258" s="391"/>
    </row>
    <row r="2259" spans="2:21" x14ac:dyDescent="0.3">
      <c r="B2259" s="391"/>
      <c r="C2259" s="391"/>
      <c r="D2259" s="391"/>
      <c r="E2259" s="391"/>
      <c r="F2259" s="391"/>
      <c r="G2259" s="391"/>
      <c r="H2259" s="391"/>
      <c r="I2259" s="391"/>
      <c r="J2259" s="391"/>
      <c r="K2259" s="391"/>
      <c r="L2259" s="391"/>
      <c r="M2259" s="391"/>
      <c r="N2259" s="391"/>
      <c r="O2259" s="391"/>
      <c r="P2259" s="391"/>
      <c r="Q2259" s="391"/>
      <c r="R2259" s="391"/>
      <c r="S2259" s="391"/>
      <c r="T2259" s="391"/>
      <c r="U2259" s="391"/>
    </row>
    <row r="2260" spans="2:21" x14ac:dyDescent="0.3">
      <c r="B2260" s="391"/>
      <c r="C2260" s="391"/>
      <c r="D2260" s="391"/>
      <c r="E2260" s="391"/>
      <c r="F2260" s="391"/>
      <c r="G2260" s="391"/>
      <c r="H2260" s="391"/>
      <c r="I2260" s="391"/>
      <c r="J2260" s="391"/>
      <c r="K2260" s="391"/>
      <c r="L2260" s="391"/>
      <c r="M2260" s="391"/>
      <c r="N2260" s="391"/>
      <c r="O2260" s="391"/>
      <c r="P2260" s="391"/>
      <c r="Q2260" s="391"/>
      <c r="R2260" s="391"/>
      <c r="S2260" s="391"/>
      <c r="T2260" s="391"/>
      <c r="U2260" s="391"/>
    </row>
    <row r="2261" spans="2:21" x14ac:dyDescent="0.3">
      <c r="B2261" s="391"/>
      <c r="C2261" s="391"/>
      <c r="D2261" s="391"/>
      <c r="E2261" s="391"/>
      <c r="F2261" s="391"/>
      <c r="G2261" s="391"/>
      <c r="H2261" s="391"/>
      <c r="I2261" s="391"/>
      <c r="J2261" s="391"/>
      <c r="K2261" s="391"/>
      <c r="L2261" s="391"/>
      <c r="M2261" s="391"/>
      <c r="N2261" s="391"/>
      <c r="O2261" s="391"/>
      <c r="P2261" s="391"/>
      <c r="Q2261" s="391"/>
      <c r="R2261" s="391"/>
      <c r="S2261" s="391"/>
      <c r="T2261" s="391"/>
      <c r="U2261" s="391"/>
    </row>
    <row r="2262" spans="2:21" x14ac:dyDescent="0.3">
      <c r="B2262" s="391"/>
      <c r="C2262" s="391"/>
      <c r="D2262" s="391"/>
      <c r="E2262" s="391"/>
      <c r="F2262" s="391"/>
      <c r="G2262" s="391"/>
      <c r="H2262" s="391"/>
      <c r="I2262" s="391"/>
      <c r="J2262" s="391"/>
      <c r="K2262" s="391"/>
      <c r="L2262" s="391"/>
      <c r="M2262" s="391"/>
      <c r="N2262" s="391"/>
      <c r="O2262" s="391"/>
      <c r="P2262" s="391"/>
      <c r="Q2262" s="391"/>
      <c r="R2262" s="391"/>
      <c r="S2262" s="391"/>
      <c r="T2262" s="391"/>
      <c r="U2262" s="391"/>
    </row>
    <row r="2263" spans="2:21" x14ac:dyDescent="0.3">
      <c r="B2263" s="391"/>
      <c r="C2263" s="391"/>
      <c r="D2263" s="391"/>
      <c r="E2263" s="391"/>
      <c r="F2263" s="391"/>
      <c r="G2263" s="391"/>
      <c r="H2263" s="391"/>
      <c r="I2263" s="391"/>
      <c r="J2263" s="391"/>
      <c r="K2263" s="391"/>
      <c r="L2263" s="391"/>
      <c r="M2263" s="391"/>
      <c r="N2263" s="391"/>
      <c r="O2263" s="391"/>
      <c r="P2263" s="391"/>
      <c r="Q2263" s="391"/>
      <c r="R2263" s="391"/>
      <c r="S2263" s="391"/>
      <c r="T2263" s="391"/>
      <c r="U2263" s="391"/>
    </row>
    <row r="2264" spans="2:21" x14ac:dyDescent="0.3">
      <c r="B2264" s="391"/>
      <c r="C2264" s="391"/>
      <c r="D2264" s="391"/>
      <c r="E2264" s="391"/>
      <c r="F2264" s="391"/>
      <c r="G2264" s="391"/>
      <c r="H2264" s="391"/>
      <c r="I2264" s="391"/>
      <c r="J2264" s="391"/>
      <c r="K2264" s="391"/>
      <c r="L2264" s="391"/>
      <c r="M2264" s="391"/>
      <c r="N2264" s="391"/>
      <c r="O2264" s="391"/>
      <c r="P2264" s="391"/>
      <c r="Q2264" s="391"/>
      <c r="R2264" s="391"/>
      <c r="S2264" s="391"/>
      <c r="T2264" s="391"/>
      <c r="U2264" s="391"/>
    </row>
    <row r="2265" spans="2:21" x14ac:dyDescent="0.3">
      <c r="B2265" s="391"/>
      <c r="C2265" s="391"/>
      <c r="D2265" s="391"/>
      <c r="E2265" s="391"/>
      <c r="F2265" s="391"/>
      <c r="G2265" s="391"/>
      <c r="H2265" s="391"/>
      <c r="I2265" s="391"/>
      <c r="J2265" s="391"/>
      <c r="K2265" s="391"/>
      <c r="L2265" s="391"/>
      <c r="M2265" s="391"/>
      <c r="N2265" s="391"/>
      <c r="O2265" s="391"/>
      <c r="P2265" s="391"/>
      <c r="Q2265" s="391"/>
      <c r="R2265" s="391"/>
      <c r="S2265" s="391"/>
      <c r="T2265" s="391"/>
      <c r="U2265" s="391"/>
    </row>
    <row r="2266" spans="2:21" x14ac:dyDescent="0.3">
      <c r="B2266" s="391"/>
      <c r="C2266" s="391"/>
      <c r="D2266" s="391"/>
      <c r="E2266" s="391"/>
      <c r="F2266" s="391"/>
      <c r="G2266" s="391"/>
      <c r="H2266" s="391"/>
      <c r="I2266" s="391"/>
      <c r="J2266" s="391"/>
      <c r="K2266" s="391"/>
      <c r="L2266" s="391"/>
      <c r="M2266" s="391"/>
      <c r="N2266" s="391"/>
      <c r="O2266" s="391"/>
      <c r="P2266" s="391"/>
      <c r="Q2266" s="391"/>
      <c r="R2266" s="391"/>
      <c r="S2266" s="391"/>
      <c r="T2266" s="391"/>
      <c r="U2266" s="391"/>
    </row>
    <row r="2267" spans="2:21" x14ac:dyDescent="0.3">
      <c r="B2267" s="391"/>
      <c r="C2267" s="391"/>
      <c r="D2267" s="391"/>
      <c r="E2267" s="391"/>
      <c r="F2267" s="391"/>
      <c r="G2267" s="391"/>
      <c r="H2267" s="391"/>
      <c r="I2267" s="391"/>
      <c r="J2267" s="391"/>
      <c r="K2267" s="391"/>
      <c r="L2267" s="391"/>
      <c r="M2267" s="391"/>
      <c r="N2267" s="391"/>
      <c r="O2267" s="391"/>
      <c r="P2267" s="391"/>
      <c r="Q2267" s="391"/>
      <c r="R2267" s="391"/>
      <c r="S2267" s="391"/>
      <c r="T2267" s="391"/>
      <c r="U2267" s="391"/>
    </row>
    <row r="2268" spans="2:21" x14ac:dyDescent="0.3">
      <c r="B2268" s="391"/>
      <c r="C2268" s="391"/>
      <c r="D2268" s="391"/>
      <c r="E2268" s="391"/>
      <c r="F2268" s="391"/>
      <c r="G2268" s="391"/>
      <c r="H2268" s="391"/>
      <c r="I2268" s="391"/>
      <c r="J2268" s="391"/>
      <c r="K2268" s="391"/>
      <c r="L2268" s="391"/>
      <c r="M2268" s="391"/>
      <c r="N2268" s="391"/>
      <c r="O2268" s="391"/>
      <c r="P2268" s="391"/>
      <c r="Q2268" s="391"/>
      <c r="R2268" s="391"/>
      <c r="S2268" s="391"/>
      <c r="T2268" s="391"/>
      <c r="U2268" s="391"/>
    </row>
    <row r="2269" spans="2:21" x14ac:dyDescent="0.3">
      <c r="B2269" s="391"/>
      <c r="C2269" s="391"/>
      <c r="D2269" s="391"/>
      <c r="E2269" s="391"/>
      <c r="F2269" s="391"/>
      <c r="G2269" s="391"/>
      <c r="H2269" s="391"/>
      <c r="I2269" s="391"/>
      <c r="J2269" s="391"/>
      <c r="K2269" s="391"/>
      <c r="L2269" s="391"/>
      <c r="M2269" s="391"/>
      <c r="N2269" s="391"/>
      <c r="O2269" s="391"/>
      <c r="P2269" s="391"/>
      <c r="Q2269" s="391"/>
      <c r="R2269" s="391"/>
      <c r="S2269" s="391"/>
      <c r="T2269" s="391"/>
      <c r="U2269" s="391"/>
    </row>
    <row r="2270" spans="2:21" x14ac:dyDescent="0.3">
      <c r="B2270" s="391"/>
      <c r="C2270" s="391"/>
      <c r="D2270" s="391"/>
      <c r="E2270" s="391"/>
      <c r="F2270" s="391"/>
      <c r="G2270" s="391"/>
      <c r="H2270" s="391"/>
      <c r="I2270" s="391"/>
      <c r="J2270" s="391"/>
      <c r="K2270" s="391"/>
      <c r="L2270" s="391"/>
      <c r="M2270" s="391"/>
      <c r="N2270" s="391"/>
      <c r="O2270" s="391"/>
      <c r="P2270" s="391"/>
      <c r="Q2270" s="391"/>
      <c r="R2270" s="391"/>
      <c r="S2270" s="391"/>
      <c r="T2270" s="391"/>
      <c r="U2270" s="391"/>
    </row>
    <row r="2271" spans="2:21" x14ac:dyDescent="0.3">
      <c r="B2271" s="391"/>
      <c r="C2271" s="391"/>
      <c r="D2271" s="391"/>
      <c r="E2271" s="391"/>
      <c r="F2271" s="391"/>
      <c r="G2271" s="391"/>
      <c r="H2271" s="391"/>
      <c r="I2271" s="391"/>
      <c r="J2271" s="391"/>
      <c r="K2271" s="391"/>
      <c r="L2271" s="391"/>
      <c r="M2271" s="391"/>
      <c r="N2271" s="391"/>
      <c r="O2271" s="391"/>
      <c r="P2271" s="391"/>
      <c r="Q2271" s="391"/>
      <c r="R2271" s="391"/>
      <c r="S2271" s="391"/>
      <c r="T2271" s="391"/>
      <c r="U2271" s="391"/>
    </row>
    <row r="2272" spans="2:21" x14ac:dyDescent="0.3">
      <c r="B2272" s="391"/>
      <c r="C2272" s="391"/>
      <c r="D2272" s="391"/>
      <c r="E2272" s="391"/>
      <c r="F2272" s="391"/>
      <c r="G2272" s="391"/>
      <c r="H2272" s="391"/>
      <c r="I2272" s="391"/>
      <c r="J2272" s="391"/>
      <c r="K2272" s="391"/>
      <c r="L2272" s="391"/>
      <c r="M2272" s="391"/>
      <c r="N2272" s="391"/>
      <c r="O2272" s="391"/>
      <c r="P2272" s="391"/>
      <c r="Q2272" s="391"/>
      <c r="R2272" s="391"/>
      <c r="S2272" s="391"/>
      <c r="T2272" s="391"/>
      <c r="U2272" s="391"/>
    </row>
    <row r="2273" spans="2:21" x14ac:dyDescent="0.3">
      <c r="B2273" s="391"/>
      <c r="C2273" s="391"/>
      <c r="D2273" s="391"/>
      <c r="E2273" s="391"/>
      <c r="F2273" s="391"/>
      <c r="G2273" s="391"/>
      <c r="H2273" s="391"/>
      <c r="I2273" s="391"/>
      <c r="J2273" s="391"/>
      <c r="K2273" s="391"/>
      <c r="L2273" s="391"/>
      <c r="M2273" s="391"/>
      <c r="N2273" s="391"/>
      <c r="O2273" s="391"/>
      <c r="P2273" s="391"/>
      <c r="Q2273" s="391"/>
      <c r="R2273" s="391"/>
      <c r="S2273" s="391"/>
      <c r="T2273" s="391"/>
      <c r="U2273" s="391"/>
    </row>
    <row r="2274" spans="2:21" x14ac:dyDescent="0.3">
      <c r="B2274" s="391"/>
      <c r="C2274" s="391"/>
      <c r="D2274" s="391"/>
      <c r="E2274" s="391"/>
      <c r="F2274" s="391"/>
      <c r="G2274" s="391"/>
      <c r="H2274" s="391"/>
      <c r="I2274" s="391"/>
      <c r="J2274" s="391"/>
      <c r="K2274" s="391"/>
      <c r="L2274" s="391"/>
      <c r="M2274" s="391"/>
      <c r="N2274" s="391"/>
      <c r="O2274" s="391"/>
      <c r="P2274" s="391"/>
      <c r="Q2274" s="391"/>
      <c r="R2274" s="391"/>
      <c r="S2274" s="391"/>
      <c r="T2274" s="391"/>
      <c r="U2274" s="391"/>
    </row>
    <row r="2275" spans="2:21" x14ac:dyDescent="0.3">
      <c r="B2275" s="391"/>
      <c r="C2275" s="391"/>
      <c r="D2275" s="391"/>
      <c r="E2275" s="391"/>
      <c r="F2275" s="391"/>
      <c r="G2275" s="391"/>
      <c r="H2275" s="391"/>
      <c r="I2275" s="391"/>
      <c r="J2275" s="391"/>
      <c r="K2275" s="391"/>
      <c r="L2275" s="391"/>
      <c r="M2275" s="391"/>
      <c r="N2275" s="391"/>
      <c r="O2275" s="391"/>
      <c r="P2275" s="391"/>
      <c r="Q2275" s="391"/>
      <c r="R2275" s="391"/>
      <c r="S2275" s="391"/>
      <c r="T2275" s="391"/>
      <c r="U2275" s="391"/>
    </row>
    <row r="2276" spans="2:21" x14ac:dyDescent="0.3">
      <c r="B2276" s="391"/>
      <c r="C2276" s="391"/>
      <c r="D2276" s="391"/>
      <c r="E2276" s="391"/>
      <c r="F2276" s="391"/>
      <c r="G2276" s="391"/>
      <c r="H2276" s="391"/>
      <c r="I2276" s="391"/>
      <c r="J2276" s="391"/>
      <c r="K2276" s="391"/>
      <c r="L2276" s="391"/>
      <c r="M2276" s="391"/>
      <c r="N2276" s="391"/>
      <c r="O2276" s="391"/>
      <c r="P2276" s="391"/>
      <c r="Q2276" s="391"/>
      <c r="R2276" s="391"/>
      <c r="S2276" s="391"/>
      <c r="T2276" s="391"/>
      <c r="U2276" s="391"/>
    </row>
    <row r="2277" spans="2:21" x14ac:dyDescent="0.3">
      <c r="B2277" s="391"/>
      <c r="C2277" s="391"/>
      <c r="D2277" s="391"/>
      <c r="E2277" s="391"/>
      <c r="F2277" s="391"/>
      <c r="G2277" s="391"/>
      <c r="H2277" s="391"/>
      <c r="I2277" s="391"/>
      <c r="J2277" s="391"/>
      <c r="K2277" s="391"/>
      <c r="L2277" s="391"/>
      <c r="M2277" s="391"/>
      <c r="N2277" s="391"/>
      <c r="O2277" s="391"/>
      <c r="P2277" s="391"/>
      <c r="Q2277" s="391"/>
      <c r="R2277" s="391"/>
      <c r="S2277" s="391"/>
      <c r="T2277" s="391"/>
      <c r="U2277" s="391"/>
    </row>
    <row r="2278" spans="2:21" x14ac:dyDescent="0.3">
      <c r="B2278" s="391"/>
      <c r="C2278" s="391"/>
      <c r="D2278" s="391"/>
      <c r="E2278" s="391"/>
      <c r="F2278" s="391"/>
      <c r="G2278" s="391"/>
      <c r="H2278" s="391"/>
      <c r="I2278" s="391"/>
      <c r="J2278" s="391"/>
      <c r="K2278" s="391"/>
      <c r="L2278" s="391"/>
      <c r="M2278" s="391"/>
      <c r="N2278" s="391"/>
      <c r="O2278" s="391"/>
      <c r="P2278" s="391"/>
      <c r="Q2278" s="391"/>
      <c r="R2278" s="391"/>
      <c r="S2278" s="391"/>
      <c r="T2278" s="391"/>
      <c r="U2278" s="391"/>
    </row>
    <row r="2279" spans="2:21" x14ac:dyDescent="0.3">
      <c r="B2279" s="391"/>
      <c r="C2279" s="391"/>
      <c r="D2279" s="391"/>
      <c r="E2279" s="391"/>
      <c r="F2279" s="391"/>
      <c r="G2279" s="391"/>
      <c r="H2279" s="391"/>
      <c r="I2279" s="391"/>
      <c r="J2279" s="391"/>
      <c r="K2279" s="391"/>
      <c r="L2279" s="391"/>
      <c r="M2279" s="391"/>
      <c r="N2279" s="391"/>
      <c r="O2279" s="391"/>
      <c r="P2279" s="391"/>
      <c r="Q2279" s="391"/>
      <c r="R2279" s="391"/>
      <c r="S2279" s="391"/>
      <c r="T2279" s="391"/>
      <c r="U2279" s="391"/>
    </row>
    <row r="2280" spans="2:21" x14ac:dyDescent="0.3">
      <c r="B2280" s="391"/>
      <c r="C2280" s="391"/>
      <c r="D2280" s="391"/>
      <c r="E2280" s="391"/>
      <c r="F2280" s="391"/>
      <c r="G2280" s="391"/>
      <c r="H2280" s="391"/>
      <c r="I2280" s="391"/>
      <c r="J2280" s="391"/>
      <c r="K2280" s="391"/>
      <c r="L2280" s="391"/>
      <c r="M2280" s="391"/>
      <c r="N2280" s="391"/>
      <c r="O2280" s="391"/>
      <c r="P2280" s="391"/>
      <c r="Q2280" s="391"/>
      <c r="R2280" s="391"/>
      <c r="S2280" s="391"/>
      <c r="T2280" s="391"/>
      <c r="U2280" s="391"/>
    </row>
    <row r="2281" spans="2:21" x14ac:dyDescent="0.3">
      <c r="B2281" s="391"/>
      <c r="C2281" s="391"/>
      <c r="D2281" s="391"/>
      <c r="E2281" s="391"/>
      <c r="F2281" s="391"/>
      <c r="G2281" s="391"/>
      <c r="H2281" s="391"/>
      <c r="I2281" s="391"/>
      <c r="J2281" s="391"/>
      <c r="K2281" s="391"/>
      <c r="L2281" s="391"/>
      <c r="M2281" s="391"/>
      <c r="N2281" s="391"/>
      <c r="O2281" s="391"/>
      <c r="P2281" s="391"/>
      <c r="Q2281" s="391"/>
      <c r="R2281" s="391"/>
      <c r="S2281" s="391"/>
      <c r="T2281" s="391"/>
      <c r="U2281" s="391"/>
    </row>
    <row r="2282" spans="2:21" x14ac:dyDescent="0.3">
      <c r="B2282" s="391"/>
      <c r="C2282" s="391"/>
      <c r="D2282" s="391"/>
      <c r="E2282" s="391"/>
      <c r="F2282" s="391"/>
      <c r="G2282" s="391"/>
      <c r="H2282" s="391"/>
      <c r="I2282" s="391"/>
      <c r="J2282" s="391"/>
      <c r="K2282" s="391"/>
      <c r="L2282" s="391"/>
      <c r="M2282" s="391"/>
      <c r="N2282" s="391"/>
      <c r="O2282" s="391"/>
      <c r="P2282" s="391"/>
      <c r="Q2282" s="391"/>
      <c r="R2282" s="391"/>
      <c r="S2282" s="391"/>
      <c r="T2282" s="391"/>
      <c r="U2282" s="391"/>
    </row>
    <row r="2283" spans="2:21" x14ac:dyDescent="0.3">
      <c r="B2283" s="391"/>
      <c r="C2283" s="391"/>
      <c r="D2283" s="391"/>
      <c r="E2283" s="391"/>
      <c r="F2283" s="391"/>
      <c r="G2283" s="391"/>
      <c r="H2283" s="391"/>
      <c r="I2283" s="391"/>
      <c r="J2283" s="391"/>
      <c r="K2283" s="391"/>
      <c r="L2283" s="391"/>
      <c r="M2283" s="391"/>
      <c r="N2283" s="391"/>
      <c r="O2283" s="391"/>
      <c r="P2283" s="391"/>
      <c r="Q2283" s="391"/>
      <c r="R2283" s="391"/>
      <c r="S2283" s="391"/>
      <c r="T2283" s="391"/>
      <c r="U2283" s="391"/>
    </row>
    <row r="2284" spans="2:21" x14ac:dyDescent="0.3">
      <c r="B2284" s="391"/>
      <c r="C2284" s="391"/>
      <c r="D2284" s="391"/>
      <c r="E2284" s="391"/>
      <c r="F2284" s="391"/>
      <c r="G2284" s="391"/>
      <c r="H2284" s="391"/>
      <c r="I2284" s="391"/>
      <c r="J2284" s="391"/>
      <c r="K2284" s="391"/>
      <c r="L2284" s="391"/>
      <c r="M2284" s="391"/>
      <c r="N2284" s="391"/>
      <c r="O2284" s="391"/>
      <c r="P2284" s="391"/>
      <c r="Q2284" s="391"/>
      <c r="R2284" s="391"/>
      <c r="S2284" s="391"/>
      <c r="T2284" s="391"/>
      <c r="U2284" s="391"/>
    </row>
    <row r="2285" spans="2:21" x14ac:dyDescent="0.3">
      <c r="B2285" s="391"/>
      <c r="C2285" s="391"/>
      <c r="D2285" s="391"/>
      <c r="E2285" s="391"/>
      <c r="F2285" s="391"/>
      <c r="G2285" s="391"/>
      <c r="H2285" s="391"/>
      <c r="I2285" s="391"/>
      <c r="J2285" s="391"/>
      <c r="K2285" s="391"/>
      <c r="L2285" s="391"/>
      <c r="M2285" s="391"/>
      <c r="N2285" s="391"/>
      <c r="O2285" s="391"/>
      <c r="P2285" s="391"/>
      <c r="Q2285" s="391"/>
      <c r="R2285" s="391"/>
      <c r="S2285" s="391"/>
      <c r="T2285" s="391"/>
      <c r="U2285" s="391"/>
    </row>
    <row r="2286" spans="2:21" x14ac:dyDescent="0.3">
      <c r="B2286" s="391"/>
      <c r="C2286" s="391"/>
      <c r="D2286" s="391"/>
      <c r="E2286" s="391"/>
      <c r="F2286" s="391"/>
      <c r="G2286" s="391"/>
      <c r="H2286" s="391"/>
      <c r="I2286" s="391"/>
      <c r="J2286" s="391"/>
      <c r="K2286" s="391"/>
      <c r="L2286" s="391"/>
      <c r="M2286" s="391"/>
      <c r="N2286" s="391"/>
      <c r="O2286" s="391"/>
      <c r="P2286" s="391"/>
      <c r="Q2286" s="391"/>
      <c r="R2286" s="391"/>
      <c r="S2286" s="391"/>
      <c r="T2286" s="391"/>
      <c r="U2286" s="391"/>
    </row>
    <row r="2287" spans="2:21" x14ac:dyDescent="0.3">
      <c r="B2287" s="391"/>
      <c r="C2287" s="391"/>
      <c r="D2287" s="391"/>
      <c r="E2287" s="391"/>
      <c r="F2287" s="391"/>
      <c r="G2287" s="391"/>
      <c r="H2287" s="391"/>
      <c r="I2287" s="391"/>
      <c r="J2287" s="391"/>
      <c r="K2287" s="391"/>
      <c r="L2287" s="391"/>
      <c r="M2287" s="391"/>
      <c r="N2287" s="391"/>
      <c r="O2287" s="391"/>
      <c r="P2287" s="391"/>
      <c r="Q2287" s="391"/>
      <c r="R2287" s="391"/>
      <c r="S2287" s="391"/>
      <c r="T2287" s="391"/>
      <c r="U2287" s="391"/>
    </row>
    <row r="2288" spans="2:21" x14ac:dyDescent="0.3">
      <c r="B2288" s="391"/>
      <c r="C2288" s="391"/>
      <c r="D2288" s="391"/>
      <c r="E2288" s="391"/>
      <c r="F2288" s="391"/>
      <c r="G2288" s="391"/>
      <c r="H2288" s="391"/>
      <c r="I2288" s="391"/>
      <c r="J2288" s="391"/>
      <c r="K2288" s="391"/>
      <c r="L2288" s="391"/>
      <c r="M2288" s="391"/>
      <c r="N2288" s="391"/>
      <c r="O2288" s="391"/>
      <c r="P2288" s="391"/>
      <c r="Q2288" s="391"/>
      <c r="R2288" s="391"/>
      <c r="S2288" s="391"/>
      <c r="T2288" s="391"/>
      <c r="U2288" s="391"/>
    </row>
    <row r="2289" spans="2:21" x14ac:dyDescent="0.3">
      <c r="B2289" s="391"/>
      <c r="C2289" s="391"/>
      <c r="D2289" s="391"/>
      <c r="E2289" s="391"/>
      <c r="F2289" s="391"/>
      <c r="G2289" s="391"/>
      <c r="H2289" s="391"/>
      <c r="I2289" s="391"/>
      <c r="J2289" s="391"/>
      <c r="K2289" s="391"/>
      <c r="L2289" s="391"/>
      <c r="M2289" s="391"/>
      <c r="N2289" s="391"/>
      <c r="O2289" s="391"/>
      <c r="P2289" s="391"/>
      <c r="Q2289" s="391"/>
      <c r="R2289" s="391"/>
      <c r="S2289" s="391"/>
      <c r="T2289" s="391"/>
      <c r="U2289" s="391"/>
    </row>
    <row r="2290" spans="2:21" x14ac:dyDescent="0.3">
      <c r="B2290" s="391"/>
      <c r="C2290" s="391"/>
      <c r="D2290" s="391"/>
      <c r="E2290" s="391"/>
      <c r="F2290" s="391"/>
      <c r="G2290" s="391"/>
      <c r="H2290" s="391"/>
      <c r="I2290" s="391"/>
      <c r="J2290" s="391"/>
      <c r="K2290" s="391"/>
      <c r="L2290" s="391"/>
      <c r="M2290" s="391"/>
      <c r="N2290" s="391"/>
      <c r="O2290" s="391"/>
      <c r="P2290" s="391"/>
      <c r="Q2290" s="391"/>
      <c r="R2290" s="391"/>
      <c r="S2290" s="391"/>
      <c r="T2290" s="391"/>
      <c r="U2290" s="391"/>
    </row>
    <row r="2291" spans="2:21" x14ac:dyDescent="0.3">
      <c r="B2291" s="391"/>
      <c r="C2291" s="391"/>
      <c r="D2291" s="391"/>
      <c r="E2291" s="391"/>
      <c r="F2291" s="391"/>
      <c r="G2291" s="391"/>
      <c r="H2291" s="391"/>
      <c r="I2291" s="391"/>
      <c r="J2291" s="391"/>
      <c r="K2291" s="391"/>
      <c r="L2291" s="391"/>
      <c r="M2291" s="391"/>
      <c r="N2291" s="391"/>
      <c r="O2291" s="391"/>
      <c r="P2291" s="391"/>
      <c r="Q2291" s="391"/>
      <c r="R2291" s="391"/>
      <c r="S2291" s="391"/>
      <c r="T2291" s="391"/>
      <c r="U2291" s="391"/>
    </row>
    <row r="2292" spans="2:21" x14ac:dyDescent="0.3">
      <c r="B2292" s="391"/>
      <c r="C2292" s="391"/>
      <c r="D2292" s="391"/>
      <c r="E2292" s="391"/>
      <c r="F2292" s="391"/>
      <c r="G2292" s="391"/>
      <c r="H2292" s="391"/>
      <c r="I2292" s="391"/>
      <c r="J2292" s="391"/>
      <c r="K2292" s="391"/>
      <c r="L2292" s="391"/>
      <c r="M2292" s="391"/>
      <c r="N2292" s="391"/>
      <c r="O2292" s="391"/>
      <c r="P2292" s="391"/>
      <c r="Q2292" s="391"/>
      <c r="R2292" s="391"/>
      <c r="S2292" s="391"/>
      <c r="T2292" s="391"/>
      <c r="U2292" s="391"/>
    </row>
    <row r="2293" spans="2:21" x14ac:dyDescent="0.3">
      <c r="B2293" s="391"/>
      <c r="C2293" s="391"/>
      <c r="D2293" s="391"/>
      <c r="E2293" s="391"/>
      <c r="F2293" s="391"/>
      <c r="G2293" s="391"/>
      <c r="H2293" s="391"/>
      <c r="I2293" s="391"/>
      <c r="J2293" s="391"/>
      <c r="K2293" s="391"/>
      <c r="L2293" s="391"/>
      <c r="M2293" s="391"/>
      <c r="N2293" s="391"/>
      <c r="O2293" s="391"/>
      <c r="P2293" s="391"/>
      <c r="Q2293" s="391"/>
      <c r="R2293" s="391"/>
      <c r="S2293" s="391"/>
      <c r="T2293" s="391"/>
      <c r="U2293" s="391"/>
    </row>
    <row r="2294" spans="2:21" x14ac:dyDescent="0.3">
      <c r="B2294" s="391"/>
      <c r="C2294" s="391"/>
      <c r="D2294" s="391"/>
      <c r="E2294" s="391"/>
      <c r="F2294" s="391"/>
      <c r="G2294" s="391"/>
      <c r="H2294" s="391"/>
      <c r="I2294" s="391"/>
      <c r="J2294" s="391"/>
      <c r="K2294" s="391"/>
      <c r="L2294" s="391"/>
      <c r="M2294" s="391"/>
      <c r="N2294" s="391"/>
      <c r="O2294" s="391"/>
      <c r="P2294" s="391"/>
      <c r="Q2294" s="391"/>
      <c r="R2294" s="391"/>
      <c r="S2294" s="391"/>
      <c r="T2294" s="391"/>
      <c r="U2294" s="391"/>
    </row>
    <row r="2295" spans="2:21" x14ac:dyDescent="0.3">
      <c r="B2295" s="391"/>
      <c r="C2295" s="391"/>
      <c r="D2295" s="391"/>
      <c r="E2295" s="391"/>
      <c r="F2295" s="391"/>
      <c r="G2295" s="391"/>
      <c r="H2295" s="391"/>
      <c r="I2295" s="391"/>
      <c r="J2295" s="391"/>
      <c r="K2295" s="391"/>
      <c r="L2295" s="391"/>
      <c r="M2295" s="391"/>
      <c r="N2295" s="391"/>
      <c r="O2295" s="391"/>
      <c r="P2295" s="391"/>
      <c r="Q2295" s="391"/>
      <c r="R2295" s="391"/>
      <c r="S2295" s="391"/>
      <c r="T2295" s="391"/>
      <c r="U2295" s="391"/>
    </row>
    <row r="2296" spans="2:21" x14ac:dyDescent="0.3">
      <c r="B2296" s="391"/>
      <c r="C2296" s="391"/>
      <c r="D2296" s="391"/>
      <c r="E2296" s="391"/>
      <c r="F2296" s="391"/>
      <c r="G2296" s="391"/>
      <c r="H2296" s="391"/>
      <c r="I2296" s="391"/>
      <c r="J2296" s="391"/>
      <c r="K2296" s="391"/>
      <c r="L2296" s="391"/>
      <c r="M2296" s="391"/>
      <c r="N2296" s="391"/>
      <c r="O2296" s="391"/>
      <c r="P2296" s="391"/>
      <c r="Q2296" s="391"/>
      <c r="R2296" s="391"/>
      <c r="S2296" s="391"/>
      <c r="T2296" s="391"/>
      <c r="U2296" s="391"/>
    </row>
    <row r="2297" spans="2:21" x14ac:dyDescent="0.3">
      <c r="B2297" s="391"/>
      <c r="C2297" s="391"/>
      <c r="D2297" s="391"/>
      <c r="E2297" s="391"/>
      <c r="F2297" s="391"/>
      <c r="G2297" s="391"/>
      <c r="H2297" s="391"/>
      <c r="I2297" s="391"/>
      <c r="J2297" s="391"/>
      <c r="K2297" s="391"/>
      <c r="L2297" s="391"/>
      <c r="M2297" s="391"/>
      <c r="N2297" s="391"/>
      <c r="O2297" s="391"/>
      <c r="P2297" s="391"/>
      <c r="Q2297" s="391"/>
      <c r="R2297" s="391"/>
      <c r="S2297" s="391"/>
      <c r="T2297" s="391"/>
      <c r="U2297" s="391"/>
    </row>
    <row r="2298" spans="2:21" x14ac:dyDescent="0.3">
      <c r="B2298" s="391"/>
      <c r="C2298" s="391"/>
      <c r="D2298" s="391"/>
      <c r="E2298" s="391"/>
      <c r="F2298" s="391"/>
      <c r="G2298" s="391"/>
      <c r="H2298" s="391"/>
      <c r="I2298" s="391"/>
      <c r="J2298" s="391"/>
      <c r="K2298" s="391"/>
      <c r="L2298" s="391"/>
      <c r="M2298" s="391"/>
      <c r="N2298" s="391"/>
      <c r="O2298" s="391"/>
      <c r="P2298" s="391"/>
      <c r="Q2298" s="391"/>
      <c r="R2298" s="391"/>
      <c r="S2298" s="391"/>
      <c r="T2298" s="391"/>
      <c r="U2298" s="391"/>
    </row>
    <row r="2299" spans="2:21" x14ac:dyDescent="0.3">
      <c r="B2299" s="391"/>
      <c r="C2299" s="391"/>
      <c r="D2299" s="391"/>
      <c r="E2299" s="391"/>
      <c r="F2299" s="391"/>
      <c r="G2299" s="391"/>
      <c r="H2299" s="391"/>
      <c r="I2299" s="391"/>
      <c r="J2299" s="391"/>
      <c r="K2299" s="391"/>
      <c r="L2299" s="391"/>
      <c r="M2299" s="391"/>
      <c r="N2299" s="391"/>
      <c r="O2299" s="391"/>
      <c r="P2299" s="391"/>
      <c r="Q2299" s="391"/>
      <c r="R2299" s="391"/>
      <c r="S2299" s="391"/>
      <c r="T2299" s="391"/>
      <c r="U2299" s="391"/>
    </row>
    <row r="2300" spans="2:21" x14ac:dyDescent="0.3">
      <c r="B2300" s="391"/>
      <c r="C2300" s="391"/>
      <c r="D2300" s="391"/>
      <c r="E2300" s="391"/>
      <c r="F2300" s="391"/>
      <c r="G2300" s="391"/>
      <c r="H2300" s="391"/>
      <c r="I2300" s="391"/>
      <c r="J2300" s="391"/>
      <c r="K2300" s="391"/>
      <c r="L2300" s="391"/>
      <c r="M2300" s="391"/>
      <c r="N2300" s="391"/>
      <c r="O2300" s="391"/>
      <c r="P2300" s="391"/>
      <c r="Q2300" s="391"/>
      <c r="R2300" s="391"/>
      <c r="S2300" s="391"/>
      <c r="T2300" s="391"/>
      <c r="U2300" s="391"/>
    </row>
    <row r="2301" spans="2:21" x14ac:dyDescent="0.3">
      <c r="B2301" s="391"/>
      <c r="C2301" s="391"/>
      <c r="D2301" s="391"/>
      <c r="E2301" s="391"/>
      <c r="F2301" s="391"/>
      <c r="G2301" s="391"/>
      <c r="H2301" s="391"/>
      <c r="I2301" s="391"/>
      <c r="J2301" s="391"/>
      <c r="K2301" s="391"/>
      <c r="L2301" s="391"/>
      <c r="M2301" s="391"/>
      <c r="N2301" s="391"/>
      <c r="O2301" s="391"/>
      <c r="P2301" s="391"/>
      <c r="Q2301" s="391"/>
      <c r="R2301" s="391"/>
      <c r="S2301" s="391"/>
      <c r="T2301" s="391"/>
      <c r="U2301" s="391"/>
    </row>
    <row r="2302" spans="2:21" x14ac:dyDescent="0.3">
      <c r="B2302" s="391"/>
      <c r="C2302" s="391"/>
      <c r="D2302" s="391"/>
      <c r="E2302" s="391"/>
      <c r="F2302" s="391"/>
      <c r="G2302" s="391"/>
      <c r="H2302" s="391"/>
      <c r="I2302" s="391"/>
      <c r="J2302" s="391"/>
      <c r="K2302" s="391"/>
      <c r="L2302" s="391"/>
      <c r="M2302" s="391"/>
      <c r="N2302" s="391"/>
      <c r="O2302" s="391"/>
      <c r="P2302" s="391"/>
      <c r="Q2302" s="391"/>
      <c r="R2302" s="391"/>
      <c r="S2302" s="391"/>
      <c r="T2302" s="391"/>
      <c r="U2302" s="391"/>
    </row>
    <row r="2303" spans="2:21" x14ac:dyDescent="0.3">
      <c r="B2303" s="391"/>
      <c r="C2303" s="391"/>
      <c r="D2303" s="391"/>
      <c r="E2303" s="391"/>
      <c r="F2303" s="391"/>
      <c r="G2303" s="391"/>
      <c r="H2303" s="391"/>
      <c r="I2303" s="391"/>
      <c r="J2303" s="391"/>
      <c r="K2303" s="391"/>
      <c r="L2303" s="391"/>
      <c r="M2303" s="391"/>
      <c r="N2303" s="391"/>
      <c r="O2303" s="391"/>
      <c r="P2303" s="391"/>
      <c r="Q2303" s="391"/>
      <c r="R2303" s="391"/>
      <c r="S2303" s="391"/>
      <c r="T2303" s="391"/>
      <c r="U2303" s="391"/>
    </row>
    <row r="2304" spans="2:21" x14ac:dyDescent="0.3">
      <c r="B2304" s="391"/>
      <c r="C2304" s="391"/>
      <c r="D2304" s="391"/>
      <c r="E2304" s="391"/>
      <c r="F2304" s="391"/>
      <c r="G2304" s="391"/>
      <c r="H2304" s="391"/>
      <c r="I2304" s="391"/>
      <c r="J2304" s="391"/>
      <c r="K2304" s="391"/>
      <c r="L2304" s="391"/>
      <c r="M2304" s="391"/>
      <c r="N2304" s="391"/>
      <c r="O2304" s="391"/>
      <c r="P2304" s="391"/>
      <c r="Q2304" s="391"/>
      <c r="R2304" s="391"/>
      <c r="S2304" s="391"/>
      <c r="T2304" s="391"/>
      <c r="U2304" s="391"/>
    </row>
    <row r="2305" spans="2:21" x14ac:dyDescent="0.3">
      <c r="B2305" s="391"/>
      <c r="C2305" s="391"/>
      <c r="D2305" s="391"/>
      <c r="E2305" s="391"/>
      <c r="F2305" s="391"/>
      <c r="G2305" s="391"/>
      <c r="H2305" s="391"/>
      <c r="I2305" s="391"/>
      <c r="J2305" s="391"/>
      <c r="K2305" s="391"/>
      <c r="L2305" s="391"/>
      <c r="M2305" s="391"/>
      <c r="N2305" s="391"/>
      <c r="O2305" s="391"/>
      <c r="P2305" s="391"/>
      <c r="Q2305" s="391"/>
      <c r="R2305" s="391"/>
      <c r="S2305" s="391"/>
      <c r="T2305" s="391"/>
      <c r="U2305" s="391"/>
    </row>
    <row r="2306" spans="2:21" x14ac:dyDescent="0.3">
      <c r="B2306" s="391"/>
      <c r="C2306" s="391"/>
      <c r="D2306" s="391"/>
      <c r="E2306" s="391"/>
      <c r="F2306" s="391"/>
      <c r="G2306" s="391"/>
      <c r="H2306" s="391"/>
      <c r="I2306" s="391"/>
      <c r="J2306" s="391"/>
      <c r="K2306" s="391"/>
      <c r="L2306" s="391"/>
      <c r="M2306" s="391"/>
      <c r="N2306" s="391"/>
      <c r="O2306" s="391"/>
      <c r="P2306" s="391"/>
      <c r="Q2306" s="391"/>
      <c r="R2306" s="391"/>
      <c r="S2306" s="391"/>
      <c r="T2306" s="391"/>
      <c r="U2306" s="391"/>
    </row>
    <row r="2307" spans="2:21" x14ac:dyDescent="0.3">
      <c r="B2307" s="391"/>
      <c r="C2307" s="391"/>
      <c r="D2307" s="391"/>
      <c r="E2307" s="391"/>
      <c r="F2307" s="391"/>
      <c r="G2307" s="391"/>
      <c r="H2307" s="391"/>
      <c r="I2307" s="391"/>
      <c r="J2307" s="391"/>
      <c r="K2307" s="391"/>
      <c r="L2307" s="391"/>
      <c r="M2307" s="391"/>
      <c r="N2307" s="391"/>
      <c r="O2307" s="391"/>
      <c r="P2307" s="391"/>
      <c r="Q2307" s="391"/>
      <c r="R2307" s="391"/>
      <c r="S2307" s="391"/>
      <c r="T2307" s="391"/>
      <c r="U2307" s="391"/>
    </row>
    <row r="2308" spans="2:21" x14ac:dyDescent="0.3">
      <c r="B2308" s="391"/>
      <c r="C2308" s="391"/>
      <c r="D2308" s="391"/>
      <c r="E2308" s="391"/>
      <c r="F2308" s="391"/>
      <c r="G2308" s="391"/>
      <c r="H2308" s="391"/>
      <c r="I2308" s="391"/>
      <c r="J2308" s="391"/>
      <c r="K2308" s="391"/>
      <c r="L2308" s="391"/>
      <c r="M2308" s="391"/>
      <c r="N2308" s="391"/>
      <c r="O2308" s="391"/>
      <c r="P2308" s="391"/>
      <c r="Q2308" s="391"/>
      <c r="R2308" s="391"/>
      <c r="S2308" s="391"/>
      <c r="T2308" s="391"/>
      <c r="U2308" s="391"/>
    </row>
    <row r="2309" spans="2:21" x14ac:dyDescent="0.3">
      <c r="B2309" s="391"/>
      <c r="C2309" s="391"/>
      <c r="D2309" s="391"/>
      <c r="E2309" s="391"/>
      <c r="F2309" s="391"/>
      <c r="G2309" s="391"/>
      <c r="H2309" s="391"/>
      <c r="I2309" s="391"/>
      <c r="J2309" s="391"/>
      <c r="K2309" s="391"/>
      <c r="L2309" s="391"/>
      <c r="M2309" s="391"/>
      <c r="N2309" s="391"/>
      <c r="O2309" s="391"/>
      <c r="P2309" s="391"/>
      <c r="Q2309" s="391"/>
      <c r="R2309" s="391"/>
      <c r="S2309" s="391"/>
      <c r="T2309" s="391"/>
      <c r="U2309" s="391"/>
    </row>
    <row r="2310" spans="2:21" x14ac:dyDescent="0.3">
      <c r="B2310" s="391"/>
      <c r="C2310" s="391"/>
      <c r="D2310" s="391"/>
      <c r="E2310" s="391"/>
      <c r="F2310" s="391"/>
      <c r="G2310" s="391"/>
      <c r="H2310" s="391"/>
      <c r="I2310" s="391"/>
      <c r="J2310" s="391"/>
      <c r="K2310" s="391"/>
      <c r="L2310" s="391"/>
      <c r="M2310" s="391"/>
      <c r="N2310" s="391"/>
      <c r="O2310" s="391"/>
      <c r="P2310" s="391"/>
      <c r="Q2310" s="391"/>
      <c r="R2310" s="391"/>
      <c r="S2310" s="391"/>
      <c r="T2310" s="391"/>
      <c r="U2310" s="391"/>
    </row>
    <row r="2311" spans="2:21" x14ac:dyDescent="0.3">
      <c r="B2311" s="391"/>
      <c r="C2311" s="391"/>
      <c r="D2311" s="391"/>
      <c r="E2311" s="391"/>
      <c r="F2311" s="391"/>
      <c r="G2311" s="391"/>
      <c r="H2311" s="391"/>
      <c r="I2311" s="391"/>
      <c r="J2311" s="391"/>
      <c r="K2311" s="391"/>
      <c r="L2311" s="391"/>
      <c r="M2311" s="391"/>
      <c r="N2311" s="391"/>
      <c r="O2311" s="391"/>
      <c r="P2311" s="391"/>
      <c r="Q2311" s="391"/>
      <c r="R2311" s="391"/>
      <c r="S2311" s="391"/>
      <c r="T2311" s="391"/>
      <c r="U2311" s="391"/>
    </row>
    <row r="2312" spans="2:21" x14ac:dyDescent="0.3">
      <c r="B2312" s="391"/>
      <c r="C2312" s="391"/>
      <c r="D2312" s="391"/>
      <c r="E2312" s="391"/>
      <c r="F2312" s="391"/>
      <c r="G2312" s="391"/>
      <c r="H2312" s="391"/>
      <c r="I2312" s="391"/>
      <c r="J2312" s="391"/>
      <c r="K2312" s="391"/>
      <c r="L2312" s="391"/>
      <c r="M2312" s="391"/>
      <c r="N2312" s="391"/>
      <c r="O2312" s="391"/>
      <c r="P2312" s="391"/>
      <c r="Q2312" s="391"/>
      <c r="R2312" s="391"/>
      <c r="S2312" s="391"/>
      <c r="T2312" s="391"/>
      <c r="U2312" s="391"/>
    </row>
    <row r="2313" spans="2:21" x14ac:dyDescent="0.3">
      <c r="B2313" s="391"/>
      <c r="C2313" s="391"/>
      <c r="D2313" s="391"/>
      <c r="E2313" s="391"/>
      <c r="F2313" s="391"/>
      <c r="G2313" s="391"/>
      <c r="H2313" s="391"/>
      <c r="I2313" s="391"/>
      <c r="J2313" s="391"/>
      <c r="K2313" s="391"/>
      <c r="L2313" s="391"/>
      <c r="M2313" s="391"/>
      <c r="N2313" s="391"/>
      <c r="O2313" s="391"/>
      <c r="P2313" s="391"/>
      <c r="Q2313" s="391"/>
      <c r="R2313" s="391"/>
      <c r="S2313" s="391"/>
      <c r="T2313" s="391"/>
      <c r="U2313" s="391"/>
    </row>
    <row r="2314" spans="2:21" x14ac:dyDescent="0.3">
      <c r="B2314" s="391"/>
      <c r="C2314" s="391"/>
      <c r="D2314" s="391"/>
      <c r="E2314" s="391"/>
      <c r="F2314" s="391"/>
      <c r="G2314" s="391"/>
      <c r="H2314" s="391"/>
      <c r="I2314" s="391"/>
      <c r="J2314" s="391"/>
      <c r="K2314" s="391"/>
      <c r="L2314" s="391"/>
      <c r="M2314" s="391"/>
      <c r="N2314" s="391"/>
      <c r="O2314" s="391"/>
      <c r="P2314" s="391"/>
      <c r="Q2314" s="391"/>
      <c r="R2314" s="391"/>
      <c r="S2314" s="391"/>
      <c r="T2314" s="391"/>
      <c r="U2314" s="391"/>
    </row>
    <row r="2315" spans="2:21" x14ac:dyDescent="0.3">
      <c r="B2315" s="391"/>
      <c r="C2315" s="391"/>
      <c r="D2315" s="391"/>
      <c r="E2315" s="391"/>
      <c r="F2315" s="391"/>
      <c r="G2315" s="391"/>
      <c r="H2315" s="391"/>
      <c r="I2315" s="391"/>
      <c r="J2315" s="391"/>
      <c r="K2315" s="391"/>
      <c r="L2315" s="391"/>
      <c r="M2315" s="391"/>
      <c r="N2315" s="391"/>
      <c r="O2315" s="391"/>
      <c r="P2315" s="391"/>
      <c r="Q2315" s="391"/>
      <c r="R2315" s="391"/>
      <c r="S2315" s="391"/>
      <c r="T2315" s="391"/>
      <c r="U2315" s="391"/>
    </row>
    <row r="2316" spans="2:21" x14ac:dyDescent="0.3">
      <c r="B2316" s="391"/>
      <c r="C2316" s="391"/>
      <c r="D2316" s="391"/>
      <c r="E2316" s="391"/>
      <c r="F2316" s="391"/>
      <c r="G2316" s="391"/>
      <c r="H2316" s="391"/>
      <c r="I2316" s="391"/>
      <c r="J2316" s="391"/>
      <c r="K2316" s="391"/>
      <c r="L2316" s="391"/>
      <c r="M2316" s="391"/>
      <c r="N2316" s="391"/>
      <c r="O2316" s="391"/>
      <c r="P2316" s="391"/>
      <c r="Q2316" s="391"/>
      <c r="R2316" s="391"/>
      <c r="S2316" s="391"/>
      <c r="T2316" s="391"/>
      <c r="U2316" s="391"/>
    </row>
    <row r="2317" spans="2:21" x14ac:dyDescent="0.3">
      <c r="B2317" s="391"/>
      <c r="C2317" s="391"/>
      <c r="D2317" s="391"/>
      <c r="E2317" s="391"/>
      <c r="F2317" s="391"/>
      <c r="G2317" s="391"/>
      <c r="H2317" s="391"/>
      <c r="I2317" s="391"/>
      <c r="J2317" s="391"/>
      <c r="K2317" s="391"/>
      <c r="L2317" s="391"/>
      <c r="M2317" s="391"/>
      <c r="N2317" s="391"/>
      <c r="O2317" s="391"/>
      <c r="P2317" s="391"/>
      <c r="Q2317" s="391"/>
      <c r="R2317" s="391"/>
      <c r="S2317" s="391"/>
      <c r="T2317" s="391"/>
      <c r="U2317" s="391"/>
    </row>
    <row r="2318" spans="2:21" x14ac:dyDescent="0.3">
      <c r="B2318" s="391"/>
      <c r="C2318" s="391"/>
      <c r="D2318" s="391"/>
      <c r="E2318" s="391"/>
      <c r="F2318" s="391"/>
      <c r="G2318" s="391"/>
      <c r="H2318" s="391"/>
      <c r="I2318" s="391"/>
      <c r="J2318" s="391"/>
      <c r="K2318" s="391"/>
      <c r="L2318" s="391"/>
      <c r="M2318" s="391"/>
      <c r="N2318" s="391"/>
      <c r="O2318" s="391"/>
      <c r="P2318" s="391"/>
      <c r="Q2318" s="391"/>
      <c r="R2318" s="391"/>
      <c r="S2318" s="391"/>
      <c r="T2318" s="391"/>
      <c r="U2318" s="391"/>
    </row>
    <row r="2319" spans="2:21" x14ac:dyDescent="0.3">
      <c r="B2319" s="391"/>
      <c r="C2319" s="391"/>
      <c r="D2319" s="391"/>
      <c r="E2319" s="391"/>
      <c r="F2319" s="391"/>
      <c r="G2319" s="391"/>
      <c r="H2319" s="391"/>
      <c r="I2319" s="391"/>
      <c r="J2319" s="391"/>
      <c r="K2319" s="391"/>
      <c r="L2319" s="391"/>
      <c r="M2319" s="391"/>
      <c r="N2319" s="391"/>
      <c r="O2319" s="391"/>
      <c r="P2319" s="391"/>
      <c r="Q2319" s="391"/>
      <c r="R2319" s="391"/>
      <c r="S2319" s="391"/>
      <c r="T2319" s="391"/>
      <c r="U2319" s="391"/>
    </row>
    <row r="2320" spans="2:21" x14ac:dyDescent="0.3">
      <c r="B2320" s="391"/>
      <c r="C2320" s="391"/>
      <c r="D2320" s="391"/>
      <c r="E2320" s="391"/>
      <c r="F2320" s="391"/>
      <c r="G2320" s="391"/>
      <c r="H2320" s="391"/>
      <c r="I2320" s="391"/>
      <c r="J2320" s="391"/>
      <c r="K2320" s="391"/>
      <c r="L2320" s="391"/>
      <c r="M2320" s="391"/>
      <c r="N2320" s="391"/>
      <c r="O2320" s="391"/>
      <c r="P2320" s="391"/>
      <c r="Q2320" s="391"/>
      <c r="R2320" s="391"/>
      <c r="S2320" s="391"/>
      <c r="T2320" s="391"/>
      <c r="U2320" s="391"/>
    </row>
    <row r="2321" spans="2:21" x14ac:dyDescent="0.3">
      <c r="B2321" s="391"/>
      <c r="C2321" s="391"/>
      <c r="D2321" s="391"/>
      <c r="E2321" s="391"/>
      <c r="F2321" s="391"/>
      <c r="G2321" s="391"/>
      <c r="H2321" s="391"/>
      <c r="I2321" s="391"/>
      <c r="J2321" s="391"/>
      <c r="K2321" s="391"/>
      <c r="L2321" s="391"/>
      <c r="M2321" s="391"/>
      <c r="N2321" s="391"/>
      <c r="O2321" s="391"/>
      <c r="P2321" s="391"/>
      <c r="Q2321" s="391"/>
      <c r="R2321" s="391"/>
      <c r="S2321" s="391"/>
      <c r="T2321" s="391"/>
      <c r="U2321" s="391"/>
    </row>
    <row r="2322" spans="2:21" x14ac:dyDescent="0.3">
      <c r="B2322" s="391"/>
      <c r="C2322" s="391"/>
      <c r="D2322" s="391"/>
      <c r="E2322" s="391"/>
      <c r="F2322" s="391"/>
      <c r="G2322" s="391"/>
      <c r="H2322" s="391"/>
      <c r="I2322" s="391"/>
      <c r="J2322" s="391"/>
      <c r="K2322" s="391"/>
      <c r="L2322" s="391"/>
      <c r="M2322" s="391"/>
      <c r="N2322" s="391"/>
      <c r="O2322" s="391"/>
      <c r="P2322" s="391"/>
      <c r="Q2322" s="391"/>
      <c r="R2322" s="391"/>
      <c r="S2322" s="391"/>
      <c r="T2322" s="391"/>
      <c r="U2322" s="391"/>
    </row>
    <row r="2323" spans="2:21" x14ac:dyDescent="0.3">
      <c r="B2323" s="391"/>
      <c r="C2323" s="391"/>
      <c r="D2323" s="391"/>
      <c r="E2323" s="391"/>
      <c r="F2323" s="391"/>
      <c r="G2323" s="391"/>
      <c r="H2323" s="391"/>
      <c r="I2323" s="391"/>
      <c r="J2323" s="391"/>
      <c r="K2323" s="391"/>
      <c r="L2323" s="391"/>
      <c r="M2323" s="391"/>
      <c r="N2323" s="391"/>
      <c r="O2323" s="391"/>
      <c r="P2323" s="391"/>
      <c r="Q2323" s="391"/>
      <c r="R2323" s="391"/>
      <c r="S2323" s="391"/>
      <c r="T2323" s="391"/>
      <c r="U2323" s="391"/>
    </row>
    <row r="2324" spans="2:21" x14ac:dyDescent="0.3">
      <c r="B2324" s="391"/>
      <c r="C2324" s="391"/>
      <c r="D2324" s="391"/>
      <c r="E2324" s="391"/>
      <c r="F2324" s="391"/>
      <c r="G2324" s="391"/>
      <c r="H2324" s="391"/>
      <c r="I2324" s="391"/>
      <c r="J2324" s="391"/>
      <c r="K2324" s="391"/>
      <c r="L2324" s="391"/>
      <c r="M2324" s="391"/>
      <c r="N2324" s="391"/>
      <c r="O2324" s="391"/>
      <c r="P2324" s="391"/>
      <c r="Q2324" s="391"/>
      <c r="R2324" s="391"/>
      <c r="S2324" s="391"/>
      <c r="T2324" s="391"/>
      <c r="U2324" s="391"/>
    </row>
    <row r="2325" spans="2:21" x14ac:dyDescent="0.3">
      <c r="B2325" s="391"/>
      <c r="C2325" s="391"/>
      <c r="D2325" s="391"/>
      <c r="E2325" s="391"/>
      <c r="F2325" s="391"/>
      <c r="G2325" s="391"/>
      <c r="H2325" s="391"/>
      <c r="I2325" s="391"/>
      <c r="J2325" s="391"/>
      <c r="K2325" s="391"/>
      <c r="L2325" s="391"/>
      <c r="M2325" s="391"/>
      <c r="N2325" s="391"/>
      <c r="O2325" s="391"/>
      <c r="P2325" s="391"/>
      <c r="Q2325" s="391"/>
      <c r="R2325" s="391"/>
      <c r="S2325" s="391"/>
      <c r="T2325" s="391"/>
      <c r="U2325" s="391"/>
    </row>
    <row r="2326" spans="2:21" x14ac:dyDescent="0.3">
      <c r="B2326" s="391"/>
      <c r="C2326" s="391"/>
      <c r="D2326" s="391"/>
      <c r="E2326" s="391"/>
      <c r="F2326" s="391"/>
      <c r="G2326" s="391"/>
      <c r="H2326" s="391"/>
      <c r="I2326" s="391"/>
      <c r="J2326" s="391"/>
      <c r="K2326" s="391"/>
      <c r="L2326" s="391"/>
      <c r="M2326" s="391"/>
      <c r="N2326" s="391"/>
      <c r="O2326" s="391"/>
      <c r="P2326" s="391"/>
      <c r="Q2326" s="391"/>
      <c r="R2326" s="391"/>
      <c r="S2326" s="391"/>
      <c r="T2326" s="391"/>
      <c r="U2326" s="391"/>
    </row>
    <row r="2327" spans="2:21" x14ac:dyDescent="0.3">
      <c r="B2327" s="391"/>
      <c r="C2327" s="391"/>
      <c r="D2327" s="391"/>
      <c r="E2327" s="391"/>
      <c r="F2327" s="391"/>
      <c r="G2327" s="391"/>
      <c r="H2327" s="391"/>
      <c r="I2327" s="391"/>
      <c r="J2327" s="391"/>
      <c r="K2327" s="391"/>
      <c r="L2327" s="391"/>
      <c r="M2327" s="391"/>
      <c r="N2327" s="391"/>
      <c r="O2327" s="391"/>
      <c r="P2327" s="391"/>
      <c r="Q2327" s="391"/>
      <c r="R2327" s="391"/>
      <c r="S2327" s="391"/>
      <c r="T2327" s="391"/>
      <c r="U2327" s="391"/>
    </row>
    <row r="2328" spans="2:21" x14ac:dyDescent="0.3">
      <c r="B2328" s="391"/>
      <c r="C2328" s="391"/>
      <c r="D2328" s="391"/>
      <c r="E2328" s="391"/>
      <c r="F2328" s="391"/>
      <c r="G2328" s="391"/>
      <c r="H2328" s="391"/>
      <c r="I2328" s="391"/>
      <c r="J2328" s="391"/>
      <c r="K2328" s="391"/>
      <c r="L2328" s="391"/>
      <c r="M2328" s="391"/>
      <c r="N2328" s="391"/>
      <c r="O2328" s="391"/>
      <c r="P2328" s="391"/>
      <c r="Q2328" s="391"/>
      <c r="R2328" s="391"/>
      <c r="S2328" s="391"/>
      <c r="T2328" s="391"/>
      <c r="U2328" s="391"/>
    </row>
    <row r="2329" spans="2:21" x14ac:dyDescent="0.3">
      <c r="B2329" s="391"/>
      <c r="C2329" s="391"/>
      <c r="D2329" s="391"/>
      <c r="E2329" s="391"/>
      <c r="F2329" s="391"/>
      <c r="G2329" s="391"/>
      <c r="H2329" s="391"/>
      <c r="I2329" s="391"/>
      <c r="J2329" s="391"/>
      <c r="K2329" s="391"/>
      <c r="L2329" s="391"/>
      <c r="M2329" s="391"/>
      <c r="N2329" s="391"/>
      <c r="O2329" s="391"/>
      <c r="P2329" s="391"/>
      <c r="Q2329" s="391"/>
      <c r="R2329" s="391"/>
      <c r="S2329" s="391"/>
      <c r="T2329" s="391"/>
      <c r="U2329" s="391"/>
    </row>
    <row r="2330" spans="2:21" x14ac:dyDescent="0.3">
      <c r="B2330" s="391"/>
      <c r="C2330" s="391"/>
      <c r="D2330" s="391"/>
      <c r="E2330" s="391"/>
      <c r="F2330" s="391"/>
      <c r="G2330" s="391"/>
      <c r="H2330" s="391"/>
      <c r="I2330" s="391"/>
      <c r="J2330" s="391"/>
      <c r="K2330" s="391"/>
      <c r="L2330" s="391"/>
      <c r="M2330" s="391"/>
      <c r="N2330" s="391"/>
      <c r="O2330" s="391"/>
      <c r="P2330" s="391"/>
      <c r="Q2330" s="391"/>
      <c r="R2330" s="391"/>
      <c r="S2330" s="391"/>
      <c r="T2330" s="391"/>
      <c r="U2330" s="391"/>
    </row>
    <row r="2331" spans="2:21" x14ac:dyDescent="0.3">
      <c r="B2331" s="391"/>
      <c r="C2331" s="391"/>
      <c r="D2331" s="391"/>
      <c r="E2331" s="391"/>
      <c r="F2331" s="391"/>
      <c r="G2331" s="391"/>
      <c r="H2331" s="391"/>
      <c r="I2331" s="391"/>
      <c r="J2331" s="391"/>
      <c r="K2331" s="391"/>
      <c r="L2331" s="391"/>
      <c r="M2331" s="391"/>
      <c r="N2331" s="391"/>
      <c r="O2331" s="391"/>
      <c r="P2331" s="391"/>
      <c r="Q2331" s="391"/>
      <c r="R2331" s="391"/>
      <c r="S2331" s="391"/>
      <c r="T2331" s="391"/>
      <c r="U2331" s="391"/>
    </row>
    <row r="2332" spans="2:21" x14ac:dyDescent="0.3">
      <c r="B2332" s="391"/>
      <c r="C2332" s="391"/>
      <c r="D2332" s="391"/>
      <c r="E2332" s="391"/>
      <c r="F2332" s="391"/>
      <c r="G2332" s="391"/>
      <c r="H2332" s="391"/>
      <c r="I2332" s="391"/>
      <c r="J2332" s="391"/>
      <c r="K2332" s="391"/>
      <c r="L2332" s="391"/>
      <c r="M2332" s="391"/>
      <c r="N2332" s="391"/>
      <c r="O2332" s="391"/>
      <c r="P2332" s="391"/>
      <c r="Q2332" s="391"/>
      <c r="R2332" s="391"/>
      <c r="S2332" s="391"/>
      <c r="T2332" s="391"/>
      <c r="U2332" s="391"/>
    </row>
    <row r="2333" spans="2:21" x14ac:dyDescent="0.3">
      <c r="B2333" s="391"/>
      <c r="C2333" s="391"/>
      <c r="D2333" s="391"/>
      <c r="E2333" s="391"/>
      <c r="F2333" s="391"/>
      <c r="G2333" s="391"/>
      <c r="H2333" s="391"/>
      <c r="I2333" s="391"/>
      <c r="J2333" s="391"/>
      <c r="K2333" s="391"/>
      <c r="L2333" s="391"/>
      <c r="M2333" s="391"/>
      <c r="N2333" s="391"/>
      <c r="O2333" s="391"/>
      <c r="P2333" s="391"/>
      <c r="Q2333" s="391"/>
      <c r="R2333" s="391"/>
      <c r="S2333" s="391"/>
      <c r="T2333" s="391"/>
      <c r="U2333" s="391"/>
    </row>
    <row r="2334" spans="2:21" x14ac:dyDescent="0.3">
      <c r="B2334" s="391"/>
      <c r="C2334" s="391"/>
      <c r="D2334" s="391"/>
      <c r="E2334" s="391"/>
      <c r="F2334" s="391"/>
      <c r="G2334" s="391"/>
      <c r="H2334" s="391"/>
      <c r="I2334" s="391"/>
      <c r="J2334" s="391"/>
      <c r="K2334" s="391"/>
      <c r="L2334" s="391"/>
      <c r="M2334" s="391"/>
      <c r="N2334" s="391"/>
      <c r="O2334" s="391"/>
      <c r="P2334" s="391"/>
      <c r="Q2334" s="391"/>
      <c r="R2334" s="391"/>
      <c r="S2334" s="391"/>
      <c r="T2334" s="391"/>
      <c r="U2334" s="391"/>
    </row>
    <row r="2335" spans="2:21" x14ac:dyDescent="0.3">
      <c r="B2335" s="391"/>
      <c r="C2335" s="391"/>
      <c r="D2335" s="391"/>
      <c r="E2335" s="391"/>
      <c r="F2335" s="391"/>
      <c r="G2335" s="391"/>
      <c r="H2335" s="391"/>
      <c r="I2335" s="391"/>
      <c r="J2335" s="391"/>
      <c r="K2335" s="391"/>
      <c r="L2335" s="391"/>
      <c r="M2335" s="391"/>
      <c r="N2335" s="391"/>
      <c r="O2335" s="391"/>
      <c r="P2335" s="391"/>
      <c r="Q2335" s="391"/>
      <c r="R2335" s="391"/>
      <c r="S2335" s="391"/>
      <c r="T2335" s="391"/>
      <c r="U2335" s="391"/>
    </row>
    <row r="2336" spans="2:21" x14ac:dyDescent="0.3">
      <c r="B2336" s="391"/>
      <c r="C2336" s="391"/>
      <c r="D2336" s="391"/>
      <c r="E2336" s="391"/>
      <c r="F2336" s="391"/>
      <c r="G2336" s="391"/>
      <c r="H2336" s="391"/>
      <c r="I2336" s="391"/>
      <c r="J2336" s="391"/>
      <c r="K2336" s="391"/>
      <c r="L2336" s="391"/>
      <c r="M2336" s="391"/>
      <c r="N2336" s="391"/>
      <c r="O2336" s="391"/>
      <c r="P2336" s="391"/>
      <c r="Q2336" s="391"/>
      <c r="R2336" s="391"/>
      <c r="S2336" s="391"/>
      <c r="T2336" s="391"/>
      <c r="U2336" s="391"/>
    </row>
    <row r="2337" spans="2:21" x14ac:dyDescent="0.3">
      <c r="B2337" s="391"/>
      <c r="C2337" s="391"/>
      <c r="D2337" s="391"/>
      <c r="E2337" s="391"/>
      <c r="F2337" s="391"/>
      <c r="G2337" s="391"/>
      <c r="H2337" s="391"/>
      <c r="I2337" s="391"/>
      <c r="J2337" s="391"/>
      <c r="K2337" s="391"/>
      <c r="L2337" s="391"/>
      <c r="M2337" s="391"/>
      <c r="N2337" s="391"/>
      <c r="O2337" s="391"/>
      <c r="P2337" s="391"/>
      <c r="Q2337" s="391"/>
      <c r="R2337" s="391"/>
      <c r="S2337" s="391"/>
      <c r="T2337" s="391"/>
      <c r="U2337" s="391"/>
    </row>
    <row r="2338" spans="2:21" x14ac:dyDescent="0.3">
      <c r="B2338" s="391"/>
      <c r="C2338" s="391"/>
      <c r="D2338" s="391"/>
      <c r="E2338" s="391"/>
      <c r="F2338" s="391"/>
      <c r="G2338" s="391"/>
      <c r="H2338" s="391"/>
      <c r="I2338" s="391"/>
      <c r="J2338" s="391"/>
      <c r="K2338" s="391"/>
      <c r="L2338" s="391"/>
      <c r="M2338" s="391"/>
      <c r="N2338" s="391"/>
      <c r="O2338" s="391"/>
      <c r="P2338" s="391"/>
      <c r="Q2338" s="391"/>
      <c r="R2338" s="391"/>
      <c r="S2338" s="391"/>
      <c r="T2338" s="391"/>
      <c r="U2338" s="391"/>
    </row>
    <row r="2339" spans="2:21" x14ac:dyDescent="0.3">
      <c r="B2339" s="391"/>
      <c r="C2339" s="391"/>
      <c r="D2339" s="391"/>
      <c r="E2339" s="391"/>
      <c r="F2339" s="391"/>
      <c r="G2339" s="391"/>
      <c r="H2339" s="391"/>
      <c r="I2339" s="391"/>
      <c r="J2339" s="391"/>
      <c r="K2339" s="391"/>
      <c r="L2339" s="391"/>
      <c r="M2339" s="391"/>
      <c r="N2339" s="391"/>
      <c r="O2339" s="391"/>
      <c r="P2339" s="391"/>
      <c r="Q2339" s="391"/>
      <c r="R2339" s="391"/>
      <c r="S2339" s="391"/>
      <c r="T2339" s="391"/>
      <c r="U2339" s="391"/>
    </row>
    <row r="2340" spans="2:21" x14ac:dyDescent="0.3">
      <c r="B2340" s="391"/>
      <c r="C2340" s="391"/>
      <c r="D2340" s="391"/>
      <c r="E2340" s="391"/>
      <c r="F2340" s="391"/>
      <c r="G2340" s="391"/>
      <c r="H2340" s="391"/>
      <c r="I2340" s="391"/>
      <c r="J2340" s="391"/>
      <c r="K2340" s="391"/>
      <c r="L2340" s="391"/>
      <c r="M2340" s="391"/>
      <c r="N2340" s="391"/>
      <c r="O2340" s="391"/>
      <c r="P2340" s="391"/>
      <c r="Q2340" s="391"/>
      <c r="R2340" s="391"/>
      <c r="S2340" s="391"/>
      <c r="T2340" s="391"/>
      <c r="U2340" s="391"/>
    </row>
    <row r="2341" spans="2:21" x14ac:dyDescent="0.3">
      <c r="B2341" s="391"/>
      <c r="C2341" s="391"/>
      <c r="D2341" s="391"/>
      <c r="E2341" s="391"/>
      <c r="F2341" s="391"/>
      <c r="G2341" s="391"/>
      <c r="H2341" s="391"/>
      <c r="I2341" s="391"/>
      <c r="J2341" s="391"/>
      <c r="K2341" s="391"/>
      <c r="L2341" s="391"/>
      <c r="M2341" s="391"/>
      <c r="N2341" s="391"/>
      <c r="O2341" s="391"/>
      <c r="P2341" s="391"/>
      <c r="Q2341" s="391"/>
      <c r="R2341" s="391"/>
      <c r="S2341" s="391"/>
      <c r="T2341" s="391"/>
      <c r="U2341" s="391"/>
    </row>
    <row r="2342" spans="2:21" x14ac:dyDescent="0.3">
      <c r="B2342" s="391"/>
      <c r="C2342" s="391"/>
      <c r="D2342" s="391"/>
      <c r="E2342" s="391"/>
      <c r="F2342" s="391"/>
      <c r="G2342" s="391"/>
      <c r="H2342" s="391"/>
      <c r="I2342" s="391"/>
      <c r="J2342" s="391"/>
      <c r="K2342" s="391"/>
      <c r="L2342" s="391"/>
      <c r="M2342" s="391"/>
      <c r="N2342" s="391"/>
      <c r="O2342" s="391"/>
      <c r="P2342" s="391"/>
      <c r="Q2342" s="391"/>
      <c r="R2342" s="391"/>
      <c r="S2342" s="391"/>
      <c r="T2342" s="391"/>
      <c r="U2342" s="391"/>
    </row>
    <row r="2343" spans="2:21" x14ac:dyDescent="0.3">
      <c r="B2343" s="391"/>
      <c r="C2343" s="391"/>
      <c r="D2343" s="391"/>
      <c r="E2343" s="391"/>
      <c r="F2343" s="391"/>
      <c r="G2343" s="391"/>
      <c r="H2343" s="391"/>
      <c r="I2343" s="391"/>
      <c r="J2343" s="391"/>
      <c r="K2343" s="391"/>
      <c r="L2343" s="391"/>
      <c r="M2343" s="391"/>
      <c r="N2343" s="391"/>
      <c r="O2343" s="391"/>
      <c r="P2343" s="391"/>
      <c r="Q2343" s="391"/>
      <c r="R2343" s="391"/>
      <c r="S2343" s="391"/>
      <c r="T2343" s="391"/>
      <c r="U2343" s="391"/>
    </row>
    <row r="2344" spans="2:21" x14ac:dyDescent="0.3">
      <c r="B2344" s="391"/>
      <c r="C2344" s="391"/>
      <c r="D2344" s="391"/>
      <c r="E2344" s="391"/>
      <c r="F2344" s="391"/>
      <c r="G2344" s="391"/>
      <c r="H2344" s="391"/>
      <c r="I2344" s="391"/>
      <c r="J2344" s="391"/>
      <c r="K2344" s="391"/>
      <c r="L2344" s="391"/>
      <c r="M2344" s="391"/>
      <c r="N2344" s="391"/>
      <c r="O2344" s="391"/>
      <c r="P2344" s="391"/>
      <c r="Q2344" s="391"/>
      <c r="R2344" s="391"/>
      <c r="S2344" s="391"/>
      <c r="T2344" s="391"/>
      <c r="U2344" s="391"/>
    </row>
    <row r="2345" spans="2:21" x14ac:dyDescent="0.3">
      <c r="B2345" s="391"/>
      <c r="C2345" s="391"/>
      <c r="D2345" s="391"/>
      <c r="E2345" s="391"/>
      <c r="F2345" s="391"/>
      <c r="G2345" s="391"/>
      <c r="H2345" s="391"/>
      <c r="I2345" s="391"/>
      <c r="J2345" s="391"/>
      <c r="K2345" s="391"/>
      <c r="L2345" s="391"/>
      <c r="M2345" s="391"/>
      <c r="N2345" s="391"/>
      <c r="O2345" s="391"/>
      <c r="P2345" s="391"/>
      <c r="Q2345" s="391"/>
      <c r="R2345" s="391"/>
      <c r="S2345" s="391"/>
      <c r="T2345" s="391"/>
      <c r="U2345" s="391"/>
    </row>
    <row r="2346" spans="2:21" x14ac:dyDescent="0.3">
      <c r="B2346" s="391"/>
      <c r="C2346" s="391"/>
      <c r="D2346" s="391"/>
      <c r="E2346" s="391"/>
      <c r="F2346" s="391"/>
      <c r="G2346" s="391"/>
      <c r="H2346" s="391"/>
      <c r="I2346" s="391"/>
      <c r="J2346" s="391"/>
      <c r="K2346" s="391"/>
      <c r="L2346" s="391"/>
      <c r="M2346" s="391"/>
      <c r="N2346" s="391"/>
      <c r="O2346" s="391"/>
      <c r="P2346" s="391"/>
      <c r="Q2346" s="391"/>
      <c r="R2346" s="391"/>
      <c r="S2346" s="391"/>
      <c r="T2346" s="391"/>
      <c r="U2346" s="391"/>
    </row>
    <row r="2347" spans="2:21" x14ac:dyDescent="0.3">
      <c r="B2347" s="391"/>
      <c r="C2347" s="391"/>
      <c r="D2347" s="391"/>
      <c r="E2347" s="391"/>
      <c r="F2347" s="391"/>
      <c r="G2347" s="391"/>
      <c r="H2347" s="391"/>
      <c r="I2347" s="391"/>
      <c r="J2347" s="391"/>
      <c r="K2347" s="391"/>
      <c r="L2347" s="391"/>
      <c r="M2347" s="391"/>
      <c r="N2347" s="391"/>
      <c r="O2347" s="391"/>
      <c r="P2347" s="391"/>
      <c r="Q2347" s="391"/>
      <c r="R2347" s="391"/>
      <c r="S2347" s="391"/>
      <c r="T2347" s="391"/>
      <c r="U2347" s="391"/>
    </row>
    <row r="2348" spans="2:21" x14ac:dyDescent="0.3">
      <c r="B2348" s="391"/>
      <c r="C2348" s="391"/>
      <c r="D2348" s="391"/>
      <c r="E2348" s="391"/>
      <c r="F2348" s="391"/>
      <c r="G2348" s="391"/>
      <c r="H2348" s="391"/>
      <c r="I2348" s="391"/>
      <c r="J2348" s="391"/>
      <c r="K2348" s="391"/>
      <c r="L2348" s="391"/>
      <c r="M2348" s="391"/>
      <c r="N2348" s="391"/>
      <c r="O2348" s="391"/>
      <c r="P2348" s="391"/>
      <c r="Q2348" s="391"/>
      <c r="R2348" s="391"/>
      <c r="S2348" s="391"/>
      <c r="T2348" s="391"/>
      <c r="U2348" s="391"/>
    </row>
    <row r="2349" spans="2:21" x14ac:dyDescent="0.3">
      <c r="B2349" s="391"/>
      <c r="C2349" s="391"/>
      <c r="D2349" s="391"/>
      <c r="E2349" s="391"/>
      <c r="F2349" s="391"/>
      <c r="G2349" s="391"/>
      <c r="H2349" s="391"/>
      <c r="I2349" s="391"/>
      <c r="J2349" s="391"/>
      <c r="K2349" s="391"/>
      <c r="L2349" s="391"/>
      <c r="M2349" s="391"/>
      <c r="N2349" s="391"/>
      <c r="O2349" s="391"/>
      <c r="P2349" s="391"/>
      <c r="Q2349" s="391"/>
      <c r="R2349" s="391"/>
      <c r="S2349" s="391"/>
      <c r="T2349" s="391"/>
      <c r="U2349" s="391"/>
    </row>
  </sheetData>
  <mergeCells count="2">
    <mergeCell ref="L9:N9"/>
    <mergeCell ref="L20:N20"/>
  </mergeCells>
  <pageMargins left="0.7" right="0.7" top="0.75" bottom="0.75" header="0.3" footer="0.3"/>
  <pageSetup orientation="portrait" r:id="rId1"/>
  <drawing r:id="rId2"/>
  <tableParts count="3">
    <tablePart r:id="rId3"/>
    <tablePart r:id="rId4"/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EEC7B-D544-4724-B57C-83F33B12EDF5}">
  <dimension ref="A1:IR327"/>
  <sheetViews>
    <sheetView workbookViewId="0">
      <pane ySplit="1" topLeftCell="A296" activePane="bottomLeft" state="frozen"/>
      <selection activeCell="B39" sqref="B39"/>
      <selection pane="bottomLeft" activeCell="K323" sqref="K323"/>
    </sheetView>
  </sheetViews>
  <sheetFormatPr defaultRowHeight="14.25" x14ac:dyDescent="0.25"/>
  <cols>
    <col min="1" max="1" width="15.42578125" style="364" customWidth="1"/>
    <col min="2" max="13" width="9.140625" style="365"/>
    <col min="22" max="252" width="9.140625" style="334"/>
  </cols>
  <sheetData>
    <row r="1" spans="1:252" x14ac:dyDescent="0.25">
      <c r="A1" s="364" t="s">
        <v>27</v>
      </c>
      <c r="B1" s="365" t="s">
        <v>143</v>
      </c>
      <c r="C1" s="365" t="s">
        <v>181</v>
      </c>
      <c r="D1" s="365" t="s">
        <v>144</v>
      </c>
      <c r="E1" s="365" t="s">
        <v>246</v>
      </c>
      <c r="F1" s="365" t="s">
        <v>243</v>
      </c>
      <c r="G1" s="365" t="s">
        <v>214</v>
      </c>
      <c r="H1" s="365" t="s">
        <v>195</v>
      </c>
      <c r="I1" s="365" t="s">
        <v>241</v>
      </c>
      <c r="J1" s="365" t="s">
        <v>175</v>
      </c>
      <c r="K1" s="365" t="s">
        <v>142</v>
      </c>
      <c r="L1" s="365" t="s">
        <v>180</v>
      </c>
      <c r="M1" s="365" t="s">
        <v>239</v>
      </c>
      <c r="N1" s="365" t="s">
        <v>202</v>
      </c>
      <c r="O1" s="365" t="s">
        <v>209</v>
      </c>
      <c r="P1" s="365" t="s">
        <v>211</v>
      </c>
      <c r="Q1" s="365" t="s">
        <v>207</v>
      </c>
      <c r="R1" s="365" t="s">
        <v>208</v>
      </c>
      <c r="S1" s="365" t="s">
        <v>206</v>
      </c>
      <c r="T1" s="365" t="s">
        <v>205</v>
      </c>
      <c r="U1" s="365" t="s">
        <v>203</v>
      </c>
    </row>
    <row r="2" spans="1:252" s="368" customFormat="1" x14ac:dyDescent="0.25">
      <c r="A2" s="366">
        <v>43647</v>
      </c>
      <c r="B2" s="367">
        <v>82.87</v>
      </c>
      <c r="C2" s="367">
        <v>24.58</v>
      </c>
      <c r="D2" s="367">
        <v>130.62</v>
      </c>
      <c r="E2" s="367">
        <v>78.44</v>
      </c>
      <c r="F2" s="367">
        <v>189.26</v>
      </c>
      <c r="G2" s="367">
        <v>14.18</v>
      </c>
      <c r="H2" s="367">
        <v>26.16</v>
      </c>
      <c r="I2" s="367">
        <v>81.260000000000005</v>
      </c>
      <c r="J2" s="367">
        <v>87.36</v>
      </c>
      <c r="K2" s="367">
        <v>271.44</v>
      </c>
      <c r="L2" s="367">
        <v>151.15</v>
      </c>
      <c r="M2" s="367">
        <v>79.28</v>
      </c>
      <c r="N2" s="367">
        <v>32.580001831099999</v>
      </c>
      <c r="O2" s="367">
        <v>11.829999923700001</v>
      </c>
      <c r="P2" s="367">
        <v>25.4300003052</v>
      </c>
      <c r="Q2" s="367">
        <v>34.25</v>
      </c>
      <c r="R2" s="367">
        <v>33.009998321499999</v>
      </c>
      <c r="S2" s="367">
        <v>26.379999160800001</v>
      </c>
      <c r="T2" s="367">
        <v>26.100000381499999</v>
      </c>
      <c r="U2" s="367">
        <v>75.08</v>
      </c>
      <c r="V2" s="334"/>
      <c r="W2" s="334"/>
      <c r="X2" s="334"/>
      <c r="Y2" s="334"/>
      <c r="Z2" s="334"/>
      <c r="AA2" s="334"/>
      <c r="AB2" s="334"/>
      <c r="AC2" s="334"/>
      <c r="AD2" s="334"/>
      <c r="AE2" s="334"/>
      <c r="AF2" s="334"/>
      <c r="AG2" s="334"/>
      <c r="AH2" s="334"/>
      <c r="AI2" s="334"/>
      <c r="AJ2" s="334"/>
      <c r="AK2" s="334"/>
      <c r="AL2" s="334"/>
      <c r="AM2" s="334"/>
      <c r="AN2" s="334"/>
      <c r="AO2" s="334"/>
      <c r="AP2" s="334"/>
      <c r="AQ2" s="334"/>
      <c r="AR2" s="334"/>
      <c r="AS2" s="334"/>
      <c r="AT2" s="334"/>
      <c r="AU2" s="334"/>
      <c r="AV2" s="334"/>
      <c r="AW2" s="334"/>
      <c r="AX2" s="334"/>
      <c r="AY2" s="334"/>
      <c r="AZ2" s="334"/>
      <c r="BA2" s="334"/>
      <c r="BB2" s="334"/>
      <c r="BC2" s="334"/>
      <c r="BD2" s="334"/>
      <c r="BE2" s="334"/>
      <c r="BF2" s="334"/>
      <c r="BG2" s="334"/>
      <c r="BH2" s="334"/>
      <c r="BI2" s="334"/>
      <c r="BJ2" s="334"/>
      <c r="BK2" s="334"/>
      <c r="BL2" s="334"/>
      <c r="BM2" s="334"/>
      <c r="BN2" s="334"/>
      <c r="BO2" s="334"/>
      <c r="BP2" s="334"/>
      <c r="BQ2" s="334"/>
      <c r="BR2" s="334"/>
      <c r="BS2" s="334"/>
      <c r="BT2" s="334"/>
      <c r="BU2" s="334"/>
      <c r="BV2" s="334"/>
      <c r="BW2" s="334"/>
      <c r="BX2" s="334"/>
      <c r="BY2" s="334"/>
      <c r="BZ2" s="334"/>
      <c r="CA2" s="334"/>
      <c r="CB2" s="334"/>
      <c r="CC2" s="334"/>
      <c r="CD2" s="334"/>
      <c r="CE2" s="334"/>
      <c r="CF2" s="334"/>
      <c r="CG2" s="334"/>
      <c r="CH2" s="334"/>
      <c r="CI2" s="334"/>
      <c r="CJ2" s="334"/>
      <c r="CK2" s="334"/>
      <c r="CL2" s="334"/>
      <c r="CM2" s="334"/>
      <c r="CN2" s="334"/>
      <c r="CO2" s="334"/>
      <c r="CP2" s="334"/>
      <c r="CQ2" s="334"/>
      <c r="CR2" s="334"/>
      <c r="CS2" s="334"/>
      <c r="CT2" s="334"/>
      <c r="CU2" s="334"/>
      <c r="CV2" s="334"/>
      <c r="CW2" s="334"/>
      <c r="CX2" s="334"/>
      <c r="CY2" s="334"/>
      <c r="CZ2" s="334"/>
      <c r="DA2" s="334"/>
      <c r="DB2" s="334"/>
      <c r="DC2" s="334"/>
      <c r="DD2" s="334"/>
      <c r="DE2" s="334"/>
      <c r="DF2" s="334"/>
      <c r="DG2" s="334"/>
      <c r="DH2" s="334"/>
      <c r="DI2" s="334"/>
      <c r="DJ2" s="334"/>
      <c r="DK2" s="334"/>
      <c r="DL2" s="334"/>
      <c r="DM2" s="334"/>
      <c r="DN2" s="334"/>
      <c r="DO2" s="334"/>
      <c r="DP2" s="334"/>
      <c r="DQ2" s="334"/>
      <c r="DR2" s="334"/>
      <c r="DS2" s="334"/>
      <c r="DT2" s="334"/>
      <c r="DU2" s="334"/>
      <c r="DV2" s="334"/>
      <c r="DW2" s="334"/>
      <c r="DX2" s="334"/>
      <c r="DY2" s="334"/>
      <c r="DZ2" s="334"/>
      <c r="EA2" s="334"/>
      <c r="EB2" s="334"/>
      <c r="EC2" s="334"/>
      <c r="ED2" s="334"/>
      <c r="EE2" s="334"/>
      <c r="EF2" s="334"/>
      <c r="EG2" s="334"/>
      <c r="EH2" s="334"/>
      <c r="EI2" s="334"/>
      <c r="EJ2" s="334"/>
      <c r="EK2" s="334"/>
      <c r="EL2" s="334"/>
      <c r="EM2" s="334"/>
      <c r="EN2" s="334"/>
      <c r="EO2" s="334"/>
      <c r="EP2" s="334"/>
      <c r="EQ2" s="334"/>
      <c r="ER2" s="334"/>
      <c r="ES2" s="334"/>
      <c r="ET2" s="334"/>
      <c r="EU2" s="334"/>
      <c r="EV2" s="334"/>
      <c r="EW2" s="334"/>
      <c r="EX2" s="334"/>
      <c r="EY2" s="334"/>
      <c r="EZ2" s="334"/>
      <c r="FA2" s="334"/>
      <c r="FB2" s="334"/>
      <c r="FC2" s="334"/>
      <c r="FD2" s="334"/>
      <c r="FE2" s="334"/>
      <c r="FF2" s="334"/>
      <c r="FG2" s="334"/>
      <c r="FH2" s="334"/>
      <c r="FI2" s="334"/>
      <c r="FJ2" s="334"/>
      <c r="FK2" s="334"/>
      <c r="FL2" s="334"/>
      <c r="FM2" s="334"/>
      <c r="FN2" s="334"/>
      <c r="FO2" s="334"/>
      <c r="FP2" s="334"/>
      <c r="FQ2" s="334"/>
      <c r="FR2" s="334"/>
      <c r="FS2" s="334"/>
      <c r="FT2" s="334"/>
      <c r="FU2" s="334"/>
      <c r="FV2" s="334"/>
      <c r="FW2" s="334"/>
      <c r="FX2" s="334"/>
      <c r="FY2" s="334"/>
      <c r="FZ2" s="334"/>
      <c r="GA2" s="334"/>
      <c r="GB2" s="334"/>
      <c r="GC2" s="334"/>
      <c r="GD2" s="334"/>
      <c r="GE2" s="334"/>
      <c r="GF2" s="334"/>
      <c r="GG2" s="334"/>
      <c r="GH2" s="334"/>
      <c r="GI2" s="334"/>
      <c r="GJ2" s="334"/>
      <c r="GK2" s="334"/>
      <c r="GL2" s="334"/>
      <c r="GM2" s="334"/>
      <c r="GN2" s="334"/>
      <c r="GO2" s="334"/>
      <c r="GP2" s="334"/>
      <c r="GQ2" s="334"/>
      <c r="GR2" s="334"/>
      <c r="GS2" s="334"/>
      <c r="GT2" s="334"/>
      <c r="GU2" s="334"/>
      <c r="GV2" s="334"/>
      <c r="GW2" s="334"/>
      <c r="GX2" s="334"/>
      <c r="GY2" s="334"/>
      <c r="GZ2" s="334"/>
      <c r="HA2" s="334"/>
      <c r="HB2" s="334"/>
      <c r="HC2" s="334"/>
      <c r="HD2" s="334"/>
      <c r="HE2" s="334"/>
      <c r="HF2" s="334"/>
      <c r="HG2" s="334"/>
      <c r="HH2" s="334"/>
      <c r="HI2" s="334"/>
      <c r="HJ2" s="334"/>
      <c r="HK2" s="334"/>
      <c r="HL2" s="334"/>
      <c r="HM2" s="334"/>
      <c r="HN2" s="334"/>
      <c r="HO2" s="334"/>
      <c r="HP2" s="334"/>
      <c r="HQ2" s="334"/>
      <c r="HR2" s="334"/>
      <c r="HS2" s="334"/>
      <c r="HT2" s="334"/>
      <c r="HU2" s="334"/>
      <c r="HV2" s="334"/>
      <c r="HW2" s="334"/>
      <c r="HX2" s="334"/>
      <c r="HY2" s="334"/>
      <c r="HZ2" s="334"/>
      <c r="IA2" s="334"/>
      <c r="IB2" s="334"/>
      <c r="IC2" s="334"/>
      <c r="ID2" s="334"/>
      <c r="IE2" s="334"/>
      <c r="IF2" s="334"/>
      <c r="IG2" s="334"/>
      <c r="IH2" s="334"/>
      <c r="II2" s="334"/>
      <c r="IJ2" s="334"/>
      <c r="IK2" s="334"/>
      <c r="IL2" s="334"/>
      <c r="IM2" s="334"/>
      <c r="IN2" s="334"/>
      <c r="IO2" s="334"/>
      <c r="IP2" s="334"/>
      <c r="IQ2" s="334"/>
      <c r="IR2" s="334"/>
    </row>
    <row r="3" spans="1:252" s="368" customFormat="1" x14ac:dyDescent="0.25">
      <c r="A3" s="366">
        <v>43648</v>
      </c>
      <c r="B3" s="367">
        <v>83.03</v>
      </c>
      <c r="C3" s="367">
        <v>25.55</v>
      </c>
      <c r="D3" s="367">
        <v>133.41</v>
      </c>
      <c r="E3" s="367">
        <v>77.989999999999995</v>
      </c>
      <c r="F3" s="367">
        <v>190.01</v>
      </c>
      <c r="G3" s="367">
        <v>14.29</v>
      </c>
      <c r="H3" s="367">
        <v>26.14</v>
      </c>
      <c r="I3" s="367">
        <v>81.89</v>
      </c>
      <c r="J3" s="367">
        <v>88.88</v>
      </c>
      <c r="K3" s="367">
        <v>272.23</v>
      </c>
      <c r="L3" s="367">
        <v>151.5</v>
      </c>
      <c r="M3" s="367">
        <v>79.489999999999995</v>
      </c>
      <c r="N3" s="367">
        <v>32.939998626700003</v>
      </c>
      <c r="O3" s="367">
        <v>11.899999618500001</v>
      </c>
      <c r="P3" s="367">
        <v>25.620000839199999</v>
      </c>
      <c r="Q3" s="367">
        <v>34.459999084499998</v>
      </c>
      <c r="R3" s="367">
        <v>33.200000762899997</v>
      </c>
      <c r="S3" s="367">
        <v>26.5499992371</v>
      </c>
      <c r="T3" s="367">
        <v>26.100000381499999</v>
      </c>
      <c r="U3" s="367">
        <v>75.22</v>
      </c>
      <c r="V3" s="334"/>
      <c r="W3" s="334"/>
      <c r="X3" s="334"/>
      <c r="Y3" s="334"/>
      <c r="Z3" s="334"/>
      <c r="AA3" s="334"/>
      <c r="AB3" s="334"/>
      <c r="AC3" s="334"/>
      <c r="AD3" s="334"/>
      <c r="AE3" s="334"/>
      <c r="AF3" s="334"/>
      <c r="AG3" s="334"/>
      <c r="AH3" s="334"/>
      <c r="AI3" s="334"/>
      <c r="AJ3" s="334"/>
      <c r="AK3" s="334"/>
      <c r="AL3" s="334"/>
      <c r="AM3" s="334"/>
      <c r="AN3" s="334"/>
      <c r="AO3" s="334"/>
      <c r="AP3" s="334"/>
      <c r="AQ3" s="334"/>
      <c r="AR3" s="334"/>
      <c r="AS3" s="334"/>
      <c r="AT3" s="334"/>
      <c r="AU3" s="334"/>
      <c r="AV3" s="334"/>
      <c r="AW3" s="334"/>
      <c r="AX3" s="334"/>
      <c r="AY3" s="334"/>
      <c r="AZ3" s="334"/>
      <c r="BA3" s="334"/>
      <c r="BB3" s="334"/>
      <c r="BC3" s="334"/>
      <c r="BD3" s="334"/>
      <c r="BE3" s="334"/>
      <c r="BF3" s="334"/>
      <c r="BG3" s="334"/>
      <c r="BH3" s="334"/>
      <c r="BI3" s="334"/>
      <c r="BJ3" s="334"/>
      <c r="BK3" s="334"/>
      <c r="BL3" s="334"/>
      <c r="BM3" s="334"/>
      <c r="BN3" s="334"/>
      <c r="BO3" s="334"/>
      <c r="BP3" s="334"/>
      <c r="BQ3" s="334"/>
      <c r="BR3" s="334"/>
      <c r="BS3" s="334"/>
      <c r="BT3" s="334"/>
      <c r="BU3" s="334"/>
      <c r="BV3" s="334"/>
      <c r="BW3" s="334"/>
      <c r="BX3" s="334"/>
      <c r="BY3" s="334"/>
      <c r="BZ3" s="334"/>
      <c r="CA3" s="334"/>
      <c r="CB3" s="334"/>
      <c r="CC3" s="334"/>
      <c r="CD3" s="334"/>
      <c r="CE3" s="334"/>
      <c r="CF3" s="334"/>
      <c r="CG3" s="334"/>
      <c r="CH3" s="334"/>
      <c r="CI3" s="334"/>
      <c r="CJ3" s="334"/>
      <c r="CK3" s="334"/>
      <c r="CL3" s="334"/>
      <c r="CM3" s="334"/>
      <c r="CN3" s="334"/>
      <c r="CO3" s="334"/>
      <c r="CP3" s="334"/>
      <c r="CQ3" s="334"/>
      <c r="CR3" s="334"/>
      <c r="CS3" s="334"/>
      <c r="CT3" s="334"/>
      <c r="CU3" s="334"/>
      <c r="CV3" s="334"/>
      <c r="CW3" s="334"/>
      <c r="CX3" s="334"/>
      <c r="CY3" s="334"/>
      <c r="CZ3" s="334"/>
      <c r="DA3" s="334"/>
      <c r="DB3" s="334"/>
      <c r="DC3" s="334"/>
      <c r="DD3" s="334"/>
      <c r="DE3" s="334"/>
      <c r="DF3" s="334"/>
      <c r="DG3" s="334"/>
      <c r="DH3" s="334"/>
      <c r="DI3" s="334"/>
      <c r="DJ3" s="334"/>
      <c r="DK3" s="334"/>
      <c r="DL3" s="334"/>
      <c r="DM3" s="334"/>
      <c r="DN3" s="334"/>
      <c r="DO3" s="334"/>
      <c r="DP3" s="334"/>
      <c r="DQ3" s="334"/>
      <c r="DR3" s="334"/>
      <c r="DS3" s="334"/>
      <c r="DT3" s="334"/>
      <c r="DU3" s="334"/>
      <c r="DV3" s="334"/>
      <c r="DW3" s="334"/>
      <c r="DX3" s="334"/>
      <c r="DY3" s="334"/>
      <c r="DZ3" s="334"/>
      <c r="EA3" s="334"/>
      <c r="EB3" s="334"/>
      <c r="EC3" s="334"/>
      <c r="ED3" s="334"/>
      <c r="EE3" s="334"/>
      <c r="EF3" s="334"/>
      <c r="EG3" s="334"/>
      <c r="EH3" s="334"/>
      <c r="EI3" s="334"/>
      <c r="EJ3" s="334"/>
      <c r="EK3" s="334"/>
      <c r="EL3" s="334"/>
      <c r="EM3" s="334"/>
      <c r="EN3" s="334"/>
      <c r="EO3" s="334"/>
      <c r="EP3" s="334"/>
      <c r="EQ3" s="334"/>
      <c r="ER3" s="334"/>
      <c r="ES3" s="334"/>
      <c r="ET3" s="334"/>
      <c r="EU3" s="334"/>
      <c r="EV3" s="334"/>
      <c r="EW3" s="334"/>
      <c r="EX3" s="334"/>
      <c r="EY3" s="334"/>
      <c r="EZ3" s="334"/>
      <c r="FA3" s="334"/>
      <c r="FB3" s="334"/>
      <c r="FC3" s="334"/>
      <c r="FD3" s="334"/>
      <c r="FE3" s="334"/>
      <c r="FF3" s="334"/>
      <c r="FG3" s="334"/>
      <c r="FH3" s="334"/>
      <c r="FI3" s="334"/>
      <c r="FJ3" s="334"/>
      <c r="FK3" s="334"/>
      <c r="FL3" s="334"/>
      <c r="FM3" s="334"/>
      <c r="FN3" s="334"/>
      <c r="FO3" s="334"/>
      <c r="FP3" s="334"/>
      <c r="FQ3" s="334"/>
      <c r="FR3" s="334"/>
      <c r="FS3" s="334"/>
      <c r="FT3" s="334"/>
      <c r="FU3" s="334"/>
      <c r="FV3" s="334"/>
      <c r="FW3" s="334"/>
      <c r="FX3" s="334"/>
      <c r="FY3" s="334"/>
      <c r="FZ3" s="334"/>
      <c r="GA3" s="334"/>
      <c r="GB3" s="334"/>
      <c r="GC3" s="334"/>
      <c r="GD3" s="334"/>
      <c r="GE3" s="334"/>
      <c r="GF3" s="334"/>
      <c r="GG3" s="334"/>
      <c r="GH3" s="334"/>
      <c r="GI3" s="334"/>
      <c r="GJ3" s="334"/>
      <c r="GK3" s="334"/>
      <c r="GL3" s="334"/>
      <c r="GM3" s="334"/>
      <c r="GN3" s="334"/>
      <c r="GO3" s="334"/>
      <c r="GP3" s="334"/>
      <c r="GQ3" s="334"/>
      <c r="GR3" s="334"/>
      <c r="GS3" s="334"/>
      <c r="GT3" s="334"/>
      <c r="GU3" s="334"/>
      <c r="GV3" s="334"/>
      <c r="GW3" s="334"/>
      <c r="GX3" s="334"/>
      <c r="GY3" s="334"/>
      <c r="GZ3" s="334"/>
      <c r="HA3" s="334"/>
      <c r="HB3" s="334"/>
      <c r="HC3" s="334"/>
      <c r="HD3" s="334"/>
      <c r="HE3" s="334"/>
      <c r="HF3" s="334"/>
      <c r="HG3" s="334"/>
      <c r="HH3" s="334"/>
      <c r="HI3" s="334"/>
      <c r="HJ3" s="334"/>
      <c r="HK3" s="334"/>
      <c r="HL3" s="334"/>
      <c r="HM3" s="334"/>
      <c r="HN3" s="334"/>
      <c r="HO3" s="334"/>
      <c r="HP3" s="334"/>
      <c r="HQ3" s="334"/>
      <c r="HR3" s="334"/>
      <c r="HS3" s="334"/>
      <c r="HT3" s="334"/>
      <c r="HU3" s="334"/>
      <c r="HV3" s="334"/>
      <c r="HW3" s="334"/>
      <c r="HX3" s="334"/>
      <c r="HY3" s="334"/>
      <c r="HZ3" s="334"/>
      <c r="IA3" s="334"/>
      <c r="IB3" s="334"/>
      <c r="IC3" s="334"/>
      <c r="ID3" s="334"/>
      <c r="IE3" s="334"/>
      <c r="IF3" s="334"/>
      <c r="IG3" s="334"/>
      <c r="IH3" s="334"/>
      <c r="II3" s="334"/>
      <c r="IJ3" s="334"/>
      <c r="IK3" s="334"/>
      <c r="IL3" s="334"/>
      <c r="IM3" s="334"/>
      <c r="IN3" s="334"/>
      <c r="IO3" s="334"/>
      <c r="IP3" s="334"/>
      <c r="IQ3" s="334"/>
      <c r="IR3" s="334"/>
    </row>
    <row r="4" spans="1:252" s="368" customFormat="1" x14ac:dyDescent="0.25">
      <c r="A4" s="366">
        <v>43649</v>
      </c>
      <c r="B4" s="367">
        <v>83.18</v>
      </c>
      <c r="C4" s="367">
        <v>25.65</v>
      </c>
      <c r="D4" s="367">
        <v>133.63</v>
      </c>
      <c r="E4" s="367">
        <v>78.430000000000007</v>
      </c>
      <c r="F4" s="367">
        <v>191.44</v>
      </c>
      <c r="G4" s="367">
        <v>14.32</v>
      </c>
      <c r="H4" s="367">
        <v>26.14</v>
      </c>
      <c r="I4" s="367">
        <v>82.4</v>
      </c>
      <c r="J4" s="367">
        <v>89.94</v>
      </c>
      <c r="K4" s="367">
        <v>274.32</v>
      </c>
      <c r="L4" s="367">
        <v>152.63999999999999</v>
      </c>
      <c r="M4" s="367">
        <v>80.099999999999994</v>
      </c>
      <c r="N4" s="367">
        <v>33.189998626700003</v>
      </c>
      <c r="O4" s="367">
        <v>11.949999809299999</v>
      </c>
      <c r="P4" s="367">
        <v>25.790000915499999</v>
      </c>
      <c r="Q4" s="367">
        <v>34.849998474099998</v>
      </c>
      <c r="R4" s="367">
        <v>33.450000762899997</v>
      </c>
      <c r="S4" s="367">
        <v>26.409999847400002</v>
      </c>
      <c r="T4" s="367">
        <v>26.159999847400002</v>
      </c>
      <c r="U4" s="367">
        <v>75.459999999999994</v>
      </c>
      <c r="V4" s="334"/>
      <c r="W4" s="334"/>
      <c r="X4" s="334"/>
      <c r="Y4" s="334"/>
      <c r="Z4" s="334"/>
      <c r="AA4" s="334"/>
      <c r="AB4" s="334"/>
      <c r="AC4" s="334"/>
      <c r="AD4" s="334"/>
      <c r="AE4" s="334"/>
      <c r="AF4" s="334"/>
      <c r="AG4" s="334"/>
      <c r="AH4" s="334"/>
      <c r="AI4" s="334"/>
      <c r="AJ4" s="334"/>
      <c r="AK4" s="334"/>
      <c r="AL4" s="334"/>
      <c r="AM4" s="334"/>
      <c r="AN4" s="334"/>
      <c r="AO4" s="334"/>
      <c r="AP4" s="334"/>
      <c r="AQ4" s="334"/>
      <c r="AR4" s="334"/>
      <c r="AS4" s="334"/>
      <c r="AT4" s="334"/>
      <c r="AU4" s="334"/>
      <c r="AV4" s="334"/>
      <c r="AW4" s="334"/>
      <c r="AX4" s="334"/>
      <c r="AY4" s="334"/>
      <c r="AZ4" s="334"/>
      <c r="BA4" s="334"/>
      <c r="BB4" s="334"/>
      <c r="BC4" s="334"/>
      <c r="BD4" s="334"/>
      <c r="BE4" s="334"/>
      <c r="BF4" s="334"/>
      <c r="BG4" s="334"/>
      <c r="BH4" s="334"/>
      <c r="BI4" s="334"/>
      <c r="BJ4" s="334"/>
      <c r="BK4" s="334"/>
      <c r="BL4" s="334"/>
      <c r="BM4" s="334"/>
      <c r="BN4" s="334"/>
      <c r="BO4" s="334"/>
      <c r="BP4" s="334"/>
      <c r="BQ4" s="334"/>
      <c r="BR4" s="334"/>
      <c r="BS4" s="334"/>
      <c r="BT4" s="334"/>
      <c r="BU4" s="334"/>
      <c r="BV4" s="334"/>
      <c r="BW4" s="334"/>
      <c r="BX4" s="334"/>
      <c r="BY4" s="334"/>
      <c r="BZ4" s="334"/>
      <c r="CA4" s="334"/>
      <c r="CB4" s="334"/>
      <c r="CC4" s="334"/>
      <c r="CD4" s="334"/>
      <c r="CE4" s="334"/>
      <c r="CF4" s="334"/>
      <c r="CG4" s="334"/>
      <c r="CH4" s="334"/>
      <c r="CI4" s="334"/>
      <c r="CJ4" s="334"/>
      <c r="CK4" s="334"/>
      <c r="CL4" s="334"/>
      <c r="CM4" s="334"/>
      <c r="CN4" s="334"/>
      <c r="CO4" s="334"/>
      <c r="CP4" s="334"/>
      <c r="CQ4" s="334"/>
      <c r="CR4" s="334"/>
      <c r="CS4" s="334"/>
      <c r="CT4" s="334"/>
      <c r="CU4" s="334"/>
      <c r="CV4" s="334"/>
      <c r="CW4" s="334"/>
      <c r="CX4" s="334"/>
      <c r="CY4" s="334"/>
      <c r="CZ4" s="334"/>
      <c r="DA4" s="334"/>
      <c r="DB4" s="334"/>
      <c r="DC4" s="334"/>
      <c r="DD4" s="334"/>
      <c r="DE4" s="334"/>
      <c r="DF4" s="334"/>
      <c r="DG4" s="334"/>
      <c r="DH4" s="334"/>
      <c r="DI4" s="334"/>
      <c r="DJ4" s="334"/>
      <c r="DK4" s="334"/>
      <c r="DL4" s="334"/>
      <c r="DM4" s="334"/>
      <c r="DN4" s="334"/>
      <c r="DO4" s="334"/>
      <c r="DP4" s="334"/>
      <c r="DQ4" s="334"/>
      <c r="DR4" s="334"/>
      <c r="DS4" s="334"/>
      <c r="DT4" s="334"/>
      <c r="DU4" s="334"/>
      <c r="DV4" s="334"/>
      <c r="DW4" s="334"/>
      <c r="DX4" s="334"/>
      <c r="DY4" s="334"/>
      <c r="DZ4" s="334"/>
      <c r="EA4" s="334"/>
      <c r="EB4" s="334"/>
      <c r="EC4" s="334"/>
      <c r="ED4" s="334"/>
      <c r="EE4" s="334"/>
      <c r="EF4" s="334"/>
      <c r="EG4" s="334"/>
      <c r="EH4" s="334"/>
      <c r="EI4" s="334"/>
      <c r="EJ4" s="334"/>
      <c r="EK4" s="334"/>
      <c r="EL4" s="334"/>
      <c r="EM4" s="334"/>
      <c r="EN4" s="334"/>
      <c r="EO4" s="334"/>
      <c r="EP4" s="334"/>
      <c r="EQ4" s="334"/>
      <c r="ER4" s="334"/>
      <c r="ES4" s="334"/>
      <c r="ET4" s="334"/>
      <c r="EU4" s="334"/>
      <c r="EV4" s="334"/>
      <c r="EW4" s="334"/>
      <c r="EX4" s="334"/>
      <c r="EY4" s="334"/>
      <c r="EZ4" s="334"/>
      <c r="FA4" s="334"/>
      <c r="FB4" s="334"/>
      <c r="FC4" s="334"/>
      <c r="FD4" s="334"/>
      <c r="FE4" s="334"/>
      <c r="FF4" s="334"/>
      <c r="FG4" s="334"/>
      <c r="FH4" s="334"/>
      <c r="FI4" s="334"/>
      <c r="FJ4" s="334"/>
      <c r="FK4" s="334"/>
      <c r="FL4" s="334"/>
      <c r="FM4" s="334"/>
      <c r="FN4" s="334"/>
      <c r="FO4" s="334"/>
      <c r="FP4" s="334"/>
      <c r="FQ4" s="334"/>
      <c r="FR4" s="334"/>
      <c r="FS4" s="334"/>
      <c r="FT4" s="334"/>
      <c r="FU4" s="334"/>
      <c r="FV4" s="334"/>
      <c r="FW4" s="334"/>
      <c r="FX4" s="334"/>
      <c r="FY4" s="334"/>
      <c r="FZ4" s="334"/>
      <c r="GA4" s="334"/>
      <c r="GB4" s="334"/>
      <c r="GC4" s="334"/>
      <c r="GD4" s="334"/>
      <c r="GE4" s="334"/>
      <c r="GF4" s="334"/>
      <c r="GG4" s="334"/>
      <c r="GH4" s="334"/>
      <c r="GI4" s="334"/>
      <c r="GJ4" s="334"/>
      <c r="GK4" s="334"/>
      <c r="GL4" s="334"/>
      <c r="GM4" s="334"/>
      <c r="GN4" s="334"/>
      <c r="GO4" s="334"/>
      <c r="GP4" s="334"/>
      <c r="GQ4" s="334"/>
      <c r="GR4" s="334"/>
      <c r="GS4" s="334"/>
      <c r="GT4" s="334"/>
      <c r="GU4" s="334"/>
      <c r="GV4" s="334"/>
      <c r="GW4" s="334"/>
      <c r="GX4" s="334"/>
      <c r="GY4" s="334"/>
      <c r="GZ4" s="334"/>
      <c r="HA4" s="334"/>
      <c r="HB4" s="334"/>
      <c r="HC4" s="334"/>
      <c r="HD4" s="334"/>
      <c r="HE4" s="334"/>
      <c r="HF4" s="334"/>
      <c r="HG4" s="334"/>
      <c r="HH4" s="334"/>
      <c r="HI4" s="334"/>
      <c r="HJ4" s="334"/>
      <c r="HK4" s="334"/>
      <c r="HL4" s="334"/>
      <c r="HM4" s="334"/>
      <c r="HN4" s="334"/>
      <c r="HO4" s="334"/>
      <c r="HP4" s="334"/>
      <c r="HQ4" s="334"/>
      <c r="HR4" s="334"/>
      <c r="HS4" s="334"/>
      <c r="HT4" s="334"/>
      <c r="HU4" s="334"/>
      <c r="HV4" s="334"/>
      <c r="HW4" s="334"/>
      <c r="HX4" s="334"/>
      <c r="HY4" s="334"/>
      <c r="HZ4" s="334"/>
      <c r="IA4" s="334"/>
      <c r="IB4" s="334"/>
      <c r="IC4" s="334"/>
      <c r="ID4" s="334"/>
      <c r="IE4" s="334"/>
      <c r="IF4" s="334"/>
      <c r="IG4" s="334"/>
      <c r="IH4" s="334"/>
      <c r="II4" s="334"/>
      <c r="IJ4" s="334"/>
      <c r="IK4" s="334"/>
      <c r="IL4" s="334"/>
      <c r="IM4" s="334"/>
      <c r="IN4" s="334"/>
      <c r="IO4" s="334"/>
      <c r="IP4" s="334"/>
      <c r="IQ4" s="334"/>
      <c r="IR4" s="334"/>
    </row>
    <row r="5" spans="1:252" s="368" customFormat="1" x14ac:dyDescent="0.25">
      <c r="A5" s="366">
        <v>43650</v>
      </c>
      <c r="B5" s="367">
        <v>83.18</v>
      </c>
      <c r="C5" s="367">
        <v>25.65</v>
      </c>
      <c r="D5" s="367">
        <v>133.63</v>
      </c>
      <c r="E5" s="367">
        <v>78.430000000000007</v>
      </c>
      <c r="F5" s="367">
        <v>191.44</v>
      </c>
      <c r="G5" s="367">
        <v>14.32</v>
      </c>
      <c r="H5" s="367">
        <v>26.14</v>
      </c>
      <c r="I5" s="367">
        <v>82.4</v>
      </c>
      <c r="J5" s="367">
        <v>89.94</v>
      </c>
      <c r="K5" s="367">
        <v>274.32</v>
      </c>
      <c r="L5" s="367">
        <v>152.63999999999999</v>
      </c>
      <c r="M5" s="367">
        <v>80.099999999999994</v>
      </c>
      <c r="N5" s="367">
        <v>33.299999237100003</v>
      </c>
      <c r="O5" s="367">
        <v>11.949999809299999</v>
      </c>
      <c r="P5" s="367">
        <v>25.7999992371</v>
      </c>
      <c r="Q5" s="367">
        <v>34.799999237100003</v>
      </c>
      <c r="R5" s="367">
        <v>33.470001220699999</v>
      </c>
      <c r="S5" s="367">
        <v>26.600000381499999</v>
      </c>
      <c r="T5" s="367">
        <v>26.120000839199999</v>
      </c>
      <c r="U5" s="367">
        <v>75.459999999999994</v>
      </c>
      <c r="V5" s="334"/>
      <c r="W5" s="334"/>
      <c r="X5" s="334"/>
      <c r="Y5" s="334"/>
      <c r="Z5" s="334"/>
      <c r="AA5" s="334"/>
      <c r="AB5" s="334"/>
      <c r="AC5" s="334"/>
      <c r="AD5" s="334"/>
      <c r="AE5" s="334"/>
      <c r="AF5" s="334"/>
      <c r="AG5" s="334"/>
      <c r="AH5" s="334"/>
      <c r="AI5" s="334"/>
      <c r="AJ5" s="334"/>
      <c r="AK5" s="334"/>
      <c r="AL5" s="334"/>
      <c r="AM5" s="334"/>
      <c r="AN5" s="334"/>
      <c r="AO5" s="334"/>
      <c r="AP5" s="334"/>
      <c r="AQ5" s="334"/>
      <c r="AR5" s="334"/>
      <c r="AS5" s="334"/>
      <c r="AT5" s="334"/>
      <c r="AU5" s="334"/>
      <c r="AV5" s="334"/>
      <c r="AW5" s="334"/>
      <c r="AX5" s="334"/>
      <c r="AY5" s="334"/>
      <c r="AZ5" s="334"/>
      <c r="BA5" s="334"/>
      <c r="BB5" s="334"/>
      <c r="BC5" s="334"/>
      <c r="BD5" s="334"/>
      <c r="BE5" s="334"/>
      <c r="BF5" s="334"/>
      <c r="BG5" s="334"/>
      <c r="BH5" s="334"/>
      <c r="BI5" s="334"/>
      <c r="BJ5" s="334"/>
      <c r="BK5" s="334"/>
      <c r="BL5" s="334"/>
      <c r="BM5" s="334"/>
      <c r="BN5" s="334"/>
      <c r="BO5" s="334"/>
      <c r="BP5" s="334"/>
      <c r="BQ5" s="334"/>
      <c r="BR5" s="334"/>
      <c r="BS5" s="334"/>
      <c r="BT5" s="334"/>
      <c r="BU5" s="334"/>
      <c r="BV5" s="334"/>
      <c r="BW5" s="334"/>
      <c r="BX5" s="334"/>
      <c r="BY5" s="334"/>
      <c r="BZ5" s="334"/>
      <c r="CA5" s="334"/>
      <c r="CB5" s="334"/>
      <c r="CC5" s="334"/>
      <c r="CD5" s="334"/>
      <c r="CE5" s="334"/>
      <c r="CF5" s="334"/>
      <c r="CG5" s="334"/>
      <c r="CH5" s="334"/>
      <c r="CI5" s="334"/>
      <c r="CJ5" s="334"/>
      <c r="CK5" s="334"/>
      <c r="CL5" s="334"/>
      <c r="CM5" s="334"/>
      <c r="CN5" s="334"/>
      <c r="CO5" s="334"/>
      <c r="CP5" s="334"/>
      <c r="CQ5" s="334"/>
      <c r="CR5" s="334"/>
      <c r="CS5" s="334"/>
      <c r="CT5" s="334"/>
      <c r="CU5" s="334"/>
      <c r="CV5" s="334"/>
      <c r="CW5" s="334"/>
      <c r="CX5" s="334"/>
      <c r="CY5" s="334"/>
      <c r="CZ5" s="334"/>
      <c r="DA5" s="334"/>
      <c r="DB5" s="334"/>
      <c r="DC5" s="334"/>
      <c r="DD5" s="334"/>
      <c r="DE5" s="334"/>
      <c r="DF5" s="334"/>
      <c r="DG5" s="334"/>
      <c r="DH5" s="334"/>
      <c r="DI5" s="334"/>
      <c r="DJ5" s="334"/>
      <c r="DK5" s="334"/>
      <c r="DL5" s="334"/>
      <c r="DM5" s="334"/>
      <c r="DN5" s="334"/>
      <c r="DO5" s="334"/>
      <c r="DP5" s="334"/>
      <c r="DQ5" s="334"/>
      <c r="DR5" s="334"/>
      <c r="DS5" s="334"/>
      <c r="DT5" s="334"/>
      <c r="DU5" s="334"/>
      <c r="DV5" s="334"/>
      <c r="DW5" s="334"/>
      <c r="DX5" s="334"/>
      <c r="DY5" s="334"/>
      <c r="DZ5" s="334"/>
      <c r="EA5" s="334"/>
      <c r="EB5" s="334"/>
      <c r="EC5" s="334"/>
      <c r="ED5" s="334"/>
      <c r="EE5" s="334"/>
      <c r="EF5" s="334"/>
      <c r="EG5" s="334"/>
      <c r="EH5" s="334"/>
      <c r="EI5" s="334"/>
      <c r="EJ5" s="334"/>
      <c r="EK5" s="334"/>
      <c r="EL5" s="334"/>
      <c r="EM5" s="334"/>
      <c r="EN5" s="334"/>
      <c r="EO5" s="334"/>
      <c r="EP5" s="334"/>
      <c r="EQ5" s="334"/>
      <c r="ER5" s="334"/>
      <c r="ES5" s="334"/>
      <c r="ET5" s="334"/>
      <c r="EU5" s="334"/>
      <c r="EV5" s="334"/>
      <c r="EW5" s="334"/>
      <c r="EX5" s="334"/>
      <c r="EY5" s="334"/>
      <c r="EZ5" s="334"/>
      <c r="FA5" s="334"/>
      <c r="FB5" s="334"/>
      <c r="FC5" s="334"/>
      <c r="FD5" s="334"/>
      <c r="FE5" s="334"/>
      <c r="FF5" s="334"/>
      <c r="FG5" s="334"/>
      <c r="FH5" s="334"/>
      <c r="FI5" s="334"/>
      <c r="FJ5" s="334"/>
      <c r="FK5" s="334"/>
      <c r="FL5" s="334"/>
      <c r="FM5" s="334"/>
      <c r="FN5" s="334"/>
      <c r="FO5" s="334"/>
      <c r="FP5" s="334"/>
      <c r="FQ5" s="334"/>
      <c r="FR5" s="334"/>
      <c r="FS5" s="334"/>
      <c r="FT5" s="334"/>
      <c r="FU5" s="334"/>
      <c r="FV5" s="334"/>
      <c r="FW5" s="334"/>
      <c r="FX5" s="334"/>
      <c r="FY5" s="334"/>
      <c r="FZ5" s="334"/>
      <c r="GA5" s="334"/>
      <c r="GB5" s="334"/>
      <c r="GC5" s="334"/>
      <c r="GD5" s="334"/>
      <c r="GE5" s="334"/>
      <c r="GF5" s="334"/>
      <c r="GG5" s="334"/>
      <c r="GH5" s="334"/>
      <c r="GI5" s="334"/>
      <c r="GJ5" s="334"/>
      <c r="GK5" s="334"/>
      <c r="GL5" s="334"/>
      <c r="GM5" s="334"/>
      <c r="GN5" s="334"/>
      <c r="GO5" s="334"/>
      <c r="GP5" s="334"/>
      <c r="GQ5" s="334"/>
      <c r="GR5" s="334"/>
      <c r="GS5" s="334"/>
      <c r="GT5" s="334"/>
      <c r="GU5" s="334"/>
      <c r="GV5" s="334"/>
      <c r="GW5" s="334"/>
      <c r="GX5" s="334"/>
      <c r="GY5" s="334"/>
      <c r="GZ5" s="334"/>
      <c r="HA5" s="334"/>
      <c r="HB5" s="334"/>
      <c r="HC5" s="334"/>
      <c r="HD5" s="334"/>
      <c r="HE5" s="334"/>
      <c r="HF5" s="334"/>
      <c r="HG5" s="334"/>
      <c r="HH5" s="334"/>
      <c r="HI5" s="334"/>
      <c r="HJ5" s="334"/>
      <c r="HK5" s="334"/>
      <c r="HL5" s="334"/>
      <c r="HM5" s="334"/>
      <c r="HN5" s="334"/>
      <c r="HO5" s="334"/>
      <c r="HP5" s="334"/>
      <c r="HQ5" s="334"/>
      <c r="HR5" s="334"/>
      <c r="HS5" s="334"/>
      <c r="HT5" s="334"/>
      <c r="HU5" s="334"/>
      <c r="HV5" s="334"/>
      <c r="HW5" s="334"/>
      <c r="HX5" s="334"/>
      <c r="HY5" s="334"/>
      <c r="HZ5" s="334"/>
      <c r="IA5" s="334"/>
      <c r="IB5" s="334"/>
      <c r="IC5" s="334"/>
      <c r="ID5" s="334"/>
      <c r="IE5" s="334"/>
      <c r="IF5" s="334"/>
      <c r="IG5" s="334"/>
      <c r="IH5" s="334"/>
      <c r="II5" s="334"/>
      <c r="IJ5" s="334"/>
      <c r="IK5" s="334"/>
      <c r="IL5" s="334"/>
      <c r="IM5" s="334"/>
      <c r="IN5" s="334"/>
      <c r="IO5" s="334"/>
      <c r="IP5" s="334"/>
      <c r="IQ5" s="334"/>
      <c r="IR5" s="334"/>
    </row>
    <row r="6" spans="1:252" s="368" customFormat="1" x14ac:dyDescent="0.25">
      <c r="A6" s="366">
        <v>43651</v>
      </c>
      <c r="B6" s="367">
        <v>82.79</v>
      </c>
      <c r="C6" s="367">
        <v>25.39</v>
      </c>
      <c r="D6" s="367">
        <v>132.13999999999999</v>
      </c>
      <c r="E6" s="367">
        <v>78.739999999999995</v>
      </c>
      <c r="F6" s="367">
        <v>191.05</v>
      </c>
      <c r="G6" s="367">
        <v>14.06</v>
      </c>
      <c r="H6" s="367">
        <v>26.28</v>
      </c>
      <c r="I6" s="367">
        <v>81.39</v>
      </c>
      <c r="J6" s="367">
        <v>89.62</v>
      </c>
      <c r="K6" s="367">
        <v>273.97000000000003</v>
      </c>
      <c r="L6" s="367">
        <v>152.55000000000001</v>
      </c>
      <c r="M6" s="367">
        <v>79.95</v>
      </c>
      <c r="N6" s="367">
        <v>33.1399993896</v>
      </c>
      <c r="O6" s="367">
        <v>11.829999923700001</v>
      </c>
      <c r="P6" s="367">
        <v>25.6100006104</v>
      </c>
      <c r="Q6" s="367">
        <v>34.720001220699999</v>
      </c>
      <c r="R6" s="367">
        <v>33.349998474099998</v>
      </c>
      <c r="S6" s="367">
        <v>26.4300003052</v>
      </c>
      <c r="T6" s="367">
        <v>25.959999084500001</v>
      </c>
      <c r="U6" s="367">
        <v>75.45</v>
      </c>
      <c r="V6" s="334"/>
      <c r="W6" s="334"/>
      <c r="X6" s="334"/>
      <c r="Y6" s="334"/>
      <c r="Z6" s="334"/>
      <c r="AA6" s="334"/>
      <c r="AB6" s="334"/>
      <c r="AC6" s="334"/>
      <c r="AD6" s="334"/>
      <c r="AE6" s="334"/>
      <c r="AF6" s="334"/>
      <c r="AG6" s="334"/>
      <c r="AH6" s="334"/>
      <c r="AI6" s="334"/>
      <c r="AJ6" s="334"/>
      <c r="AK6" s="334"/>
      <c r="AL6" s="334"/>
      <c r="AM6" s="334"/>
      <c r="AN6" s="334"/>
      <c r="AO6" s="334"/>
      <c r="AP6" s="334"/>
      <c r="AQ6" s="334"/>
      <c r="AR6" s="334"/>
      <c r="AS6" s="334"/>
      <c r="AT6" s="334"/>
      <c r="AU6" s="334"/>
      <c r="AV6" s="334"/>
      <c r="AW6" s="334"/>
      <c r="AX6" s="334"/>
      <c r="AY6" s="334"/>
      <c r="AZ6" s="334"/>
      <c r="BA6" s="334"/>
      <c r="BB6" s="334"/>
      <c r="BC6" s="334"/>
      <c r="BD6" s="334"/>
      <c r="BE6" s="334"/>
      <c r="BF6" s="334"/>
      <c r="BG6" s="334"/>
      <c r="BH6" s="334"/>
      <c r="BI6" s="334"/>
      <c r="BJ6" s="334"/>
      <c r="BK6" s="334"/>
      <c r="BL6" s="334"/>
      <c r="BM6" s="334"/>
      <c r="BN6" s="334"/>
      <c r="BO6" s="334"/>
      <c r="BP6" s="334"/>
      <c r="BQ6" s="334"/>
      <c r="BR6" s="334"/>
      <c r="BS6" s="334"/>
      <c r="BT6" s="334"/>
      <c r="BU6" s="334"/>
      <c r="BV6" s="334"/>
      <c r="BW6" s="334"/>
      <c r="BX6" s="334"/>
      <c r="BY6" s="334"/>
      <c r="BZ6" s="334"/>
      <c r="CA6" s="334"/>
      <c r="CB6" s="334"/>
      <c r="CC6" s="334"/>
      <c r="CD6" s="334"/>
      <c r="CE6" s="334"/>
      <c r="CF6" s="334"/>
      <c r="CG6" s="334"/>
      <c r="CH6" s="334"/>
      <c r="CI6" s="334"/>
      <c r="CJ6" s="334"/>
      <c r="CK6" s="334"/>
      <c r="CL6" s="334"/>
      <c r="CM6" s="334"/>
      <c r="CN6" s="334"/>
      <c r="CO6" s="334"/>
      <c r="CP6" s="334"/>
      <c r="CQ6" s="334"/>
      <c r="CR6" s="334"/>
      <c r="CS6" s="334"/>
      <c r="CT6" s="334"/>
      <c r="CU6" s="334"/>
      <c r="CV6" s="334"/>
      <c r="CW6" s="334"/>
      <c r="CX6" s="334"/>
      <c r="CY6" s="334"/>
      <c r="CZ6" s="334"/>
      <c r="DA6" s="334"/>
      <c r="DB6" s="334"/>
      <c r="DC6" s="334"/>
      <c r="DD6" s="334"/>
      <c r="DE6" s="334"/>
      <c r="DF6" s="334"/>
      <c r="DG6" s="334"/>
      <c r="DH6" s="334"/>
      <c r="DI6" s="334"/>
      <c r="DJ6" s="334"/>
      <c r="DK6" s="334"/>
      <c r="DL6" s="334"/>
      <c r="DM6" s="334"/>
      <c r="DN6" s="334"/>
      <c r="DO6" s="334"/>
      <c r="DP6" s="334"/>
      <c r="DQ6" s="334"/>
      <c r="DR6" s="334"/>
      <c r="DS6" s="334"/>
      <c r="DT6" s="334"/>
      <c r="DU6" s="334"/>
      <c r="DV6" s="334"/>
      <c r="DW6" s="334"/>
      <c r="DX6" s="334"/>
      <c r="DY6" s="334"/>
      <c r="DZ6" s="334"/>
      <c r="EA6" s="334"/>
      <c r="EB6" s="334"/>
      <c r="EC6" s="334"/>
      <c r="ED6" s="334"/>
      <c r="EE6" s="334"/>
      <c r="EF6" s="334"/>
      <c r="EG6" s="334"/>
      <c r="EH6" s="334"/>
      <c r="EI6" s="334"/>
      <c r="EJ6" s="334"/>
      <c r="EK6" s="334"/>
      <c r="EL6" s="334"/>
      <c r="EM6" s="334"/>
      <c r="EN6" s="334"/>
      <c r="EO6" s="334"/>
      <c r="EP6" s="334"/>
      <c r="EQ6" s="334"/>
      <c r="ER6" s="334"/>
      <c r="ES6" s="334"/>
      <c r="ET6" s="334"/>
      <c r="EU6" s="334"/>
      <c r="EV6" s="334"/>
      <c r="EW6" s="334"/>
      <c r="EX6" s="334"/>
      <c r="EY6" s="334"/>
      <c r="EZ6" s="334"/>
      <c r="FA6" s="334"/>
      <c r="FB6" s="334"/>
      <c r="FC6" s="334"/>
      <c r="FD6" s="334"/>
      <c r="FE6" s="334"/>
      <c r="FF6" s="334"/>
      <c r="FG6" s="334"/>
      <c r="FH6" s="334"/>
      <c r="FI6" s="334"/>
      <c r="FJ6" s="334"/>
      <c r="FK6" s="334"/>
      <c r="FL6" s="334"/>
      <c r="FM6" s="334"/>
      <c r="FN6" s="334"/>
      <c r="FO6" s="334"/>
      <c r="FP6" s="334"/>
      <c r="FQ6" s="334"/>
      <c r="FR6" s="334"/>
      <c r="FS6" s="334"/>
      <c r="FT6" s="334"/>
      <c r="FU6" s="334"/>
      <c r="FV6" s="334"/>
      <c r="FW6" s="334"/>
      <c r="FX6" s="334"/>
      <c r="FY6" s="334"/>
      <c r="FZ6" s="334"/>
      <c r="GA6" s="334"/>
      <c r="GB6" s="334"/>
      <c r="GC6" s="334"/>
      <c r="GD6" s="334"/>
      <c r="GE6" s="334"/>
      <c r="GF6" s="334"/>
      <c r="GG6" s="334"/>
      <c r="GH6" s="334"/>
      <c r="GI6" s="334"/>
      <c r="GJ6" s="334"/>
      <c r="GK6" s="334"/>
      <c r="GL6" s="334"/>
      <c r="GM6" s="334"/>
      <c r="GN6" s="334"/>
      <c r="GO6" s="334"/>
      <c r="GP6" s="334"/>
      <c r="GQ6" s="334"/>
      <c r="GR6" s="334"/>
      <c r="GS6" s="334"/>
      <c r="GT6" s="334"/>
      <c r="GU6" s="334"/>
      <c r="GV6" s="334"/>
      <c r="GW6" s="334"/>
      <c r="GX6" s="334"/>
      <c r="GY6" s="334"/>
      <c r="GZ6" s="334"/>
      <c r="HA6" s="334"/>
      <c r="HB6" s="334"/>
      <c r="HC6" s="334"/>
      <c r="HD6" s="334"/>
      <c r="HE6" s="334"/>
      <c r="HF6" s="334"/>
      <c r="HG6" s="334"/>
      <c r="HH6" s="334"/>
      <c r="HI6" s="334"/>
      <c r="HJ6" s="334"/>
      <c r="HK6" s="334"/>
      <c r="HL6" s="334"/>
      <c r="HM6" s="334"/>
      <c r="HN6" s="334"/>
      <c r="HO6" s="334"/>
      <c r="HP6" s="334"/>
      <c r="HQ6" s="334"/>
      <c r="HR6" s="334"/>
      <c r="HS6" s="334"/>
      <c r="HT6" s="334"/>
      <c r="HU6" s="334"/>
      <c r="HV6" s="334"/>
      <c r="HW6" s="334"/>
      <c r="HX6" s="334"/>
      <c r="HY6" s="334"/>
      <c r="HZ6" s="334"/>
      <c r="IA6" s="334"/>
      <c r="IB6" s="334"/>
      <c r="IC6" s="334"/>
      <c r="ID6" s="334"/>
      <c r="IE6" s="334"/>
      <c r="IF6" s="334"/>
      <c r="IG6" s="334"/>
      <c r="IH6" s="334"/>
      <c r="II6" s="334"/>
      <c r="IJ6" s="334"/>
      <c r="IK6" s="334"/>
      <c r="IL6" s="334"/>
      <c r="IM6" s="334"/>
      <c r="IN6" s="334"/>
      <c r="IO6" s="334"/>
      <c r="IP6" s="334"/>
      <c r="IQ6" s="334"/>
      <c r="IR6" s="334"/>
    </row>
    <row r="7" spans="1:252" s="368" customFormat="1" x14ac:dyDescent="0.25">
      <c r="A7" s="366">
        <v>43652</v>
      </c>
      <c r="B7" s="367">
        <v>82.79</v>
      </c>
      <c r="C7" s="367">
        <v>25.39</v>
      </c>
      <c r="D7" s="367">
        <v>132.13999999999999</v>
      </c>
      <c r="E7" s="367">
        <v>78.739999999999995</v>
      </c>
      <c r="F7" s="367">
        <v>191.05</v>
      </c>
      <c r="G7" s="367">
        <v>14.06</v>
      </c>
      <c r="H7" s="367">
        <v>26.28</v>
      </c>
      <c r="I7" s="367">
        <v>81.39</v>
      </c>
      <c r="J7" s="367">
        <v>89.62</v>
      </c>
      <c r="K7" s="367">
        <v>273.97000000000003</v>
      </c>
      <c r="L7" s="367">
        <v>152.55000000000001</v>
      </c>
      <c r="M7" s="367">
        <v>79.95</v>
      </c>
      <c r="N7" s="367">
        <v>33.1399993896</v>
      </c>
      <c r="O7" s="367">
        <v>11.829999923700001</v>
      </c>
      <c r="P7" s="367">
        <v>25.6100006104</v>
      </c>
      <c r="Q7" s="367">
        <v>34.720001220699999</v>
      </c>
      <c r="R7" s="367">
        <v>33.349998474099998</v>
      </c>
      <c r="S7" s="367">
        <v>26.4300003052</v>
      </c>
      <c r="T7" s="367">
        <v>25.959999084500001</v>
      </c>
      <c r="U7" s="367">
        <v>75.45</v>
      </c>
      <c r="V7" s="334"/>
      <c r="W7" s="334"/>
      <c r="X7" s="334"/>
      <c r="Y7" s="334"/>
      <c r="Z7" s="334"/>
      <c r="AA7" s="334"/>
      <c r="AB7" s="334"/>
      <c r="AC7" s="334"/>
      <c r="AD7" s="334"/>
      <c r="AE7" s="334"/>
      <c r="AF7" s="334"/>
      <c r="AG7" s="334"/>
      <c r="AH7" s="334"/>
      <c r="AI7" s="334"/>
      <c r="AJ7" s="334"/>
      <c r="AK7" s="334"/>
      <c r="AL7" s="334"/>
      <c r="AM7" s="334"/>
      <c r="AN7" s="334"/>
      <c r="AO7" s="334"/>
      <c r="AP7" s="334"/>
      <c r="AQ7" s="334"/>
      <c r="AR7" s="334"/>
      <c r="AS7" s="334"/>
      <c r="AT7" s="334"/>
      <c r="AU7" s="334"/>
      <c r="AV7" s="334"/>
      <c r="AW7" s="334"/>
      <c r="AX7" s="334"/>
      <c r="AY7" s="334"/>
      <c r="AZ7" s="334"/>
      <c r="BA7" s="334"/>
      <c r="BB7" s="334"/>
      <c r="BC7" s="334"/>
      <c r="BD7" s="334"/>
      <c r="BE7" s="334"/>
      <c r="BF7" s="334"/>
      <c r="BG7" s="334"/>
      <c r="BH7" s="334"/>
      <c r="BI7" s="334"/>
      <c r="BJ7" s="334"/>
      <c r="BK7" s="334"/>
      <c r="BL7" s="334"/>
      <c r="BM7" s="334"/>
      <c r="BN7" s="334"/>
      <c r="BO7" s="334"/>
      <c r="BP7" s="334"/>
      <c r="BQ7" s="334"/>
      <c r="BR7" s="334"/>
      <c r="BS7" s="334"/>
      <c r="BT7" s="334"/>
      <c r="BU7" s="334"/>
      <c r="BV7" s="334"/>
      <c r="BW7" s="334"/>
      <c r="BX7" s="334"/>
      <c r="BY7" s="334"/>
      <c r="BZ7" s="334"/>
      <c r="CA7" s="334"/>
      <c r="CB7" s="334"/>
      <c r="CC7" s="334"/>
      <c r="CD7" s="334"/>
      <c r="CE7" s="334"/>
      <c r="CF7" s="334"/>
      <c r="CG7" s="334"/>
      <c r="CH7" s="334"/>
      <c r="CI7" s="334"/>
      <c r="CJ7" s="334"/>
      <c r="CK7" s="334"/>
      <c r="CL7" s="334"/>
      <c r="CM7" s="334"/>
      <c r="CN7" s="334"/>
      <c r="CO7" s="334"/>
      <c r="CP7" s="334"/>
      <c r="CQ7" s="334"/>
      <c r="CR7" s="334"/>
      <c r="CS7" s="334"/>
      <c r="CT7" s="334"/>
      <c r="CU7" s="334"/>
      <c r="CV7" s="334"/>
      <c r="CW7" s="334"/>
      <c r="CX7" s="334"/>
      <c r="CY7" s="334"/>
      <c r="CZ7" s="334"/>
      <c r="DA7" s="334"/>
      <c r="DB7" s="334"/>
      <c r="DC7" s="334"/>
      <c r="DD7" s="334"/>
      <c r="DE7" s="334"/>
      <c r="DF7" s="334"/>
      <c r="DG7" s="334"/>
      <c r="DH7" s="334"/>
      <c r="DI7" s="334"/>
      <c r="DJ7" s="334"/>
      <c r="DK7" s="334"/>
      <c r="DL7" s="334"/>
      <c r="DM7" s="334"/>
      <c r="DN7" s="334"/>
      <c r="DO7" s="334"/>
      <c r="DP7" s="334"/>
      <c r="DQ7" s="334"/>
      <c r="DR7" s="334"/>
      <c r="DS7" s="334"/>
      <c r="DT7" s="334"/>
      <c r="DU7" s="334"/>
      <c r="DV7" s="334"/>
      <c r="DW7" s="334"/>
      <c r="DX7" s="334"/>
      <c r="DY7" s="334"/>
      <c r="DZ7" s="334"/>
      <c r="EA7" s="334"/>
      <c r="EB7" s="334"/>
      <c r="EC7" s="334"/>
      <c r="ED7" s="334"/>
      <c r="EE7" s="334"/>
      <c r="EF7" s="334"/>
      <c r="EG7" s="334"/>
      <c r="EH7" s="334"/>
      <c r="EI7" s="334"/>
      <c r="EJ7" s="334"/>
      <c r="EK7" s="334"/>
      <c r="EL7" s="334"/>
      <c r="EM7" s="334"/>
      <c r="EN7" s="334"/>
      <c r="EO7" s="334"/>
      <c r="EP7" s="334"/>
      <c r="EQ7" s="334"/>
      <c r="ER7" s="334"/>
      <c r="ES7" s="334"/>
      <c r="ET7" s="334"/>
      <c r="EU7" s="334"/>
      <c r="EV7" s="334"/>
      <c r="EW7" s="334"/>
      <c r="EX7" s="334"/>
      <c r="EY7" s="334"/>
      <c r="EZ7" s="334"/>
      <c r="FA7" s="334"/>
      <c r="FB7" s="334"/>
      <c r="FC7" s="334"/>
      <c r="FD7" s="334"/>
      <c r="FE7" s="334"/>
      <c r="FF7" s="334"/>
      <c r="FG7" s="334"/>
      <c r="FH7" s="334"/>
      <c r="FI7" s="334"/>
      <c r="FJ7" s="334"/>
      <c r="FK7" s="334"/>
      <c r="FL7" s="334"/>
      <c r="FM7" s="334"/>
      <c r="FN7" s="334"/>
      <c r="FO7" s="334"/>
      <c r="FP7" s="334"/>
      <c r="FQ7" s="334"/>
      <c r="FR7" s="334"/>
      <c r="FS7" s="334"/>
      <c r="FT7" s="334"/>
      <c r="FU7" s="334"/>
      <c r="FV7" s="334"/>
      <c r="FW7" s="334"/>
      <c r="FX7" s="334"/>
      <c r="FY7" s="334"/>
      <c r="FZ7" s="334"/>
      <c r="GA7" s="334"/>
      <c r="GB7" s="334"/>
      <c r="GC7" s="334"/>
      <c r="GD7" s="334"/>
      <c r="GE7" s="334"/>
      <c r="GF7" s="334"/>
      <c r="GG7" s="334"/>
      <c r="GH7" s="334"/>
      <c r="GI7" s="334"/>
      <c r="GJ7" s="334"/>
      <c r="GK7" s="334"/>
      <c r="GL7" s="334"/>
      <c r="GM7" s="334"/>
      <c r="GN7" s="334"/>
      <c r="GO7" s="334"/>
      <c r="GP7" s="334"/>
      <c r="GQ7" s="334"/>
      <c r="GR7" s="334"/>
      <c r="GS7" s="334"/>
      <c r="GT7" s="334"/>
      <c r="GU7" s="334"/>
      <c r="GV7" s="334"/>
      <c r="GW7" s="334"/>
      <c r="GX7" s="334"/>
      <c r="GY7" s="334"/>
      <c r="GZ7" s="334"/>
      <c r="HA7" s="334"/>
      <c r="HB7" s="334"/>
      <c r="HC7" s="334"/>
      <c r="HD7" s="334"/>
      <c r="HE7" s="334"/>
      <c r="HF7" s="334"/>
      <c r="HG7" s="334"/>
      <c r="HH7" s="334"/>
      <c r="HI7" s="334"/>
      <c r="HJ7" s="334"/>
      <c r="HK7" s="334"/>
      <c r="HL7" s="334"/>
      <c r="HM7" s="334"/>
      <c r="HN7" s="334"/>
      <c r="HO7" s="334"/>
      <c r="HP7" s="334"/>
      <c r="HQ7" s="334"/>
      <c r="HR7" s="334"/>
      <c r="HS7" s="334"/>
      <c r="HT7" s="334"/>
      <c r="HU7" s="334"/>
      <c r="HV7" s="334"/>
      <c r="HW7" s="334"/>
      <c r="HX7" s="334"/>
      <c r="HY7" s="334"/>
      <c r="HZ7" s="334"/>
      <c r="IA7" s="334"/>
      <c r="IB7" s="334"/>
      <c r="IC7" s="334"/>
      <c r="ID7" s="334"/>
      <c r="IE7" s="334"/>
      <c r="IF7" s="334"/>
      <c r="IG7" s="334"/>
      <c r="IH7" s="334"/>
      <c r="II7" s="334"/>
      <c r="IJ7" s="334"/>
      <c r="IK7" s="334"/>
      <c r="IL7" s="334"/>
      <c r="IM7" s="334"/>
      <c r="IN7" s="334"/>
      <c r="IO7" s="334"/>
      <c r="IP7" s="334"/>
      <c r="IQ7" s="334"/>
      <c r="IR7" s="334"/>
    </row>
    <row r="8" spans="1:252" s="368" customFormat="1" x14ac:dyDescent="0.25">
      <c r="A8" s="366">
        <v>43653</v>
      </c>
      <c r="B8" s="367">
        <v>82.79</v>
      </c>
      <c r="C8" s="367">
        <v>25.39</v>
      </c>
      <c r="D8" s="367">
        <v>132.13999999999999</v>
      </c>
      <c r="E8" s="367">
        <v>78.739999999999995</v>
      </c>
      <c r="F8" s="367">
        <v>191.05</v>
      </c>
      <c r="G8" s="367">
        <v>14.06</v>
      </c>
      <c r="H8" s="367">
        <v>26.28</v>
      </c>
      <c r="I8" s="367">
        <v>81.39</v>
      </c>
      <c r="J8" s="367">
        <v>89.62</v>
      </c>
      <c r="K8" s="367">
        <v>273.97000000000003</v>
      </c>
      <c r="L8" s="367">
        <v>152.55000000000001</v>
      </c>
      <c r="M8" s="367">
        <v>79.95</v>
      </c>
      <c r="N8" s="367">
        <v>33.1399993896</v>
      </c>
      <c r="O8" s="367">
        <v>11.829999923700001</v>
      </c>
      <c r="P8" s="367">
        <v>25.6100006104</v>
      </c>
      <c r="Q8" s="367">
        <v>34.720001220699999</v>
      </c>
      <c r="R8" s="367">
        <v>33.349998474099998</v>
      </c>
      <c r="S8" s="367">
        <v>26.4300003052</v>
      </c>
      <c r="T8" s="367">
        <v>25.959999084500001</v>
      </c>
      <c r="U8" s="367">
        <v>75.45</v>
      </c>
      <c r="V8" s="334"/>
      <c r="W8" s="334"/>
      <c r="X8" s="334"/>
      <c r="Y8" s="334"/>
      <c r="Z8" s="334"/>
      <c r="AA8" s="334"/>
      <c r="AB8" s="334"/>
      <c r="AC8" s="334"/>
      <c r="AD8" s="334"/>
      <c r="AE8" s="334"/>
      <c r="AF8" s="334"/>
      <c r="AG8" s="334"/>
      <c r="AH8" s="334"/>
      <c r="AI8" s="334"/>
      <c r="AJ8" s="334"/>
      <c r="AK8" s="334"/>
      <c r="AL8" s="334"/>
      <c r="AM8" s="334"/>
      <c r="AN8" s="334"/>
      <c r="AO8" s="334"/>
      <c r="AP8" s="334"/>
      <c r="AQ8" s="334"/>
      <c r="AR8" s="334"/>
      <c r="AS8" s="334"/>
      <c r="AT8" s="334"/>
      <c r="AU8" s="334"/>
      <c r="AV8" s="334"/>
      <c r="AW8" s="334"/>
      <c r="AX8" s="334"/>
      <c r="AY8" s="334"/>
      <c r="AZ8" s="334"/>
      <c r="BA8" s="334"/>
      <c r="BB8" s="334"/>
      <c r="BC8" s="334"/>
      <c r="BD8" s="334"/>
      <c r="BE8" s="334"/>
      <c r="BF8" s="334"/>
      <c r="BG8" s="334"/>
      <c r="BH8" s="334"/>
      <c r="BI8" s="334"/>
      <c r="BJ8" s="334"/>
      <c r="BK8" s="334"/>
      <c r="BL8" s="334"/>
      <c r="BM8" s="334"/>
      <c r="BN8" s="334"/>
      <c r="BO8" s="334"/>
      <c r="BP8" s="334"/>
      <c r="BQ8" s="334"/>
      <c r="BR8" s="334"/>
      <c r="BS8" s="334"/>
      <c r="BT8" s="334"/>
      <c r="BU8" s="334"/>
      <c r="BV8" s="334"/>
      <c r="BW8" s="334"/>
      <c r="BX8" s="334"/>
      <c r="BY8" s="334"/>
      <c r="BZ8" s="334"/>
      <c r="CA8" s="334"/>
      <c r="CB8" s="334"/>
      <c r="CC8" s="334"/>
      <c r="CD8" s="334"/>
      <c r="CE8" s="334"/>
      <c r="CF8" s="334"/>
      <c r="CG8" s="334"/>
      <c r="CH8" s="334"/>
      <c r="CI8" s="334"/>
      <c r="CJ8" s="334"/>
      <c r="CK8" s="334"/>
      <c r="CL8" s="334"/>
      <c r="CM8" s="334"/>
      <c r="CN8" s="334"/>
      <c r="CO8" s="334"/>
      <c r="CP8" s="334"/>
      <c r="CQ8" s="334"/>
      <c r="CR8" s="334"/>
      <c r="CS8" s="334"/>
      <c r="CT8" s="334"/>
      <c r="CU8" s="334"/>
      <c r="CV8" s="334"/>
      <c r="CW8" s="334"/>
      <c r="CX8" s="334"/>
      <c r="CY8" s="334"/>
      <c r="CZ8" s="334"/>
      <c r="DA8" s="334"/>
      <c r="DB8" s="334"/>
      <c r="DC8" s="334"/>
      <c r="DD8" s="334"/>
      <c r="DE8" s="334"/>
      <c r="DF8" s="334"/>
      <c r="DG8" s="334"/>
      <c r="DH8" s="334"/>
      <c r="DI8" s="334"/>
      <c r="DJ8" s="334"/>
      <c r="DK8" s="334"/>
      <c r="DL8" s="334"/>
      <c r="DM8" s="334"/>
      <c r="DN8" s="334"/>
      <c r="DO8" s="334"/>
      <c r="DP8" s="334"/>
      <c r="DQ8" s="334"/>
      <c r="DR8" s="334"/>
      <c r="DS8" s="334"/>
      <c r="DT8" s="334"/>
      <c r="DU8" s="334"/>
      <c r="DV8" s="334"/>
      <c r="DW8" s="334"/>
      <c r="DX8" s="334"/>
      <c r="DY8" s="334"/>
      <c r="DZ8" s="334"/>
      <c r="EA8" s="334"/>
      <c r="EB8" s="334"/>
      <c r="EC8" s="334"/>
      <c r="ED8" s="334"/>
      <c r="EE8" s="334"/>
      <c r="EF8" s="334"/>
      <c r="EG8" s="334"/>
      <c r="EH8" s="334"/>
      <c r="EI8" s="334"/>
      <c r="EJ8" s="334"/>
      <c r="EK8" s="334"/>
      <c r="EL8" s="334"/>
      <c r="EM8" s="334"/>
      <c r="EN8" s="334"/>
      <c r="EO8" s="334"/>
      <c r="EP8" s="334"/>
      <c r="EQ8" s="334"/>
      <c r="ER8" s="334"/>
      <c r="ES8" s="334"/>
      <c r="ET8" s="334"/>
      <c r="EU8" s="334"/>
      <c r="EV8" s="334"/>
      <c r="EW8" s="334"/>
      <c r="EX8" s="334"/>
      <c r="EY8" s="334"/>
      <c r="EZ8" s="334"/>
      <c r="FA8" s="334"/>
      <c r="FB8" s="334"/>
      <c r="FC8" s="334"/>
      <c r="FD8" s="334"/>
      <c r="FE8" s="334"/>
      <c r="FF8" s="334"/>
      <c r="FG8" s="334"/>
      <c r="FH8" s="334"/>
      <c r="FI8" s="334"/>
      <c r="FJ8" s="334"/>
      <c r="FK8" s="334"/>
      <c r="FL8" s="334"/>
      <c r="FM8" s="334"/>
      <c r="FN8" s="334"/>
      <c r="FO8" s="334"/>
      <c r="FP8" s="334"/>
      <c r="FQ8" s="334"/>
      <c r="FR8" s="334"/>
      <c r="FS8" s="334"/>
      <c r="FT8" s="334"/>
      <c r="FU8" s="334"/>
      <c r="FV8" s="334"/>
      <c r="FW8" s="334"/>
      <c r="FX8" s="334"/>
      <c r="FY8" s="334"/>
      <c r="FZ8" s="334"/>
      <c r="GA8" s="334"/>
      <c r="GB8" s="334"/>
      <c r="GC8" s="334"/>
      <c r="GD8" s="334"/>
      <c r="GE8" s="334"/>
      <c r="GF8" s="334"/>
      <c r="GG8" s="334"/>
      <c r="GH8" s="334"/>
      <c r="GI8" s="334"/>
      <c r="GJ8" s="334"/>
      <c r="GK8" s="334"/>
      <c r="GL8" s="334"/>
      <c r="GM8" s="334"/>
      <c r="GN8" s="334"/>
      <c r="GO8" s="334"/>
      <c r="GP8" s="334"/>
      <c r="GQ8" s="334"/>
      <c r="GR8" s="334"/>
      <c r="GS8" s="334"/>
      <c r="GT8" s="334"/>
      <c r="GU8" s="334"/>
      <c r="GV8" s="334"/>
      <c r="GW8" s="334"/>
      <c r="GX8" s="334"/>
      <c r="GY8" s="334"/>
      <c r="GZ8" s="334"/>
      <c r="HA8" s="334"/>
      <c r="HB8" s="334"/>
      <c r="HC8" s="334"/>
      <c r="HD8" s="334"/>
      <c r="HE8" s="334"/>
      <c r="HF8" s="334"/>
      <c r="HG8" s="334"/>
      <c r="HH8" s="334"/>
      <c r="HI8" s="334"/>
      <c r="HJ8" s="334"/>
      <c r="HK8" s="334"/>
      <c r="HL8" s="334"/>
      <c r="HM8" s="334"/>
      <c r="HN8" s="334"/>
      <c r="HO8" s="334"/>
      <c r="HP8" s="334"/>
      <c r="HQ8" s="334"/>
      <c r="HR8" s="334"/>
      <c r="HS8" s="334"/>
      <c r="HT8" s="334"/>
      <c r="HU8" s="334"/>
      <c r="HV8" s="334"/>
      <c r="HW8" s="334"/>
      <c r="HX8" s="334"/>
      <c r="HY8" s="334"/>
      <c r="HZ8" s="334"/>
      <c r="IA8" s="334"/>
      <c r="IB8" s="334"/>
      <c r="IC8" s="334"/>
      <c r="ID8" s="334"/>
      <c r="IE8" s="334"/>
      <c r="IF8" s="334"/>
      <c r="IG8" s="334"/>
      <c r="IH8" s="334"/>
      <c r="II8" s="334"/>
      <c r="IJ8" s="334"/>
      <c r="IK8" s="334"/>
      <c r="IL8" s="334"/>
      <c r="IM8" s="334"/>
      <c r="IN8" s="334"/>
      <c r="IO8" s="334"/>
      <c r="IP8" s="334"/>
      <c r="IQ8" s="334"/>
      <c r="IR8" s="334"/>
    </row>
    <row r="9" spans="1:252" s="368" customFormat="1" x14ac:dyDescent="0.25">
      <c r="A9" s="366">
        <v>43654</v>
      </c>
      <c r="B9" s="367">
        <v>82.78</v>
      </c>
      <c r="C9" s="367">
        <v>25.42</v>
      </c>
      <c r="D9" s="367">
        <v>131.29</v>
      </c>
      <c r="E9" s="367">
        <v>77.91</v>
      </c>
      <c r="F9" s="367">
        <v>189.71</v>
      </c>
      <c r="G9" s="367">
        <v>14.05</v>
      </c>
      <c r="H9" s="367">
        <v>26.33</v>
      </c>
      <c r="I9" s="367">
        <v>81.5</v>
      </c>
      <c r="J9" s="367">
        <v>89.94</v>
      </c>
      <c r="K9" s="367">
        <v>272.60000000000002</v>
      </c>
      <c r="L9" s="367">
        <v>151.72999999999999</v>
      </c>
      <c r="M9" s="367">
        <v>79.34</v>
      </c>
      <c r="N9" s="367">
        <v>32.979999542199998</v>
      </c>
      <c r="O9" s="367">
        <v>11.739999771100001</v>
      </c>
      <c r="P9" s="367">
        <v>25.5499992371</v>
      </c>
      <c r="Q9" s="367">
        <v>34.759998321499999</v>
      </c>
      <c r="R9" s="367">
        <v>33.229999542199998</v>
      </c>
      <c r="S9" s="367">
        <v>26.399999618500001</v>
      </c>
      <c r="T9" s="367">
        <v>25.9300003052</v>
      </c>
      <c r="U9" s="367">
        <v>75.31</v>
      </c>
      <c r="V9" s="334"/>
      <c r="W9" s="334"/>
      <c r="X9" s="334"/>
      <c r="Y9" s="334"/>
      <c r="Z9" s="334"/>
      <c r="AA9" s="334"/>
      <c r="AB9" s="334"/>
      <c r="AC9" s="334"/>
      <c r="AD9" s="334"/>
      <c r="AE9" s="334"/>
      <c r="AF9" s="334"/>
      <c r="AG9" s="334"/>
      <c r="AH9" s="334"/>
      <c r="AI9" s="334"/>
      <c r="AJ9" s="334"/>
      <c r="AK9" s="334"/>
      <c r="AL9" s="334"/>
      <c r="AM9" s="334"/>
      <c r="AN9" s="334"/>
      <c r="AO9" s="334"/>
      <c r="AP9" s="334"/>
      <c r="AQ9" s="334"/>
      <c r="AR9" s="334"/>
      <c r="AS9" s="334"/>
      <c r="AT9" s="334"/>
      <c r="AU9" s="334"/>
      <c r="AV9" s="334"/>
      <c r="AW9" s="334"/>
      <c r="AX9" s="334"/>
      <c r="AY9" s="334"/>
      <c r="AZ9" s="334"/>
      <c r="BA9" s="334"/>
      <c r="BB9" s="334"/>
      <c r="BC9" s="334"/>
      <c r="BD9" s="334"/>
      <c r="BE9" s="334"/>
      <c r="BF9" s="334"/>
      <c r="BG9" s="334"/>
      <c r="BH9" s="334"/>
      <c r="BI9" s="334"/>
      <c r="BJ9" s="334"/>
      <c r="BK9" s="334"/>
      <c r="BL9" s="334"/>
      <c r="BM9" s="334"/>
      <c r="BN9" s="334"/>
      <c r="BO9" s="334"/>
      <c r="BP9" s="334"/>
      <c r="BQ9" s="334"/>
      <c r="BR9" s="334"/>
      <c r="BS9" s="334"/>
      <c r="BT9" s="334"/>
      <c r="BU9" s="334"/>
      <c r="BV9" s="334"/>
      <c r="BW9" s="334"/>
      <c r="BX9" s="334"/>
      <c r="BY9" s="334"/>
      <c r="BZ9" s="334"/>
      <c r="CA9" s="334"/>
      <c r="CB9" s="334"/>
      <c r="CC9" s="334"/>
      <c r="CD9" s="334"/>
      <c r="CE9" s="334"/>
      <c r="CF9" s="334"/>
      <c r="CG9" s="334"/>
      <c r="CH9" s="334"/>
      <c r="CI9" s="334"/>
      <c r="CJ9" s="334"/>
      <c r="CK9" s="334"/>
      <c r="CL9" s="334"/>
      <c r="CM9" s="334"/>
      <c r="CN9" s="334"/>
      <c r="CO9" s="334"/>
      <c r="CP9" s="334"/>
      <c r="CQ9" s="334"/>
      <c r="CR9" s="334"/>
      <c r="CS9" s="334"/>
      <c r="CT9" s="334"/>
      <c r="CU9" s="334"/>
      <c r="CV9" s="334"/>
      <c r="CW9" s="334"/>
      <c r="CX9" s="334"/>
      <c r="CY9" s="334"/>
      <c r="CZ9" s="334"/>
      <c r="DA9" s="334"/>
      <c r="DB9" s="334"/>
      <c r="DC9" s="334"/>
      <c r="DD9" s="334"/>
      <c r="DE9" s="334"/>
      <c r="DF9" s="334"/>
      <c r="DG9" s="334"/>
      <c r="DH9" s="334"/>
      <c r="DI9" s="334"/>
      <c r="DJ9" s="334"/>
      <c r="DK9" s="334"/>
      <c r="DL9" s="334"/>
      <c r="DM9" s="334"/>
      <c r="DN9" s="334"/>
      <c r="DO9" s="334"/>
      <c r="DP9" s="334"/>
      <c r="DQ9" s="334"/>
      <c r="DR9" s="334"/>
      <c r="DS9" s="334"/>
      <c r="DT9" s="334"/>
      <c r="DU9" s="334"/>
      <c r="DV9" s="334"/>
      <c r="DW9" s="334"/>
      <c r="DX9" s="334"/>
      <c r="DY9" s="334"/>
      <c r="DZ9" s="334"/>
      <c r="EA9" s="334"/>
      <c r="EB9" s="334"/>
      <c r="EC9" s="334"/>
      <c r="ED9" s="334"/>
      <c r="EE9" s="334"/>
      <c r="EF9" s="334"/>
      <c r="EG9" s="334"/>
      <c r="EH9" s="334"/>
      <c r="EI9" s="334"/>
      <c r="EJ9" s="334"/>
      <c r="EK9" s="334"/>
      <c r="EL9" s="334"/>
      <c r="EM9" s="334"/>
      <c r="EN9" s="334"/>
      <c r="EO9" s="334"/>
      <c r="EP9" s="334"/>
      <c r="EQ9" s="334"/>
      <c r="ER9" s="334"/>
      <c r="ES9" s="334"/>
      <c r="ET9" s="334"/>
      <c r="EU9" s="334"/>
      <c r="EV9" s="334"/>
      <c r="EW9" s="334"/>
      <c r="EX9" s="334"/>
      <c r="EY9" s="334"/>
      <c r="EZ9" s="334"/>
      <c r="FA9" s="334"/>
      <c r="FB9" s="334"/>
      <c r="FC9" s="334"/>
      <c r="FD9" s="334"/>
      <c r="FE9" s="334"/>
      <c r="FF9" s="334"/>
      <c r="FG9" s="334"/>
      <c r="FH9" s="334"/>
      <c r="FI9" s="334"/>
      <c r="FJ9" s="334"/>
      <c r="FK9" s="334"/>
      <c r="FL9" s="334"/>
      <c r="FM9" s="334"/>
      <c r="FN9" s="334"/>
      <c r="FO9" s="334"/>
      <c r="FP9" s="334"/>
      <c r="FQ9" s="334"/>
      <c r="FR9" s="334"/>
      <c r="FS9" s="334"/>
      <c r="FT9" s="334"/>
      <c r="FU9" s="334"/>
      <c r="FV9" s="334"/>
      <c r="FW9" s="334"/>
      <c r="FX9" s="334"/>
      <c r="FY9" s="334"/>
      <c r="FZ9" s="334"/>
      <c r="GA9" s="334"/>
      <c r="GB9" s="334"/>
      <c r="GC9" s="334"/>
      <c r="GD9" s="334"/>
      <c r="GE9" s="334"/>
      <c r="GF9" s="334"/>
      <c r="GG9" s="334"/>
      <c r="GH9" s="334"/>
      <c r="GI9" s="334"/>
      <c r="GJ9" s="334"/>
      <c r="GK9" s="334"/>
      <c r="GL9" s="334"/>
      <c r="GM9" s="334"/>
      <c r="GN9" s="334"/>
      <c r="GO9" s="334"/>
      <c r="GP9" s="334"/>
      <c r="GQ9" s="334"/>
      <c r="GR9" s="334"/>
      <c r="GS9" s="334"/>
      <c r="GT9" s="334"/>
      <c r="GU9" s="334"/>
      <c r="GV9" s="334"/>
      <c r="GW9" s="334"/>
      <c r="GX9" s="334"/>
      <c r="GY9" s="334"/>
      <c r="GZ9" s="334"/>
      <c r="HA9" s="334"/>
      <c r="HB9" s="334"/>
      <c r="HC9" s="334"/>
      <c r="HD9" s="334"/>
      <c r="HE9" s="334"/>
      <c r="HF9" s="334"/>
      <c r="HG9" s="334"/>
      <c r="HH9" s="334"/>
      <c r="HI9" s="334"/>
      <c r="HJ9" s="334"/>
      <c r="HK9" s="334"/>
      <c r="HL9" s="334"/>
      <c r="HM9" s="334"/>
      <c r="HN9" s="334"/>
      <c r="HO9" s="334"/>
      <c r="HP9" s="334"/>
      <c r="HQ9" s="334"/>
      <c r="HR9" s="334"/>
      <c r="HS9" s="334"/>
      <c r="HT9" s="334"/>
      <c r="HU9" s="334"/>
      <c r="HV9" s="334"/>
      <c r="HW9" s="334"/>
      <c r="HX9" s="334"/>
      <c r="HY9" s="334"/>
      <c r="HZ9" s="334"/>
      <c r="IA9" s="334"/>
      <c r="IB9" s="334"/>
      <c r="IC9" s="334"/>
      <c r="ID9" s="334"/>
      <c r="IE9" s="334"/>
      <c r="IF9" s="334"/>
      <c r="IG9" s="334"/>
      <c r="IH9" s="334"/>
      <c r="II9" s="334"/>
      <c r="IJ9" s="334"/>
      <c r="IK9" s="334"/>
      <c r="IL9" s="334"/>
      <c r="IM9" s="334"/>
      <c r="IN9" s="334"/>
      <c r="IO9" s="334"/>
      <c r="IP9" s="334"/>
      <c r="IQ9" s="334"/>
      <c r="IR9" s="334"/>
    </row>
    <row r="10" spans="1:252" s="368" customFormat="1" x14ac:dyDescent="0.25">
      <c r="A10" s="366">
        <v>43655</v>
      </c>
      <c r="B10" s="367">
        <v>82.67</v>
      </c>
      <c r="C10" s="367">
        <v>25.65</v>
      </c>
      <c r="D10" s="367">
        <v>131.75</v>
      </c>
      <c r="E10" s="367">
        <v>77.81</v>
      </c>
      <c r="F10" s="367">
        <v>190.66</v>
      </c>
      <c r="G10" s="367">
        <v>14.14</v>
      </c>
      <c r="H10" s="367">
        <v>26.35</v>
      </c>
      <c r="I10" s="367">
        <v>81.459999999999994</v>
      </c>
      <c r="J10" s="367">
        <v>90.24</v>
      </c>
      <c r="K10" s="367">
        <v>272.94</v>
      </c>
      <c r="L10" s="367">
        <v>152</v>
      </c>
      <c r="M10" s="367">
        <v>79.62</v>
      </c>
      <c r="N10" s="367">
        <v>33.009998321499999</v>
      </c>
      <c r="O10" s="367">
        <v>11.779999733</v>
      </c>
      <c r="P10" s="367">
        <v>25.590000152599998</v>
      </c>
      <c r="Q10" s="367">
        <v>34.810001373299997</v>
      </c>
      <c r="R10" s="367">
        <v>33.3899993896</v>
      </c>
      <c r="S10" s="367">
        <v>26.559999465899999</v>
      </c>
      <c r="T10" s="367">
        <v>25.959999084500001</v>
      </c>
      <c r="U10" s="367">
        <v>75.146799999999999</v>
      </c>
      <c r="V10" s="334"/>
      <c r="W10" s="334"/>
      <c r="X10" s="334"/>
      <c r="Y10" s="334"/>
      <c r="Z10" s="334"/>
      <c r="AA10" s="334"/>
      <c r="AB10" s="334"/>
      <c r="AC10" s="334"/>
      <c r="AD10" s="334"/>
      <c r="AE10" s="334"/>
      <c r="AF10" s="334"/>
      <c r="AG10" s="334"/>
      <c r="AH10" s="334"/>
      <c r="AI10" s="334"/>
      <c r="AJ10" s="334"/>
      <c r="AK10" s="334"/>
      <c r="AL10" s="334"/>
      <c r="AM10" s="334"/>
      <c r="AN10" s="334"/>
      <c r="AO10" s="334"/>
      <c r="AP10" s="334"/>
      <c r="AQ10" s="334"/>
      <c r="AR10" s="334"/>
      <c r="AS10" s="334"/>
      <c r="AT10" s="334"/>
      <c r="AU10" s="334"/>
      <c r="AV10" s="334"/>
      <c r="AW10" s="334"/>
      <c r="AX10" s="334"/>
      <c r="AY10" s="334"/>
      <c r="AZ10" s="334"/>
      <c r="BA10" s="334"/>
      <c r="BB10" s="334"/>
      <c r="BC10" s="334"/>
      <c r="BD10" s="334"/>
      <c r="BE10" s="334"/>
      <c r="BF10" s="334"/>
      <c r="BG10" s="334"/>
      <c r="BH10" s="334"/>
      <c r="BI10" s="334"/>
      <c r="BJ10" s="334"/>
      <c r="BK10" s="334"/>
      <c r="BL10" s="334"/>
      <c r="BM10" s="334"/>
      <c r="BN10" s="334"/>
      <c r="BO10" s="334"/>
      <c r="BP10" s="334"/>
      <c r="BQ10" s="334"/>
      <c r="BR10" s="334"/>
      <c r="BS10" s="334"/>
      <c r="BT10" s="334"/>
      <c r="BU10" s="334"/>
      <c r="BV10" s="334"/>
      <c r="BW10" s="334"/>
      <c r="BX10" s="334"/>
      <c r="BY10" s="334"/>
      <c r="BZ10" s="334"/>
      <c r="CA10" s="334"/>
      <c r="CB10" s="334"/>
      <c r="CC10" s="334"/>
      <c r="CD10" s="334"/>
      <c r="CE10" s="334"/>
      <c r="CF10" s="334"/>
      <c r="CG10" s="334"/>
      <c r="CH10" s="334"/>
      <c r="CI10" s="334"/>
      <c r="CJ10" s="334"/>
      <c r="CK10" s="334"/>
      <c r="CL10" s="334"/>
      <c r="CM10" s="334"/>
      <c r="CN10" s="334"/>
      <c r="CO10" s="334"/>
      <c r="CP10" s="334"/>
      <c r="CQ10" s="334"/>
      <c r="CR10" s="334"/>
      <c r="CS10" s="334"/>
      <c r="CT10" s="334"/>
      <c r="CU10" s="334"/>
      <c r="CV10" s="334"/>
      <c r="CW10" s="334"/>
      <c r="CX10" s="334"/>
      <c r="CY10" s="334"/>
      <c r="CZ10" s="334"/>
      <c r="DA10" s="334"/>
      <c r="DB10" s="334"/>
      <c r="DC10" s="334"/>
      <c r="DD10" s="334"/>
      <c r="DE10" s="334"/>
      <c r="DF10" s="334"/>
      <c r="DG10" s="334"/>
      <c r="DH10" s="334"/>
      <c r="DI10" s="334"/>
      <c r="DJ10" s="334"/>
      <c r="DK10" s="334"/>
      <c r="DL10" s="334"/>
      <c r="DM10" s="334"/>
      <c r="DN10" s="334"/>
      <c r="DO10" s="334"/>
      <c r="DP10" s="334"/>
      <c r="DQ10" s="334"/>
      <c r="DR10" s="334"/>
      <c r="DS10" s="334"/>
      <c r="DT10" s="334"/>
      <c r="DU10" s="334"/>
      <c r="DV10" s="334"/>
      <c r="DW10" s="334"/>
      <c r="DX10" s="334"/>
      <c r="DY10" s="334"/>
      <c r="DZ10" s="334"/>
      <c r="EA10" s="334"/>
      <c r="EB10" s="334"/>
      <c r="EC10" s="334"/>
      <c r="ED10" s="334"/>
      <c r="EE10" s="334"/>
      <c r="EF10" s="334"/>
      <c r="EG10" s="334"/>
      <c r="EH10" s="334"/>
      <c r="EI10" s="334"/>
      <c r="EJ10" s="334"/>
      <c r="EK10" s="334"/>
      <c r="EL10" s="334"/>
      <c r="EM10" s="334"/>
      <c r="EN10" s="334"/>
      <c r="EO10" s="334"/>
      <c r="EP10" s="334"/>
      <c r="EQ10" s="334"/>
      <c r="ER10" s="334"/>
      <c r="ES10" s="334"/>
      <c r="ET10" s="334"/>
      <c r="EU10" s="334"/>
      <c r="EV10" s="334"/>
      <c r="EW10" s="334"/>
      <c r="EX10" s="334"/>
      <c r="EY10" s="334"/>
      <c r="EZ10" s="334"/>
      <c r="FA10" s="334"/>
      <c r="FB10" s="334"/>
      <c r="FC10" s="334"/>
      <c r="FD10" s="334"/>
      <c r="FE10" s="334"/>
      <c r="FF10" s="334"/>
      <c r="FG10" s="334"/>
      <c r="FH10" s="334"/>
      <c r="FI10" s="334"/>
      <c r="FJ10" s="334"/>
      <c r="FK10" s="334"/>
      <c r="FL10" s="334"/>
      <c r="FM10" s="334"/>
      <c r="FN10" s="334"/>
      <c r="FO10" s="334"/>
      <c r="FP10" s="334"/>
      <c r="FQ10" s="334"/>
      <c r="FR10" s="334"/>
      <c r="FS10" s="334"/>
      <c r="FT10" s="334"/>
      <c r="FU10" s="334"/>
      <c r="FV10" s="334"/>
      <c r="FW10" s="334"/>
      <c r="FX10" s="334"/>
      <c r="FY10" s="334"/>
      <c r="FZ10" s="334"/>
      <c r="GA10" s="334"/>
      <c r="GB10" s="334"/>
      <c r="GC10" s="334"/>
      <c r="GD10" s="334"/>
      <c r="GE10" s="334"/>
      <c r="GF10" s="334"/>
      <c r="GG10" s="334"/>
      <c r="GH10" s="334"/>
      <c r="GI10" s="334"/>
      <c r="GJ10" s="334"/>
      <c r="GK10" s="334"/>
      <c r="GL10" s="334"/>
      <c r="GM10" s="334"/>
      <c r="GN10" s="334"/>
      <c r="GO10" s="334"/>
      <c r="GP10" s="334"/>
      <c r="GQ10" s="334"/>
      <c r="GR10" s="334"/>
      <c r="GS10" s="334"/>
      <c r="GT10" s="334"/>
      <c r="GU10" s="334"/>
      <c r="GV10" s="334"/>
      <c r="GW10" s="334"/>
      <c r="GX10" s="334"/>
      <c r="GY10" s="334"/>
      <c r="GZ10" s="334"/>
      <c r="HA10" s="334"/>
      <c r="HB10" s="334"/>
      <c r="HC10" s="334"/>
      <c r="HD10" s="334"/>
      <c r="HE10" s="334"/>
      <c r="HF10" s="334"/>
      <c r="HG10" s="334"/>
      <c r="HH10" s="334"/>
      <c r="HI10" s="334"/>
      <c r="HJ10" s="334"/>
      <c r="HK10" s="334"/>
      <c r="HL10" s="334"/>
      <c r="HM10" s="334"/>
      <c r="HN10" s="334"/>
      <c r="HO10" s="334"/>
      <c r="HP10" s="334"/>
      <c r="HQ10" s="334"/>
      <c r="HR10" s="334"/>
      <c r="HS10" s="334"/>
      <c r="HT10" s="334"/>
      <c r="HU10" s="334"/>
      <c r="HV10" s="334"/>
      <c r="HW10" s="334"/>
      <c r="HX10" s="334"/>
      <c r="HY10" s="334"/>
      <c r="HZ10" s="334"/>
      <c r="IA10" s="334"/>
      <c r="IB10" s="334"/>
      <c r="IC10" s="334"/>
      <c r="ID10" s="334"/>
      <c r="IE10" s="334"/>
      <c r="IF10" s="334"/>
      <c r="IG10" s="334"/>
      <c r="IH10" s="334"/>
      <c r="II10" s="334"/>
      <c r="IJ10" s="334"/>
      <c r="IK10" s="334"/>
      <c r="IL10" s="334"/>
      <c r="IM10" s="334"/>
      <c r="IN10" s="334"/>
      <c r="IO10" s="334"/>
      <c r="IP10" s="334"/>
      <c r="IQ10" s="334"/>
      <c r="IR10" s="334"/>
    </row>
    <row r="11" spans="1:252" s="368" customFormat="1" x14ac:dyDescent="0.25">
      <c r="A11" s="366">
        <v>43656</v>
      </c>
      <c r="B11" s="367">
        <v>82.74</v>
      </c>
      <c r="C11" s="367">
        <v>26.2</v>
      </c>
      <c r="D11" s="367">
        <v>133.83000000000001</v>
      </c>
      <c r="E11" s="367">
        <v>78.02</v>
      </c>
      <c r="F11" s="367">
        <v>192.56</v>
      </c>
      <c r="G11" s="367">
        <v>14.26</v>
      </c>
      <c r="H11" s="367">
        <v>26.24</v>
      </c>
      <c r="I11" s="367">
        <v>81.03</v>
      </c>
      <c r="J11" s="367">
        <v>90.76</v>
      </c>
      <c r="K11" s="367">
        <v>274.20999999999998</v>
      </c>
      <c r="L11" s="367">
        <v>152.62</v>
      </c>
      <c r="M11" s="367">
        <v>80.25</v>
      </c>
      <c r="N11" s="367">
        <v>33.159999847400002</v>
      </c>
      <c r="O11" s="367">
        <v>11.970000267</v>
      </c>
      <c r="P11" s="367">
        <v>25.620000839199999</v>
      </c>
      <c r="Q11" s="367">
        <v>34.8800010681</v>
      </c>
      <c r="R11" s="367">
        <v>33.419998168900001</v>
      </c>
      <c r="S11" s="367">
        <v>26.9500007629</v>
      </c>
      <c r="T11" s="367">
        <v>25.979999542200002</v>
      </c>
      <c r="U11" s="367">
        <v>75.4178</v>
      </c>
      <c r="V11" s="334"/>
      <c r="W11" s="334"/>
      <c r="X11" s="334"/>
      <c r="Y11" s="334"/>
      <c r="Z11" s="334"/>
      <c r="AA11" s="334"/>
      <c r="AB11" s="334"/>
      <c r="AC11" s="334"/>
      <c r="AD11" s="334"/>
      <c r="AE11" s="334"/>
      <c r="AF11" s="334"/>
      <c r="AG11" s="334"/>
      <c r="AH11" s="334"/>
      <c r="AI11" s="334"/>
      <c r="AJ11" s="334"/>
      <c r="AK11" s="334"/>
      <c r="AL11" s="334"/>
      <c r="AM11" s="334"/>
      <c r="AN11" s="334"/>
      <c r="AO11" s="334"/>
      <c r="AP11" s="334"/>
      <c r="AQ11" s="334"/>
      <c r="AR11" s="334"/>
      <c r="AS11" s="334"/>
      <c r="AT11" s="334"/>
      <c r="AU11" s="334"/>
      <c r="AV11" s="334"/>
      <c r="AW11" s="334"/>
      <c r="AX11" s="334"/>
      <c r="AY11" s="334"/>
      <c r="AZ11" s="334"/>
      <c r="BA11" s="334"/>
      <c r="BB11" s="334"/>
      <c r="BC11" s="334"/>
      <c r="BD11" s="334"/>
      <c r="BE11" s="334"/>
      <c r="BF11" s="334"/>
      <c r="BG11" s="334"/>
      <c r="BH11" s="334"/>
      <c r="BI11" s="334"/>
      <c r="BJ11" s="334"/>
      <c r="BK11" s="334"/>
      <c r="BL11" s="334"/>
      <c r="BM11" s="334"/>
      <c r="BN11" s="334"/>
      <c r="BO11" s="334"/>
      <c r="BP11" s="334"/>
      <c r="BQ11" s="334"/>
      <c r="BR11" s="334"/>
      <c r="BS11" s="334"/>
      <c r="BT11" s="334"/>
      <c r="BU11" s="334"/>
      <c r="BV11" s="334"/>
      <c r="BW11" s="334"/>
      <c r="BX11" s="334"/>
      <c r="BY11" s="334"/>
      <c r="BZ11" s="334"/>
      <c r="CA11" s="334"/>
      <c r="CB11" s="334"/>
      <c r="CC11" s="334"/>
      <c r="CD11" s="334"/>
      <c r="CE11" s="334"/>
      <c r="CF11" s="334"/>
      <c r="CG11" s="334"/>
      <c r="CH11" s="334"/>
      <c r="CI11" s="334"/>
      <c r="CJ11" s="334"/>
      <c r="CK11" s="334"/>
      <c r="CL11" s="334"/>
      <c r="CM11" s="334"/>
      <c r="CN11" s="334"/>
      <c r="CO11" s="334"/>
      <c r="CP11" s="334"/>
      <c r="CQ11" s="334"/>
      <c r="CR11" s="334"/>
      <c r="CS11" s="334"/>
      <c r="CT11" s="334"/>
      <c r="CU11" s="334"/>
      <c r="CV11" s="334"/>
      <c r="CW11" s="334"/>
      <c r="CX11" s="334"/>
      <c r="CY11" s="334"/>
      <c r="CZ11" s="334"/>
      <c r="DA11" s="334"/>
      <c r="DB11" s="334"/>
      <c r="DC11" s="334"/>
      <c r="DD11" s="334"/>
      <c r="DE11" s="334"/>
      <c r="DF11" s="334"/>
      <c r="DG11" s="334"/>
      <c r="DH11" s="334"/>
      <c r="DI11" s="334"/>
      <c r="DJ11" s="334"/>
      <c r="DK11" s="334"/>
      <c r="DL11" s="334"/>
      <c r="DM11" s="334"/>
      <c r="DN11" s="334"/>
      <c r="DO11" s="334"/>
      <c r="DP11" s="334"/>
      <c r="DQ11" s="334"/>
      <c r="DR11" s="334"/>
      <c r="DS11" s="334"/>
      <c r="DT11" s="334"/>
      <c r="DU11" s="334"/>
      <c r="DV11" s="334"/>
      <c r="DW11" s="334"/>
      <c r="DX11" s="334"/>
      <c r="DY11" s="334"/>
      <c r="DZ11" s="334"/>
      <c r="EA11" s="334"/>
      <c r="EB11" s="334"/>
      <c r="EC11" s="334"/>
      <c r="ED11" s="334"/>
      <c r="EE11" s="334"/>
      <c r="EF11" s="334"/>
      <c r="EG11" s="334"/>
      <c r="EH11" s="334"/>
      <c r="EI11" s="334"/>
      <c r="EJ11" s="334"/>
      <c r="EK11" s="334"/>
      <c r="EL11" s="334"/>
      <c r="EM11" s="334"/>
      <c r="EN11" s="334"/>
      <c r="EO11" s="334"/>
      <c r="EP11" s="334"/>
      <c r="EQ11" s="334"/>
      <c r="ER11" s="334"/>
      <c r="ES11" s="334"/>
      <c r="ET11" s="334"/>
      <c r="EU11" s="334"/>
      <c r="EV11" s="334"/>
      <c r="EW11" s="334"/>
      <c r="EX11" s="334"/>
      <c r="EY11" s="334"/>
      <c r="EZ11" s="334"/>
      <c r="FA11" s="334"/>
      <c r="FB11" s="334"/>
      <c r="FC11" s="334"/>
      <c r="FD11" s="334"/>
      <c r="FE11" s="334"/>
      <c r="FF11" s="334"/>
      <c r="FG11" s="334"/>
      <c r="FH11" s="334"/>
      <c r="FI11" s="334"/>
      <c r="FJ11" s="334"/>
      <c r="FK11" s="334"/>
      <c r="FL11" s="334"/>
      <c r="FM11" s="334"/>
      <c r="FN11" s="334"/>
      <c r="FO11" s="334"/>
      <c r="FP11" s="334"/>
      <c r="FQ11" s="334"/>
      <c r="FR11" s="334"/>
      <c r="FS11" s="334"/>
      <c r="FT11" s="334"/>
      <c r="FU11" s="334"/>
      <c r="FV11" s="334"/>
      <c r="FW11" s="334"/>
      <c r="FX11" s="334"/>
      <c r="FY11" s="334"/>
      <c r="FZ11" s="334"/>
      <c r="GA11" s="334"/>
      <c r="GB11" s="334"/>
      <c r="GC11" s="334"/>
      <c r="GD11" s="334"/>
      <c r="GE11" s="334"/>
      <c r="GF11" s="334"/>
      <c r="GG11" s="334"/>
      <c r="GH11" s="334"/>
      <c r="GI11" s="334"/>
      <c r="GJ11" s="334"/>
      <c r="GK11" s="334"/>
      <c r="GL11" s="334"/>
      <c r="GM11" s="334"/>
      <c r="GN11" s="334"/>
      <c r="GO11" s="334"/>
      <c r="GP11" s="334"/>
      <c r="GQ11" s="334"/>
      <c r="GR11" s="334"/>
      <c r="GS11" s="334"/>
      <c r="GT11" s="334"/>
      <c r="GU11" s="334"/>
      <c r="GV11" s="334"/>
      <c r="GW11" s="334"/>
      <c r="GX11" s="334"/>
      <c r="GY11" s="334"/>
      <c r="GZ11" s="334"/>
      <c r="HA11" s="334"/>
      <c r="HB11" s="334"/>
      <c r="HC11" s="334"/>
      <c r="HD11" s="334"/>
      <c r="HE11" s="334"/>
      <c r="HF11" s="334"/>
      <c r="HG11" s="334"/>
      <c r="HH11" s="334"/>
      <c r="HI11" s="334"/>
      <c r="HJ11" s="334"/>
      <c r="HK11" s="334"/>
      <c r="HL11" s="334"/>
      <c r="HM11" s="334"/>
      <c r="HN11" s="334"/>
      <c r="HO11" s="334"/>
      <c r="HP11" s="334"/>
      <c r="HQ11" s="334"/>
      <c r="HR11" s="334"/>
      <c r="HS11" s="334"/>
      <c r="HT11" s="334"/>
      <c r="HU11" s="334"/>
      <c r="HV11" s="334"/>
      <c r="HW11" s="334"/>
      <c r="HX11" s="334"/>
      <c r="HY11" s="334"/>
      <c r="HZ11" s="334"/>
      <c r="IA11" s="334"/>
      <c r="IB11" s="334"/>
      <c r="IC11" s="334"/>
      <c r="ID11" s="334"/>
      <c r="IE11" s="334"/>
      <c r="IF11" s="334"/>
      <c r="IG11" s="334"/>
      <c r="IH11" s="334"/>
      <c r="II11" s="334"/>
      <c r="IJ11" s="334"/>
      <c r="IK11" s="334"/>
      <c r="IL11" s="334"/>
      <c r="IM11" s="334"/>
      <c r="IN11" s="334"/>
      <c r="IO11" s="334"/>
      <c r="IP11" s="334"/>
      <c r="IQ11" s="334"/>
      <c r="IR11" s="334"/>
    </row>
    <row r="12" spans="1:252" s="368" customFormat="1" x14ac:dyDescent="0.25">
      <c r="A12" s="366">
        <v>43657</v>
      </c>
      <c r="B12" s="367">
        <v>82.47</v>
      </c>
      <c r="C12" s="367">
        <v>25.94</v>
      </c>
      <c r="D12" s="367">
        <v>132.69999999999999</v>
      </c>
      <c r="E12" s="367">
        <v>77.650000000000006</v>
      </c>
      <c r="F12" s="367">
        <v>192.42</v>
      </c>
      <c r="G12" s="367">
        <v>14.17</v>
      </c>
      <c r="H12" s="367">
        <v>26.24</v>
      </c>
      <c r="I12" s="367">
        <v>79.98</v>
      </c>
      <c r="J12" s="367">
        <v>89.58</v>
      </c>
      <c r="K12" s="367">
        <v>274.76</v>
      </c>
      <c r="L12" s="367">
        <v>152.83000000000001</v>
      </c>
      <c r="M12" s="367">
        <v>80.55</v>
      </c>
      <c r="N12" s="367">
        <v>33.240001678500001</v>
      </c>
      <c r="O12" s="367">
        <v>11.8699998856</v>
      </c>
      <c r="P12" s="367">
        <v>25.584999084500001</v>
      </c>
      <c r="Q12" s="367">
        <v>34.700000762899997</v>
      </c>
      <c r="R12" s="367">
        <v>33.3899993896</v>
      </c>
      <c r="S12" s="367">
        <v>26.790000915499999</v>
      </c>
      <c r="T12" s="367">
        <v>25.8899993896</v>
      </c>
      <c r="U12" s="367">
        <v>75.52</v>
      </c>
      <c r="V12" s="334"/>
      <c r="W12" s="334"/>
      <c r="X12" s="334"/>
      <c r="Y12" s="334"/>
      <c r="Z12" s="334"/>
      <c r="AA12" s="334"/>
      <c r="AB12" s="334"/>
      <c r="AC12" s="334"/>
      <c r="AD12" s="334"/>
      <c r="AE12" s="334"/>
      <c r="AF12" s="334"/>
      <c r="AG12" s="334"/>
      <c r="AH12" s="334"/>
      <c r="AI12" s="334"/>
      <c r="AJ12" s="334"/>
      <c r="AK12" s="334"/>
      <c r="AL12" s="334"/>
      <c r="AM12" s="334"/>
      <c r="AN12" s="334"/>
      <c r="AO12" s="334"/>
      <c r="AP12" s="334"/>
      <c r="AQ12" s="334"/>
      <c r="AR12" s="334"/>
      <c r="AS12" s="334"/>
      <c r="AT12" s="334"/>
      <c r="AU12" s="334"/>
      <c r="AV12" s="334"/>
      <c r="AW12" s="334"/>
      <c r="AX12" s="334"/>
      <c r="AY12" s="334"/>
      <c r="AZ12" s="334"/>
      <c r="BA12" s="334"/>
      <c r="BB12" s="334"/>
      <c r="BC12" s="334"/>
      <c r="BD12" s="334"/>
      <c r="BE12" s="334"/>
      <c r="BF12" s="334"/>
      <c r="BG12" s="334"/>
      <c r="BH12" s="334"/>
      <c r="BI12" s="334"/>
      <c r="BJ12" s="334"/>
      <c r="BK12" s="334"/>
      <c r="BL12" s="334"/>
      <c r="BM12" s="334"/>
      <c r="BN12" s="334"/>
      <c r="BO12" s="334"/>
      <c r="BP12" s="334"/>
      <c r="BQ12" s="334"/>
      <c r="BR12" s="334"/>
      <c r="BS12" s="334"/>
      <c r="BT12" s="334"/>
      <c r="BU12" s="334"/>
      <c r="BV12" s="334"/>
      <c r="BW12" s="334"/>
      <c r="BX12" s="334"/>
      <c r="BY12" s="334"/>
      <c r="BZ12" s="334"/>
      <c r="CA12" s="334"/>
      <c r="CB12" s="334"/>
      <c r="CC12" s="334"/>
      <c r="CD12" s="334"/>
      <c r="CE12" s="334"/>
      <c r="CF12" s="334"/>
      <c r="CG12" s="334"/>
      <c r="CH12" s="334"/>
      <c r="CI12" s="334"/>
      <c r="CJ12" s="334"/>
      <c r="CK12" s="334"/>
      <c r="CL12" s="334"/>
      <c r="CM12" s="334"/>
      <c r="CN12" s="334"/>
      <c r="CO12" s="334"/>
      <c r="CP12" s="334"/>
      <c r="CQ12" s="334"/>
      <c r="CR12" s="334"/>
      <c r="CS12" s="334"/>
      <c r="CT12" s="334"/>
      <c r="CU12" s="334"/>
      <c r="CV12" s="334"/>
      <c r="CW12" s="334"/>
      <c r="CX12" s="334"/>
      <c r="CY12" s="334"/>
      <c r="CZ12" s="334"/>
      <c r="DA12" s="334"/>
      <c r="DB12" s="334"/>
      <c r="DC12" s="334"/>
      <c r="DD12" s="334"/>
      <c r="DE12" s="334"/>
      <c r="DF12" s="334"/>
      <c r="DG12" s="334"/>
      <c r="DH12" s="334"/>
      <c r="DI12" s="334"/>
      <c r="DJ12" s="334"/>
      <c r="DK12" s="334"/>
      <c r="DL12" s="334"/>
      <c r="DM12" s="334"/>
      <c r="DN12" s="334"/>
      <c r="DO12" s="334"/>
      <c r="DP12" s="334"/>
      <c r="DQ12" s="334"/>
      <c r="DR12" s="334"/>
      <c r="DS12" s="334"/>
      <c r="DT12" s="334"/>
      <c r="DU12" s="334"/>
      <c r="DV12" s="334"/>
      <c r="DW12" s="334"/>
      <c r="DX12" s="334"/>
      <c r="DY12" s="334"/>
      <c r="DZ12" s="334"/>
      <c r="EA12" s="334"/>
      <c r="EB12" s="334"/>
      <c r="EC12" s="334"/>
      <c r="ED12" s="334"/>
      <c r="EE12" s="334"/>
      <c r="EF12" s="334"/>
      <c r="EG12" s="334"/>
      <c r="EH12" s="334"/>
      <c r="EI12" s="334"/>
      <c r="EJ12" s="334"/>
      <c r="EK12" s="334"/>
      <c r="EL12" s="334"/>
      <c r="EM12" s="334"/>
      <c r="EN12" s="334"/>
      <c r="EO12" s="334"/>
      <c r="EP12" s="334"/>
      <c r="EQ12" s="334"/>
      <c r="ER12" s="334"/>
      <c r="ES12" s="334"/>
      <c r="ET12" s="334"/>
      <c r="EU12" s="334"/>
      <c r="EV12" s="334"/>
      <c r="EW12" s="334"/>
      <c r="EX12" s="334"/>
      <c r="EY12" s="334"/>
      <c r="EZ12" s="334"/>
      <c r="FA12" s="334"/>
      <c r="FB12" s="334"/>
      <c r="FC12" s="334"/>
      <c r="FD12" s="334"/>
      <c r="FE12" s="334"/>
      <c r="FF12" s="334"/>
      <c r="FG12" s="334"/>
      <c r="FH12" s="334"/>
      <c r="FI12" s="334"/>
      <c r="FJ12" s="334"/>
      <c r="FK12" s="334"/>
      <c r="FL12" s="334"/>
      <c r="FM12" s="334"/>
      <c r="FN12" s="334"/>
      <c r="FO12" s="334"/>
      <c r="FP12" s="334"/>
      <c r="FQ12" s="334"/>
      <c r="FR12" s="334"/>
      <c r="FS12" s="334"/>
      <c r="FT12" s="334"/>
      <c r="FU12" s="334"/>
      <c r="FV12" s="334"/>
      <c r="FW12" s="334"/>
      <c r="FX12" s="334"/>
      <c r="FY12" s="334"/>
      <c r="FZ12" s="334"/>
      <c r="GA12" s="334"/>
      <c r="GB12" s="334"/>
      <c r="GC12" s="334"/>
      <c r="GD12" s="334"/>
      <c r="GE12" s="334"/>
      <c r="GF12" s="334"/>
      <c r="GG12" s="334"/>
      <c r="GH12" s="334"/>
      <c r="GI12" s="334"/>
      <c r="GJ12" s="334"/>
      <c r="GK12" s="334"/>
      <c r="GL12" s="334"/>
      <c r="GM12" s="334"/>
      <c r="GN12" s="334"/>
      <c r="GO12" s="334"/>
      <c r="GP12" s="334"/>
      <c r="GQ12" s="334"/>
      <c r="GR12" s="334"/>
      <c r="GS12" s="334"/>
      <c r="GT12" s="334"/>
      <c r="GU12" s="334"/>
      <c r="GV12" s="334"/>
      <c r="GW12" s="334"/>
      <c r="GX12" s="334"/>
      <c r="GY12" s="334"/>
      <c r="GZ12" s="334"/>
      <c r="HA12" s="334"/>
      <c r="HB12" s="334"/>
      <c r="HC12" s="334"/>
      <c r="HD12" s="334"/>
      <c r="HE12" s="334"/>
      <c r="HF12" s="334"/>
      <c r="HG12" s="334"/>
      <c r="HH12" s="334"/>
      <c r="HI12" s="334"/>
      <c r="HJ12" s="334"/>
      <c r="HK12" s="334"/>
      <c r="HL12" s="334"/>
      <c r="HM12" s="334"/>
      <c r="HN12" s="334"/>
      <c r="HO12" s="334"/>
      <c r="HP12" s="334"/>
      <c r="HQ12" s="334"/>
      <c r="HR12" s="334"/>
      <c r="HS12" s="334"/>
      <c r="HT12" s="334"/>
      <c r="HU12" s="334"/>
      <c r="HV12" s="334"/>
      <c r="HW12" s="334"/>
      <c r="HX12" s="334"/>
      <c r="HY12" s="334"/>
      <c r="HZ12" s="334"/>
      <c r="IA12" s="334"/>
      <c r="IB12" s="334"/>
      <c r="IC12" s="334"/>
      <c r="ID12" s="334"/>
      <c r="IE12" s="334"/>
      <c r="IF12" s="334"/>
      <c r="IG12" s="334"/>
      <c r="IH12" s="334"/>
      <c r="II12" s="334"/>
      <c r="IJ12" s="334"/>
      <c r="IK12" s="334"/>
      <c r="IL12" s="334"/>
      <c r="IM12" s="334"/>
      <c r="IN12" s="334"/>
      <c r="IO12" s="334"/>
      <c r="IP12" s="334"/>
      <c r="IQ12" s="334"/>
      <c r="IR12" s="334"/>
    </row>
    <row r="13" spans="1:252" s="368" customFormat="1" x14ac:dyDescent="0.25">
      <c r="A13" s="366">
        <v>43658</v>
      </c>
      <c r="B13" s="367">
        <v>82.54</v>
      </c>
      <c r="C13" s="367">
        <v>26.21</v>
      </c>
      <c r="D13" s="367">
        <v>133.53</v>
      </c>
      <c r="E13" s="367">
        <v>78.33</v>
      </c>
      <c r="F13" s="367">
        <v>193.53</v>
      </c>
      <c r="G13" s="367">
        <v>14.26</v>
      </c>
      <c r="H13" s="367">
        <v>26.19</v>
      </c>
      <c r="I13" s="367">
        <v>80.05</v>
      </c>
      <c r="J13" s="367">
        <v>89.46</v>
      </c>
      <c r="K13" s="367">
        <v>276.11</v>
      </c>
      <c r="L13" s="367">
        <v>153.61000000000001</v>
      </c>
      <c r="M13" s="367">
        <v>81.14</v>
      </c>
      <c r="N13" s="367">
        <v>33.3899993896</v>
      </c>
      <c r="O13" s="367">
        <v>11.920000076299999</v>
      </c>
      <c r="P13" s="367">
        <v>25.579999923700001</v>
      </c>
      <c r="Q13" s="367">
        <v>34.689998626700003</v>
      </c>
      <c r="R13" s="367">
        <v>33.290000915500002</v>
      </c>
      <c r="S13" s="367">
        <v>26.979999542200002</v>
      </c>
      <c r="T13" s="367">
        <v>25.899999618500001</v>
      </c>
      <c r="U13" s="367">
        <v>75.680000000000007</v>
      </c>
      <c r="V13" s="334"/>
      <c r="W13" s="334"/>
      <c r="X13" s="334"/>
      <c r="Y13" s="334"/>
      <c r="Z13" s="334"/>
      <c r="AA13" s="334"/>
      <c r="AB13" s="334"/>
      <c r="AC13" s="334"/>
      <c r="AD13" s="334"/>
      <c r="AE13" s="334"/>
      <c r="AF13" s="334"/>
      <c r="AG13" s="334"/>
      <c r="AH13" s="334"/>
      <c r="AI13" s="334"/>
      <c r="AJ13" s="334"/>
      <c r="AK13" s="334"/>
      <c r="AL13" s="334"/>
      <c r="AM13" s="334"/>
      <c r="AN13" s="334"/>
      <c r="AO13" s="334"/>
      <c r="AP13" s="334"/>
      <c r="AQ13" s="334"/>
      <c r="AR13" s="334"/>
      <c r="AS13" s="334"/>
      <c r="AT13" s="334"/>
      <c r="AU13" s="334"/>
      <c r="AV13" s="334"/>
      <c r="AW13" s="334"/>
      <c r="AX13" s="334"/>
      <c r="AY13" s="334"/>
      <c r="AZ13" s="334"/>
      <c r="BA13" s="334"/>
      <c r="BB13" s="334"/>
      <c r="BC13" s="334"/>
      <c r="BD13" s="334"/>
      <c r="BE13" s="334"/>
      <c r="BF13" s="334"/>
      <c r="BG13" s="334"/>
      <c r="BH13" s="334"/>
      <c r="BI13" s="334"/>
      <c r="BJ13" s="334"/>
      <c r="BK13" s="334"/>
      <c r="BL13" s="334"/>
      <c r="BM13" s="334"/>
      <c r="BN13" s="334"/>
      <c r="BO13" s="334"/>
      <c r="BP13" s="334"/>
      <c r="BQ13" s="334"/>
      <c r="BR13" s="334"/>
      <c r="BS13" s="334"/>
      <c r="BT13" s="334"/>
      <c r="BU13" s="334"/>
      <c r="BV13" s="334"/>
      <c r="BW13" s="334"/>
      <c r="BX13" s="334"/>
      <c r="BY13" s="334"/>
      <c r="BZ13" s="334"/>
      <c r="CA13" s="334"/>
      <c r="CB13" s="334"/>
      <c r="CC13" s="334"/>
      <c r="CD13" s="334"/>
      <c r="CE13" s="334"/>
      <c r="CF13" s="334"/>
      <c r="CG13" s="334"/>
      <c r="CH13" s="334"/>
      <c r="CI13" s="334"/>
      <c r="CJ13" s="334"/>
      <c r="CK13" s="334"/>
      <c r="CL13" s="334"/>
      <c r="CM13" s="334"/>
      <c r="CN13" s="334"/>
      <c r="CO13" s="334"/>
      <c r="CP13" s="334"/>
      <c r="CQ13" s="334"/>
      <c r="CR13" s="334"/>
      <c r="CS13" s="334"/>
      <c r="CT13" s="334"/>
      <c r="CU13" s="334"/>
      <c r="CV13" s="334"/>
      <c r="CW13" s="334"/>
      <c r="CX13" s="334"/>
      <c r="CY13" s="334"/>
      <c r="CZ13" s="334"/>
      <c r="DA13" s="334"/>
      <c r="DB13" s="334"/>
      <c r="DC13" s="334"/>
      <c r="DD13" s="334"/>
      <c r="DE13" s="334"/>
      <c r="DF13" s="334"/>
      <c r="DG13" s="334"/>
      <c r="DH13" s="334"/>
      <c r="DI13" s="334"/>
      <c r="DJ13" s="334"/>
      <c r="DK13" s="334"/>
      <c r="DL13" s="334"/>
      <c r="DM13" s="334"/>
      <c r="DN13" s="334"/>
      <c r="DO13" s="334"/>
      <c r="DP13" s="334"/>
      <c r="DQ13" s="334"/>
      <c r="DR13" s="334"/>
      <c r="DS13" s="334"/>
      <c r="DT13" s="334"/>
      <c r="DU13" s="334"/>
      <c r="DV13" s="334"/>
      <c r="DW13" s="334"/>
      <c r="DX13" s="334"/>
      <c r="DY13" s="334"/>
      <c r="DZ13" s="334"/>
      <c r="EA13" s="334"/>
      <c r="EB13" s="334"/>
      <c r="EC13" s="334"/>
      <c r="ED13" s="334"/>
      <c r="EE13" s="334"/>
      <c r="EF13" s="334"/>
      <c r="EG13" s="334"/>
      <c r="EH13" s="334"/>
      <c r="EI13" s="334"/>
      <c r="EJ13" s="334"/>
      <c r="EK13" s="334"/>
      <c r="EL13" s="334"/>
      <c r="EM13" s="334"/>
      <c r="EN13" s="334"/>
      <c r="EO13" s="334"/>
      <c r="EP13" s="334"/>
      <c r="EQ13" s="334"/>
      <c r="ER13" s="334"/>
      <c r="ES13" s="334"/>
      <c r="ET13" s="334"/>
      <c r="EU13" s="334"/>
      <c r="EV13" s="334"/>
      <c r="EW13" s="334"/>
      <c r="EX13" s="334"/>
      <c r="EY13" s="334"/>
      <c r="EZ13" s="334"/>
      <c r="FA13" s="334"/>
      <c r="FB13" s="334"/>
      <c r="FC13" s="334"/>
      <c r="FD13" s="334"/>
      <c r="FE13" s="334"/>
      <c r="FF13" s="334"/>
      <c r="FG13" s="334"/>
      <c r="FH13" s="334"/>
      <c r="FI13" s="334"/>
      <c r="FJ13" s="334"/>
      <c r="FK13" s="334"/>
      <c r="FL13" s="334"/>
      <c r="FM13" s="334"/>
      <c r="FN13" s="334"/>
      <c r="FO13" s="334"/>
      <c r="FP13" s="334"/>
      <c r="FQ13" s="334"/>
      <c r="FR13" s="334"/>
      <c r="FS13" s="334"/>
      <c r="FT13" s="334"/>
      <c r="FU13" s="334"/>
      <c r="FV13" s="334"/>
      <c r="FW13" s="334"/>
      <c r="FX13" s="334"/>
      <c r="FY13" s="334"/>
      <c r="FZ13" s="334"/>
      <c r="GA13" s="334"/>
      <c r="GB13" s="334"/>
      <c r="GC13" s="334"/>
      <c r="GD13" s="334"/>
      <c r="GE13" s="334"/>
      <c r="GF13" s="334"/>
      <c r="GG13" s="334"/>
      <c r="GH13" s="334"/>
      <c r="GI13" s="334"/>
      <c r="GJ13" s="334"/>
      <c r="GK13" s="334"/>
      <c r="GL13" s="334"/>
      <c r="GM13" s="334"/>
      <c r="GN13" s="334"/>
      <c r="GO13" s="334"/>
      <c r="GP13" s="334"/>
      <c r="GQ13" s="334"/>
      <c r="GR13" s="334"/>
      <c r="GS13" s="334"/>
      <c r="GT13" s="334"/>
      <c r="GU13" s="334"/>
      <c r="GV13" s="334"/>
      <c r="GW13" s="334"/>
      <c r="GX13" s="334"/>
      <c r="GY13" s="334"/>
      <c r="GZ13" s="334"/>
      <c r="HA13" s="334"/>
      <c r="HB13" s="334"/>
      <c r="HC13" s="334"/>
      <c r="HD13" s="334"/>
      <c r="HE13" s="334"/>
      <c r="HF13" s="334"/>
      <c r="HG13" s="334"/>
      <c r="HH13" s="334"/>
      <c r="HI13" s="334"/>
      <c r="HJ13" s="334"/>
      <c r="HK13" s="334"/>
      <c r="HL13" s="334"/>
      <c r="HM13" s="334"/>
      <c r="HN13" s="334"/>
      <c r="HO13" s="334"/>
      <c r="HP13" s="334"/>
      <c r="HQ13" s="334"/>
      <c r="HR13" s="334"/>
      <c r="HS13" s="334"/>
      <c r="HT13" s="334"/>
      <c r="HU13" s="334"/>
      <c r="HV13" s="334"/>
      <c r="HW13" s="334"/>
      <c r="HX13" s="334"/>
      <c r="HY13" s="334"/>
      <c r="HZ13" s="334"/>
      <c r="IA13" s="334"/>
      <c r="IB13" s="334"/>
      <c r="IC13" s="334"/>
      <c r="ID13" s="334"/>
      <c r="IE13" s="334"/>
      <c r="IF13" s="334"/>
      <c r="IG13" s="334"/>
      <c r="IH13" s="334"/>
      <c r="II13" s="334"/>
      <c r="IJ13" s="334"/>
      <c r="IK13" s="334"/>
      <c r="IL13" s="334"/>
      <c r="IM13" s="334"/>
      <c r="IN13" s="334"/>
      <c r="IO13" s="334"/>
      <c r="IP13" s="334"/>
      <c r="IQ13" s="334"/>
      <c r="IR13" s="334"/>
    </row>
    <row r="14" spans="1:252" s="368" customFormat="1" x14ac:dyDescent="0.25">
      <c r="A14" s="366">
        <v>43659</v>
      </c>
      <c r="B14" s="367">
        <v>82.54</v>
      </c>
      <c r="C14" s="367">
        <v>26.21</v>
      </c>
      <c r="D14" s="367">
        <v>133.53</v>
      </c>
      <c r="E14" s="367">
        <v>78.33</v>
      </c>
      <c r="F14" s="367">
        <v>193.53</v>
      </c>
      <c r="G14" s="367">
        <v>14.26</v>
      </c>
      <c r="H14" s="367">
        <v>26.19</v>
      </c>
      <c r="I14" s="367">
        <v>80.05</v>
      </c>
      <c r="J14" s="367">
        <v>89.46</v>
      </c>
      <c r="K14" s="367">
        <v>276.11</v>
      </c>
      <c r="L14" s="367">
        <v>153.61000000000001</v>
      </c>
      <c r="M14" s="367">
        <v>81.14</v>
      </c>
      <c r="N14" s="367">
        <v>33.3899993896</v>
      </c>
      <c r="O14" s="367">
        <v>11.920000076299999</v>
      </c>
      <c r="P14" s="367">
        <v>25.579999923700001</v>
      </c>
      <c r="Q14" s="367">
        <v>34.689998626700003</v>
      </c>
      <c r="R14" s="367">
        <v>33.290000915500002</v>
      </c>
      <c r="S14" s="367">
        <v>26.979999542200002</v>
      </c>
      <c r="T14" s="367">
        <v>25.899999618500001</v>
      </c>
      <c r="U14" s="367">
        <v>75.680000000000007</v>
      </c>
      <c r="V14" s="334"/>
      <c r="W14" s="334"/>
      <c r="X14" s="334"/>
      <c r="Y14" s="334"/>
      <c r="Z14" s="334"/>
      <c r="AA14" s="334"/>
      <c r="AB14" s="334"/>
      <c r="AC14" s="334"/>
      <c r="AD14" s="334"/>
      <c r="AE14" s="334"/>
      <c r="AF14" s="334"/>
      <c r="AG14" s="334"/>
      <c r="AH14" s="334"/>
      <c r="AI14" s="334"/>
      <c r="AJ14" s="334"/>
      <c r="AK14" s="334"/>
      <c r="AL14" s="334"/>
      <c r="AM14" s="334"/>
      <c r="AN14" s="334"/>
      <c r="AO14" s="334"/>
      <c r="AP14" s="334"/>
      <c r="AQ14" s="334"/>
      <c r="AR14" s="334"/>
      <c r="AS14" s="334"/>
      <c r="AT14" s="334"/>
      <c r="AU14" s="334"/>
      <c r="AV14" s="334"/>
      <c r="AW14" s="334"/>
      <c r="AX14" s="334"/>
      <c r="AY14" s="334"/>
      <c r="AZ14" s="334"/>
      <c r="BA14" s="334"/>
      <c r="BB14" s="334"/>
      <c r="BC14" s="334"/>
      <c r="BD14" s="334"/>
      <c r="BE14" s="334"/>
      <c r="BF14" s="334"/>
      <c r="BG14" s="334"/>
      <c r="BH14" s="334"/>
      <c r="BI14" s="334"/>
      <c r="BJ14" s="334"/>
      <c r="BK14" s="334"/>
      <c r="BL14" s="334"/>
      <c r="BM14" s="334"/>
      <c r="BN14" s="334"/>
      <c r="BO14" s="334"/>
      <c r="BP14" s="334"/>
      <c r="BQ14" s="334"/>
      <c r="BR14" s="334"/>
      <c r="BS14" s="334"/>
      <c r="BT14" s="334"/>
      <c r="BU14" s="334"/>
      <c r="BV14" s="334"/>
      <c r="BW14" s="334"/>
      <c r="BX14" s="334"/>
      <c r="BY14" s="334"/>
      <c r="BZ14" s="334"/>
      <c r="CA14" s="334"/>
      <c r="CB14" s="334"/>
      <c r="CC14" s="334"/>
      <c r="CD14" s="334"/>
      <c r="CE14" s="334"/>
      <c r="CF14" s="334"/>
      <c r="CG14" s="334"/>
      <c r="CH14" s="334"/>
      <c r="CI14" s="334"/>
      <c r="CJ14" s="334"/>
      <c r="CK14" s="334"/>
      <c r="CL14" s="334"/>
      <c r="CM14" s="334"/>
      <c r="CN14" s="334"/>
      <c r="CO14" s="334"/>
      <c r="CP14" s="334"/>
      <c r="CQ14" s="334"/>
      <c r="CR14" s="334"/>
      <c r="CS14" s="334"/>
      <c r="CT14" s="334"/>
      <c r="CU14" s="334"/>
      <c r="CV14" s="334"/>
      <c r="CW14" s="334"/>
      <c r="CX14" s="334"/>
      <c r="CY14" s="334"/>
      <c r="CZ14" s="334"/>
      <c r="DA14" s="334"/>
      <c r="DB14" s="334"/>
      <c r="DC14" s="334"/>
      <c r="DD14" s="334"/>
      <c r="DE14" s="334"/>
      <c r="DF14" s="334"/>
      <c r="DG14" s="334"/>
      <c r="DH14" s="334"/>
      <c r="DI14" s="334"/>
      <c r="DJ14" s="334"/>
      <c r="DK14" s="334"/>
      <c r="DL14" s="334"/>
      <c r="DM14" s="334"/>
      <c r="DN14" s="334"/>
      <c r="DO14" s="334"/>
      <c r="DP14" s="334"/>
      <c r="DQ14" s="334"/>
      <c r="DR14" s="334"/>
      <c r="DS14" s="334"/>
      <c r="DT14" s="334"/>
      <c r="DU14" s="334"/>
      <c r="DV14" s="334"/>
      <c r="DW14" s="334"/>
      <c r="DX14" s="334"/>
      <c r="DY14" s="334"/>
      <c r="DZ14" s="334"/>
      <c r="EA14" s="334"/>
      <c r="EB14" s="334"/>
      <c r="EC14" s="334"/>
      <c r="ED14" s="334"/>
      <c r="EE14" s="334"/>
      <c r="EF14" s="334"/>
      <c r="EG14" s="334"/>
      <c r="EH14" s="334"/>
      <c r="EI14" s="334"/>
      <c r="EJ14" s="334"/>
      <c r="EK14" s="334"/>
      <c r="EL14" s="334"/>
      <c r="EM14" s="334"/>
      <c r="EN14" s="334"/>
      <c r="EO14" s="334"/>
      <c r="EP14" s="334"/>
      <c r="EQ14" s="334"/>
      <c r="ER14" s="334"/>
      <c r="ES14" s="334"/>
      <c r="ET14" s="334"/>
      <c r="EU14" s="334"/>
      <c r="EV14" s="334"/>
      <c r="EW14" s="334"/>
      <c r="EX14" s="334"/>
      <c r="EY14" s="334"/>
      <c r="EZ14" s="334"/>
      <c r="FA14" s="334"/>
      <c r="FB14" s="334"/>
      <c r="FC14" s="334"/>
      <c r="FD14" s="334"/>
      <c r="FE14" s="334"/>
      <c r="FF14" s="334"/>
      <c r="FG14" s="334"/>
      <c r="FH14" s="334"/>
      <c r="FI14" s="334"/>
      <c r="FJ14" s="334"/>
      <c r="FK14" s="334"/>
      <c r="FL14" s="334"/>
      <c r="FM14" s="334"/>
      <c r="FN14" s="334"/>
      <c r="FO14" s="334"/>
      <c r="FP14" s="334"/>
      <c r="FQ14" s="334"/>
      <c r="FR14" s="334"/>
      <c r="FS14" s="334"/>
      <c r="FT14" s="334"/>
      <c r="FU14" s="334"/>
      <c r="FV14" s="334"/>
      <c r="FW14" s="334"/>
      <c r="FX14" s="334"/>
      <c r="FY14" s="334"/>
      <c r="FZ14" s="334"/>
      <c r="GA14" s="334"/>
      <c r="GB14" s="334"/>
      <c r="GC14" s="334"/>
      <c r="GD14" s="334"/>
      <c r="GE14" s="334"/>
      <c r="GF14" s="334"/>
      <c r="GG14" s="334"/>
      <c r="GH14" s="334"/>
      <c r="GI14" s="334"/>
      <c r="GJ14" s="334"/>
      <c r="GK14" s="334"/>
      <c r="GL14" s="334"/>
      <c r="GM14" s="334"/>
      <c r="GN14" s="334"/>
      <c r="GO14" s="334"/>
      <c r="GP14" s="334"/>
      <c r="GQ14" s="334"/>
      <c r="GR14" s="334"/>
      <c r="GS14" s="334"/>
      <c r="GT14" s="334"/>
      <c r="GU14" s="334"/>
      <c r="GV14" s="334"/>
      <c r="GW14" s="334"/>
      <c r="GX14" s="334"/>
      <c r="GY14" s="334"/>
      <c r="GZ14" s="334"/>
      <c r="HA14" s="334"/>
      <c r="HB14" s="334"/>
      <c r="HC14" s="334"/>
      <c r="HD14" s="334"/>
      <c r="HE14" s="334"/>
      <c r="HF14" s="334"/>
      <c r="HG14" s="334"/>
      <c r="HH14" s="334"/>
      <c r="HI14" s="334"/>
      <c r="HJ14" s="334"/>
      <c r="HK14" s="334"/>
      <c r="HL14" s="334"/>
      <c r="HM14" s="334"/>
      <c r="HN14" s="334"/>
      <c r="HO14" s="334"/>
      <c r="HP14" s="334"/>
      <c r="HQ14" s="334"/>
      <c r="HR14" s="334"/>
      <c r="HS14" s="334"/>
      <c r="HT14" s="334"/>
      <c r="HU14" s="334"/>
      <c r="HV14" s="334"/>
      <c r="HW14" s="334"/>
      <c r="HX14" s="334"/>
      <c r="HY14" s="334"/>
      <c r="HZ14" s="334"/>
      <c r="IA14" s="334"/>
      <c r="IB14" s="334"/>
      <c r="IC14" s="334"/>
      <c r="ID14" s="334"/>
      <c r="IE14" s="334"/>
      <c r="IF14" s="334"/>
      <c r="IG14" s="334"/>
      <c r="IH14" s="334"/>
      <c r="II14" s="334"/>
      <c r="IJ14" s="334"/>
      <c r="IK14" s="334"/>
      <c r="IL14" s="334"/>
      <c r="IM14" s="334"/>
      <c r="IN14" s="334"/>
      <c r="IO14" s="334"/>
      <c r="IP14" s="334"/>
      <c r="IQ14" s="334"/>
      <c r="IR14" s="334"/>
    </row>
    <row r="15" spans="1:252" s="368" customFormat="1" x14ac:dyDescent="0.25">
      <c r="A15" s="366">
        <v>43660</v>
      </c>
      <c r="B15" s="367">
        <v>82.54</v>
      </c>
      <c r="C15" s="367">
        <v>26.21</v>
      </c>
      <c r="D15" s="367">
        <v>133.53</v>
      </c>
      <c r="E15" s="367">
        <v>78.33</v>
      </c>
      <c r="F15" s="367">
        <v>193.53</v>
      </c>
      <c r="G15" s="367">
        <v>14.26</v>
      </c>
      <c r="H15" s="367">
        <v>26.19</v>
      </c>
      <c r="I15" s="367">
        <v>80.05</v>
      </c>
      <c r="J15" s="367">
        <v>89.46</v>
      </c>
      <c r="K15" s="367">
        <v>276.11</v>
      </c>
      <c r="L15" s="367">
        <v>153.61000000000001</v>
      </c>
      <c r="M15" s="367">
        <v>81.14</v>
      </c>
      <c r="N15" s="367">
        <v>33.3899993896</v>
      </c>
      <c r="O15" s="367">
        <v>11.920000076299999</v>
      </c>
      <c r="P15" s="367">
        <v>25.579999923700001</v>
      </c>
      <c r="Q15" s="367">
        <v>34.689998626700003</v>
      </c>
      <c r="R15" s="367">
        <v>33.290000915500002</v>
      </c>
      <c r="S15" s="367">
        <v>26.979999542200002</v>
      </c>
      <c r="T15" s="367">
        <v>25.899999618500001</v>
      </c>
      <c r="U15" s="367">
        <v>75.680000000000007</v>
      </c>
      <c r="V15" s="334"/>
      <c r="W15" s="334"/>
      <c r="X15" s="334"/>
      <c r="Y15" s="334"/>
      <c r="Z15" s="334"/>
      <c r="AA15" s="334"/>
      <c r="AB15" s="334"/>
      <c r="AC15" s="334"/>
      <c r="AD15" s="334"/>
      <c r="AE15" s="334"/>
      <c r="AF15" s="334"/>
      <c r="AG15" s="334"/>
      <c r="AH15" s="334"/>
      <c r="AI15" s="334"/>
      <c r="AJ15" s="334"/>
      <c r="AK15" s="334"/>
      <c r="AL15" s="334"/>
      <c r="AM15" s="334"/>
      <c r="AN15" s="334"/>
      <c r="AO15" s="334"/>
      <c r="AP15" s="334"/>
      <c r="AQ15" s="334"/>
      <c r="AR15" s="334"/>
      <c r="AS15" s="334"/>
      <c r="AT15" s="334"/>
      <c r="AU15" s="334"/>
      <c r="AV15" s="334"/>
      <c r="AW15" s="334"/>
      <c r="AX15" s="334"/>
      <c r="AY15" s="334"/>
      <c r="AZ15" s="334"/>
      <c r="BA15" s="334"/>
      <c r="BB15" s="334"/>
      <c r="BC15" s="334"/>
      <c r="BD15" s="334"/>
      <c r="BE15" s="334"/>
      <c r="BF15" s="334"/>
      <c r="BG15" s="334"/>
      <c r="BH15" s="334"/>
      <c r="BI15" s="334"/>
      <c r="BJ15" s="334"/>
      <c r="BK15" s="334"/>
      <c r="BL15" s="334"/>
      <c r="BM15" s="334"/>
      <c r="BN15" s="334"/>
      <c r="BO15" s="334"/>
      <c r="BP15" s="334"/>
      <c r="BQ15" s="334"/>
      <c r="BR15" s="334"/>
      <c r="BS15" s="334"/>
      <c r="BT15" s="334"/>
      <c r="BU15" s="334"/>
      <c r="BV15" s="334"/>
      <c r="BW15" s="334"/>
      <c r="BX15" s="334"/>
      <c r="BY15" s="334"/>
      <c r="BZ15" s="334"/>
      <c r="CA15" s="334"/>
      <c r="CB15" s="334"/>
      <c r="CC15" s="334"/>
      <c r="CD15" s="334"/>
      <c r="CE15" s="334"/>
      <c r="CF15" s="334"/>
      <c r="CG15" s="334"/>
      <c r="CH15" s="334"/>
      <c r="CI15" s="334"/>
      <c r="CJ15" s="334"/>
      <c r="CK15" s="334"/>
      <c r="CL15" s="334"/>
      <c r="CM15" s="334"/>
      <c r="CN15" s="334"/>
      <c r="CO15" s="334"/>
      <c r="CP15" s="334"/>
      <c r="CQ15" s="334"/>
      <c r="CR15" s="334"/>
      <c r="CS15" s="334"/>
      <c r="CT15" s="334"/>
      <c r="CU15" s="334"/>
      <c r="CV15" s="334"/>
      <c r="CW15" s="334"/>
      <c r="CX15" s="334"/>
      <c r="CY15" s="334"/>
      <c r="CZ15" s="334"/>
      <c r="DA15" s="334"/>
      <c r="DB15" s="334"/>
      <c r="DC15" s="334"/>
      <c r="DD15" s="334"/>
      <c r="DE15" s="334"/>
      <c r="DF15" s="334"/>
      <c r="DG15" s="334"/>
      <c r="DH15" s="334"/>
      <c r="DI15" s="334"/>
      <c r="DJ15" s="334"/>
      <c r="DK15" s="334"/>
      <c r="DL15" s="334"/>
      <c r="DM15" s="334"/>
      <c r="DN15" s="334"/>
      <c r="DO15" s="334"/>
      <c r="DP15" s="334"/>
      <c r="DQ15" s="334"/>
      <c r="DR15" s="334"/>
      <c r="DS15" s="334"/>
      <c r="DT15" s="334"/>
      <c r="DU15" s="334"/>
      <c r="DV15" s="334"/>
      <c r="DW15" s="334"/>
      <c r="DX15" s="334"/>
      <c r="DY15" s="334"/>
      <c r="DZ15" s="334"/>
      <c r="EA15" s="334"/>
      <c r="EB15" s="334"/>
      <c r="EC15" s="334"/>
      <c r="ED15" s="334"/>
      <c r="EE15" s="334"/>
      <c r="EF15" s="334"/>
      <c r="EG15" s="334"/>
      <c r="EH15" s="334"/>
      <c r="EI15" s="334"/>
      <c r="EJ15" s="334"/>
      <c r="EK15" s="334"/>
      <c r="EL15" s="334"/>
      <c r="EM15" s="334"/>
      <c r="EN15" s="334"/>
      <c r="EO15" s="334"/>
      <c r="EP15" s="334"/>
      <c r="EQ15" s="334"/>
      <c r="ER15" s="334"/>
      <c r="ES15" s="334"/>
      <c r="ET15" s="334"/>
      <c r="EU15" s="334"/>
      <c r="EV15" s="334"/>
      <c r="EW15" s="334"/>
      <c r="EX15" s="334"/>
      <c r="EY15" s="334"/>
      <c r="EZ15" s="334"/>
      <c r="FA15" s="334"/>
      <c r="FB15" s="334"/>
      <c r="FC15" s="334"/>
      <c r="FD15" s="334"/>
      <c r="FE15" s="334"/>
      <c r="FF15" s="334"/>
      <c r="FG15" s="334"/>
      <c r="FH15" s="334"/>
      <c r="FI15" s="334"/>
      <c r="FJ15" s="334"/>
      <c r="FK15" s="334"/>
      <c r="FL15" s="334"/>
      <c r="FM15" s="334"/>
      <c r="FN15" s="334"/>
      <c r="FO15" s="334"/>
      <c r="FP15" s="334"/>
      <c r="FQ15" s="334"/>
      <c r="FR15" s="334"/>
      <c r="FS15" s="334"/>
      <c r="FT15" s="334"/>
      <c r="FU15" s="334"/>
      <c r="FV15" s="334"/>
      <c r="FW15" s="334"/>
      <c r="FX15" s="334"/>
      <c r="FY15" s="334"/>
      <c r="FZ15" s="334"/>
      <c r="GA15" s="334"/>
      <c r="GB15" s="334"/>
      <c r="GC15" s="334"/>
      <c r="GD15" s="334"/>
      <c r="GE15" s="334"/>
      <c r="GF15" s="334"/>
      <c r="GG15" s="334"/>
      <c r="GH15" s="334"/>
      <c r="GI15" s="334"/>
      <c r="GJ15" s="334"/>
      <c r="GK15" s="334"/>
      <c r="GL15" s="334"/>
      <c r="GM15" s="334"/>
      <c r="GN15" s="334"/>
      <c r="GO15" s="334"/>
      <c r="GP15" s="334"/>
      <c r="GQ15" s="334"/>
      <c r="GR15" s="334"/>
      <c r="GS15" s="334"/>
      <c r="GT15" s="334"/>
      <c r="GU15" s="334"/>
      <c r="GV15" s="334"/>
      <c r="GW15" s="334"/>
      <c r="GX15" s="334"/>
      <c r="GY15" s="334"/>
      <c r="GZ15" s="334"/>
      <c r="HA15" s="334"/>
      <c r="HB15" s="334"/>
      <c r="HC15" s="334"/>
      <c r="HD15" s="334"/>
      <c r="HE15" s="334"/>
      <c r="HF15" s="334"/>
      <c r="HG15" s="334"/>
      <c r="HH15" s="334"/>
      <c r="HI15" s="334"/>
      <c r="HJ15" s="334"/>
      <c r="HK15" s="334"/>
      <c r="HL15" s="334"/>
      <c r="HM15" s="334"/>
      <c r="HN15" s="334"/>
      <c r="HO15" s="334"/>
      <c r="HP15" s="334"/>
      <c r="HQ15" s="334"/>
      <c r="HR15" s="334"/>
      <c r="HS15" s="334"/>
      <c r="HT15" s="334"/>
      <c r="HU15" s="334"/>
      <c r="HV15" s="334"/>
      <c r="HW15" s="334"/>
      <c r="HX15" s="334"/>
      <c r="HY15" s="334"/>
      <c r="HZ15" s="334"/>
      <c r="IA15" s="334"/>
      <c r="IB15" s="334"/>
      <c r="IC15" s="334"/>
      <c r="ID15" s="334"/>
      <c r="IE15" s="334"/>
      <c r="IF15" s="334"/>
      <c r="IG15" s="334"/>
      <c r="IH15" s="334"/>
      <c r="II15" s="334"/>
      <c r="IJ15" s="334"/>
      <c r="IK15" s="334"/>
      <c r="IL15" s="334"/>
      <c r="IM15" s="334"/>
      <c r="IN15" s="334"/>
      <c r="IO15" s="334"/>
      <c r="IP15" s="334"/>
      <c r="IQ15" s="334"/>
      <c r="IR15" s="334"/>
    </row>
    <row r="16" spans="1:252" s="368" customFormat="1" x14ac:dyDescent="0.25">
      <c r="A16" s="366">
        <v>43661</v>
      </c>
      <c r="B16" s="367">
        <v>82.66</v>
      </c>
      <c r="C16" s="367">
        <v>26.18</v>
      </c>
      <c r="D16" s="367">
        <v>133.53</v>
      </c>
      <c r="E16" s="367">
        <v>77.83</v>
      </c>
      <c r="F16" s="367">
        <v>194.15</v>
      </c>
      <c r="G16" s="367">
        <v>14.42</v>
      </c>
      <c r="H16" s="367">
        <v>26.23</v>
      </c>
      <c r="I16" s="367">
        <v>80.53</v>
      </c>
      <c r="J16" s="367">
        <v>89.39</v>
      </c>
      <c r="K16" s="367">
        <v>276.18</v>
      </c>
      <c r="L16" s="367">
        <v>153.51</v>
      </c>
      <c r="M16" s="367">
        <v>81.41</v>
      </c>
      <c r="N16" s="367">
        <v>33.3800010681</v>
      </c>
      <c r="O16" s="367">
        <v>11.899999618500001</v>
      </c>
      <c r="P16" s="367">
        <v>25.620000839199999</v>
      </c>
      <c r="Q16" s="367">
        <v>34.590000152599998</v>
      </c>
      <c r="R16" s="367">
        <v>33.319999694800003</v>
      </c>
      <c r="S16" s="367">
        <v>27.100000381499999</v>
      </c>
      <c r="T16" s="367">
        <v>25.9300003052</v>
      </c>
      <c r="U16" s="367">
        <v>75.58</v>
      </c>
      <c r="V16" s="334"/>
      <c r="W16" s="334"/>
      <c r="X16" s="334"/>
      <c r="Y16" s="334"/>
      <c r="Z16" s="334"/>
      <c r="AA16" s="334"/>
      <c r="AB16" s="334"/>
      <c r="AC16" s="334"/>
      <c r="AD16" s="334"/>
      <c r="AE16" s="334"/>
      <c r="AF16" s="334"/>
      <c r="AG16" s="334"/>
      <c r="AH16" s="334"/>
      <c r="AI16" s="334"/>
      <c r="AJ16" s="334"/>
      <c r="AK16" s="334"/>
      <c r="AL16" s="334"/>
      <c r="AM16" s="334"/>
      <c r="AN16" s="334"/>
      <c r="AO16" s="334"/>
      <c r="AP16" s="334"/>
      <c r="AQ16" s="334"/>
      <c r="AR16" s="334"/>
      <c r="AS16" s="334"/>
      <c r="AT16" s="334"/>
      <c r="AU16" s="334"/>
      <c r="AV16" s="334"/>
      <c r="AW16" s="334"/>
      <c r="AX16" s="334"/>
      <c r="AY16" s="334"/>
      <c r="AZ16" s="334"/>
      <c r="BA16" s="334"/>
      <c r="BB16" s="334"/>
      <c r="BC16" s="334"/>
      <c r="BD16" s="334"/>
      <c r="BE16" s="334"/>
      <c r="BF16" s="334"/>
      <c r="BG16" s="334"/>
      <c r="BH16" s="334"/>
      <c r="BI16" s="334"/>
      <c r="BJ16" s="334"/>
      <c r="BK16" s="334"/>
      <c r="BL16" s="334"/>
      <c r="BM16" s="334"/>
      <c r="BN16" s="334"/>
      <c r="BO16" s="334"/>
      <c r="BP16" s="334"/>
      <c r="BQ16" s="334"/>
      <c r="BR16" s="334"/>
      <c r="BS16" s="334"/>
      <c r="BT16" s="334"/>
      <c r="BU16" s="334"/>
      <c r="BV16" s="334"/>
      <c r="BW16" s="334"/>
      <c r="BX16" s="334"/>
      <c r="BY16" s="334"/>
      <c r="BZ16" s="334"/>
      <c r="CA16" s="334"/>
      <c r="CB16" s="334"/>
      <c r="CC16" s="334"/>
      <c r="CD16" s="334"/>
      <c r="CE16" s="334"/>
      <c r="CF16" s="334"/>
      <c r="CG16" s="334"/>
      <c r="CH16" s="334"/>
      <c r="CI16" s="334"/>
      <c r="CJ16" s="334"/>
      <c r="CK16" s="334"/>
      <c r="CL16" s="334"/>
      <c r="CM16" s="334"/>
      <c r="CN16" s="334"/>
      <c r="CO16" s="334"/>
      <c r="CP16" s="334"/>
      <c r="CQ16" s="334"/>
      <c r="CR16" s="334"/>
      <c r="CS16" s="334"/>
      <c r="CT16" s="334"/>
      <c r="CU16" s="334"/>
      <c r="CV16" s="334"/>
      <c r="CW16" s="334"/>
      <c r="CX16" s="334"/>
      <c r="CY16" s="334"/>
      <c r="CZ16" s="334"/>
      <c r="DA16" s="334"/>
      <c r="DB16" s="334"/>
      <c r="DC16" s="334"/>
      <c r="DD16" s="334"/>
      <c r="DE16" s="334"/>
      <c r="DF16" s="334"/>
      <c r="DG16" s="334"/>
      <c r="DH16" s="334"/>
      <c r="DI16" s="334"/>
      <c r="DJ16" s="334"/>
      <c r="DK16" s="334"/>
      <c r="DL16" s="334"/>
      <c r="DM16" s="334"/>
      <c r="DN16" s="334"/>
      <c r="DO16" s="334"/>
      <c r="DP16" s="334"/>
      <c r="DQ16" s="334"/>
      <c r="DR16" s="334"/>
      <c r="DS16" s="334"/>
      <c r="DT16" s="334"/>
      <c r="DU16" s="334"/>
      <c r="DV16" s="334"/>
      <c r="DW16" s="334"/>
      <c r="DX16" s="334"/>
      <c r="DY16" s="334"/>
      <c r="DZ16" s="334"/>
      <c r="EA16" s="334"/>
      <c r="EB16" s="334"/>
      <c r="EC16" s="334"/>
      <c r="ED16" s="334"/>
      <c r="EE16" s="334"/>
      <c r="EF16" s="334"/>
      <c r="EG16" s="334"/>
      <c r="EH16" s="334"/>
      <c r="EI16" s="334"/>
      <c r="EJ16" s="334"/>
      <c r="EK16" s="334"/>
      <c r="EL16" s="334"/>
      <c r="EM16" s="334"/>
      <c r="EN16" s="334"/>
      <c r="EO16" s="334"/>
      <c r="EP16" s="334"/>
      <c r="EQ16" s="334"/>
      <c r="ER16" s="334"/>
      <c r="ES16" s="334"/>
      <c r="ET16" s="334"/>
      <c r="EU16" s="334"/>
      <c r="EV16" s="334"/>
      <c r="EW16" s="334"/>
      <c r="EX16" s="334"/>
      <c r="EY16" s="334"/>
      <c r="EZ16" s="334"/>
      <c r="FA16" s="334"/>
      <c r="FB16" s="334"/>
      <c r="FC16" s="334"/>
      <c r="FD16" s="334"/>
      <c r="FE16" s="334"/>
      <c r="FF16" s="334"/>
      <c r="FG16" s="334"/>
      <c r="FH16" s="334"/>
      <c r="FI16" s="334"/>
      <c r="FJ16" s="334"/>
      <c r="FK16" s="334"/>
      <c r="FL16" s="334"/>
      <c r="FM16" s="334"/>
      <c r="FN16" s="334"/>
      <c r="FO16" s="334"/>
      <c r="FP16" s="334"/>
      <c r="FQ16" s="334"/>
      <c r="FR16" s="334"/>
      <c r="FS16" s="334"/>
      <c r="FT16" s="334"/>
      <c r="FU16" s="334"/>
      <c r="FV16" s="334"/>
      <c r="FW16" s="334"/>
      <c r="FX16" s="334"/>
      <c r="FY16" s="334"/>
      <c r="FZ16" s="334"/>
      <c r="GA16" s="334"/>
      <c r="GB16" s="334"/>
      <c r="GC16" s="334"/>
      <c r="GD16" s="334"/>
      <c r="GE16" s="334"/>
      <c r="GF16" s="334"/>
      <c r="GG16" s="334"/>
      <c r="GH16" s="334"/>
      <c r="GI16" s="334"/>
      <c r="GJ16" s="334"/>
      <c r="GK16" s="334"/>
      <c r="GL16" s="334"/>
      <c r="GM16" s="334"/>
      <c r="GN16" s="334"/>
      <c r="GO16" s="334"/>
      <c r="GP16" s="334"/>
      <c r="GQ16" s="334"/>
      <c r="GR16" s="334"/>
      <c r="GS16" s="334"/>
      <c r="GT16" s="334"/>
      <c r="GU16" s="334"/>
      <c r="GV16" s="334"/>
      <c r="GW16" s="334"/>
      <c r="GX16" s="334"/>
      <c r="GY16" s="334"/>
      <c r="GZ16" s="334"/>
      <c r="HA16" s="334"/>
      <c r="HB16" s="334"/>
      <c r="HC16" s="334"/>
      <c r="HD16" s="334"/>
      <c r="HE16" s="334"/>
      <c r="HF16" s="334"/>
      <c r="HG16" s="334"/>
      <c r="HH16" s="334"/>
      <c r="HI16" s="334"/>
      <c r="HJ16" s="334"/>
      <c r="HK16" s="334"/>
      <c r="HL16" s="334"/>
      <c r="HM16" s="334"/>
      <c r="HN16" s="334"/>
      <c r="HO16" s="334"/>
      <c r="HP16" s="334"/>
      <c r="HQ16" s="334"/>
      <c r="HR16" s="334"/>
      <c r="HS16" s="334"/>
      <c r="HT16" s="334"/>
      <c r="HU16" s="334"/>
      <c r="HV16" s="334"/>
      <c r="HW16" s="334"/>
      <c r="HX16" s="334"/>
      <c r="HY16" s="334"/>
      <c r="HZ16" s="334"/>
      <c r="IA16" s="334"/>
      <c r="IB16" s="334"/>
      <c r="IC16" s="334"/>
      <c r="ID16" s="334"/>
      <c r="IE16" s="334"/>
      <c r="IF16" s="334"/>
      <c r="IG16" s="334"/>
      <c r="IH16" s="334"/>
      <c r="II16" s="334"/>
      <c r="IJ16" s="334"/>
      <c r="IK16" s="334"/>
      <c r="IL16" s="334"/>
      <c r="IM16" s="334"/>
      <c r="IN16" s="334"/>
      <c r="IO16" s="334"/>
      <c r="IP16" s="334"/>
      <c r="IQ16" s="334"/>
      <c r="IR16" s="334"/>
    </row>
    <row r="17" spans="1:252" s="368" customFormat="1" x14ac:dyDescent="0.25">
      <c r="A17" s="366">
        <v>43662</v>
      </c>
      <c r="B17" s="367">
        <v>82.55</v>
      </c>
      <c r="C17" s="367">
        <v>26.05</v>
      </c>
      <c r="D17" s="367">
        <v>132.4</v>
      </c>
      <c r="E17" s="367">
        <v>77.91</v>
      </c>
      <c r="F17" s="367">
        <v>193.15</v>
      </c>
      <c r="G17" s="367">
        <v>14.54</v>
      </c>
      <c r="H17" s="367">
        <v>26.35</v>
      </c>
      <c r="I17" s="367">
        <v>80.23</v>
      </c>
      <c r="J17" s="367">
        <v>89.18</v>
      </c>
      <c r="K17" s="367">
        <v>275.27999999999997</v>
      </c>
      <c r="L17" s="367">
        <v>153.12</v>
      </c>
      <c r="M17" s="367">
        <v>80.650000000000006</v>
      </c>
      <c r="N17" s="367">
        <v>33.279998779300001</v>
      </c>
      <c r="O17" s="367">
        <v>11.8100004196</v>
      </c>
      <c r="P17" s="367">
        <v>25.6100006104</v>
      </c>
      <c r="Q17" s="367">
        <v>34.5</v>
      </c>
      <c r="R17" s="367">
        <v>33.310001373299997</v>
      </c>
      <c r="S17" s="367">
        <v>27.079999923700001</v>
      </c>
      <c r="T17" s="367">
        <v>25.920000076299999</v>
      </c>
      <c r="U17" s="367">
        <v>75.42</v>
      </c>
      <c r="V17" s="334"/>
      <c r="W17" s="334"/>
      <c r="X17" s="334"/>
      <c r="Y17" s="334"/>
      <c r="Z17" s="334"/>
      <c r="AA17" s="334"/>
      <c r="AB17" s="334"/>
      <c r="AC17" s="334"/>
      <c r="AD17" s="334"/>
      <c r="AE17" s="334"/>
      <c r="AF17" s="334"/>
      <c r="AG17" s="334"/>
      <c r="AH17" s="334"/>
      <c r="AI17" s="334"/>
      <c r="AJ17" s="334"/>
      <c r="AK17" s="334"/>
      <c r="AL17" s="334"/>
      <c r="AM17" s="334"/>
      <c r="AN17" s="334"/>
      <c r="AO17" s="334"/>
      <c r="AP17" s="334"/>
      <c r="AQ17" s="334"/>
      <c r="AR17" s="334"/>
      <c r="AS17" s="334"/>
      <c r="AT17" s="334"/>
      <c r="AU17" s="334"/>
      <c r="AV17" s="334"/>
      <c r="AW17" s="334"/>
      <c r="AX17" s="334"/>
      <c r="AY17" s="334"/>
      <c r="AZ17" s="334"/>
      <c r="BA17" s="334"/>
      <c r="BB17" s="334"/>
      <c r="BC17" s="334"/>
      <c r="BD17" s="334"/>
      <c r="BE17" s="334"/>
      <c r="BF17" s="334"/>
      <c r="BG17" s="334"/>
      <c r="BH17" s="334"/>
      <c r="BI17" s="334"/>
      <c r="BJ17" s="334"/>
      <c r="BK17" s="334"/>
      <c r="BL17" s="334"/>
      <c r="BM17" s="334"/>
      <c r="BN17" s="334"/>
      <c r="BO17" s="334"/>
      <c r="BP17" s="334"/>
      <c r="BQ17" s="334"/>
      <c r="BR17" s="334"/>
      <c r="BS17" s="334"/>
      <c r="BT17" s="334"/>
      <c r="BU17" s="334"/>
      <c r="BV17" s="334"/>
      <c r="BW17" s="334"/>
      <c r="BX17" s="334"/>
      <c r="BY17" s="334"/>
      <c r="BZ17" s="334"/>
      <c r="CA17" s="334"/>
      <c r="CB17" s="334"/>
      <c r="CC17" s="334"/>
      <c r="CD17" s="334"/>
      <c r="CE17" s="334"/>
      <c r="CF17" s="334"/>
      <c r="CG17" s="334"/>
      <c r="CH17" s="334"/>
      <c r="CI17" s="334"/>
      <c r="CJ17" s="334"/>
      <c r="CK17" s="334"/>
      <c r="CL17" s="334"/>
      <c r="CM17" s="334"/>
      <c r="CN17" s="334"/>
      <c r="CO17" s="334"/>
      <c r="CP17" s="334"/>
      <c r="CQ17" s="334"/>
      <c r="CR17" s="334"/>
      <c r="CS17" s="334"/>
      <c r="CT17" s="334"/>
      <c r="CU17" s="334"/>
      <c r="CV17" s="334"/>
      <c r="CW17" s="334"/>
      <c r="CX17" s="334"/>
      <c r="CY17" s="334"/>
      <c r="CZ17" s="334"/>
      <c r="DA17" s="334"/>
      <c r="DB17" s="334"/>
      <c r="DC17" s="334"/>
      <c r="DD17" s="334"/>
      <c r="DE17" s="334"/>
      <c r="DF17" s="334"/>
      <c r="DG17" s="334"/>
      <c r="DH17" s="334"/>
      <c r="DI17" s="334"/>
      <c r="DJ17" s="334"/>
      <c r="DK17" s="334"/>
      <c r="DL17" s="334"/>
      <c r="DM17" s="334"/>
      <c r="DN17" s="334"/>
      <c r="DO17" s="334"/>
      <c r="DP17" s="334"/>
      <c r="DQ17" s="334"/>
      <c r="DR17" s="334"/>
      <c r="DS17" s="334"/>
      <c r="DT17" s="334"/>
      <c r="DU17" s="334"/>
      <c r="DV17" s="334"/>
      <c r="DW17" s="334"/>
      <c r="DX17" s="334"/>
      <c r="DY17" s="334"/>
      <c r="DZ17" s="334"/>
      <c r="EA17" s="334"/>
      <c r="EB17" s="334"/>
      <c r="EC17" s="334"/>
      <c r="ED17" s="334"/>
      <c r="EE17" s="334"/>
      <c r="EF17" s="334"/>
      <c r="EG17" s="334"/>
      <c r="EH17" s="334"/>
      <c r="EI17" s="334"/>
      <c r="EJ17" s="334"/>
      <c r="EK17" s="334"/>
      <c r="EL17" s="334"/>
      <c r="EM17" s="334"/>
      <c r="EN17" s="334"/>
      <c r="EO17" s="334"/>
      <c r="EP17" s="334"/>
      <c r="EQ17" s="334"/>
      <c r="ER17" s="334"/>
      <c r="ES17" s="334"/>
      <c r="ET17" s="334"/>
      <c r="EU17" s="334"/>
      <c r="EV17" s="334"/>
      <c r="EW17" s="334"/>
      <c r="EX17" s="334"/>
      <c r="EY17" s="334"/>
      <c r="EZ17" s="334"/>
      <c r="FA17" s="334"/>
      <c r="FB17" s="334"/>
      <c r="FC17" s="334"/>
      <c r="FD17" s="334"/>
      <c r="FE17" s="334"/>
      <c r="FF17" s="334"/>
      <c r="FG17" s="334"/>
      <c r="FH17" s="334"/>
      <c r="FI17" s="334"/>
      <c r="FJ17" s="334"/>
      <c r="FK17" s="334"/>
      <c r="FL17" s="334"/>
      <c r="FM17" s="334"/>
      <c r="FN17" s="334"/>
      <c r="FO17" s="334"/>
      <c r="FP17" s="334"/>
      <c r="FQ17" s="334"/>
      <c r="FR17" s="334"/>
      <c r="FS17" s="334"/>
      <c r="FT17" s="334"/>
      <c r="FU17" s="334"/>
      <c r="FV17" s="334"/>
      <c r="FW17" s="334"/>
      <c r="FX17" s="334"/>
      <c r="FY17" s="334"/>
      <c r="FZ17" s="334"/>
      <c r="GA17" s="334"/>
      <c r="GB17" s="334"/>
      <c r="GC17" s="334"/>
      <c r="GD17" s="334"/>
      <c r="GE17" s="334"/>
      <c r="GF17" s="334"/>
      <c r="GG17" s="334"/>
      <c r="GH17" s="334"/>
      <c r="GI17" s="334"/>
      <c r="GJ17" s="334"/>
      <c r="GK17" s="334"/>
      <c r="GL17" s="334"/>
      <c r="GM17" s="334"/>
      <c r="GN17" s="334"/>
      <c r="GO17" s="334"/>
      <c r="GP17" s="334"/>
      <c r="GQ17" s="334"/>
      <c r="GR17" s="334"/>
      <c r="GS17" s="334"/>
      <c r="GT17" s="334"/>
      <c r="GU17" s="334"/>
      <c r="GV17" s="334"/>
      <c r="GW17" s="334"/>
      <c r="GX17" s="334"/>
      <c r="GY17" s="334"/>
      <c r="GZ17" s="334"/>
      <c r="HA17" s="334"/>
      <c r="HB17" s="334"/>
      <c r="HC17" s="334"/>
      <c r="HD17" s="334"/>
      <c r="HE17" s="334"/>
      <c r="HF17" s="334"/>
      <c r="HG17" s="334"/>
      <c r="HH17" s="334"/>
      <c r="HI17" s="334"/>
      <c r="HJ17" s="334"/>
      <c r="HK17" s="334"/>
      <c r="HL17" s="334"/>
      <c r="HM17" s="334"/>
      <c r="HN17" s="334"/>
      <c r="HO17" s="334"/>
      <c r="HP17" s="334"/>
      <c r="HQ17" s="334"/>
      <c r="HR17" s="334"/>
      <c r="HS17" s="334"/>
      <c r="HT17" s="334"/>
      <c r="HU17" s="334"/>
      <c r="HV17" s="334"/>
      <c r="HW17" s="334"/>
      <c r="HX17" s="334"/>
      <c r="HY17" s="334"/>
      <c r="HZ17" s="334"/>
      <c r="IA17" s="334"/>
      <c r="IB17" s="334"/>
      <c r="IC17" s="334"/>
      <c r="ID17" s="334"/>
      <c r="IE17" s="334"/>
      <c r="IF17" s="334"/>
      <c r="IG17" s="334"/>
      <c r="IH17" s="334"/>
      <c r="II17" s="334"/>
      <c r="IJ17" s="334"/>
      <c r="IK17" s="334"/>
      <c r="IL17" s="334"/>
      <c r="IM17" s="334"/>
      <c r="IN17" s="334"/>
      <c r="IO17" s="334"/>
      <c r="IP17" s="334"/>
      <c r="IQ17" s="334"/>
      <c r="IR17" s="334"/>
    </row>
    <row r="18" spans="1:252" s="368" customFormat="1" x14ac:dyDescent="0.25">
      <c r="A18" s="366">
        <v>43663</v>
      </c>
      <c r="B18" s="367">
        <v>82.8</v>
      </c>
      <c r="C18" s="367">
        <v>27.09</v>
      </c>
      <c r="D18" s="367">
        <v>134.58000000000001</v>
      </c>
      <c r="E18" s="367">
        <v>77.33</v>
      </c>
      <c r="F18" s="367">
        <v>192.2</v>
      </c>
      <c r="G18" s="367">
        <v>14.94</v>
      </c>
      <c r="H18" s="367">
        <v>26.3</v>
      </c>
      <c r="I18" s="367">
        <v>81.14</v>
      </c>
      <c r="J18" s="367">
        <v>88.88</v>
      </c>
      <c r="K18" s="367">
        <v>273.42</v>
      </c>
      <c r="L18" s="367">
        <v>152.11000000000001</v>
      </c>
      <c r="M18" s="367">
        <v>80.44</v>
      </c>
      <c r="N18" s="367">
        <v>33.080001831099999</v>
      </c>
      <c r="O18" s="367">
        <v>11.989999771100001</v>
      </c>
      <c r="P18" s="367">
        <v>25.530000686600001</v>
      </c>
      <c r="Q18" s="367">
        <v>34.520000457800002</v>
      </c>
      <c r="R18" s="367">
        <v>33.279998779300001</v>
      </c>
      <c r="S18" s="367">
        <v>27.7999992371</v>
      </c>
      <c r="T18" s="367">
        <v>26.030000686600001</v>
      </c>
      <c r="U18" s="367">
        <v>75.599999999999994</v>
      </c>
      <c r="V18" s="334"/>
      <c r="W18" s="334"/>
      <c r="X18" s="334"/>
      <c r="Y18" s="334"/>
      <c r="Z18" s="334"/>
      <c r="AA18" s="334"/>
      <c r="AB18" s="334"/>
      <c r="AC18" s="334"/>
      <c r="AD18" s="334"/>
      <c r="AE18" s="334"/>
      <c r="AF18" s="334"/>
      <c r="AG18" s="334"/>
      <c r="AH18" s="334"/>
      <c r="AI18" s="334"/>
      <c r="AJ18" s="334"/>
      <c r="AK18" s="334"/>
      <c r="AL18" s="334"/>
      <c r="AM18" s="334"/>
      <c r="AN18" s="334"/>
      <c r="AO18" s="334"/>
      <c r="AP18" s="334"/>
      <c r="AQ18" s="334"/>
      <c r="AR18" s="334"/>
      <c r="AS18" s="334"/>
      <c r="AT18" s="334"/>
      <c r="AU18" s="334"/>
      <c r="AV18" s="334"/>
      <c r="AW18" s="334"/>
      <c r="AX18" s="334"/>
      <c r="AY18" s="334"/>
      <c r="AZ18" s="334"/>
      <c r="BA18" s="334"/>
      <c r="BB18" s="334"/>
      <c r="BC18" s="334"/>
      <c r="BD18" s="334"/>
      <c r="BE18" s="334"/>
      <c r="BF18" s="334"/>
      <c r="BG18" s="334"/>
      <c r="BH18" s="334"/>
      <c r="BI18" s="334"/>
      <c r="BJ18" s="334"/>
      <c r="BK18" s="334"/>
      <c r="BL18" s="334"/>
      <c r="BM18" s="334"/>
      <c r="BN18" s="334"/>
      <c r="BO18" s="334"/>
      <c r="BP18" s="334"/>
      <c r="BQ18" s="334"/>
      <c r="BR18" s="334"/>
      <c r="BS18" s="334"/>
      <c r="BT18" s="334"/>
      <c r="BU18" s="334"/>
      <c r="BV18" s="334"/>
      <c r="BW18" s="334"/>
      <c r="BX18" s="334"/>
      <c r="BY18" s="334"/>
      <c r="BZ18" s="334"/>
      <c r="CA18" s="334"/>
      <c r="CB18" s="334"/>
      <c r="CC18" s="334"/>
      <c r="CD18" s="334"/>
      <c r="CE18" s="334"/>
      <c r="CF18" s="334"/>
      <c r="CG18" s="334"/>
      <c r="CH18" s="334"/>
      <c r="CI18" s="334"/>
      <c r="CJ18" s="334"/>
      <c r="CK18" s="334"/>
      <c r="CL18" s="334"/>
      <c r="CM18" s="334"/>
      <c r="CN18" s="334"/>
      <c r="CO18" s="334"/>
      <c r="CP18" s="334"/>
      <c r="CQ18" s="334"/>
      <c r="CR18" s="334"/>
      <c r="CS18" s="334"/>
      <c r="CT18" s="334"/>
      <c r="CU18" s="334"/>
      <c r="CV18" s="334"/>
      <c r="CW18" s="334"/>
      <c r="CX18" s="334"/>
      <c r="CY18" s="334"/>
      <c r="CZ18" s="334"/>
      <c r="DA18" s="334"/>
      <c r="DB18" s="334"/>
      <c r="DC18" s="334"/>
      <c r="DD18" s="334"/>
      <c r="DE18" s="334"/>
      <c r="DF18" s="334"/>
      <c r="DG18" s="334"/>
      <c r="DH18" s="334"/>
      <c r="DI18" s="334"/>
      <c r="DJ18" s="334"/>
      <c r="DK18" s="334"/>
      <c r="DL18" s="334"/>
      <c r="DM18" s="334"/>
      <c r="DN18" s="334"/>
      <c r="DO18" s="334"/>
      <c r="DP18" s="334"/>
      <c r="DQ18" s="334"/>
      <c r="DR18" s="334"/>
      <c r="DS18" s="334"/>
      <c r="DT18" s="334"/>
      <c r="DU18" s="334"/>
      <c r="DV18" s="334"/>
      <c r="DW18" s="334"/>
      <c r="DX18" s="334"/>
      <c r="DY18" s="334"/>
      <c r="DZ18" s="334"/>
      <c r="EA18" s="334"/>
      <c r="EB18" s="334"/>
      <c r="EC18" s="334"/>
      <c r="ED18" s="334"/>
      <c r="EE18" s="334"/>
      <c r="EF18" s="334"/>
      <c r="EG18" s="334"/>
      <c r="EH18" s="334"/>
      <c r="EI18" s="334"/>
      <c r="EJ18" s="334"/>
      <c r="EK18" s="334"/>
      <c r="EL18" s="334"/>
      <c r="EM18" s="334"/>
      <c r="EN18" s="334"/>
      <c r="EO18" s="334"/>
      <c r="EP18" s="334"/>
      <c r="EQ18" s="334"/>
      <c r="ER18" s="334"/>
      <c r="ES18" s="334"/>
      <c r="ET18" s="334"/>
      <c r="EU18" s="334"/>
      <c r="EV18" s="334"/>
      <c r="EW18" s="334"/>
      <c r="EX18" s="334"/>
      <c r="EY18" s="334"/>
      <c r="EZ18" s="334"/>
      <c r="FA18" s="334"/>
      <c r="FB18" s="334"/>
      <c r="FC18" s="334"/>
      <c r="FD18" s="334"/>
      <c r="FE18" s="334"/>
      <c r="FF18" s="334"/>
      <c r="FG18" s="334"/>
      <c r="FH18" s="334"/>
      <c r="FI18" s="334"/>
      <c r="FJ18" s="334"/>
      <c r="FK18" s="334"/>
      <c r="FL18" s="334"/>
      <c r="FM18" s="334"/>
      <c r="FN18" s="334"/>
      <c r="FO18" s="334"/>
      <c r="FP18" s="334"/>
      <c r="FQ18" s="334"/>
      <c r="FR18" s="334"/>
      <c r="FS18" s="334"/>
      <c r="FT18" s="334"/>
      <c r="FU18" s="334"/>
      <c r="FV18" s="334"/>
      <c r="FW18" s="334"/>
      <c r="FX18" s="334"/>
      <c r="FY18" s="334"/>
      <c r="FZ18" s="334"/>
      <c r="GA18" s="334"/>
      <c r="GB18" s="334"/>
      <c r="GC18" s="334"/>
      <c r="GD18" s="334"/>
      <c r="GE18" s="334"/>
      <c r="GF18" s="334"/>
      <c r="GG18" s="334"/>
      <c r="GH18" s="334"/>
      <c r="GI18" s="334"/>
      <c r="GJ18" s="334"/>
      <c r="GK18" s="334"/>
      <c r="GL18" s="334"/>
      <c r="GM18" s="334"/>
      <c r="GN18" s="334"/>
      <c r="GO18" s="334"/>
      <c r="GP18" s="334"/>
      <c r="GQ18" s="334"/>
      <c r="GR18" s="334"/>
      <c r="GS18" s="334"/>
      <c r="GT18" s="334"/>
      <c r="GU18" s="334"/>
      <c r="GV18" s="334"/>
      <c r="GW18" s="334"/>
      <c r="GX18" s="334"/>
      <c r="GY18" s="334"/>
      <c r="GZ18" s="334"/>
      <c r="HA18" s="334"/>
      <c r="HB18" s="334"/>
      <c r="HC18" s="334"/>
      <c r="HD18" s="334"/>
      <c r="HE18" s="334"/>
      <c r="HF18" s="334"/>
      <c r="HG18" s="334"/>
      <c r="HH18" s="334"/>
      <c r="HI18" s="334"/>
      <c r="HJ18" s="334"/>
      <c r="HK18" s="334"/>
      <c r="HL18" s="334"/>
      <c r="HM18" s="334"/>
      <c r="HN18" s="334"/>
      <c r="HO18" s="334"/>
      <c r="HP18" s="334"/>
      <c r="HQ18" s="334"/>
      <c r="HR18" s="334"/>
      <c r="HS18" s="334"/>
      <c r="HT18" s="334"/>
      <c r="HU18" s="334"/>
      <c r="HV18" s="334"/>
      <c r="HW18" s="334"/>
      <c r="HX18" s="334"/>
      <c r="HY18" s="334"/>
      <c r="HZ18" s="334"/>
      <c r="IA18" s="334"/>
      <c r="IB18" s="334"/>
      <c r="IC18" s="334"/>
      <c r="ID18" s="334"/>
      <c r="IE18" s="334"/>
      <c r="IF18" s="334"/>
      <c r="IG18" s="334"/>
      <c r="IH18" s="334"/>
      <c r="II18" s="334"/>
      <c r="IJ18" s="334"/>
      <c r="IK18" s="334"/>
      <c r="IL18" s="334"/>
      <c r="IM18" s="334"/>
      <c r="IN18" s="334"/>
      <c r="IO18" s="334"/>
      <c r="IP18" s="334"/>
      <c r="IQ18" s="334"/>
      <c r="IR18" s="334"/>
    </row>
    <row r="19" spans="1:252" s="368" customFormat="1" x14ac:dyDescent="0.25">
      <c r="A19" s="366">
        <v>43664</v>
      </c>
      <c r="B19" s="367">
        <v>82.95</v>
      </c>
      <c r="C19" s="367">
        <v>28.25</v>
      </c>
      <c r="D19" s="367">
        <v>136.47999999999999</v>
      </c>
      <c r="E19" s="367">
        <v>77.48</v>
      </c>
      <c r="F19" s="367">
        <v>192.42</v>
      </c>
      <c r="G19" s="367">
        <v>15.29</v>
      </c>
      <c r="H19" s="367">
        <v>26.16</v>
      </c>
      <c r="I19" s="367">
        <v>81.13</v>
      </c>
      <c r="J19" s="367">
        <v>88.88</v>
      </c>
      <c r="K19" s="367">
        <v>274.42</v>
      </c>
      <c r="L19" s="367">
        <v>152.66999999999999</v>
      </c>
      <c r="M19" s="367">
        <v>81.040000000000006</v>
      </c>
      <c r="N19" s="367">
        <v>33.180000305199997</v>
      </c>
      <c r="O19" s="367">
        <v>12.199999809299999</v>
      </c>
      <c r="P19" s="367">
        <v>25.559999465899999</v>
      </c>
      <c r="Q19" s="367">
        <v>34.590000152599998</v>
      </c>
      <c r="R19" s="367">
        <v>33.299999237100003</v>
      </c>
      <c r="S19" s="367">
        <v>28.600000381499999</v>
      </c>
      <c r="T19" s="367">
        <v>26.079999923700001</v>
      </c>
      <c r="U19" s="367">
        <v>75.66</v>
      </c>
      <c r="V19" s="334"/>
      <c r="W19" s="334"/>
      <c r="X19" s="334"/>
      <c r="Y19" s="334"/>
      <c r="Z19" s="334"/>
      <c r="AA19" s="334"/>
      <c r="AB19" s="334"/>
      <c r="AC19" s="334"/>
      <c r="AD19" s="334"/>
      <c r="AE19" s="334"/>
      <c r="AF19" s="334"/>
      <c r="AG19" s="334"/>
      <c r="AH19" s="334"/>
      <c r="AI19" s="334"/>
      <c r="AJ19" s="334"/>
      <c r="AK19" s="334"/>
      <c r="AL19" s="334"/>
      <c r="AM19" s="334"/>
      <c r="AN19" s="334"/>
      <c r="AO19" s="334"/>
      <c r="AP19" s="334"/>
      <c r="AQ19" s="334"/>
      <c r="AR19" s="334"/>
      <c r="AS19" s="334"/>
      <c r="AT19" s="334"/>
      <c r="AU19" s="334"/>
      <c r="AV19" s="334"/>
      <c r="AW19" s="334"/>
      <c r="AX19" s="334"/>
      <c r="AY19" s="334"/>
      <c r="AZ19" s="334"/>
      <c r="BA19" s="334"/>
      <c r="BB19" s="334"/>
      <c r="BC19" s="334"/>
      <c r="BD19" s="334"/>
      <c r="BE19" s="334"/>
      <c r="BF19" s="334"/>
      <c r="BG19" s="334"/>
      <c r="BH19" s="334"/>
      <c r="BI19" s="334"/>
      <c r="BJ19" s="334"/>
      <c r="BK19" s="334"/>
      <c r="BL19" s="334"/>
      <c r="BM19" s="334"/>
      <c r="BN19" s="334"/>
      <c r="BO19" s="334"/>
      <c r="BP19" s="334"/>
      <c r="BQ19" s="334"/>
      <c r="BR19" s="334"/>
      <c r="BS19" s="334"/>
      <c r="BT19" s="334"/>
      <c r="BU19" s="334"/>
      <c r="BV19" s="334"/>
      <c r="BW19" s="334"/>
      <c r="BX19" s="334"/>
      <c r="BY19" s="334"/>
      <c r="BZ19" s="334"/>
      <c r="CA19" s="334"/>
      <c r="CB19" s="334"/>
      <c r="CC19" s="334"/>
      <c r="CD19" s="334"/>
      <c r="CE19" s="334"/>
      <c r="CF19" s="334"/>
      <c r="CG19" s="334"/>
      <c r="CH19" s="334"/>
      <c r="CI19" s="334"/>
      <c r="CJ19" s="334"/>
      <c r="CK19" s="334"/>
      <c r="CL19" s="334"/>
      <c r="CM19" s="334"/>
      <c r="CN19" s="334"/>
      <c r="CO19" s="334"/>
      <c r="CP19" s="334"/>
      <c r="CQ19" s="334"/>
      <c r="CR19" s="334"/>
      <c r="CS19" s="334"/>
      <c r="CT19" s="334"/>
      <c r="CU19" s="334"/>
      <c r="CV19" s="334"/>
      <c r="CW19" s="334"/>
      <c r="CX19" s="334"/>
      <c r="CY19" s="334"/>
      <c r="CZ19" s="334"/>
      <c r="DA19" s="334"/>
      <c r="DB19" s="334"/>
      <c r="DC19" s="334"/>
      <c r="DD19" s="334"/>
      <c r="DE19" s="334"/>
      <c r="DF19" s="334"/>
      <c r="DG19" s="334"/>
      <c r="DH19" s="334"/>
      <c r="DI19" s="334"/>
      <c r="DJ19" s="334"/>
      <c r="DK19" s="334"/>
      <c r="DL19" s="334"/>
      <c r="DM19" s="334"/>
      <c r="DN19" s="334"/>
      <c r="DO19" s="334"/>
      <c r="DP19" s="334"/>
      <c r="DQ19" s="334"/>
      <c r="DR19" s="334"/>
      <c r="DS19" s="334"/>
      <c r="DT19" s="334"/>
      <c r="DU19" s="334"/>
      <c r="DV19" s="334"/>
      <c r="DW19" s="334"/>
      <c r="DX19" s="334"/>
      <c r="DY19" s="334"/>
      <c r="DZ19" s="334"/>
      <c r="EA19" s="334"/>
      <c r="EB19" s="334"/>
      <c r="EC19" s="334"/>
      <c r="ED19" s="334"/>
      <c r="EE19" s="334"/>
      <c r="EF19" s="334"/>
      <c r="EG19" s="334"/>
      <c r="EH19" s="334"/>
      <c r="EI19" s="334"/>
      <c r="EJ19" s="334"/>
      <c r="EK19" s="334"/>
      <c r="EL19" s="334"/>
      <c r="EM19" s="334"/>
      <c r="EN19" s="334"/>
      <c r="EO19" s="334"/>
      <c r="EP19" s="334"/>
      <c r="EQ19" s="334"/>
      <c r="ER19" s="334"/>
      <c r="ES19" s="334"/>
      <c r="ET19" s="334"/>
      <c r="EU19" s="334"/>
      <c r="EV19" s="334"/>
      <c r="EW19" s="334"/>
      <c r="EX19" s="334"/>
      <c r="EY19" s="334"/>
      <c r="EZ19" s="334"/>
      <c r="FA19" s="334"/>
      <c r="FB19" s="334"/>
      <c r="FC19" s="334"/>
      <c r="FD19" s="334"/>
      <c r="FE19" s="334"/>
      <c r="FF19" s="334"/>
      <c r="FG19" s="334"/>
      <c r="FH19" s="334"/>
      <c r="FI19" s="334"/>
      <c r="FJ19" s="334"/>
      <c r="FK19" s="334"/>
      <c r="FL19" s="334"/>
      <c r="FM19" s="334"/>
      <c r="FN19" s="334"/>
      <c r="FO19" s="334"/>
      <c r="FP19" s="334"/>
      <c r="FQ19" s="334"/>
      <c r="FR19" s="334"/>
      <c r="FS19" s="334"/>
      <c r="FT19" s="334"/>
      <c r="FU19" s="334"/>
      <c r="FV19" s="334"/>
      <c r="FW19" s="334"/>
      <c r="FX19" s="334"/>
      <c r="FY19" s="334"/>
      <c r="FZ19" s="334"/>
      <c r="GA19" s="334"/>
      <c r="GB19" s="334"/>
      <c r="GC19" s="334"/>
      <c r="GD19" s="334"/>
      <c r="GE19" s="334"/>
      <c r="GF19" s="334"/>
      <c r="GG19" s="334"/>
      <c r="GH19" s="334"/>
      <c r="GI19" s="334"/>
      <c r="GJ19" s="334"/>
      <c r="GK19" s="334"/>
      <c r="GL19" s="334"/>
      <c r="GM19" s="334"/>
      <c r="GN19" s="334"/>
      <c r="GO19" s="334"/>
      <c r="GP19" s="334"/>
      <c r="GQ19" s="334"/>
      <c r="GR19" s="334"/>
      <c r="GS19" s="334"/>
      <c r="GT19" s="334"/>
      <c r="GU19" s="334"/>
      <c r="GV19" s="334"/>
      <c r="GW19" s="334"/>
      <c r="GX19" s="334"/>
      <c r="GY19" s="334"/>
      <c r="GZ19" s="334"/>
      <c r="HA19" s="334"/>
      <c r="HB19" s="334"/>
      <c r="HC19" s="334"/>
      <c r="HD19" s="334"/>
      <c r="HE19" s="334"/>
      <c r="HF19" s="334"/>
      <c r="HG19" s="334"/>
      <c r="HH19" s="334"/>
      <c r="HI19" s="334"/>
      <c r="HJ19" s="334"/>
      <c r="HK19" s="334"/>
      <c r="HL19" s="334"/>
      <c r="HM19" s="334"/>
      <c r="HN19" s="334"/>
      <c r="HO19" s="334"/>
      <c r="HP19" s="334"/>
      <c r="HQ19" s="334"/>
      <c r="HR19" s="334"/>
      <c r="HS19" s="334"/>
      <c r="HT19" s="334"/>
      <c r="HU19" s="334"/>
      <c r="HV19" s="334"/>
      <c r="HW19" s="334"/>
      <c r="HX19" s="334"/>
      <c r="HY19" s="334"/>
      <c r="HZ19" s="334"/>
      <c r="IA19" s="334"/>
      <c r="IB19" s="334"/>
      <c r="IC19" s="334"/>
      <c r="ID19" s="334"/>
      <c r="IE19" s="334"/>
      <c r="IF19" s="334"/>
      <c r="IG19" s="334"/>
      <c r="IH19" s="334"/>
      <c r="II19" s="334"/>
      <c r="IJ19" s="334"/>
      <c r="IK19" s="334"/>
      <c r="IL19" s="334"/>
      <c r="IM19" s="334"/>
      <c r="IN19" s="334"/>
      <c r="IO19" s="334"/>
      <c r="IP19" s="334"/>
      <c r="IQ19" s="334"/>
      <c r="IR19" s="334"/>
    </row>
    <row r="20" spans="1:252" s="368" customFormat="1" x14ac:dyDescent="0.25">
      <c r="A20" s="366">
        <v>43665</v>
      </c>
      <c r="B20" s="367">
        <v>82.86</v>
      </c>
      <c r="C20" s="367">
        <v>27.98</v>
      </c>
      <c r="D20" s="367">
        <v>134.47</v>
      </c>
      <c r="E20" s="367">
        <v>77.28</v>
      </c>
      <c r="F20" s="367">
        <v>191.01</v>
      </c>
      <c r="G20" s="367">
        <v>15.17</v>
      </c>
      <c r="H20" s="367">
        <v>26.29</v>
      </c>
      <c r="I20" s="367">
        <v>80.98</v>
      </c>
      <c r="J20" s="367">
        <v>87.43</v>
      </c>
      <c r="K20" s="367">
        <v>272.95</v>
      </c>
      <c r="L20" s="367">
        <v>151.80000000000001</v>
      </c>
      <c r="M20" s="367">
        <v>80.69</v>
      </c>
      <c r="N20" s="367">
        <v>32.979999542199998</v>
      </c>
      <c r="O20" s="367">
        <v>11.989999771100001</v>
      </c>
      <c r="P20" s="367">
        <v>25.530000686600001</v>
      </c>
      <c r="Q20" s="367">
        <v>34.509998321499999</v>
      </c>
      <c r="R20" s="367">
        <v>33.299999237100003</v>
      </c>
      <c r="S20" s="367">
        <v>28.579999923700001</v>
      </c>
      <c r="T20" s="367">
        <v>26.079999923700001</v>
      </c>
      <c r="U20" s="367">
        <v>75.53</v>
      </c>
      <c r="V20" s="334"/>
      <c r="W20" s="334"/>
      <c r="X20" s="334"/>
      <c r="Y20" s="334"/>
      <c r="Z20" s="334"/>
      <c r="AA20" s="334"/>
      <c r="AB20" s="334"/>
      <c r="AC20" s="334"/>
      <c r="AD20" s="334"/>
      <c r="AE20" s="334"/>
      <c r="AF20" s="334"/>
      <c r="AG20" s="334"/>
      <c r="AH20" s="334"/>
      <c r="AI20" s="334"/>
      <c r="AJ20" s="334"/>
      <c r="AK20" s="334"/>
      <c r="AL20" s="334"/>
      <c r="AM20" s="334"/>
      <c r="AN20" s="334"/>
      <c r="AO20" s="334"/>
      <c r="AP20" s="334"/>
      <c r="AQ20" s="334"/>
      <c r="AR20" s="334"/>
      <c r="AS20" s="334"/>
      <c r="AT20" s="334"/>
      <c r="AU20" s="334"/>
      <c r="AV20" s="334"/>
      <c r="AW20" s="334"/>
      <c r="AX20" s="334"/>
      <c r="AY20" s="334"/>
      <c r="AZ20" s="334"/>
      <c r="BA20" s="334"/>
      <c r="BB20" s="334"/>
      <c r="BC20" s="334"/>
      <c r="BD20" s="334"/>
      <c r="BE20" s="334"/>
      <c r="BF20" s="334"/>
      <c r="BG20" s="334"/>
      <c r="BH20" s="334"/>
      <c r="BI20" s="334"/>
      <c r="BJ20" s="334"/>
      <c r="BK20" s="334"/>
      <c r="BL20" s="334"/>
      <c r="BM20" s="334"/>
      <c r="BN20" s="334"/>
      <c r="BO20" s="334"/>
      <c r="BP20" s="334"/>
      <c r="BQ20" s="334"/>
      <c r="BR20" s="334"/>
      <c r="BS20" s="334"/>
      <c r="BT20" s="334"/>
      <c r="BU20" s="334"/>
      <c r="BV20" s="334"/>
      <c r="BW20" s="334"/>
      <c r="BX20" s="334"/>
      <c r="BY20" s="334"/>
      <c r="BZ20" s="334"/>
      <c r="CA20" s="334"/>
      <c r="CB20" s="334"/>
      <c r="CC20" s="334"/>
      <c r="CD20" s="334"/>
      <c r="CE20" s="334"/>
      <c r="CF20" s="334"/>
      <c r="CG20" s="334"/>
      <c r="CH20" s="334"/>
      <c r="CI20" s="334"/>
      <c r="CJ20" s="334"/>
      <c r="CK20" s="334"/>
      <c r="CL20" s="334"/>
      <c r="CM20" s="334"/>
      <c r="CN20" s="334"/>
      <c r="CO20" s="334"/>
      <c r="CP20" s="334"/>
      <c r="CQ20" s="334"/>
      <c r="CR20" s="334"/>
      <c r="CS20" s="334"/>
      <c r="CT20" s="334"/>
      <c r="CU20" s="334"/>
      <c r="CV20" s="334"/>
      <c r="CW20" s="334"/>
      <c r="CX20" s="334"/>
      <c r="CY20" s="334"/>
      <c r="CZ20" s="334"/>
      <c r="DA20" s="334"/>
      <c r="DB20" s="334"/>
      <c r="DC20" s="334"/>
      <c r="DD20" s="334"/>
      <c r="DE20" s="334"/>
      <c r="DF20" s="334"/>
      <c r="DG20" s="334"/>
      <c r="DH20" s="334"/>
      <c r="DI20" s="334"/>
      <c r="DJ20" s="334"/>
      <c r="DK20" s="334"/>
      <c r="DL20" s="334"/>
      <c r="DM20" s="334"/>
      <c r="DN20" s="334"/>
      <c r="DO20" s="334"/>
      <c r="DP20" s="334"/>
      <c r="DQ20" s="334"/>
      <c r="DR20" s="334"/>
      <c r="DS20" s="334"/>
      <c r="DT20" s="334"/>
      <c r="DU20" s="334"/>
      <c r="DV20" s="334"/>
      <c r="DW20" s="334"/>
      <c r="DX20" s="334"/>
      <c r="DY20" s="334"/>
      <c r="DZ20" s="334"/>
      <c r="EA20" s="334"/>
      <c r="EB20" s="334"/>
      <c r="EC20" s="334"/>
      <c r="ED20" s="334"/>
      <c r="EE20" s="334"/>
      <c r="EF20" s="334"/>
      <c r="EG20" s="334"/>
      <c r="EH20" s="334"/>
      <c r="EI20" s="334"/>
      <c r="EJ20" s="334"/>
      <c r="EK20" s="334"/>
      <c r="EL20" s="334"/>
      <c r="EM20" s="334"/>
      <c r="EN20" s="334"/>
      <c r="EO20" s="334"/>
      <c r="EP20" s="334"/>
      <c r="EQ20" s="334"/>
      <c r="ER20" s="334"/>
      <c r="ES20" s="334"/>
      <c r="ET20" s="334"/>
      <c r="EU20" s="334"/>
      <c r="EV20" s="334"/>
      <c r="EW20" s="334"/>
      <c r="EX20" s="334"/>
      <c r="EY20" s="334"/>
      <c r="EZ20" s="334"/>
      <c r="FA20" s="334"/>
      <c r="FB20" s="334"/>
      <c r="FC20" s="334"/>
      <c r="FD20" s="334"/>
      <c r="FE20" s="334"/>
      <c r="FF20" s="334"/>
      <c r="FG20" s="334"/>
      <c r="FH20" s="334"/>
      <c r="FI20" s="334"/>
      <c r="FJ20" s="334"/>
      <c r="FK20" s="334"/>
      <c r="FL20" s="334"/>
      <c r="FM20" s="334"/>
      <c r="FN20" s="334"/>
      <c r="FO20" s="334"/>
      <c r="FP20" s="334"/>
      <c r="FQ20" s="334"/>
      <c r="FR20" s="334"/>
      <c r="FS20" s="334"/>
      <c r="FT20" s="334"/>
      <c r="FU20" s="334"/>
      <c r="FV20" s="334"/>
      <c r="FW20" s="334"/>
      <c r="FX20" s="334"/>
      <c r="FY20" s="334"/>
      <c r="FZ20" s="334"/>
      <c r="GA20" s="334"/>
      <c r="GB20" s="334"/>
      <c r="GC20" s="334"/>
      <c r="GD20" s="334"/>
      <c r="GE20" s="334"/>
      <c r="GF20" s="334"/>
      <c r="GG20" s="334"/>
      <c r="GH20" s="334"/>
      <c r="GI20" s="334"/>
      <c r="GJ20" s="334"/>
      <c r="GK20" s="334"/>
      <c r="GL20" s="334"/>
      <c r="GM20" s="334"/>
      <c r="GN20" s="334"/>
      <c r="GO20" s="334"/>
      <c r="GP20" s="334"/>
      <c r="GQ20" s="334"/>
      <c r="GR20" s="334"/>
      <c r="GS20" s="334"/>
      <c r="GT20" s="334"/>
      <c r="GU20" s="334"/>
      <c r="GV20" s="334"/>
      <c r="GW20" s="334"/>
      <c r="GX20" s="334"/>
      <c r="GY20" s="334"/>
      <c r="GZ20" s="334"/>
      <c r="HA20" s="334"/>
      <c r="HB20" s="334"/>
      <c r="HC20" s="334"/>
      <c r="HD20" s="334"/>
      <c r="HE20" s="334"/>
      <c r="HF20" s="334"/>
      <c r="HG20" s="334"/>
      <c r="HH20" s="334"/>
      <c r="HI20" s="334"/>
      <c r="HJ20" s="334"/>
      <c r="HK20" s="334"/>
      <c r="HL20" s="334"/>
      <c r="HM20" s="334"/>
      <c r="HN20" s="334"/>
      <c r="HO20" s="334"/>
      <c r="HP20" s="334"/>
      <c r="HQ20" s="334"/>
      <c r="HR20" s="334"/>
      <c r="HS20" s="334"/>
      <c r="HT20" s="334"/>
      <c r="HU20" s="334"/>
      <c r="HV20" s="334"/>
      <c r="HW20" s="334"/>
      <c r="HX20" s="334"/>
      <c r="HY20" s="334"/>
      <c r="HZ20" s="334"/>
      <c r="IA20" s="334"/>
      <c r="IB20" s="334"/>
      <c r="IC20" s="334"/>
      <c r="ID20" s="334"/>
      <c r="IE20" s="334"/>
      <c r="IF20" s="334"/>
      <c r="IG20" s="334"/>
      <c r="IH20" s="334"/>
      <c r="II20" s="334"/>
      <c r="IJ20" s="334"/>
      <c r="IK20" s="334"/>
      <c r="IL20" s="334"/>
      <c r="IM20" s="334"/>
      <c r="IN20" s="334"/>
      <c r="IO20" s="334"/>
      <c r="IP20" s="334"/>
      <c r="IQ20" s="334"/>
      <c r="IR20" s="334"/>
    </row>
    <row r="21" spans="1:252" s="368" customFormat="1" x14ac:dyDescent="0.25">
      <c r="A21" s="366">
        <v>43666</v>
      </c>
      <c r="B21" s="367">
        <v>82.86</v>
      </c>
      <c r="C21" s="367">
        <v>27.98</v>
      </c>
      <c r="D21" s="367">
        <v>134.47</v>
      </c>
      <c r="E21" s="367">
        <v>77.28</v>
      </c>
      <c r="F21" s="367">
        <v>191.01</v>
      </c>
      <c r="G21" s="367">
        <v>15.17</v>
      </c>
      <c r="H21" s="367">
        <v>26.29</v>
      </c>
      <c r="I21" s="367">
        <v>80.98</v>
      </c>
      <c r="J21" s="367">
        <v>87.43</v>
      </c>
      <c r="K21" s="367">
        <v>272.95</v>
      </c>
      <c r="L21" s="367">
        <v>151.80000000000001</v>
      </c>
      <c r="M21" s="367">
        <v>80.69</v>
      </c>
      <c r="N21" s="367">
        <v>32.979999542199998</v>
      </c>
      <c r="O21" s="367">
        <v>11.989999771100001</v>
      </c>
      <c r="P21" s="367">
        <v>25.530000686600001</v>
      </c>
      <c r="Q21" s="367">
        <v>34.509998321499999</v>
      </c>
      <c r="R21" s="367">
        <v>33.299999237100003</v>
      </c>
      <c r="S21" s="367">
        <v>28.579999923700001</v>
      </c>
      <c r="T21" s="367">
        <v>26.079999923700001</v>
      </c>
      <c r="U21" s="367">
        <v>75.53</v>
      </c>
      <c r="V21" s="334"/>
      <c r="W21" s="334"/>
      <c r="X21" s="334"/>
      <c r="Y21" s="334"/>
      <c r="Z21" s="334"/>
      <c r="AA21" s="334"/>
      <c r="AB21" s="334"/>
      <c r="AC21" s="334"/>
      <c r="AD21" s="334"/>
      <c r="AE21" s="334"/>
      <c r="AF21" s="334"/>
      <c r="AG21" s="334"/>
      <c r="AH21" s="334"/>
      <c r="AI21" s="334"/>
      <c r="AJ21" s="334"/>
      <c r="AK21" s="334"/>
      <c r="AL21" s="334"/>
      <c r="AM21" s="334"/>
      <c r="AN21" s="334"/>
      <c r="AO21" s="334"/>
      <c r="AP21" s="334"/>
      <c r="AQ21" s="334"/>
      <c r="AR21" s="334"/>
      <c r="AS21" s="334"/>
      <c r="AT21" s="334"/>
      <c r="AU21" s="334"/>
      <c r="AV21" s="334"/>
      <c r="AW21" s="334"/>
      <c r="AX21" s="334"/>
      <c r="AY21" s="334"/>
      <c r="AZ21" s="334"/>
      <c r="BA21" s="334"/>
      <c r="BB21" s="334"/>
      <c r="BC21" s="334"/>
      <c r="BD21" s="334"/>
      <c r="BE21" s="334"/>
      <c r="BF21" s="334"/>
      <c r="BG21" s="334"/>
      <c r="BH21" s="334"/>
      <c r="BI21" s="334"/>
      <c r="BJ21" s="334"/>
      <c r="BK21" s="334"/>
      <c r="BL21" s="334"/>
      <c r="BM21" s="334"/>
      <c r="BN21" s="334"/>
      <c r="BO21" s="334"/>
      <c r="BP21" s="334"/>
      <c r="BQ21" s="334"/>
      <c r="BR21" s="334"/>
      <c r="BS21" s="334"/>
      <c r="BT21" s="334"/>
      <c r="BU21" s="334"/>
      <c r="BV21" s="334"/>
      <c r="BW21" s="334"/>
      <c r="BX21" s="334"/>
      <c r="BY21" s="334"/>
      <c r="BZ21" s="334"/>
      <c r="CA21" s="334"/>
      <c r="CB21" s="334"/>
      <c r="CC21" s="334"/>
      <c r="CD21" s="334"/>
      <c r="CE21" s="334"/>
      <c r="CF21" s="334"/>
      <c r="CG21" s="334"/>
      <c r="CH21" s="334"/>
      <c r="CI21" s="334"/>
      <c r="CJ21" s="334"/>
      <c r="CK21" s="334"/>
      <c r="CL21" s="334"/>
      <c r="CM21" s="334"/>
      <c r="CN21" s="334"/>
      <c r="CO21" s="334"/>
      <c r="CP21" s="334"/>
      <c r="CQ21" s="334"/>
      <c r="CR21" s="334"/>
      <c r="CS21" s="334"/>
      <c r="CT21" s="334"/>
      <c r="CU21" s="334"/>
      <c r="CV21" s="334"/>
      <c r="CW21" s="334"/>
      <c r="CX21" s="334"/>
      <c r="CY21" s="334"/>
      <c r="CZ21" s="334"/>
      <c r="DA21" s="334"/>
      <c r="DB21" s="334"/>
      <c r="DC21" s="334"/>
      <c r="DD21" s="334"/>
      <c r="DE21" s="334"/>
      <c r="DF21" s="334"/>
      <c r="DG21" s="334"/>
      <c r="DH21" s="334"/>
      <c r="DI21" s="334"/>
      <c r="DJ21" s="334"/>
      <c r="DK21" s="334"/>
      <c r="DL21" s="334"/>
      <c r="DM21" s="334"/>
      <c r="DN21" s="334"/>
      <c r="DO21" s="334"/>
      <c r="DP21" s="334"/>
      <c r="DQ21" s="334"/>
      <c r="DR21" s="334"/>
      <c r="DS21" s="334"/>
      <c r="DT21" s="334"/>
      <c r="DU21" s="334"/>
      <c r="DV21" s="334"/>
      <c r="DW21" s="334"/>
      <c r="DX21" s="334"/>
      <c r="DY21" s="334"/>
      <c r="DZ21" s="334"/>
      <c r="EA21" s="334"/>
      <c r="EB21" s="334"/>
      <c r="EC21" s="334"/>
      <c r="ED21" s="334"/>
      <c r="EE21" s="334"/>
      <c r="EF21" s="334"/>
      <c r="EG21" s="334"/>
      <c r="EH21" s="334"/>
      <c r="EI21" s="334"/>
      <c r="EJ21" s="334"/>
      <c r="EK21" s="334"/>
      <c r="EL21" s="334"/>
      <c r="EM21" s="334"/>
      <c r="EN21" s="334"/>
      <c r="EO21" s="334"/>
      <c r="EP21" s="334"/>
      <c r="EQ21" s="334"/>
      <c r="ER21" s="334"/>
      <c r="ES21" s="334"/>
      <c r="ET21" s="334"/>
      <c r="EU21" s="334"/>
      <c r="EV21" s="334"/>
      <c r="EW21" s="334"/>
      <c r="EX21" s="334"/>
      <c r="EY21" s="334"/>
      <c r="EZ21" s="334"/>
      <c r="FA21" s="334"/>
      <c r="FB21" s="334"/>
      <c r="FC21" s="334"/>
      <c r="FD21" s="334"/>
      <c r="FE21" s="334"/>
      <c r="FF21" s="334"/>
      <c r="FG21" s="334"/>
      <c r="FH21" s="334"/>
      <c r="FI21" s="334"/>
      <c r="FJ21" s="334"/>
      <c r="FK21" s="334"/>
      <c r="FL21" s="334"/>
      <c r="FM21" s="334"/>
      <c r="FN21" s="334"/>
      <c r="FO21" s="334"/>
      <c r="FP21" s="334"/>
      <c r="FQ21" s="334"/>
      <c r="FR21" s="334"/>
      <c r="FS21" s="334"/>
      <c r="FT21" s="334"/>
      <c r="FU21" s="334"/>
      <c r="FV21" s="334"/>
      <c r="FW21" s="334"/>
      <c r="FX21" s="334"/>
      <c r="FY21" s="334"/>
      <c r="FZ21" s="334"/>
      <c r="GA21" s="334"/>
      <c r="GB21" s="334"/>
      <c r="GC21" s="334"/>
      <c r="GD21" s="334"/>
      <c r="GE21" s="334"/>
      <c r="GF21" s="334"/>
      <c r="GG21" s="334"/>
      <c r="GH21" s="334"/>
      <c r="GI21" s="334"/>
      <c r="GJ21" s="334"/>
      <c r="GK21" s="334"/>
      <c r="GL21" s="334"/>
      <c r="GM21" s="334"/>
      <c r="GN21" s="334"/>
      <c r="GO21" s="334"/>
      <c r="GP21" s="334"/>
      <c r="GQ21" s="334"/>
      <c r="GR21" s="334"/>
      <c r="GS21" s="334"/>
      <c r="GT21" s="334"/>
      <c r="GU21" s="334"/>
      <c r="GV21" s="334"/>
      <c r="GW21" s="334"/>
      <c r="GX21" s="334"/>
      <c r="GY21" s="334"/>
      <c r="GZ21" s="334"/>
      <c r="HA21" s="334"/>
      <c r="HB21" s="334"/>
      <c r="HC21" s="334"/>
      <c r="HD21" s="334"/>
      <c r="HE21" s="334"/>
      <c r="HF21" s="334"/>
      <c r="HG21" s="334"/>
      <c r="HH21" s="334"/>
      <c r="HI21" s="334"/>
      <c r="HJ21" s="334"/>
      <c r="HK21" s="334"/>
      <c r="HL21" s="334"/>
      <c r="HM21" s="334"/>
      <c r="HN21" s="334"/>
      <c r="HO21" s="334"/>
      <c r="HP21" s="334"/>
      <c r="HQ21" s="334"/>
      <c r="HR21" s="334"/>
      <c r="HS21" s="334"/>
      <c r="HT21" s="334"/>
      <c r="HU21" s="334"/>
      <c r="HV21" s="334"/>
      <c r="HW21" s="334"/>
      <c r="HX21" s="334"/>
      <c r="HY21" s="334"/>
      <c r="HZ21" s="334"/>
      <c r="IA21" s="334"/>
      <c r="IB21" s="334"/>
      <c r="IC21" s="334"/>
      <c r="ID21" s="334"/>
      <c r="IE21" s="334"/>
      <c r="IF21" s="334"/>
      <c r="IG21" s="334"/>
      <c r="IH21" s="334"/>
      <c r="II21" s="334"/>
      <c r="IJ21" s="334"/>
      <c r="IK21" s="334"/>
      <c r="IL21" s="334"/>
      <c r="IM21" s="334"/>
      <c r="IN21" s="334"/>
      <c r="IO21" s="334"/>
      <c r="IP21" s="334"/>
      <c r="IQ21" s="334"/>
      <c r="IR21" s="334"/>
    </row>
    <row r="22" spans="1:252" s="368" customFormat="1" x14ac:dyDescent="0.25">
      <c r="A22" s="366">
        <v>43667</v>
      </c>
      <c r="B22" s="367">
        <v>82.86</v>
      </c>
      <c r="C22" s="367">
        <v>27.98</v>
      </c>
      <c r="D22" s="367">
        <v>134.47</v>
      </c>
      <c r="E22" s="367">
        <v>77.28</v>
      </c>
      <c r="F22" s="367">
        <v>191.01</v>
      </c>
      <c r="G22" s="367">
        <v>15.17</v>
      </c>
      <c r="H22" s="367">
        <v>26.29</v>
      </c>
      <c r="I22" s="367">
        <v>80.98</v>
      </c>
      <c r="J22" s="367">
        <v>87.43</v>
      </c>
      <c r="K22" s="367">
        <v>272.95</v>
      </c>
      <c r="L22" s="367">
        <v>151.80000000000001</v>
      </c>
      <c r="M22" s="367">
        <v>80.69</v>
      </c>
      <c r="N22" s="367">
        <v>32.979999542199998</v>
      </c>
      <c r="O22" s="367">
        <v>11.989999771100001</v>
      </c>
      <c r="P22" s="367">
        <v>25.530000686600001</v>
      </c>
      <c r="Q22" s="367">
        <v>34.509998321499999</v>
      </c>
      <c r="R22" s="367">
        <v>33.299999237100003</v>
      </c>
      <c r="S22" s="367">
        <v>28.579999923700001</v>
      </c>
      <c r="T22" s="367">
        <v>26.079999923700001</v>
      </c>
      <c r="U22" s="367">
        <v>75.53</v>
      </c>
      <c r="V22" s="334"/>
      <c r="W22" s="334"/>
      <c r="X22" s="334"/>
      <c r="Y22" s="334"/>
      <c r="Z22" s="334"/>
      <c r="AA22" s="334"/>
      <c r="AB22" s="334"/>
      <c r="AC22" s="334"/>
      <c r="AD22" s="334"/>
      <c r="AE22" s="334"/>
      <c r="AF22" s="334"/>
      <c r="AG22" s="334"/>
      <c r="AH22" s="334"/>
      <c r="AI22" s="334"/>
      <c r="AJ22" s="334"/>
      <c r="AK22" s="334"/>
      <c r="AL22" s="334"/>
      <c r="AM22" s="334"/>
      <c r="AN22" s="334"/>
      <c r="AO22" s="334"/>
      <c r="AP22" s="334"/>
      <c r="AQ22" s="334"/>
      <c r="AR22" s="334"/>
      <c r="AS22" s="334"/>
      <c r="AT22" s="334"/>
      <c r="AU22" s="334"/>
      <c r="AV22" s="334"/>
      <c r="AW22" s="334"/>
      <c r="AX22" s="334"/>
      <c r="AY22" s="334"/>
      <c r="AZ22" s="334"/>
      <c r="BA22" s="334"/>
      <c r="BB22" s="334"/>
      <c r="BC22" s="334"/>
      <c r="BD22" s="334"/>
      <c r="BE22" s="334"/>
      <c r="BF22" s="334"/>
      <c r="BG22" s="334"/>
      <c r="BH22" s="334"/>
      <c r="BI22" s="334"/>
      <c r="BJ22" s="334"/>
      <c r="BK22" s="334"/>
      <c r="BL22" s="334"/>
      <c r="BM22" s="334"/>
      <c r="BN22" s="334"/>
      <c r="BO22" s="334"/>
      <c r="BP22" s="334"/>
      <c r="BQ22" s="334"/>
      <c r="BR22" s="334"/>
      <c r="BS22" s="334"/>
      <c r="BT22" s="334"/>
      <c r="BU22" s="334"/>
      <c r="BV22" s="334"/>
      <c r="BW22" s="334"/>
      <c r="BX22" s="334"/>
      <c r="BY22" s="334"/>
      <c r="BZ22" s="334"/>
      <c r="CA22" s="334"/>
      <c r="CB22" s="334"/>
      <c r="CC22" s="334"/>
      <c r="CD22" s="334"/>
      <c r="CE22" s="334"/>
      <c r="CF22" s="334"/>
      <c r="CG22" s="334"/>
      <c r="CH22" s="334"/>
      <c r="CI22" s="334"/>
      <c r="CJ22" s="334"/>
      <c r="CK22" s="334"/>
      <c r="CL22" s="334"/>
      <c r="CM22" s="334"/>
      <c r="CN22" s="334"/>
      <c r="CO22" s="334"/>
      <c r="CP22" s="334"/>
      <c r="CQ22" s="334"/>
      <c r="CR22" s="334"/>
      <c r="CS22" s="334"/>
      <c r="CT22" s="334"/>
      <c r="CU22" s="334"/>
      <c r="CV22" s="334"/>
      <c r="CW22" s="334"/>
      <c r="CX22" s="334"/>
      <c r="CY22" s="334"/>
      <c r="CZ22" s="334"/>
      <c r="DA22" s="334"/>
      <c r="DB22" s="334"/>
      <c r="DC22" s="334"/>
      <c r="DD22" s="334"/>
      <c r="DE22" s="334"/>
      <c r="DF22" s="334"/>
      <c r="DG22" s="334"/>
      <c r="DH22" s="334"/>
      <c r="DI22" s="334"/>
      <c r="DJ22" s="334"/>
      <c r="DK22" s="334"/>
      <c r="DL22" s="334"/>
      <c r="DM22" s="334"/>
      <c r="DN22" s="334"/>
      <c r="DO22" s="334"/>
      <c r="DP22" s="334"/>
      <c r="DQ22" s="334"/>
      <c r="DR22" s="334"/>
      <c r="DS22" s="334"/>
      <c r="DT22" s="334"/>
      <c r="DU22" s="334"/>
      <c r="DV22" s="334"/>
      <c r="DW22" s="334"/>
      <c r="DX22" s="334"/>
      <c r="DY22" s="334"/>
      <c r="DZ22" s="334"/>
      <c r="EA22" s="334"/>
      <c r="EB22" s="334"/>
      <c r="EC22" s="334"/>
      <c r="ED22" s="334"/>
      <c r="EE22" s="334"/>
      <c r="EF22" s="334"/>
      <c r="EG22" s="334"/>
      <c r="EH22" s="334"/>
      <c r="EI22" s="334"/>
      <c r="EJ22" s="334"/>
      <c r="EK22" s="334"/>
      <c r="EL22" s="334"/>
      <c r="EM22" s="334"/>
      <c r="EN22" s="334"/>
      <c r="EO22" s="334"/>
      <c r="EP22" s="334"/>
      <c r="EQ22" s="334"/>
      <c r="ER22" s="334"/>
      <c r="ES22" s="334"/>
      <c r="ET22" s="334"/>
      <c r="EU22" s="334"/>
      <c r="EV22" s="334"/>
      <c r="EW22" s="334"/>
      <c r="EX22" s="334"/>
      <c r="EY22" s="334"/>
      <c r="EZ22" s="334"/>
      <c r="FA22" s="334"/>
      <c r="FB22" s="334"/>
      <c r="FC22" s="334"/>
      <c r="FD22" s="334"/>
      <c r="FE22" s="334"/>
      <c r="FF22" s="334"/>
      <c r="FG22" s="334"/>
      <c r="FH22" s="334"/>
      <c r="FI22" s="334"/>
      <c r="FJ22" s="334"/>
      <c r="FK22" s="334"/>
      <c r="FL22" s="334"/>
      <c r="FM22" s="334"/>
      <c r="FN22" s="334"/>
      <c r="FO22" s="334"/>
      <c r="FP22" s="334"/>
      <c r="FQ22" s="334"/>
      <c r="FR22" s="334"/>
      <c r="FS22" s="334"/>
      <c r="FT22" s="334"/>
      <c r="FU22" s="334"/>
      <c r="FV22" s="334"/>
      <c r="FW22" s="334"/>
      <c r="FX22" s="334"/>
      <c r="FY22" s="334"/>
      <c r="FZ22" s="334"/>
      <c r="GA22" s="334"/>
      <c r="GB22" s="334"/>
      <c r="GC22" s="334"/>
      <c r="GD22" s="334"/>
      <c r="GE22" s="334"/>
      <c r="GF22" s="334"/>
      <c r="GG22" s="334"/>
      <c r="GH22" s="334"/>
      <c r="GI22" s="334"/>
      <c r="GJ22" s="334"/>
      <c r="GK22" s="334"/>
      <c r="GL22" s="334"/>
      <c r="GM22" s="334"/>
      <c r="GN22" s="334"/>
      <c r="GO22" s="334"/>
      <c r="GP22" s="334"/>
      <c r="GQ22" s="334"/>
      <c r="GR22" s="334"/>
      <c r="GS22" s="334"/>
      <c r="GT22" s="334"/>
      <c r="GU22" s="334"/>
      <c r="GV22" s="334"/>
      <c r="GW22" s="334"/>
      <c r="GX22" s="334"/>
      <c r="GY22" s="334"/>
      <c r="GZ22" s="334"/>
      <c r="HA22" s="334"/>
      <c r="HB22" s="334"/>
      <c r="HC22" s="334"/>
      <c r="HD22" s="334"/>
      <c r="HE22" s="334"/>
      <c r="HF22" s="334"/>
      <c r="HG22" s="334"/>
      <c r="HH22" s="334"/>
      <c r="HI22" s="334"/>
      <c r="HJ22" s="334"/>
      <c r="HK22" s="334"/>
      <c r="HL22" s="334"/>
      <c r="HM22" s="334"/>
      <c r="HN22" s="334"/>
      <c r="HO22" s="334"/>
      <c r="HP22" s="334"/>
      <c r="HQ22" s="334"/>
      <c r="HR22" s="334"/>
      <c r="HS22" s="334"/>
      <c r="HT22" s="334"/>
      <c r="HU22" s="334"/>
      <c r="HV22" s="334"/>
      <c r="HW22" s="334"/>
      <c r="HX22" s="334"/>
      <c r="HY22" s="334"/>
      <c r="HZ22" s="334"/>
      <c r="IA22" s="334"/>
      <c r="IB22" s="334"/>
      <c r="IC22" s="334"/>
      <c r="ID22" s="334"/>
      <c r="IE22" s="334"/>
      <c r="IF22" s="334"/>
      <c r="IG22" s="334"/>
      <c r="IH22" s="334"/>
      <c r="II22" s="334"/>
      <c r="IJ22" s="334"/>
      <c r="IK22" s="334"/>
      <c r="IL22" s="334"/>
      <c r="IM22" s="334"/>
      <c r="IN22" s="334"/>
      <c r="IO22" s="334"/>
      <c r="IP22" s="334"/>
      <c r="IQ22" s="334"/>
      <c r="IR22" s="334"/>
    </row>
    <row r="23" spans="1:252" s="368" customFormat="1" x14ac:dyDescent="0.25">
      <c r="A23" s="366">
        <v>43668</v>
      </c>
      <c r="B23" s="367">
        <v>82.95</v>
      </c>
      <c r="C23" s="367">
        <v>28.19</v>
      </c>
      <c r="D23" s="367">
        <v>134.44999999999999</v>
      </c>
      <c r="E23" s="367">
        <v>77.17</v>
      </c>
      <c r="F23" s="367">
        <v>192.53</v>
      </c>
      <c r="G23" s="367">
        <v>15.35</v>
      </c>
      <c r="H23" s="367">
        <v>26.34</v>
      </c>
      <c r="I23" s="367">
        <v>81.09</v>
      </c>
      <c r="J23" s="367">
        <v>87.35</v>
      </c>
      <c r="K23" s="367">
        <v>273.61</v>
      </c>
      <c r="L23" s="367">
        <v>152.16</v>
      </c>
      <c r="M23" s="367">
        <v>81.62</v>
      </c>
      <c r="N23" s="367">
        <v>33.080001831099999</v>
      </c>
      <c r="O23" s="367">
        <v>12.010000228899999</v>
      </c>
      <c r="P23" s="367">
        <v>25.629999160800001</v>
      </c>
      <c r="Q23" s="367">
        <v>34.560001373299997</v>
      </c>
      <c r="R23" s="367">
        <v>33.349998474099998</v>
      </c>
      <c r="S23" s="367">
        <v>28.809999465899999</v>
      </c>
      <c r="T23" s="367">
        <v>26.1100006104</v>
      </c>
      <c r="U23" s="367">
        <v>75.25</v>
      </c>
      <c r="V23" s="334"/>
      <c r="W23" s="334"/>
      <c r="X23" s="334"/>
      <c r="Y23" s="334"/>
      <c r="Z23" s="334"/>
      <c r="AA23" s="334"/>
      <c r="AB23" s="334"/>
      <c r="AC23" s="334"/>
      <c r="AD23" s="334"/>
      <c r="AE23" s="334"/>
      <c r="AF23" s="334"/>
      <c r="AG23" s="334"/>
      <c r="AH23" s="334"/>
      <c r="AI23" s="334"/>
      <c r="AJ23" s="334"/>
      <c r="AK23" s="334"/>
      <c r="AL23" s="334"/>
      <c r="AM23" s="334"/>
      <c r="AN23" s="334"/>
      <c r="AO23" s="334"/>
      <c r="AP23" s="334"/>
      <c r="AQ23" s="334"/>
      <c r="AR23" s="334"/>
      <c r="AS23" s="334"/>
      <c r="AT23" s="334"/>
      <c r="AU23" s="334"/>
      <c r="AV23" s="334"/>
      <c r="AW23" s="334"/>
      <c r="AX23" s="334"/>
      <c r="AY23" s="334"/>
      <c r="AZ23" s="334"/>
      <c r="BA23" s="334"/>
      <c r="BB23" s="334"/>
      <c r="BC23" s="334"/>
      <c r="BD23" s="334"/>
      <c r="BE23" s="334"/>
      <c r="BF23" s="334"/>
      <c r="BG23" s="334"/>
      <c r="BH23" s="334"/>
      <c r="BI23" s="334"/>
      <c r="BJ23" s="334"/>
      <c r="BK23" s="334"/>
      <c r="BL23" s="334"/>
      <c r="BM23" s="334"/>
      <c r="BN23" s="334"/>
      <c r="BO23" s="334"/>
      <c r="BP23" s="334"/>
      <c r="BQ23" s="334"/>
      <c r="BR23" s="334"/>
      <c r="BS23" s="334"/>
      <c r="BT23" s="334"/>
      <c r="BU23" s="334"/>
      <c r="BV23" s="334"/>
      <c r="BW23" s="334"/>
      <c r="BX23" s="334"/>
      <c r="BY23" s="334"/>
      <c r="BZ23" s="334"/>
      <c r="CA23" s="334"/>
      <c r="CB23" s="334"/>
      <c r="CC23" s="334"/>
      <c r="CD23" s="334"/>
      <c r="CE23" s="334"/>
      <c r="CF23" s="334"/>
      <c r="CG23" s="334"/>
      <c r="CH23" s="334"/>
      <c r="CI23" s="334"/>
      <c r="CJ23" s="334"/>
      <c r="CK23" s="334"/>
      <c r="CL23" s="334"/>
      <c r="CM23" s="334"/>
      <c r="CN23" s="334"/>
      <c r="CO23" s="334"/>
      <c r="CP23" s="334"/>
      <c r="CQ23" s="334"/>
      <c r="CR23" s="334"/>
      <c r="CS23" s="334"/>
      <c r="CT23" s="334"/>
      <c r="CU23" s="334"/>
      <c r="CV23" s="334"/>
      <c r="CW23" s="334"/>
      <c r="CX23" s="334"/>
      <c r="CY23" s="334"/>
      <c r="CZ23" s="334"/>
      <c r="DA23" s="334"/>
      <c r="DB23" s="334"/>
      <c r="DC23" s="334"/>
      <c r="DD23" s="334"/>
      <c r="DE23" s="334"/>
      <c r="DF23" s="334"/>
      <c r="DG23" s="334"/>
      <c r="DH23" s="334"/>
      <c r="DI23" s="334"/>
      <c r="DJ23" s="334"/>
      <c r="DK23" s="334"/>
      <c r="DL23" s="334"/>
      <c r="DM23" s="334"/>
      <c r="DN23" s="334"/>
      <c r="DO23" s="334"/>
      <c r="DP23" s="334"/>
      <c r="DQ23" s="334"/>
      <c r="DR23" s="334"/>
      <c r="DS23" s="334"/>
      <c r="DT23" s="334"/>
      <c r="DU23" s="334"/>
      <c r="DV23" s="334"/>
      <c r="DW23" s="334"/>
      <c r="DX23" s="334"/>
      <c r="DY23" s="334"/>
      <c r="DZ23" s="334"/>
      <c r="EA23" s="334"/>
      <c r="EB23" s="334"/>
      <c r="EC23" s="334"/>
      <c r="ED23" s="334"/>
      <c r="EE23" s="334"/>
      <c r="EF23" s="334"/>
      <c r="EG23" s="334"/>
      <c r="EH23" s="334"/>
      <c r="EI23" s="334"/>
      <c r="EJ23" s="334"/>
      <c r="EK23" s="334"/>
      <c r="EL23" s="334"/>
      <c r="EM23" s="334"/>
      <c r="EN23" s="334"/>
      <c r="EO23" s="334"/>
      <c r="EP23" s="334"/>
      <c r="EQ23" s="334"/>
      <c r="ER23" s="334"/>
      <c r="ES23" s="334"/>
      <c r="ET23" s="334"/>
      <c r="EU23" s="334"/>
      <c r="EV23" s="334"/>
      <c r="EW23" s="334"/>
      <c r="EX23" s="334"/>
      <c r="EY23" s="334"/>
      <c r="EZ23" s="334"/>
      <c r="FA23" s="334"/>
      <c r="FB23" s="334"/>
      <c r="FC23" s="334"/>
      <c r="FD23" s="334"/>
      <c r="FE23" s="334"/>
      <c r="FF23" s="334"/>
      <c r="FG23" s="334"/>
      <c r="FH23" s="334"/>
      <c r="FI23" s="334"/>
      <c r="FJ23" s="334"/>
      <c r="FK23" s="334"/>
      <c r="FL23" s="334"/>
      <c r="FM23" s="334"/>
      <c r="FN23" s="334"/>
      <c r="FO23" s="334"/>
      <c r="FP23" s="334"/>
      <c r="FQ23" s="334"/>
      <c r="FR23" s="334"/>
      <c r="FS23" s="334"/>
      <c r="FT23" s="334"/>
      <c r="FU23" s="334"/>
      <c r="FV23" s="334"/>
      <c r="FW23" s="334"/>
      <c r="FX23" s="334"/>
      <c r="FY23" s="334"/>
      <c r="FZ23" s="334"/>
      <c r="GA23" s="334"/>
      <c r="GB23" s="334"/>
      <c r="GC23" s="334"/>
      <c r="GD23" s="334"/>
      <c r="GE23" s="334"/>
      <c r="GF23" s="334"/>
      <c r="GG23" s="334"/>
      <c r="GH23" s="334"/>
      <c r="GI23" s="334"/>
      <c r="GJ23" s="334"/>
      <c r="GK23" s="334"/>
      <c r="GL23" s="334"/>
      <c r="GM23" s="334"/>
      <c r="GN23" s="334"/>
      <c r="GO23" s="334"/>
      <c r="GP23" s="334"/>
      <c r="GQ23" s="334"/>
      <c r="GR23" s="334"/>
      <c r="GS23" s="334"/>
      <c r="GT23" s="334"/>
      <c r="GU23" s="334"/>
      <c r="GV23" s="334"/>
      <c r="GW23" s="334"/>
      <c r="GX23" s="334"/>
      <c r="GY23" s="334"/>
      <c r="GZ23" s="334"/>
      <c r="HA23" s="334"/>
      <c r="HB23" s="334"/>
      <c r="HC23" s="334"/>
      <c r="HD23" s="334"/>
      <c r="HE23" s="334"/>
      <c r="HF23" s="334"/>
      <c r="HG23" s="334"/>
      <c r="HH23" s="334"/>
      <c r="HI23" s="334"/>
      <c r="HJ23" s="334"/>
      <c r="HK23" s="334"/>
      <c r="HL23" s="334"/>
      <c r="HM23" s="334"/>
      <c r="HN23" s="334"/>
      <c r="HO23" s="334"/>
      <c r="HP23" s="334"/>
      <c r="HQ23" s="334"/>
      <c r="HR23" s="334"/>
      <c r="HS23" s="334"/>
      <c r="HT23" s="334"/>
      <c r="HU23" s="334"/>
      <c r="HV23" s="334"/>
      <c r="HW23" s="334"/>
      <c r="HX23" s="334"/>
      <c r="HY23" s="334"/>
      <c r="HZ23" s="334"/>
      <c r="IA23" s="334"/>
      <c r="IB23" s="334"/>
      <c r="IC23" s="334"/>
      <c r="ID23" s="334"/>
      <c r="IE23" s="334"/>
      <c r="IF23" s="334"/>
      <c r="IG23" s="334"/>
      <c r="IH23" s="334"/>
      <c r="II23" s="334"/>
      <c r="IJ23" s="334"/>
      <c r="IK23" s="334"/>
      <c r="IL23" s="334"/>
      <c r="IM23" s="334"/>
      <c r="IN23" s="334"/>
      <c r="IO23" s="334"/>
      <c r="IP23" s="334"/>
      <c r="IQ23" s="334"/>
      <c r="IR23" s="334"/>
    </row>
    <row r="24" spans="1:252" s="368" customFormat="1" x14ac:dyDescent="0.25">
      <c r="A24" s="366">
        <v>43669</v>
      </c>
      <c r="B24" s="367">
        <v>82.88</v>
      </c>
      <c r="C24" s="367">
        <v>27.87</v>
      </c>
      <c r="D24" s="367">
        <v>133.69</v>
      </c>
      <c r="E24" s="367">
        <v>77.89</v>
      </c>
      <c r="F24" s="367">
        <v>193.79</v>
      </c>
      <c r="G24" s="367">
        <v>15.34</v>
      </c>
      <c r="H24" s="367">
        <v>26.46</v>
      </c>
      <c r="I24" s="367">
        <v>80.680000000000007</v>
      </c>
      <c r="J24" s="367">
        <v>88.34</v>
      </c>
      <c r="K24" s="367">
        <v>275.49</v>
      </c>
      <c r="L24" s="367">
        <v>153.18</v>
      </c>
      <c r="M24" s="367">
        <v>82.07</v>
      </c>
      <c r="N24" s="367">
        <v>33.299999237100003</v>
      </c>
      <c r="O24" s="367">
        <v>11.9300003052</v>
      </c>
      <c r="P24" s="367">
        <v>25.75</v>
      </c>
      <c r="Q24" s="367">
        <v>34.799999237100003</v>
      </c>
      <c r="R24" s="367">
        <v>33.459999084499998</v>
      </c>
      <c r="S24" s="367">
        <v>28.620000839199999</v>
      </c>
      <c r="T24" s="367">
        <v>26.100000381499999</v>
      </c>
      <c r="U24" s="367">
        <v>75.05</v>
      </c>
      <c r="V24" s="334"/>
      <c r="W24" s="334"/>
      <c r="X24" s="334"/>
      <c r="Y24" s="334"/>
      <c r="Z24" s="334"/>
      <c r="AA24" s="334"/>
      <c r="AB24" s="334"/>
      <c r="AC24" s="334"/>
      <c r="AD24" s="334"/>
      <c r="AE24" s="334"/>
      <c r="AF24" s="334"/>
      <c r="AG24" s="334"/>
      <c r="AH24" s="334"/>
      <c r="AI24" s="334"/>
      <c r="AJ24" s="334"/>
      <c r="AK24" s="334"/>
      <c r="AL24" s="334"/>
      <c r="AM24" s="334"/>
      <c r="AN24" s="334"/>
      <c r="AO24" s="334"/>
      <c r="AP24" s="334"/>
      <c r="AQ24" s="334"/>
      <c r="AR24" s="334"/>
      <c r="AS24" s="334"/>
      <c r="AT24" s="334"/>
      <c r="AU24" s="334"/>
      <c r="AV24" s="334"/>
      <c r="AW24" s="334"/>
      <c r="AX24" s="334"/>
      <c r="AY24" s="334"/>
      <c r="AZ24" s="334"/>
      <c r="BA24" s="334"/>
      <c r="BB24" s="334"/>
      <c r="BC24" s="334"/>
      <c r="BD24" s="334"/>
      <c r="BE24" s="334"/>
      <c r="BF24" s="334"/>
      <c r="BG24" s="334"/>
      <c r="BH24" s="334"/>
      <c r="BI24" s="334"/>
      <c r="BJ24" s="334"/>
      <c r="BK24" s="334"/>
      <c r="BL24" s="334"/>
      <c r="BM24" s="334"/>
      <c r="BN24" s="334"/>
      <c r="BO24" s="334"/>
      <c r="BP24" s="334"/>
      <c r="BQ24" s="334"/>
      <c r="BR24" s="334"/>
      <c r="BS24" s="334"/>
      <c r="BT24" s="334"/>
      <c r="BU24" s="334"/>
      <c r="BV24" s="334"/>
      <c r="BW24" s="334"/>
      <c r="BX24" s="334"/>
      <c r="BY24" s="334"/>
      <c r="BZ24" s="334"/>
      <c r="CA24" s="334"/>
      <c r="CB24" s="334"/>
      <c r="CC24" s="334"/>
      <c r="CD24" s="334"/>
      <c r="CE24" s="334"/>
      <c r="CF24" s="334"/>
      <c r="CG24" s="334"/>
      <c r="CH24" s="334"/>
      <c r="CI24" s="334"/>
      <c r="CJ24" s="334"/>
      <c r="CK24" s="334"/>
      <c r="CL24" s="334"/>
      <c r="CM24" s="334"/>
      <c r="CN24" s="334"/>
      <c r="CO24" s="334"/>
      <c r="CP24" s="334"/>
      <c r="CQ24" s="334"/>
      <c r="CR24" s="334"/>
      <c r="CS24" s="334"/>
      <c r="CT24" s="334"/>
      <c r="CU24" s="334"/>
      <c r="CV24" s="334"/>
      <c r="CW24" s="334"/>
      <c r="CX24" s="334"/>
      <c r="CY24" s="334"/>
      <c r="CZ24" s="334"/>
      <c r="DA24" s="334"/>
      <c r="DB24" s="334"/>
      <c r="DC24" s="334"/>
      <c r="DD24" s="334"/>
      <c r="DE24" s="334"/>
      <c r="DF24" s="334"/>
      <c r="DG24" s="334"/>
      <c r="DH24" s="334"/>
      <c r="DI24" s="334"/>
      <c r="DJ24" s="334"/>
      <c r="DK24" s="334"/>
      <c r="DL24" s="334"/>
      <c r="DM24" s="334"/>
      <c r="DN24" s="334"/>
      <c r="DO24" s="334"/>
      <c r="DP24" s="334"/>
      <c r="DQ24" s="334"/>
      <c r="DR24" s="334"/>
      <c r="DS24" s="334"/>
      <c r="DT24" s="334"/>
      <c r="DU24" s="334"/>
      <c r="DV24" s="334"/>
      <c r="DW24" s="334"/>
      <c r="DX24" s="334"/>
      <c r="DY24" s="334"/>
      <c r="DZ24" s="334"/>
      <c r="EA24" s="334"/>
      <c r="EB24" s="334"/>
      <c r="EC24" s="334"/>
      <c r="ED24" s="334"/>
      <c r="EE24" s="334"/>
      <c r="EF24" s="334"/>
      <c r="EG24" s="334"/>
      <c r="EH24" s="334"/>
      <c r="EI24" s="334"/>
      <c r="EJ24" s="334"/>
      <c r="EK24" s="334"/>
      <c r="EL24" s="334"/>
      <c r="EM24" s="334"/>
      <c r="EN24" s="334"/>
      <c r="EO24" s="334"/>
      <c r="EP24" s="334"/>
      <c r="EQ24" s="334"/>
      <c r="ER24" s="334"/>
      <c r="ES24" s="334"/>
      <c r="ET24" s="334"/>
      <c r="EU24" s="334"/>
      <c r="EV24" s="334"/>
      <c r="EW24" s="334"/>
      <c r="EX24" s="334"/>
      <c r="EY24" s="334"/>
      <c r="EZ24" s="334"/>
      <c r="FA24" s="334"/>
      <c r="FB24" s="334"/>
      <c r="FC24" s="334"/>
      <c r="FD24" s="334"/>
      <c r="FE24" s="334"/>
      <c r="FF24" s="334"/>
      <c r="FG24" s="334"/>
      <c r="FH24" s="334"/>
      <c r="FI24" s="334"/>
      <c r="FJ24" s="334"/>
      <c r="FK24" s="334"/>
      <c r="FL24" s="334"/>
      <c r="FM24" s="334"/>
      <c r="FN24" s="334"/>
      <c r="FO24" s="334"/>
      <c r="FP24" s="334"/>
      <c r="FQ24" s="334"/>
      <c r="FR24" s="334"/>
      <c r="FS24" s="334"/>
      <c r="FT24" s="334"/>
      <c r="FU24" s="334"/>
      <c r="FV24" s="334"/>
      <c r="FW24" s="334"/>
      <c r="FX24" s="334"/>
      <c r="FY24" s="334"/>
      <c r="FZ24" s="334"/>
      <c r="GA24" s="334"/>
      <c r="GB24" s="334"/>
      <c r="GC24" s="334"/>
      <c r="GD24" s="334"/>
      <c r="GE24" s="334"/>
      <c r="GF24" s="334"/>
      <c r="GG24" s="334"/>
      <c r="GH24" s="334"/>
      <c r="GI24" s="334"/>
      <c r="GJ24" s="334"/>
      <c r="GK24" s="334"/>
      <c r="GL24" s="334"/>
      <c r="GM24" s="334"/>
      <c r="GN24" s="334"/>
      <c r="GO24" s="334"/>
      <c r="GP24" s="334"/>
      <c r="GQ24" s="334"/>
      <c r="GR24" s="334"/>
      <c r="GS24" s="334"/>
      <c r="GT24" s="334"/>
      <c r="GU24" s="334"/>
      <c r="GV24" s="334"/>
      <c r="GW24" s="334"/>
      <c r="GX24" s="334"/>
      <c r="GY24" s="334"/>
      <c r="GZ24" s="334"/>
      <c r="HA24" s="334"/>
      <c r="HB24" s="334"/>
      <c r="HC24" s="334"/>
      <c r="HD24" s="334"/>
      <c r="HE24" s="334"/>
      <c r="HF24" s="334"/>
      <c r="HG24" s="334"/>
      <c r="HH24" s="334"/>
      <c r="HI24" s="334"/>
      <c r="HJ24" s="334"/>
      <c r="HK24" s="334"/>
      <c r="HL24" s="334"/>
      <c r="HM24" s="334"/>
      <c r="HN24" s="334"/>
      <c r="HO24" s="334"/>
      <c r="HP24" s="334"/>
      <c r="HQ24" s="334"/>
      <c r="HR24" s="334"/>
      <c r="HS24" s="334"/>
      <c r="HT24" s="334"/>
      <c r="HU24" s="334"/>
      <c r="HV24" s="334"/>
      <c r="HW24" s="334"/>
      <c r="HX24" s="334"/>
      <c r="HY24" s="334"/>
      <c r="HZ24" s="334"/>
      <c r="IA24" s="334"/>
      <c r="IB24" s="334"/>
      <c r="IC24" s="334"/>
      <c r="ID24" s="334"/>
      <c r="IE24" s="334"/>
      <c r="IF24" s="334"/>
      <c r="IG24" s="334"/>
      <c r="IH24" s="334"/>
      <c r="II24" s="334"/>
      <c r="IJ24" s="334"/>
      <c r="IK24" s="334"/>
      <c r="IL24" s="334"/>
      <c r="IM24" s="334"/>
      <c r="IN24" s="334"/>
      <c r="IO24" s="334"/>
      <c r="IP24" s="334"/>
      <c r="IQ24" s="334"/>
      <c r="IR24" s="334"/>
    </row>
    <row r="25" spans="1:252" s="368" customFormat="1" x14ac:dyDescent="0.25">
      <c r="A25" s="366">
        <v>43670</v>
      </c>
      <c r="B25" s="367">
        <v>82.96</v>
      </c>
      <c r="C25" s="367">
        <v>28.15</v>
      </c>
      <c r="D25" s="367">
        <v>134.37</v>
      </c>
      <c r="E25" s="367">
        <v>79.2</v>
      </c>
      <c r="F25" s="367">
        <v>195.15</v>
      </c>
      <c r="G25" s="367">
        <v>15.52</v>
      </c>
      <c r="H25" s="367">
        <v>26.46</v>
      </c>
      <c r="I25" s="367">
        <v>81.010000000000005</v>
      </c>
      <c r="J25" s="367">
        <v>88.41</v>
      </c>
      <c r="K25" s="367">
        <v>276.76</v>
      </c>
      <c r="L25" s="367">
        <v>154.12</v>
      </c>
      <c r="M25" s="367">
        <v>82.75</v>
      </c>
      <c r="N25" s="367">
        <v>33.459999084499998</v>
      </c>
      <c r="O25" s="367">
        <v>12.010000228899999</v>
      </c>
      <c r="P25" s="367">
        <v>25.850000381499999</v>
      </c>
      <c r="Q25" s="367">
        <v>34.979999542199998</v>
      </c>
      <c r="R25" s="367">
        <v>33.569999694800003</v>
      </c>
      <c r="S25" s="367">
        <v>28.850000381499999</v>
      </c>
      <c r="T25" s="367">
        <v>26.170000076299999</v>
      </c>
      <c r="U25" s="367">
        <v>75.040000000000006</v>
      </c>
      <c r="V25" s="334"/>
      <c r="W25" s="334"/>
      <c r="X25" s="334"/>
      <c r="Y25" s="334"/>
      <c r="Z25" s="334"/>
      <c r="AA25" s="334"/>
      <c r="AB25" s="334"/>
      <c r="AC25" s="334"/>
      <c r="AD25" s="334"/>
      <c r="AE25" s="334"/>
      <c r="AF25" s="334"/>
      <c r="AG25" s="334"/>
      <c r="AH25" s="334"/>
      <c r="AI25" s="334"/>
      <c r="AJ25" s="334"/>
      <c r="AK25" s="334"/>
      <c r="AL25" s="334"/>
      <c r="AM25" s="334"/>
      <c r="AN25" s="334"/>
      <c r="AO25" s="334"/>
      <c r="AP25" s="334"/>
      <c r="AQ25" s="334"/>
      <c r="AR25" s="334"/>
      <c r="AS25" s="334"/>
      <c r="AT25" s="334"/>
      <c r="AU25" s="334"/>
      <c r="AV25" s="334"/>
      <c r="AW25" s="334"/>
      <c r="AX25" s="334"/>
      <c r="AY25" s="334"/>
      <c r="AZ25" s="334"/>
      <c r="BA25" s="334"/>
      <c r="BB25" s="334"/>
      <c r="BC25" s="334"/>
      <c r="BD25" s="334"/>
      <c r="BE25" s="334"/>
      <c r="BF25" s="334"/>
      <c r="BG25" s="334"/>
      <c r="BH25" s="334"/>
      <c r="BI25" s="334"/>
      <c r="BJ25" s="334"/>
      <c r="BK25" s="334"/>
      <c r="BL25" s="334"/>
      <c r="BM25" s="334"/>
      <c r="BN25" s="334"/>
      <c r="BO25" s="334"/>
      <c r="BP25" s="334"/>
      <c r="BQ25" s="334"/>
      <c r="BR25" s="334"/>
      <c r="BS25" s="334"/>
      <c r="BT25" s="334"/>
      <c r="BU25" s="334"/>
      <c r="BV25" s="334"/>
      <c r="BW25" s="334"/>
      <c r="BX25" s="334"/>
      <c r="BY25" s="334"/>
      <c r="BZ25" s="334"/>
      <c r="CA25" s="334"/>
      <c r="CB25" s="334"/>
      <c r="CC25" s="334"/>
      <c r="CD25" s="334"/>
      <c r="CE25" s="334"/>
      <c r="CF25" s="334"/>
      <c r="CG25" s="334"/>
      <c r="CH25" s="334"/>
      <c r="CI25" s="334"/>
      <c r="CJ25" s="334"/>
      <c r="CK25" s="334"/>
      <c r="CL25" s="334"/>
      <c r="CM25" s="334"/>
      <c r="CN25" s="334"/>
      <c r="CO25" s="334"/>
      <c r="CP25" s="334"/>
      <c r="CQ25" s="334"/>
      <c r="CR25" s="334"/>
      <c r="CS25" s="334"/>
      <c r="CT25" s="334"/>
      <c r="CU25" s="334"/>
      <c r="CV25" s="334"/>
      <c r="CW25" s="334"/>
      <c r="CX25" s="334"/>
      <c r="CY25" s="334"/>
      <c r="CZ25" s="334"/>
      <c r="DA25" s="334"/>
      <c r="DB25" s="334"/>
      <c r="DC25" s="334"/>
      <c r="DD25" s="334"/>
      <c r="DE25" s="334"/>
      <c r="DF25" s="334"/>
      <c r="DG25" s="334"/>
      <c r="DH25" s="334"/>
      <c r="DI25" s="334"/>
      <c r="DJ25" s="334"/>
      <c r="DK25" s="334"/>
      <c r="DL25" s="334"/>
      <c r="DM25" s="334"/>
      <c r="DN25" s="334"/>
      <c r="DO25" s="334"/>
      <c r="DP25" s="334"/>
      <c r="DQ25" s="334"/>
      <c r="DR25" s="334"/>
      <c r="DS25" s="334"/>
      <c r="DT25" s="334"/>
      <c r="DU25" s="334"/>
      <c r="DV25" s="334"/>
      <c r="DW25" s="334"/>
      <c r="DX25" s="334"/>
      <c r="DY25" s="334"/>
      <c r="DZ25" s="334"/>
      <c r="EA25" s="334"/>
      <c r="EB25" s="334"/>
      <c r="EC25" s="334"/>
      <c r="ED25" s="334"/>
      <c r="EE25" s="334"/>
      <c r="EF25" s="334"/>
      <c r="EG25" s="334"/>
      <c r="EH25" s="334"/>
      <c r="EI25" s="334"/>
      <c r="EJ25" s="334"/>
      <c r="EK25" s="334"/>
      <c r="EL25" s="334"/>
      <c r="EM25" s="334"/>
      <c r="EN25" s="334"/>
      <c r="EO25" s="334"/>
      <c r="EP25" s="334"/>
      <c r="EQ25" s="334"/>
      <c r="ER25" s="334"/>
      <c r="ES25" s="334"/>
      <c r="ET25" s="334"/>
      <c r="EU25" s="334"/>
      <c r="EV25" s="334"/>
      <c r="EW25" s="334"/>
      <c r="EX25" s="334"/>
      <c r="EY25" s="334"/>
      <c r="EZ25" s="334"/>
      <c r="FA25" s="334"/>
      <c r="FB25" s="334"/>
      <c r="FC25" s="334"/>
      <c r="FD25" s="334"/>
      <c r="FE25" s="334"/>
      <c r="FF25" s="334"/>
      <c r="FG25" s="334"/>
      <c r="FH25" s="334"/>
      <c r="FI25" s="334"/>
      <c r="FJ25" s="334"/>
      <c r="FK25" s="334"/>
      <c r="FL25" s="334"/>
      <c r="FM25" s="334"/>
      <c r="FN25" s="334"/>
      <c r="FO25" s="334"/>
      <c r="FP25" s="334"/>
      <c r="FQ25" s="334"/>
      <c r="FR25" s="334"/>
      <c r="FS25" s="334"/>
      <c r="FT25" s="334"/>
      <c r="FU25" s="334"/>
      <c r="FV25" s="334"/>
      <c r="FW25" s="334"/>
      <c r="FX25" s="334"/>
      <c r="FY25" s="334"/>
      <c r="FZ25" s="334"/>
      <c r="GA25" s="334"/>
      <c r="GB25" s="334"/>
      <c r="GC25" s="334"/>
      <c r="GD25" s="334"/>
      <c r="GE25" s="334"/>
      <c r="GF25" s="334"/>
      <c r="GG25" s="334"/>
      <c r="GH25" s="334"/>
      <c r="GI25" s="334"/>
      <c r="GJ25" s="334"/>
      <c r="GK25" s="334"/>
      <c r="GL25" s="334"/>
      <c r="GM25" s="334"/>
      <c r="GN25" s="334"/>
      <c r="GO25" s="334"/>
      <c r="GP25" s="334"/>
      <c r="GQ25" s="334"/>
      <c r="GR25" s="334"/>
      <c r="GS25" s="334"/>
      <c r="GT25" s="334"/>
      <c r="GU25" s="334"/>
      <c r="GV25" s="334"/>
      <c r="GW25" s="334"/>
      <c r="GX25" s="334"/>
      <c r="GY25" s="334"/>
      <c r="GZ25" s="334"/>
      <c r="HA25" s="334"/>
      <c r="HB25" s="334"/>
      <c r="HC25" s="334"/>
      <c r="HD25" s="334"/>
      <c r="HE25" s="334"/>
      <c r="HF25" s="334"/>
      <c r="HG25" s="334"/>
      <c r="HH25" s="334"/>
      <c r="HI25" s="334"/>
      <c r="HJ25" s="334"/>
      <c r="HK25" s="334"/>
      <c r="HL25" s="334"/>
      <c r="HM25" s="334"/>
      <c r="HN25" s="334"/>
      <c r="HO25" s="334"/>
      <c r="HP25" s="334"/>
      <c r="HQ25" s="334"/>
      <c r="HR25" s="334"/>
      <c r="HS25" s="334"/>
      <c r="HT25" s="334"/>
      <c r="HU25" s="334"/>
      <c r="HV25" s="334"/>
      <c r="HW25" s="334"/>
      <c r="HX25" s="334"/>
      <c r="HY25" s="334"/>
      <c r="HZ25" s="334"/>
      <c r="IA25" s="334"/>
      <c r="IB25" s="334"/>
      <c r="IC25" s="334"/>
      <c r="ID25" s="334"/>
      <c r="IE25" s="334"/>
      <c r="IF25" s="334"/>
      <c r="IG25" s="334"/>
      <c r="IH25" s="334"/>
      <c r="II25" s="334"/>
      <c r="IJ25" s="334"/>
      <c r="IK25" s="334"/>
      <c r="IL25" s="334"/>
      <c r="IM25" s="334"/>
      <c r="IN25" s="334"/>
      <c r="IO25" s="334"/>
      <c r="IP25" s="334"/>
      <c r="IQ25" s="334"/>
      <c r="IR25" s="334"/>
    </row>
    <row r="26" spans="1:252" s="368" customFormat="1" x14ac:dyDescent="0.25">
      <c r="A26" s="366">
        <v>43671</v>
      </c>
      <c r="B26" s="367">
        <v>82.87</v>
      </c>
      <c r="C26" s="367">
        <v>27.43</v>
      </c>
      <c r="D26" s="367">
        <v>133.41999999999999</v>
      </c>
      <c r="E26" s="367">
        <v>78.34</v>
      </c>
      <c r="F26" s="367">
        <v>193.3</v>
      </c>
      <c r="G26" s="367">
        <v>15.36</v>
      </c>
      <c r="H26" s="367">
        <v>26.51</v>
      </c>
      <c r="I26" s="367">
        <v>80.650000000000006</v>
      </c>
      <c r="J26" s="367">
        <v>87.89</v>
      </c>
      <c r="K26" s="367">
        <v>275.41000000000003</v>
      </c>
      <c r="L26" s="367">
        <v>153.30000000000001</v>
      </c>
      <c r="M26" s="367">
        <v>82.41</v>
      </c>
      <c r="N26" s="367">
        <v>33.290000915500002</v>
      </c>
      <c r="O26" s="367">
        <v>11.9099998474</v>
      </c>
      <c r="P26" s="367">
        <v>25.709999084500001</v>
      </c>
      <c r="Q26" s="367">
        <v>34.900001525900002</v>
      </c>
      <c r="R26" s="367">
        <v>33.290000915500002</v>
      </c>
      <c r="S26" s="367">
        <v>28.469999313399999</v>
      </c>
      <c r="T26" s="367">
        <v>26.129999160800001</v>
      </c>
      <c r="U26" s="367">
        <v>74.98</v>
      </c>
      <c r="V26" s="334"/>
      <c r="W26" s="334"/>
      <c r="X26" s="334"/>
      <c r="Y26" s="334"/>
      <c r="Z26" s="334"/>
      <c r="AA26" s="334"/>
      <c r="AB26" s="334"/>
      <c r="AC26" s="334"/>
      <c r="AD26" s="334"/>
      <c r="AE26" s="334"/>
      <c r="AF26" s="334"/>
      <c r="AG26" s="334"/>
      <c r="AH26" s="334"/>
      <c r="AI26" s="334"/>
      <c r="AJ26" s="334"/>
      <c r="AK26" s="334"/>
      <c r="AL26" s="334"/>
      <c r="AM26" s="334"/>
      <c r="AN26" s="334"/>
      <c r="AO26" s="334"/>
      <c r="AP26" s="334"/>
      <c r="AQ26" s="334"/>
      <c r="AR26" s="334"/>
      <c r="AS26" s="334"/>
      <c r="AT26" s="334"/>
      <c r="AU26" s="334"/>
      <c r="AV26" s="334"/>
      <c r="AW26" s="334"/>
      <c r="AX26" s="334"/>
      <c r="AY26" s="334"/>
      <c r="AZ26" s="334"/>
      <c r="BA26" s="334"/>
      <c r="BB26" s="334"/>
      <c r="BC26" s="334"/>
      <c r="BD26" s="334"/>
      <c r="BE26" s="334"/>
      <c r="BF26" s="334"/>
      <c r="BG26" s="334"/>
      <c r="BH26" s="334"/>
      <c r="BI26" s="334"/>
      <c r="BJ26" s="334"/>
      <c r="BK26" s="334"/>
      <c r="BL26" s="334"/>
      <c r="BM26" s="334"/>
      <c r="BN26" s="334"/>
      <c r="BO26" s="334"/>
      <c r="BP26" s="334"/>
      <c r="BQ26" s="334"/>
      <c r="BR26" s="334"/>
      <c r="BS26" s="334"/>
      <c r="BT26" s="334"/>
      <c r="BU26" s="334"/>
      <c r="BV26" s="334"/>
      <c r="BW26" s="334"/>
      <c r="BX26" s="334"/>
      <c r="BY26" s="334"/>
      <c r="BZ26" s="334"/>
      <c r="CA26" s="334"/>
      <c r="CB26" s="334"/>
      <c r="CC26" s="334"/>
      <c r="CD26" s="334"/>
      <c r="CE26" s="334"/>
      <c r="CF26" s="334"/>
      <c r="CG26" s="334"/>
      <c r="CH26" s="334"/>
      <c r="CI26" s="334"/>
      <c r="CJ26" s="334"/>
      <c r="CK26" s="334"/>
      <c r="CL26" s="334"/>
      <c r="CM26" s="334"/>
      <c r="CN26" s="334"/>
      <c r="CO26" s="334"/>
      <c r="CP26" s="334"/>
      <c r="CQ26" s="334"/>
      <c r="CR26" s="334"/>
      <c r="CS26" s="334"/>
      <c r="CT26" s="334"/>
      <c r="CU26" s="334"/>
      <c r="CV26" s="334"/>
      <c r="CW26" s="334"/>
      <c r="CX26" s="334"/>
      <c r="CY26" s="334"/>
      <c r="CZ26" s="334"/>
      <c r="DA26" s="334"/>
      <c r="DB26" s="334"/>
      <c r="DC26" s="334"/>
      <c r="DD26" s="334"/>
      <c r="DE26" s="334"/>
      <c r="DF26" s="334"/>
      <c r="DG26" s="334"/>
      <c r="DH26" s="334"/>
      <c r="DI26" s="334"/>
      <c r="DJ26" s="334"/>
      <c r="DK26" s="334"/>
      <c r="DL26" s="334"/>
      <c r="DM26" s="334"/>
      <c r="DN26" s="334"/>
      <c r="DO26" s="334"/>
      <c r="DP26" s="334"/>
      <c r="DQ26" s="334"/>
      <c r="DR26" s="334"/>
      <c r="DS26" s="334"/>
      <c r="DT26" s="334"/>
      <c r="DU26" s="334"/>
      <c r="DV26" s="334"/>
      <c r="DW26" s="334"/>
      <c r="DX26" s="334"/>
      <c r="DY26" s="334"/>
      <c r="DZ26" s="334"/>
      <c r="EA26" s="334"/>
      <c r="EB26" s="334"/>
      <c r="EC26" s="334"/>
      <c r="ED26" s="334"/>
      <c r="EE26" s="334"/>
      <c r="EF26" s="334"/>
      <c r="EG26" s="334"/>
      <c r="EH26" s="334"/>
      <c r="EI26" s="334"/>
      <c r="EJ26" s="334"/>
      <c r="EK26" s="334"/>
      <c r="EL26" s="334"/>
      <c r="EM26" s="334"/>
      <c r="EN26" s="334"/>
      <c r="EO26" s="334"/>
      <c r="EP26" s="334"/>
      <c r="EQ26" s="334"/>
      <c r="ER26" s="334"/>
      <c r="ES26" s="334"/>
      <c r="ET26" s="334"/>
      <c r="EU26" s="334"/>
      <c r="EV26" s="334"/>
      <c r="EW26" s="334"/>
      <c r="EX26" s="334"/>
      <c r="EY26" s="334"/>
      <c r="EZ26" s="334"/>
      <c r="FA26" s="334"/>
      <c r="FB26" s="334"/>
      <c r="FC26" s="334"/>
      <c r="FD26" s="334"/>
      <c r="FE26" s="334"/>
      <c r="FF26" s="334"/>
      <c r="FG26" s="334"/>
      <c r="FH26" s="334"/>
      <c r="FI26" s="334"/>
      <c r="FJ26" s="334"/>
      <c r="FK26" s="334"/>
      <c r="FL26" s="334"/>
      <c r="FM26" s="334"/>
      <c r="FN26" s="334"/>
      <c r="FO26" s="334"/>
      <c r="FP26" s="334"/>
      <c r="FQ26" s="334"/>
      <c r="FR26" s="334"/>
      <c r="FS26" s="334"/>
      <c r="FT26" s="334"/>
      <c r="FU26" s="334"/>
      <c r="FV26" s="334"/>
      <c r="FW26" s="334"/>
      <c r="FX26" s="334"/>
      <c r="FY26" s="334"/>
      <c r="FZ26" s="334"/>
      <c r="GA26" s="334"/>
      <c r="GB26" s="334"/>
      <c r="GC26" s="334"/>
      <c r="GD26" s="334"/>
      <c r="GE26" s="334"/>
      <c r="GF26" s="334"/>
      <c r="GG26" s="334"/>
      <c r="GH26" s="334"/>
      <c r="GI26" s="334"/>
      <c r="GJ26" s="334"/>
      <c r="GK26" s="334"/>
      <c r="GL26" s="334"/>
      <c r="GM26" s="334"/>
      <c r="GN26" s="334"/>
      <c r="GO26" s="334"/>
      <c r="GP26" s="334"/>
      <c r="GQ26" s="334"/>
      <c r="GR26" s="334"/>
      <c r="GS26" s="334"/>
      <c r="GT26" s="334"/>
      <c r="GU26" s="334"/>
      <c r="GV26" s="334"/>
      <c r="GW26" s="334"/>
      <c r="GX26" s="334"/>
      <c r="GY26" s="334"/>
      <c r="GZ26" s="334"/>
      <c r="HA26" s="334"/>
      <c r="HB26" s="334"/>
      <c r="HC26" s="334"/>
      <c r="HD26" s="334"/>
      <c r="HE26" s="334"/>
      <c r="HF26" s="334"/>
      <c r="HG26" s="334"/>
      <c r="HH26" s="334"/>
      <c r="HI26" s="334"/>
      <c r="HJ26" s="334"/>
      <c r="HK26" s="334"/>
      <c r="HL26" s="334"/>
      <c r="HM26" s="334"/>
      <c r="HN26" s="334"/>
      <c r="HO26" s="334"/>
      <c r="HP26" s="334"/>
      <c r="HQ26" s="334"/>
      <c r="HR26" s="334"/>
      <c r="HS26" s="334"/>
      <c r="HT26" s="334"/>
      <c r="HU26" s="334"/>
      <c r="HV26" s="334"/>
      <c r="HW26" s="334"/>
      <c r="HX26" s="334"/>
      <c r="HY26" s="334"/>
      <c r="HZ26" s="334"/>
      <c r="IA26" s="334"/>
      <c r="IB26" s="334"/>
      <c r="IC26" s="334"/>
      <c r="ID26" s="334"/>
      <c r="IE26" s="334"/>
      <c r="IF26" s="334"/>
      <c r="IG26" s="334"/>
      <c r="IH26" s="334"/>
      <c r="II26" s="334"/>
      <c r="IJ26" s="334"/>
      <c r="IK26" s="334"/>
      <c r="IL26" s="334"/>
      <c r="IM26" s="334"/>
      <c r="IN26" s="334"/>
      <c r="IO26" s="334"/>
      <c r="IP26" s="334"/>
      <c r="IQ26" s="334"/>
      <c r="IR26" s="334"/>
    </row>
    <row r="27" spans="1:252" s="368" customFormat="1" x14ac:dyDescent="0.25">
      <c r="A27" s="366">
        <v>43672</v>
      </c>
      <c r="B27" s="367">
        <v>82.87</v>
      </c>
      <c r="C27" s="367">
        <v>27.28</v>
      </c>
      <c r="D27" s="367">
        <v>133.63999999999999</v>
      </c>
      <c r="E27" s="367">
        <v>79.14</v>
      </c>
      <c r="F27" s="367">
        <v>195.29</v>
      </c>
      <c r="G27" s="367">
        <v>15.31</v>
      </c>
      <c r="H27" s="367">
        <v>26.55</v>
      </c>
      <c r="I27" s="367">
        <v>80.790000000000006</v>
      </c>
      <c r="J27" s="367">
        <v>88.29</v>
      </c>
      <c r="K27" s="367">
        <v>277.38</v>
      </c>
      <c r="L27" s="367">
        <v>154.41</v>
      </c>
      <c r="M27" s="367">
        <v>82.59</v>
      </c>
      <c r="N27" s="367">
        <v>33.529998779300001</v>
      </c>
      <c r="O27" s="367">
        <v>11.949999809299999</v>
      </c>
      <c r="P27" s="367">
        <v>25.8199996948</v>
      </c>
      <c r="Q27" s="367">
        <v>35</v>
      </c>
      <c r="R27" s="367">
        <v>33.400001525900002</v>
      </c>
      <c r="S27" s="367">
        <v>28.3600006104</v>
      </c>
      <c r="T27" s="367">
        <v>26.120000839199999</v>
      </c>
      <c r="U27" s="367">
        <v>74.92</v>
      </c>
      <c r="V27" s="334"/>
      <c r="W27" s="334"/>
      <c r="X27" s="334"/>
      <c r="Y27" s="334"/>
      <c r="Z27" s="334"/>
      <c r="AA27" s="334"/>
      <c r="AB27" s="334"/>
      <c r="AC27" s="334"/>
      <c r="AD27" s="334"/>
      <c r="AE27" s="334"/>
      <c r="AF27" s="334"/>
      <c r="AG27" s="334"/>
      <c r="AH27" s="334"/>
      <c r="AI27" s="334"/>
      <c r="AJ27" s="334"/>
      <c r="AK27" s="334"/>
      <c r="AL27" s="334"/>
      <c r="AM27" s="334"/>
      <c r="AN27" s="334"/>
      <c r="AO27" s="334"/>
      <c r="AP27" s="334"/>
      <c r="AQ27" s="334"/>
      <c r="AR27" s="334"/>
      <c r="AS27" s="334"/>
      <c r="AT27" s="334"/>
      <c r="AU27" s="334"/>
      <c r="AV27" s="334"/>
      <c r="AW27" s="334"/>
      <c r="AX27" s="334"/>
      <c r="AY27" s="334"/>
      <c r="AZ27" s="334"/>
      <c r="BA27" s="334"/>
      <c r="BB27" s="334"/>
      <c r="BC27" s="334"/>
      <c r="BD27" s="334"/>
      <c r="BE27" s="334"/>
      <c r="BF27" s="334"/>
      <c r="BG27" s="334"/>
      <c r="BH27" s="334"/>
      <c r="BI27" s="334"/>
      <c r="BJ27" s="334"/>
      <c r="BK27" s="334"/>
      <c r="BL27" s="334"/>
      <c r="BM27" s="334"/>
      <c r="BN27" s="334"/>
      <c r="BO27" s="334"/>
      <c r="BP27" s="334"/>
      <c r="BQ27" s="334"/>
      <c r="BR27" s="334"/>
      <c r="BS27" s="334"/>
      <c r="BT27" s="334"/>
      <c r="BU27" s="334"/>
      <c r="BV27" s="334"/>
      <c r="BW27" s="334"/>
      <c r="BX27" s="334"/>
      <c r="BY27" s="334"/>
      <c r="BZ27" s="334"/>
      <c r="CA27" s="334"/>
      <c r="CB27" s="334"/>
      <c r="CC27" s="334"/>
      <c r="CD27" s="334"/>
      <c r="CE27" s="334"/>
      <c r="CF27" s="334"/>
      <c r="CG27" s="334"/>
      <c r="CH27" s="334"/>
      <c r="CI27" s="334"/>
      <c r="CJ27" s="334"/>
      <c r="CK27" s="334"/>
      <c r="CL27" s="334"/>
      <c r="CM27" s="334"/>
      <c r="CN27" s="334"/>
      <c r="CO27" s="334"/>
      <c r="CP27" s="334"/>
      <c r="CQ27" s="334"/>
      <c r="CR27" s="334"/>
      <c r="CS27" s="334"/>
      <c r="CT27" s="334"/>
      <c r="CU27" s="334"/>
      <c r="CV27" s="334"/>
      <c r="CW27" s="334"/>
      <c r="CX27" s="334"/>
      <c r="CY27" s="334"/>
      <c r="CZ27" s="334"/>
      <c r="DA27" s="334"/>
      <c r="DB27" s="334"/>
      <c r="DC27" s="334"/>
      <c r="DD27" s="334"/>
      <c r="DE27" s="334"/>
      <c r="DF27" s="334"/>
      <c r="DG27" s="334"/>
      <c r="DH27" s="334"/>
      <c r="DI27" s="334"/>
      <c r="DJ27" s="334"/>
      <c r="DK27" s="334"/>
      <c r="DL27" s="334"/>
      <c r="DM27" s="334"/>
      <c r="DN27" s="334"/>
      <c r="DO27" s="334"/>
      <c r="DP27" s="334"/>
      <c r="DQ27" s="334"/>
      <c r="DR27" s="334"/>
      <c r="DS27" s="334"/>
      <c r="DT27" s="334"/>
      <c r="DU27" s="334"/>
      <c r="DV27" s="334"/>
      <c r="DW27" s="334"/>
      <c r="DX27" s="334"/>
      <c r="DY27" s="334"/>
      <c r="DZ27" s="334"/>
      <c r="EA27" s="334"/>
      <c r="EB27" s="334"/>
      <c r="EC27" s="334"/>
      <c r="ED27" s="334"/>
      <c r="EE27" s="334"/>
      <c r="EF27" s="334"/>
      <c r="EG27" s="334"/>
      <c r="EH27" s="334"/>
      <c r="EI27" s="334"/>
      <c r="EJ27" s="334"/>
      <c r="EK27" s="334"/>
      <c r="EL27" s="334"/>
      <c r="EM27" s="334"/>
      <c r="EN27" s="334"/>
      <c r="EO27" s="334"/>
      <c r="EP27" s="334"/>
      <c r="EQ27" s="334"/>
      <c r="ER27" s="334"/>
      <c r="ES27" s="334"/>
      <c r="ET27" s="334"/>
      <c r="EU27" s="334"/>
      <c r="EV27" s="334"/>
      <c r="EW27" s="334"/>
      <c r="EX27" s="334"/>
      <c r="EY27" s="334"/>
      <c r="EZ27" s="334"/>
      <c r="FA27" s="334"/>
      <c r="FB27" s="334"/>
      <c r="FC27" s="334"/>
      <c r="FD27" s="334"/>
      <c r="FE27" s="334"/>
      <c r="FF27" s="334"/>
      <c r="FG27" s="334"/>
      <c r="FH27" s="334"/>
      <c r="FI27" s="334"/>
      <c r="FJ27" s="334"/>
      <c r="FK27" s="334"/>
      <c r="FL27" s="334"/>
      <c r="FM27" s="334"/>
      <c r="FN27" s="334"/>
      <c r="FO27" s="334"/>
      <c r="FP27" s="334"/>
      <c r="FQ27" s="334"/>
      <c r="FR27" s="334"/>
      <c r="FS27" s="334"/>
      <c r="FT27" s="334"/>
      <c r="FU27" s="334"/>
      <c r="FV27" s="334"/>
      <c r="FW27" s="334"/>
      <c r="FX27" s="334"/>
      <c r="FY27" s="334"/>
      <c r="FZ27" s="334"/>
      <c r="GA27" s="334"/>
      <c r="GB27" s="334"/>
      <c r="GC27" s="334"/>
      <c r="GD27" s="334"/>
      <c r="GE27" s="334"/>
      <c r="GF27" s="334"/>
      <c r="GG27" s="334"/>
      <c r="GH27" s="334"/>
      <c r="GI27" s="334"/>
      <c r="GJ27" s="334"/>
      <c r="GK27" s="334"/>
      <c r="GL27" s="334"/>
      <c r="GM27" s="334"/>
      <c r="GN27" s="334"/>
      <c r="GO27" s="334"/>
      <c r="GP27" s="334"/>
      <c r="GQ27" s="334"/>
      <c r="GR27" s="334"/>
      <c r="GS27" s="334"/>
      <c r="GT27" s="334"/>
      <c r="GU27" s="334"/>
      <c r="GV27" s="334"/>
      <c r="GW27" s="334"/>
      <c r="GX27" s="334"/>
      <c r="GY27" s="334"/>
      <c r="GZ27" s="334"/>
      <c r="HA27" s="334"/>
      <c r="HB27" s="334"/>
      <c r="HC27" s="334"/>
      <c r="HD27" s="334"/>
      <c r="HE27" s="334"/>
      <c r="HF27" s="334"/>
      <c r="HG27" s="334"/>
      <c r="HH27" s="334"/>
      <c r="HI27" s="334"/>
      <c r="HJ27" s="334"/>
      <c r="HK27" s="334"/>
      <c r="HL27" s="334"/>
      <c r="HM27" s="334"/>
      <c r="HN27" s="334"/>
      <c r="HO27" s="334"/>
      <c r="HP27" s="334"/>
      <c r="HQ27" s="334"/>
      <c r="HR27" s="334"/>
      <c r="HS27" s="334"/>
      <c r="HT27" s="334"/>
      <c r="HU27" s="334"/>
      <c r="HV27" s="334"/>
      <c r="HW27" s="334"/>
      <c r="HX27" s="334"/>
      <c r="HY27" s="334"/>
      <c r="HZ27" s="334"/>
      <c r="IA27" s="334"/>
      <c r="IB27" s="334"/>
      <c r="IC27" s="334"/>
      <c r="ID27" s="334"/>
      <c r="IE27" s="334"/>
      <c r="IF27" s="334"/>
      <c r="IG27" s="334"/>
      <c r="IH27" s="334"/>
      <c r="II27" s="334"/>
      <c r="IJ27" s="334"/>
      <c r="IK27" s="334"/>
      <c r="IL27" s="334"/>
      <c r="IM27" s="334"/>
      <c r="IN27" s="334"/>
      <c r="IO27" s="334"/>
      <c r="IP27" s="334"/>
      <c r="IQ27" s="334"/>
      <c r="IR27" s="334"/>
    </row>
    <row r="28" spans="1:252" s="368" customFormat="1" x14ac:dyDescent="0.25">
      <c r="A28" s="366">
        <v>43673</v>
      </c>
      <c r="B28" s="367">
        <v>82.87</v>
      </c>
      <c r="C28" s="367">
        <v>27.28</v>
      </c>
      <c r="D28" s="367">
        <v>133.63999999999999</v>
      </c>
      <c r="E28" s="367">
        <v>79.14</v>
      </c>
      <c r="F28" s="367">
        <v>195.29</v>
      </c>
      <c r="G28" s="367">
        <v>15.31</v>
      </c>
      <c r="H28" s="367">
        <v>26.55</v>
      </c>
      <c r="I28" s="367">
        <v>80.790000000000006</v>
      </c>
      <c r="J28" s="367">
        <v>88.29</v>
      </c>
      <c r="K28" s="367">
        <v>277.38</v>
      </c>
      <c r="L28" s="367">
        <v>154.41</v>
      </c>
      <c r="M28" s="367">
        <v>82.59</v>
      </c>
      <c r="N28" s="367">
        <v>33.529998779300001</v>
      </c>
      <c r="O28" s="367">
        <v>11.949999809299999</v>
      </c>
      <c r="P28" s="367">
        <v>25.8199996948</v>
      </c>
      <c r="Q28" s="367">
        <v>35</v>
      </c>
      <c r="R28" s="367">
        <v>33.400001525900002</v>
      </c>
      <c r="S28" s="367">
        <v>28.3600006104</v>
      </c>
      <c r="T28" s="367">
        <v>26.120000839199999</v>
      </c>
      <c r="U28" s="367">
        <v>74.92</v>
      </c>
      <c r="V28" s="334"/>
      <c r="W28" s="334"/>
      <c r="X28" s="334"/>
      <c r="Y28" s="334"/>
      <c r="Z28" s="334"/>
      <c r="AA28" s="334"/>
      <c r="AB28" s="334"/>
      <c r="AC28" s="334"/>
      <c r="AD28" s="334"/>
      <c r="AE28" s="334"/>
      <c r="AF28" s="334"/>
      <c r="AG28" s="334"/>
      <c r="AH28" s="334"/>
      <c r="AI28" s="334"/>
      <c r="AJ28" s="334"/>
      <c r="AK28" s="334"/>
      <c r="AL28" s="334"/>
      <c r="AM28" s="334"/>
      <c r="AN28" s="334"/>
      <c r="AO28" s="334"/>
      <c r="AP28" s="334"/>
      <c r="AQ28" s="334"/>
      <c r="AR28" s="334"/>
      <c r="AS28" s="334"/>
      <c r="AT28" s="334"/>
      <c r="AU28" s="334"/>
      <c r="AV28" s="334"/>
      <c r="AW28" s="334"/>
      <c r="AX28" s="334"/>
      <c r="AY28" s="334"/>
      <c r="AZ28" s="334"/>
      <c r="BA28" s="334"/>
      <c r="BB28" s="334"/>
      <c r="BC28" s="334"/>
      <c r="BD28" s="334"/>
      <c r="BE28" s="334"/>
      <c r="BF28" s="334"/>
      <c r="BG28" s="334"/>
      <c r="BH28" s="334"/>
      <c r="BI28" s="334"/>
      <c r="BJ28" s="334"/>
      <c r="BK28" s="334"/>
      <c r="BL28" s="334"/>
      <c r="BM28" s="334"/>
      <c r="BN28" s="334"/>
      <c r="BO28" s="334"/>
      <c r="BP28" s="334"/>
      <c r="BQ28" s="334"/>
      <c r="BR28" s="334"/>
      <c r="BS28" s="334"/>
      <c r="BT28" s="334"/>
      <c r="BU28" s="334"/>
      <c r="BV28" s="334"/>
      <c r="BW28" s="334"/>
      <c r="BX28" s="334"/>
      <c r="BY28" s="334"/>
      <c r="BZ28" s="334"/>
      <c r="CA28" s="334"/>
      <c r="CB28" s="334"/>
      <c r="CC28" s="334"/>
      <c r="CD28" s="334"/>
      <c r="CE28" s="334"/>
      <c r="CF28" s="334"/>
      <c r="CG28" s="334"/>
      <c r="CH28" s="334"/>
      <c r="CI28" s="334"/>
      <c r="CJ28" s="334"/>
      <c r="CK28" s="334"/>
      <c r="CL28" s="334"/>
      <c r="CM28" s="334"/>
      <c r="CN28" s="334"/>
      <c r="CO28" s="334"/>
      <c r="CP28" s="334"/>
      <c r="CQ28" s="334"/>
      <c r="CR28" s="334"/>
      <c r="CS28" s="334"/>
      <c r="CT28" s="334"/>
      <c r="CU28" s="334"/>
      <c r="CV28" s="334"/>
      <c r="CW28" s="334"/>
      <c r="CX28" s="334"/>
      <c r="CY28" s="334"/>
      <c r="CZ28" s="334"/>
      <c r="DA28" s="334"/>
      <c r="DB28" s="334"/>
      <c r="DC28" s="334"/>
      <c r="DD28" s="334"/>
      <c r="DE28" s="334"/>
      <c r="DF28" s="334"/>
      <c r="DG28" s="334"/>
      <c r="DH28" s="334"/>
      <c r="DI28" s="334"/>
      <c r="DJ28" s="334"/>
      <c r="DK28" s="334"/>
      <c r="DL28" s="334"/>
      <c r="DM28" s="334"/>
      <c r="DN28" s="334"/>
      <c r="DO28" s="334"/>
      <c r="DP28" s="334"/>
      <c r="DQ28" s="334"/>
      <c r="DR28" s="334"/>
      <c r="DS28" s="334"/>
      <c r="DT28" s="334"/>
      <c r="DU28" s="334"/>
      <c r="DV28" s="334"/>
      <c r="DW28" s="334"/>
      <c r="DX28" s="334"/>
      <c r="DY28" s="334"/>
      <c r="DZ28" s="334"/>
      <c r="EA28" s="334"/>
      <c r="EB28" s="334"/>
      <c r="EC28" s="334"/>
      <c r="ED28" s="334"/>
      <c r="EE28" s="334"/>
      <c r="EF28" s="334"/>
      <c r="EG28" s="334"/>
      <c r="EH28" s="334"/>
      <c r="EI28" s="334"/>
      <c r="EJ28" s="334"/>
      <c r="EK28" s="334"/>
      <c r="EL28" s="334"/>
      <c r="EM28" s="334"/>
      <c r="EN28" s="334"/>
      <c r="EO28" s="334"/>
      <c r="EP28" s="334"/>
      <c r="EQ28" s="334"/>
      <c r="ER28" s="334"/>
      <c r="ES28" s="334"/>
      <c r="ET28" s="334"/>
      <c r="EU28" s="334"/>
      <c r="EV28" s="334"/>
      <c r="EW28" s="334"/>
      <c r="EX28" s="334"/>
      <c r="EY28" s="334"/>
      <c r="EZ28" s="334"/>
      <c r="FA28" s="334"/>
      <c r="FB28" s="334"/>
      <c r="FC28" s="334"/>
      <c r="FD28" s="334"/>
      <c r="FE28" s="334"/>
      <c r="FF28" s="334"/>
      <c r="FG28" s="334"/>
      <c r="FH28" s="334"/>
      <c r="FI28" s="334"/>
      <c r="FJ28" s="334"/>
      <c r="FK28" s="334"/>
      <c r="FL28" s="334"/>
      <c r="FM28" s="334"/>
      <c r="FN28" s="334"/>
      <c r="FO28" s="334"/>
      <c r="FP28" s="334"/>
      <c r="FQ28" s="334"/>
      <c r="FR28" s="334"/>
      <c r="FS28" s="334"/>
      <c r="FT28" s="334"/>
      <c r="FU28" s="334"/>
      <c r="FV28" s="334"/>
      <c r="FW28" s="334"/>
      <c r="FX28" s="334"/>
      <c r="FY28" s="334"/>
      <c r="FZ28" s="334"/>
      <c r="GA28" s="334"/>
      <c r="GB28" s="334"/>
      <c r="GC28" s="334"/>
      <c r="GD28" s="334"/>
      <c r="GE28" s="334"/>
      <c r="GF28" s="334"/>
      <c r="GG28" s="334"/>
      <c r="GH28" s="334"/>
      <c r="GI28" s="334"/>
      <c r="GJ28" s="334"/>
      <c r="GK28" s="334"/>
      <c r="GL28" s="334"/>
      <c r="GM28" s="334"/>
      <c r="GN28" s="334"/>
      <c r="GO28" s="334"/>
      <c r="GP28" s="334"/>
      <c r="GQ28" s="334"/>
      <c r="GR28" s="334"/>
      <c r="GS28" s="334"/>
      <c r="GT28" s="334"/>
      <c r="GU28" s="334"/>
      <c r="GV28" s="334"/>
      <c r="GW28" s="334"/>
      <c r="GX28" s="334"/>
      <c r="GY28" s="334"/>
      <c r="GZ28" s="334"/>
      <c r="HA28" s="334"/>
      <c r="HB28" s="334"/>
      <c r="HC28" s="334"/>
      <c r="HD28" s="334"/>
      <c r="HE28" s="334"/>
      <c r="HF28" s="334"/>
      <c r="HG28" s="334"/>
      <c r="HH28" s="334"/>
      <c r="HI28" s="334"/>
      <c r="HJ28" s="334"/>
      <c r="HK28" s="334"/>
      <c r="HL28" s="334"/>
      <c r="HM28" s="334"/>
      <c r="HN28" s="334"/>
      <c r="HO28" s="334"/>
      <c r="HP28" s="334"/>
      <c r="HQ28" s="334"/>
      <c r="HR28" s="334"/>
      <c r="HS28" s="334"/>
      <c r="HT28" s="334"/>
      <c r="HU28" s="334"/>
      <c r="HV28" s="334"/>
      <c r="HW28" s="334"/>
      <c r="HX28" s="334"/>
      <c r="HY28" s="334"/>
      <c r="HZ28" s="334"/>
      <c r="IA28" s="334"/>
      <c r="IB28" s="334"/>
      <c r="IC28" s="334"/>
      <c r="ID28" s="334"/>
      <c r="IE28" s="334"/>
      <c r="IF28" s="334"/>
      <c r="IG28" s="334"/>
      <c r="IH28" s="334"/>
      <c r="II28" s="334"/>
      <c r="IJ28" s="334"/>
      <c r="IK28" s="334"/>
      <c r="IL28" s="334"/>
      <c r="IM28" s="334"/>
      <c r="IN28" s="334"/>
      <c r="IO28" s="334"/>
      <c r="IP28" s="334"/>
      <c r="IQ28" s="334"/>
      <c r="IR28" s="334"/>
    </row>
    <row r="29" spans="1:252" s="368" customFormat="1" x14ac:dyDescent="0.25">
      <c r="A29" s="366">
        <v>43674</v>
      </c>
      <c r="B29" s="367">
        <v>82.87</v>
      </c>
      <c r="C29" s="367">
        <v>27.28</v>
      </c>
      <c r="D29" s="367">
        <v>133.63999999999999</v>
      </c>
      <c r="E29" s="367">
        <v>79.14</v>
      </c>
      <c r="F29" s="367">
        <v>195.29</v>
      </c>
      <c r="G29" s="367">
        <v>15.31</v>
      </c>
      <c r="H29" s="367">
        <v>26.55</v>
      </c>
      <c r="I29" s="367">
        <v>80.790000000000006</v>
      </c>
      <c r="J29" s="367">
        <v>88.29</v>
      </c>
      <c r="K29" s="367">
        <v>277.38</v>
      </c>
      <c r="L29" s="367">
        <v>154.41</v>
      </c>
      <c r="M29" s="367">
        <v>82.59</v>
      </c>
      <c r="N29" s="367">
        <v>33.529998779300001</v>
      </c>
      <c r="O29" s="367">
        <v>11.949999809299999</v>
      </c>
      <c r="P29" s="367">
        <v>25.8199996948</v>
      </c>
      <c r="Q29" s="367">
        <v>35</v>
      </c>
      <c r="R29" s="367">
        <v>33.400001525900002</v>
      </c>
      <c r="S29" s="367">
        <v>28.3600006104</v>
      </c>
      <c r="T29" s="367">
        <v>26.120000839199999</v>
      </c>
      <c r="U29" s="367">
        <v>74.92</v>
      </c>
      <c r="V29" s="334"/>
      <c r="W29" s="334"/>
      <c r="X29" s="334"/>
      <c r="Y29" s="334"/>
      <c r="Z29" s="334"/>
      <c r="AA29" s="334"/>
      <c r="AB29" s="334"/>
      <c r="AC29" s="334"/>
      <c r="AD29" s="334"/>
      <c r="AE29" s="334"/>
      <c r="AF29" s="334"/>
      <c r="AG29" s="334"/>
      <c r="AH29" s="334"/>
      <c r="AI29" s="334"/>
      <c r="AJ29" s="334"/>
      <c r="AK29" s="334"/>
      <c r="AL29" s="334"/>
      <c r="AM29" s="334"/>
      <c r="AN29" s="334"/>
      <c r="AO29" s="334"/>
      <c r="AP29" s="334"/>
      <c r="AQ29" s="334"/>
      <c r="AR29" s="334"/>
      <c r="AS29" s="334"/>
      <c r="AT29" s="334"/>
      <c r="AU29" s="334"/>
      <c r="AV29" s="334"/>
      <c r="AW29" s="334"/>
      <c r="AX29" s="334"/>
      <c r="AY29" s="334"/>
      <c r="AZ29" s="334"/>
      <c r="BA29" s="334"/>
      <c r="BB29" s="334"/>
      <c r="BC29" s="334"/>
      <c r="BD29" s="334"/>
      <c r="BE29" s="334"/>
      <c r="BF29" s="334"/>
      <c r="BG29" s="334"/>
      <c r="BH29" s="334"/>
      <c r="BI29" s="334"/>
      <c r="BJ29" s="334"/>
      <c r="BK29" s="334"/>
      <c r="BL29" s="334"/>
      <c r="BM29" s="334"/>
      <c r="BN29" s="334"/>
      <c r="BO29" s="334"/>
      <c r="BP29" s="334"/>
      <c r="BQ29" s="334"/>
      <c r="BR29" s="334"/>
      <c r="BS29" s="334"/>
      <c r="BT29" s="334"/>
      <c r="BU29" s="334"/>
      <c r="BV29" s="334"/>
      <c r="BW29" s="334"/>
      <c r="BX29" s="334"/>
      <c r="BY29" s="334"/>
      <c r="BZ29" s="334"/>
      <c r="CA29" s="334"/>
      <c r="CB29" s="334"/>
      <c r="CC29" s="334"/>
      <c r="CD29" s="334"/>
      <c r="CE29" s="334"/>
      <c r="CF29" s="334"/>
      <c r="CG29" s="334"/>
      <c r="CH29" s="334"/>
      <c r="CI29" s="334"/>
      <c r="CJ29" s="334"/>
      <c r="CK29" s="334"/>
      <c r="CL29" s="334"/>
      <c r="CM29" s="334"/>
      <c r="CN29" s="334"/>
      <c r="CO29" s="334"/>
      <c r="CP29" s="334"/>
      <c r="CQ29" s="334"/>
      <c r="CR29" s="334"/>
      <c r="CS29" s="334"/>
      <c r="CT29" s="334"/>
      <c r="CU29" s="334"/>
      <c r="CV29" s="334"/>
      <c r="CW29" s="334"/>
      <c r="CX29" s="334"/>
      <c r="CY29" s="334"/>
      <c r="CZ29" s="334"/>
      <c r="DA29" s="334"/>
      <c r="DB29" s="334"/>
      <c r="DC29" s="334"/>
      <c r="DD29" s="334"/>
      <c r="DE29" s="334"/>
      <c r="DF29" s="334"/>
      <c r="DG29" s="334"/>
      <c r="DH29" s="334"/>
      <c r="DI29" s="334"/>
      <c r="DJ29" s="334"/>
      <c r="DK29" s="334"/>
      <c r="DL29" s="334"/>
      <c r="DM29" s="334"/>
      <c r="DN29" s="334"/>
      <c r="DO29" s="334"/>
      <c r="DP29" s="334"/>
      <c r="DQ29" s="334"/>
      <c r="DR29" s="334"/>
      <c r="DS29" s="334"/>
      <c r="DT29" s="334"/>
      <c r="DU29" s="334"/>
      <c r="DV29" s="334"/>
      <c r="DW29" s="334"/>
      <c r="DX29" s="334"/>
      <c r="DY29" s="334"/>
      <c r="DZ29" s="334"/>
      <c r="EA29" s="334"/>
      <c r="EB29" s="334"/>
      <c r="EC29" s="334"/>
      <c r="ED29" s="334"/>
      <c r="EE29" s="334"/>
      <c r="EF29" s="334"/>
      <c r="EG29" s="334"/>
      <c r="EH29" s="334"/>
      <c r="EI29" s="334"/>
      <c r="EJ29" s="334"/>
      <c r="EK29" s="334"/>
      <c r="EL29" s="334"/>
      <c r="EM29" s="334"/>
      <c r="EN29" s="334"/>
      <c r="EO29" s="334"/>
      <c r="EP29" s="334"/>
      <c r="EQ29" s="334"/>
      <c r="ER29" s="334"/>
      <c r="ES29" s="334"/>
      <c r="ET29" s="334"/>
      <c r="EU29" s="334"/>
      <c r="EV29" s="334"/>
      <c r="EW29" s="334"/>
      <c r="EX29" s="334"/>
      <c r="EY29" s="334"/>
      <c r="EZ29" s="334"/>
      <c r="FA29" s="334"/>
      <c r="FB29" s="334"/>
      <c r="FC29" s="334"/>
      <c r="FD29" s="334"/>
      <c r="FE29" s="334"/>
      <c r="FF29" s="334"/>
      <c r="FG29" s="334"/>
      <c r="FH29" s="334"/>
      <c r="FI29" s="334"/>
      <c r="FJ29" s="334"/>
      <c r="FK29" s="334"/>
      <c r="FL29" s="334"/>
      <c r="FM29" s="334"/>
      <c r="FN29" s="334"/>
      <c r="FO29" s="334"/>
      <c r="FP29" s="334"/>
      <c r="FQ29" s="334"/>
      <c r="FR29" s="334"/>
      <c r="FS29" s="334"/>
      <c r="FT29" s="334"/>
      <c r="FU29" s="334"/>
      <c r="FV29" s="334"/>
      <c r="FW29" s="334"/>
      <c r="FX29" s="334"/>
      <c r="FY29" s="334"/>
      <c r="FZ29" s="334"/>
      <c r="GA29" s="334"/>
      <c r="GB29" s="334"/>
      <c r="GC29" s="334"/>
      <c r="GD29" s="334"/>
      <c r="GE29" s="334"/>
      <c r="GF29" s="334"/>
      <c r="GG29" s="334"/>
      <c r="GH29" s="334"/>
      <c r="GI29" s="334"/>
      <c r="GJ29" s="334"/>
      <c r="GK29" s="334"/>
      <c r="GL29" s="334"/>
      <c r="GM29" s="334"/>
      <c r="GN29" s="334"/>
      <c r="GO29" s="334"/>
      <c r="GP29" s="334"/>
      <c r="GQ29" s="334"/>
      <c r="GR29" s="334"/>
      <c r="GS29" s="334"/>
      <c r="GT29" s="334"/>
      <c r="GU29" s="334"/>
      <c r="GV29" s="334"/>
      <c r="GW29" s="334"/>
      <c r="GX29" s="334"/>
      <c r="GY29" s="334"/>
      <c r="GZ29" s="334"/>
      <c r="HA29" s="334"/>
      <c r="HB29" s="334"/>
      <c r="HC29" s="334"/>
      <c r="HD29" s="334"/>
      <c r="HE29" s="334"/>
      <c r="HF29" s="334"/>
      <c r="HG29" s="334"/>
      <c r="HH29" s="334"/>
      <c r="HI29" s="334"/>
      <c r="HJ29" s="334"/>
      <c r="HK29" s="334"/>
      <c r="HL29" s="334"/>
      <c r="HM29" s="334"/>
      <c r="HN29" s="334"/>
      <c r="HO29" s="334"/>
      <c r="HP29" s="334"/>
      <c r="HQ29" s="334"/>
      <c r="HR29" s="334"/>
      <c r="HS29" s="334"/>
      <c r="HT29" s="334"/>
      <c r="HU29" s="334"/>
      <c r="HV29" s="334"/>
      <c r="HW29" s="334"/>
      <c r="HX29" s="334"/>
      <c r="HY29" s="334"/>
      <c r="HZ29" s="334"/>
      <c r="IA29" s="334"/>
      <c r="IB29" s="334"/>
      <c r="IC29" s="334"/>
      <c r="ID29" s="334"/>
      <c r="IE29" s="334"/>
      <c r="IF29" s="334"/>
      <c r="IG29" s="334"/>
      <c r="IH29" s="334"/>
      <c r="II29" s="334"/>
      <c r="IJ29" s="334"/>
      <c r="IK29" s="334"/>
      <c r="IL29" s="334"/>
      <c r="IM29" s="334"/>
      <c r="IN29" s="334"/>
      <c r="IO29" s="334"/>
      <c r="IP29" s="334"/>
      <c r="IQ29" s="334"/>
      <c r="IR29" s="334"/>
    </row>
    <row r="30" spans="1:252" s="368" customFormat="1" x14ac:dyDescent="0.25">
      <c r="A30" s="366">
        <v>43675</v>
      </c>
      <c r="B30" s="367">
        <v>82.92</v>
      </c>
      <c r="C30" s="367">
        <v>27.77</v>
      </c>
      <c r="D30" s="367">
        <v>134.53</v>
      </c>
      <c r="E30" s="367">
        <v>78.739999999999995</v>
      </c>
      <c r="F30" s="367">
        <v>194.62</v>
      </c>
      <c r="G30" s="367">
        <v>15.4</v>
      </c>
      <c r="H30" s="367">
        <v>26.57</v>
      </c>
      <c r="I30" s="367">
        <v>80.849999999999994</v>
      </c>
      <c r="J30" s="367">
        <v>88.53</v>
      </c>
      <c r="K30" s="367">
        <v>276.88</v>
      </c>
      <c r="L30" s="367">
        <v>154.04</v>
      </c>
      <c r="M30" s="367">
        <v>82.54</v>
      </c>
      <c r="N30" s="367">
        <v>33.490001678500001</v>
      </c>
      <c r="O30" s="367">
        <v>12.0200004578</v>
      </c>
      <c r="P30" s="367">
        <v>25.7649993896</v>
      </c>
      <c r="Q30" s="367">
        <v>35.049999237100003</v>
      </c>
      <c r="R30" s="367">
        <v>33.310001373299997</v>
      </c>
      <c r="S30" s="367">
        <v>28.7000007629</v>
      </c>
      <c r="T30" s="367">
        <v>26.100000381499999</v>
      </c>
      <c r="U30" s="367">
        <v>74.97</v>
      </c>
      <c r="V30" s="334"/>
      <c r="W30" s="334"/>
      <c r="X30" s="334"/>
      <c r="Y30" s="334"/>
      <c r="Z30" s="334"/>
      <c r="AA30" s="334"/>
      <c r="AB30" s="334"/>
      <c r="AC30" s="334"/>
      <c r="AD30" s="334"/>
      <c r="AE30" s="334"/>
      <c r="AF30" s="334"/>
      <c r="AG30" s="334"/>
      <c r="AH30" s="334"/>
      <c r="AI30" s="334"/>
      <c r="AJ30" s="334"/>
      <c r="AK30" s="334"/>
      <c r="AL30" s="334"/>
      <c r="AM30" s="334"/>
      <c r="AN30" s="334"/>
      <c r="AO30" s="334"/>
      <c r="AP30" s="334"/>
      <c r="AQ30" s="334"/>
      <c r="AR30" s="334"/>
      <c r="AS30" s="334"/>
      <c r="AT30" s="334"/>
      <c r="AU30" s="334"/>
      <c r="AV30" s="334"/>
      <c r="AW30" s="334"/>
      <c r="AX30" s="334"/>
      <c r="AY30" s="334"/>
      <c r="AZ30" s="334"/>
      <c r="BA30" s="334"/>
      <c r="BB30" s="334"/>
      <c r="BC30" s="334"/>
      <c r="BD30" s="334"/>
      <c r="BE30" s="334"/>
      <c r="BF30" s="334"/>
      <c r="BG30" s="334"/>
      <c r="BH30" s="334"/>
      <c r="BI30" s="334"/>
      <c r="BJ30" s="334"/>
      <c r="BK30" s="334"/>
      <c r="BL30" s="334"/>
      <c r="BM30" s="334"/>
      <c r="BN30" s="334"/>
      <c r="BO30" s="334"/>
      <c r="BP30" s="334"/>
      <c r="BQ30" s="334"/>
      <c r="BR30" s="334"/>
      <c r="BS30" s="334"/>
      <c r="BT30" s="334"/>
      <c r="BU30" s="334"/>
      <c r="BV30" s="334"/>
      <c r="BW30" s="334"/>
      <c r="BX30" s="334"/>
      <c r="BY30" s="334"/>
      <c r="BZ30" s="334"/>
      <c r="CA30" s="334"/>
      <c r="CB30" s="334"/>
      <c r="CC30" s="334"/>
      <c r="CD30" s="334"/>
      <c r="CE30" s="334"/>
      <c r="CF30" s="334"/>
      <c r="CG30" s="334"/>
      <c r="CH30" s="334"/>
      <c r="CI30" s="334"/>
      <c r="CJ30" s="334"/>
      <c r="CK30" s="334"/>
      <c r="CL30" s="334"/>
      <c r="CM30" s="334"/>
      <c r="CN30" s="334"/>
      <c r="CO30" s="334"/>
      <c r="CP30" s="334"/>
      <c r="CQ30" s="334"/>
      <c r="CR30" s="334"/>
      <c r="CS30" s="334"/>
      <c r="CT30" s="334"/>
      <c r="CU30" s="334"/>
      <c r="CV30" s="334"/>
      <c r="CW30" s="334"/>
      <c r="CX30" s="334"/>
      <c r="CY30" s="334"/>
      <c r="CZ30" s="334"/>
      <c r="DA30" s="334"/>
      <c r="DB30" s="334"/>
      <c r="DC30" s="334"/>
      <c r="DD30" s="334"/>
      <c r="DE30" s="334"/>
      <c r="DF30" s="334"/>
      <c r="DG30" s="334"/>
      <c r="DH30" s="334"/>
      <c r="DI30" s="334"/>
      <c r="DJ30" s="334"/>
      <c r="DK30" s="334"/>
      <c r="DL30" s="334"/>
      <c r="DM30" s="334"/>
      <c r="DN30" s="334"/>
      <c r="DO30" s="334"/>
      <c r="DP30" s="334"/>
      <c r="DQ30" s="334"/>
      <c r="DR30" s="334"/>
      <c r="DS30" s="334"/>
      <c r="DT30" s="334"/>
      <c r="DU30" s="334"/>
      <c r="DV30" s="334"/>
      <c r="DW30" s="334"/>
      <c r="DX30" s="334"/>
      <c r="DY30" s="334"/>
      <c r="DZ30" s="334"/>
      <c r="EA30" s="334"/>
      <c r="EB30" s="334"/>
      <c r="EC30" s="334"/>
      <c r="ED30" s="334"/>
      <c r="EE30" s="334"/>
      <c r="EF30" s="334"/>
      <c r="EG30" s="334"/>
      <c r="EH30" s="334"/>
      <c r="EI30" s="334"/>
      <c r="EJ30" s="334"/>
      <c r="EK30" s="334"/>
      <c r="EL30" s="334"/>
      <c r="EM30" s="334"/>
      <c r="EN30" s="334"/>
      <c r="EO30" s="334"/>
      <c r="EP30" s="334"/>
      <c r="EQ30" s="334"/>
      <c r="ER30" s="334"/>
      <c r="ES30" s="334"/>
      <c r="ET30" s="334"/>
      <c r="EU30" s="334"/>
      <c r="EV30" s="334"/>
      <c r="EW30" s="334"/>
      <c r="EX30" s="334"/>
      <c r="EY30" s="334"/>
      <c r="EZ30" s="334"/>
      <c r="FA30" s="334"/>
      <c r="FB30" s="334"/>
      <c r="FC30" s="334"/>
      <c r="FD30" s="334"/>
      <c r="FE30" s="334"/>
      <c r="FF30" s="334"/>
      <c r="FG30" s="334"/>
      <c r="FH30" s="334"/>
      <c r="FI30" s="334"/>
      <c r="FJ30" s="334"/>
      <c r="FK30" s="334"/>
      <c r="FL30" s="334"/>
      <c r="FM30" s="334"/>
      <c r="FN30" s="334"/>
      <c r="FO30" s="334"/>
      <c r="FP30" s="334"/>
      <c r="FQ30" s="334"/>
      <c r="FR30" s="334"/>
      <c r="FS30" s="334"/>
      <c r="FT30" s="334"/>
      <c r="FU30" s="334"/>
      <c r="FV30" s="334"/>
      <c r="FW30" s="334"/>
      <c r="FX30" s="334"/>
      <c r="FY30" s="334"/>
      <c r="FZ30" s="334"/>
      <c r="GA30" s="334"/>
      <c r="GB30" s="334"/>
      <c r="GC30" s="334"/>
      <c r="GD30" s="334"/>
      <c r="GE30" s="334"/>
      <c r="GF30" s="334"/>
      <c r="GG30" s="334"/>
      <c r="GH30" s="334"/>
      <c r="GI30" s="334"/>
      <c r="GJ30" s="334"/>
      <c r="GK30" s="334"/>
      <c r="GL30" s="334"/>
      <c r="GM30" s="334"/>
      <c r="GN30" s="334"/>
      <c r="GO30" s="334"/>
      <c r="GP30" s="334"/>
      <c r="GQ30" s="334"/>
      <c r="GR30" s="334"/>
      <c r="GS30" s="334"/>
      <c r="GT30" s="334"/>
      <c r="GU30" s="334"/>
      <c r="GV30" s="334"/>
      <c r="GW30" s="334"/>
      <c r="GX30" s="334"/>
      <c r="GY30" s="334"/>
      <c r="GZ30" s="334"/>
      <c r="HA30" s="334"/>
      <c r="HB30" s="334"/>
      <c r="HC30" s="334"/>
      <c r="HD30" s="334"/>
      <c r="HE30" s="334"/>
      <c r="HF30" s="334"/>
      <c r="HG30" s="334"/>
      <c r="HH30" s="334"/>
      <c r="HI30" s="334"/>
      <c r="HJ30" s="334"/>
      <c r="HK30" s="334"/>
      <c r="HL30" s="334"/>
      <c r="HM30" s="334"/>
      <c r="HN30" s="334"/>
      <c r="HO30" s="334"/>
      <c r="HP30" s="334"/>
      <c r="HQ30" s="334"/>
      <c r="HR30" s="334"/>
      <c r="HS30" s="334"/>
      <c r="HT30" s="334"/>
      <c r="HU30" s="334"/>
      <c r="HV30" s="334"/>
      <c r="HW30" s="334"/>
      <c r="HX30" s="334"/>
      <c r="HY30" s="334"/>
      <c r="HZ30" s="334"/>
      <c r="IA30" s="334"/>
      <c r="IB30" s="334"/>
      <c r="IC30" s="334"/>
      <c r="ID30" s="334"/>
      <c r="IE30" s="334"/>
      <c r="IF30" s="334"/>
      <c r="IG30" s="334"/>
      <c r="IH30" s="334"/>
      <c r="II30" s="334"/>
      <c r="IJ30" s="334"/>
      <c r="IK30" s="334"/>
      <c r="IL30" s="334"/>
      <c r="IM30" s="334"/>
      <c r="IN30" s="334"/>
      <c r="IO30" s="334"/>
      <c r="IP30" s="334"/>
      <c r="IQ30" s="334"/>
      <c r="IR30" s="334"/>
    </row>
    <row r="31" spans="1:252" s="368" customFormat="1" x14ac:dyDescent="0.25">
      <c r="A31" s="366">
        <v>43676</v>
      </c>
      <c r="B31" s="367">
        <v>82.9</v>
      </c>
      <c r="C31" s="367">
        <v>27.83</v>
      </c>
      <c r="D31" s="367">
        <v>134.97999999999999</v>
      </c>
      <c r="E31" s="367">
        <v>79.59</v>
      </c>
      <c r="F31" s="367">
        <v>193.78</v>
      </c>
      <c r="G31" s="367">
        <v>15.5</v>
      </c>
      <c r="H31" s="367">
        <v>26.57</v>
      </c>
      <c r="I31" s="367">
        <v>81.040000000000006</v>
      </c>
      <c r="J31" s="367">
        <v>89.24</v>
      </c>
      <c r="K31" s="367">
        <v>276.20999999999998</v>
      </c>
      <c r="L31" s="367">
        <v>153.88999999999999</v>
      </c>
      <c r="M31" s="367">
        <v>82.01</v>
      </c>
      <c r="N31" s="367">
        <v>33.400001525900002</v>
      </c>
      <c r="O31" s="367">
        <v>12.050000190700001</v>
      </c>
      <c r="P31" s="367">
        <v>25.670000076299999</v>
      </c>
      <c r="Q31" s="367">
        <v>34.770000457800002</v>
      </c>
      <c r="R31" s="367">
        <v>33.25</v>
      </c>
      <c r="S31" s="367">
        <v>28.590000152599998</v>
      </c>
      <c r="T31" s="367">
        <v>26.090000152599998</v>
      </c>
      <c r="U31" s="367">
        <v>75.010000000000005</v>
      </c>
      <c r="V31" s="334"/>
      <c r="W31" s="334"/>
      <c r="X31" s="334"/>
      <c r="Y31" s="334"/>
      <c r="Z31" s="334"/>
      <c r="AA31" s="334"/>
      <c r="AB31" s="334"/>
      <c r="AC31" s="334"/>
      <c r="AD31" s="334"/>
      <c r="AE31" s="334"/>
      <c r="AF31" s="334"/>
      <c r="AG31" s="334"/>
      <c r="AH31" s="334"/>
      <c r="AI31" s="334"/>
      <c r="AJ31" s="334"/>
      <c r="AK31" s="334"/>
      <c r="AL31" s="334"/>
      <c r="AM31" s="334"/>
      <c r="AN31" s="334"/>
      <c r="AO31" s="334"/>
      <c r="AP31" s="334"/>
      <c r="AQ31" s="334"/>
      <c r="AR31" s="334"/>
      <c r="AS31" s="334"/>
      <c r="AT31" s="334"/>
      <c r="AU31" s="334"/>
      <c r="AV31" s="334"/>
      <c r="AW31" s="334"/>
      <c r="AX31" s="334"/>
      <c r="AY31" s="334"/>
      <c r="AZ31" s="334"/>
      <c r="BA31" s="334"/>
      <c r="BB31" s="334"/>
      <c r="BC31" s="334"/>
      <c r="BD31" s="334"/>
      <c r="BE31" s="334"/>
      <c r="BF31" s="334"/>
      <c r="BG31" s="334"/>
      <c r="BH31" s="334"/>
      <c r="BI31" s="334"/>
      <c r="BJ31" s="334"/>
      <c r="BK31" s="334"/>
      <c r="BL31" s="334"/>
      <c r="BM31" s="334"/>
      <c r="BN31" s="334"/>
      <c r="BO31" s="334"/>
      <c r="BP31" s="334"/>
      <c r="BQ31" s="334"/>
      <c r="BR31" s="334"/>
      <c r="BS31" s="334"/>
      <c r="BT31" s="334"/>
      <c r="BU31" s="334"/>
      <c r="BV31" s="334"/>
      <c r="BW31" s="334"/>
      <c r="BX31" s="334"/>
      <c r="BY31" s="334"/>
      <c r="BZ31" s="334"/>
      <c r="CA31" s="334"/>
      <c r="CB31" s="334"/>
      <c r="CC31" s="334"/>
      <c r="CD31" s="334"/>
      <c r="CE31" s="334"/>
      <c r="CF31" s="334"/>
      <c r="CG31" s="334"/>
      <c r="CH31" s="334"/>
      <c r="CI31" s="334"/>
      <c r="CJ31" s="334"/>
      <c r="CK31" s="334"/>
      <c r="CL31" s="334"/>
      <c r="CM31" s="334"/>
      <c r="CN31" s="334"/>
      <c r="CO31" s="334"/>
      <c r="CP31" s="334"/>
      <c r="CQ31" s="334"/>
      <c r="CR31" s="334"/>
      <c r="CS31" s="334"/>
      <c r="CT31" s="334"/>
      <c r="CU31" s="334"/>
      <c r="CV31" s="334"/>
      <c r="CW31" s="334"/>
      <c r="CX31" s="334"/>
      <c r="CY31" s="334"/>
      <c r="CZ31" s="334"/>
      <c r="DA31" s="334"/>
      <c r="DB31" s="334"/>
      <c r="DC31" s="334"/>
      <c r="DD31" s="334"/>
      <c r="DE31" s="334"/>
      <c r="DF31" s="334"/>
      <c r="DG31" s="334"/>
      <c r="DH31" s="334"/>
      <c r="DI31" s="334"/>
      <c r="DJ31" s="334"/>
      <c r="DK31" s="334"/>
      <c r="DL31" s="334"/>
      <c r="DM31" s="334"/>
      <c r="DN31" s="334"/>
      <c r="DO31" s="334"/>
      <c r="DP31" s="334"/>
      <c r="DQ31" s="334"/>
      <c r="DR31" s="334"/>
      <c r="DS31" s="334"/>
      <c r="DT31" s="334"/>
      <c r="DU31" s="334"/>
      <c r="DV31" s="334"/>
      <c r="DW31" s="334"/>
      <c r="DX31" s="334"/>
      <c r="DY31" s="334"/>
      <c r="DZ31" s="334"/>
      <c r="EA31" s="334"/>
      <c r="EB31" s="334"/>
      <c r="EC31" s="334"/>
      <c r="ED31" s="334"/>
      <c r="EE31" s="334"/>
      <c r="EF31" s="334"/>
      <c r="EG31" s="334"/>
      <c r="EH31" s="334"/>
      <c r="EI31" s="334"/>
      <c r="EJ31" s="334"/>
      <c r="EK31" s="334"/>
      <c r="EL31" s="334"/>
      <c r="EM31" s="334"/>
      <c r="EN31" s="334"/>
      <c r="EO31" s="334"/>
      <c r="EP31" s="334"/>
      <c r="EQ31" s="334"/>
      <c r="ER31" s="334"/>
      <c r="ES31" s="334"/>
      <c r="ET31" s="334"/>
      <c r="EU31" s="334"/>
      <c r="EV31" s="334"/>
      <c r="EW31" s="334"/>
      <c r="EX31" s="334"/>
      <c r="EY31" s="334"/>
      <c r="EZ31" s="334"/>
      <c r="FA31" s="334"/>
      <c r="FB31" s="334"/>
      <c r="FC31" s="334"/>
      <c r="FD31" s="334"/>
      <c r="FE31" s="334"/>
      <c r="FF31" s="334"/>
      <c r="FG31" s="334"/>
      <c r="FH31" s="334"/>
      <c r="FI31" s="334"/>
      <c r="FJ31" s="334"/>
      <c r="FK31" s="334"/>
      <c r="FL31" s="334"/>
      <c r="FM31" s="334"/>
      <c r="FN31" s="334"/>
      <c r="FO31" s="334"/>
      <c r="FP31" s="334"/>
      <c r="FQ31" s="334"/>
      <c r="FR31" s="334"/>
      <c r="FS31" s="334"/>
      <c r="FT31" s="334"/>
      <c r="FU31" s="334"/>
      <c r="FV31" s="334"/>
      <c r="FW31" s="334"/>
      <c r="FX31" s="334"/>
      <c r="FY31" s="334"/>
      <c r="FZ31" s="334"/>
      <c r="GA31" s="334"/>
      <c r="GB31" s="334"/>
      <c r="GC31" s="334"/>
      <c r="GD31" s="334"/>
      <c r="GE31" s="334"/>
      <c r="GF31" s="334"/>
      <c r="GG31" s="334"/>
      <c r="GH31" s="334"/>
      <c r="GI31" s="334"/>
      <c r="GJ31" s="334"/>
      <c r="GK31" s="334"/>
      <c r="GL31" s="334"/>
      <c r="GM31" s="334"/>
      <c r="GN31" s="334"/>
      <c r="GO31" s="334"/>
      <c r="GP31" s="334"/>
      <c r="GQ31" s="334"/>
      <c r="GR31" s="334"/>
      <c r="GS31" s="334"/>
      <c r="GT31" s="334"/>
      <c r="GU31" s="334"/>
      <c r="GV31" s="334"/>
      <c r="GW31" s="334"/>
      <c r="GX31" s="334"/>
      <c r="GY31" s="334"/>
      <c r="GZ31" s="334"/>
      <c r="HA31" s="334"/>
      <c r="HB31" s="334"/>
      <c r="HC31" s="334"/>
      <c r="HD31" s="334"/>
      <c r="HE31" s="334"/>
      <c r="HF31" s="334"/>
      <c r="HG31" s="334"/>
      <c r="HH31" s="334"/>
      <c r="HI31" s="334"/>
      <c r="HJ31" s="334"/>
      <c r="HK31" s="334"/>
      <c r="HL31" s="334"/>
      <c r="HM31" s="334"/>
      <c r="HN31" s="334"/>
      <c r="HO31" s="334"/>
      <c r="HP31" s="334"/>
      <c r="HQ31" s="334"/>
      <c r="HR31" s="334"/>
      <c r="HS31" s="334"/>
      <c r="HT31" s="334"/>
      <c r="HU31" s="334"/>
      <c r="HV31" s="334"/>
      <c r="HW31" s="334"/>
      <c r="HX31" s="334"/>
      <c r="HY31" s="334"/>
      <c r="HZ31" s="334"/>
      <c r="IA31" s="334"/>
      <c r="IB31" s="334"/>
      <c r="IC31" s="334"/>
      <c r="ID31" s="334"/>
      <c r="IE31" s="334"/>
      <c r="IF31" s="334"/>
      <c r="IG31" s="334"/>
      <c r="IH31" s="334"/>
      <c r="II31" s="334"/>
      <c r="IJ31" s="334"/>
      <c r="IK31" s="334"/>
      <c r="IL31" s="334"/>
      <c r="IM31" s="334"/>
      <c r="IN31" s="334"/>
      <c r="IO31" s="334"/>
      <c r="IP31" s="334"/>
      <c r="IQ31" s="334"/>
      <c r="IR31" s="334"/>
    </row>
    <row r="32" spans="1:252" s="368" customFormat="1" x14ac:dyDescent="0.25">
      <c r="A32" s="366">
        <v>43677</v>
      </c>
      <c r="B32" s="367">
        <v>83</v>
      </c>
      <c r="C32" s="367">
        <v>26.5</v>
      </c>
      <c r="D32" s="367">
        <v>133.21</v>
      </c>
      <c r="E32" s="367">
        <v>79.209999999999994</v>
      </c>
      <c r="F32" s="367">
        <v>191.1</v>
      </c>
      <c r="G32" s="367">
        <v>15.21</v>
      </c>
      <c r="H32" s="367">
        <v>26.73</v>
      </c>
      <c r="I32" s="367">
        <v>81.72</v>
      </c>
      <c r="J32" s="367">
        <v>88.89</v>
      </c>
      <c r="K32" s="367">
        <v>273.08</v>
      </c>
      <c r="L32" s="367">
        <v>152.21</v>
      </c>
      <c r="M32" s="367">
        <v>80.77</v>
      </c>
      <c r="N32" s="367">
        <v>33.040000915500002</v>
      </c>
      <c r="O32" s="367">
        <v>11.920000076299999</v>
      </c>
      <c r="P32" s="367">
        <v>25.5699996948</v>
      </c>
      <c r="Q32" s="367">
        <v>34.6199989319</v>
      </c>
      <c r="R32" s="367">
        <v>33.1300010681</v>
      </c>
      <c r="S32" s="367">
        <v>27.409999847400002</v>
      </c>
      <c r="T32" s="367">
        <v>26.0499992371</v>
      </c>
      <c r="U32" s="367">
        <v>74.759</v>
      </c>
      <c r="V32" s="334"/>
      <c r="W32" s="334"/>
      <c r="X32" s="334"/>
      <c r="Y32" s="334"/>
      <c r="Z32" s="334"/>
      <c r="AA32" s="334"/>
      <c r="AB32" s="334"/>
      <c r="AC32" s="334"/>
      <c r="AD32" s="334"/>
      <c r="AE32" s="334"/>
      <c r="AF32" s="334"/>
      <c r="AG32" s="334"/>
      <c r="AH32" s="334"/>
      <c r="AI32" s="334"/>
      <c r="AJ32" s="334"/>
      <c r="AK32" s="334"/>
      <c r="AL32" s="334"/>
      <c r="AM32" s="334"/>
      <c r="AN32" s="334"/>
      <c r="AO32" s="334"/>
      <c r="AP32" s="334"/>
      <c r="AQ32" s="334"/>
      <c r="AR32" s="334"/>
      <c r="AS32" s="334"/>
      <c r="AT32" s="334"/>
      <c r="AU32" s="334"/>
      <c r="AV32" s="334"/>
      <c r="AW32" s="334"/>
      <c r="AX32" s="334"/>
      <c r="AY32" s="334"/>
      <c r="AZ32" s="334"/>
      <c r="BA32" s="334"/>
      <c r="BB32" s="334"/>
      <c r="BC32" s="334"/>
      <c r="BD32" s="334"/>
      <c r="BE32" s="334"/>
      <c r="BF32" s="334"/>
      <c r="BG32" s="334"/>
      <c r="BH32" s="334"/>
      <c r="BI32" s="334"/>
      <c r="BJ32" s="334"/>
      <c r="BK32" s="334"/>
      <c r="BL32" s="334"/>
      <c r="BM32" s="334"/>
      <c r="BN32" s="334"/>
      <c r="BO32" s="334"/>
      <c r="BP32" s="334"/>
      <c r="BQ32" s="334"/>
      <c r="BR32" s="334"/>
      <c r="BS32" s="334"/>
      <c r="BT32" s="334"/>
      <c r="BU32" s="334"/>
      <c r="BV32" s="334"/>
      <c r="BW32" s="334"/>
      <c r="BX32" s="334"/>
      <c r="BY32" s="334"/>
      <c r="BZ32" s="334"/>
      <c r="CA32" s="334"/>
      <c r="CB32" s="334"/>
      <c r="CC32" s="334"/>
      <c r="CD32" s="334"/>
      <c r="CE32" s="334"/>
      <c r="CF32" s="334"/>
      <c r="CG32" s="334"/>
      <c r="CH32" s="334"/>
      <c r="CI32" s="334"/>
      <c r="CJ32" s="334"/>
      <c r="CK32" s="334"/>
      <c r="CL32" s="334"/>
      <c r="CM32" s="334"/>
      <c r="CN32" s="334"/>
      <c r="CO32" s="334"/>
      <c r="CP32" s="334"/>
      <c r="CQ32" s="334"/>
      <c r="CR32" s="334"/>
      <c r="CS32" s="334"/>
      <c r="CT32" s="334"/>
      <c r="CU32" s="334"/>
      <c r="CV32" s="334"/>
      <c r="CW32" s="334"/>
      <c r="CX32" s="334"/>
      <c r="CY32" s="334"/>
      <c r="CZ32" s="334"/>
      <c r="DA32" s="334"/>
      <c r="DB32" s="334"/>
      <c r="DC32" s="334"/>
      <c r="DD32" s="334"/>
      <c r="DE32" s="334"/>
      <c r="DF32" s="334"/>
      <c r="DG32" s="334"/>
      <c r="DH32" s="334"/>
      <c r="DI32" s="334"/>
      <c r="DJ32" s="334"/>
      <c r="DK32" s="334"/>
      <c r="DL32" s="334"/>
      <c r="DM32" s="334"/>
      <c r="DN32" s="334"/>
      <c r="DO32" s="334"/>
      <c r="DP32" s="334"/>
      <c r="DQ32" s="334"/>
      <c r="DR32" s="334"/>
      <c r="DS32" s="334"/>
      <c r="DT32" s="334"/>
      <c r="DU32" s="334"/>
      <c r="DV32" s="334"/>
      <c r="DW32" s="334"/>
      <c r="DX32" s="334"/>
      <c r="DY32" s="334"/>
      <c r="DZ32" s="334"/>
      <c r="EA32" s="334"/>
      <c r="EB32" s="334"/>
      <c r="EC32" s="334"/>
      <c r="ED32" s="334"/>
      <c r="EE32" s="334"/>
      <c r="EF32" s="334"/>
      <c r="EG32" s="334"/>
      <c r="EH32" s="334"/>
      <c r="EI32" s="334"/>
      <c r="EJ32" s="334"/>
      <c r="EK32" s="334"/>
      <c r="EL32" s="334"/>
      <c r="EM32" s="334"/>
      <c r="EN32" s="334"/>
      <c r="EO32" s="334"/>
      <c r="EP32" s="334"/>
      <c r="EQ32" s="334"/>
      <c r="ER32" s="334"/>
      <c r="ES32" s="334"/>
      <c r="ET32" s="334"/>
      <c r="EU32" s="334"/>
      <c r="EV32" s="334"/>
      <c r="EW32" s="334"/>
      <c r="EX32" s="334"/>
      <c r="EY32" s="334"/>
      <c r="EZ32" s="334"/>
      <c r="FA32" s="334"/>
      <c r="FB32" s="334"/>
      <c r="FC32" s="334"/>
      <c r="FD32" s="334"/>
      <c r="FE32" s="334"/>
      <c r="FF32" s="334"/>
      <c r="FG32" s="334"/>
      <c r="FH32" s="334"/>
      <c r="FI32" s="334"/>
      <c r="FJ32" s="334"/>
      <c r="FK32" s="334"/>
      <c r="FL32" s="334"/>
      <c r="FM32" s="334"/>
      <c r="FN32" s="334"/>
      <c r="FO32" s="334"/>
      <c r="FP32" s="334"/>
      <c r="FQ32" s="334"/>
      <c r="FR32" s="334"/>
      <c r="FS32" s="334"/>
      <c r="FT32" s="334"/>
      <c r="FU32" s="334"/>
      <c r="FV32" s="334"/>
      <c r="FW32" s="334"/>
      <c r="FX32" s="334"/>
      <c r="FY32" s="334"/>
      <c r="FZ32" s="334"/>
      <c r="GA32" s="334"/>
      <c r="GB32" s="334"/>
      <c r="GC32" s="334"/>
      <c r="GD32" s="334"/>
      <c r="GE32" s="334"/>
      <c r="GF32" s="334"/>
      <c r="GG32" s="334"/>
      <c r="GH32" s="334"/>
      <c r="GI32" s="334"/>
      <c r="GJ32" s="334"/>
      <c r="GK32" s="334"/>
      <c r="GL32" s="334"/>
      <c r="GM32" s="334"/>
      <c r="GN32" s="334"/>
      <c r="GO32" s="334"/>
      <c r="GP32" s="334"/>
      <c r="GQ32" s="334"/>
      <c r="GR32" s="334"/>
      <c r="GS32" s="334"/>
      <c r="GT32" s="334"/>
      <c r="GU32" s="334"/>
      <c r="GV32" s="334"/>
      <c r="GW32" s="334"/>
      <c r="GX32" s="334"/>
      <c r="GY32" s="334"/>
      <c r="GZ32" s="334"/>
      <c r="HA32" s="334"/>
      <c r="HB32" s="334"/>
      <c r="HC32" s="334"/>
      <c r="HD32" s="334"/>
      <c r="HE32" s="334"/>
      <c r="HF32" s="334"/>
      <c r="HG32" s="334"/>
      <c r="HH32" s="334"/>
      <c r="HI32" s="334"/>
      <c r="HJ32" s="334"/>
      <c r="HK32" s="334"/>
      <c r="HL32" s="334"/>
      <c r="HM32" s="334"/>
      <c r="HN32" s="334"/>
      <c r="HO32" s="334"/>
      <c r="HP32" s="334"/>
      <c r="HQ32" s="334"/>
      <c r="HR32" s="334"/>
      <c r="HS32" s="334"/>
      <c r="HT32" s="334"/>
      <c r="HU32" s="334"/>
      <c r="HV32" s="334"/>
      <c r="HW32" s="334"/>
      <c r="HX32" s="334"/>
      <c r="HY32" s="334"/>
      <c r="HZ32" s="334"/>
      <c r="IA32" s="334"/>
      <c r="IB32" s="334"/>
      <c r="IC32" s="334"/>
      <c r="ID32" s="334"/>
      <c r="IE32" s="334"/>
      <c r="IF32" s="334"/>
      <c r="IG32" s="334"/>
      <c r="IH32" s="334"/>
      <c r="II32" s="334"/>
      <c r="IJ32" s="334"/>
      <c r="IK32" s="334"/>
      <c r="IL32" s="334"/>
      <c r="IM32" s="334"/>
      <c r="IN32" s="334"/>
      <c r="IO32" s="334"/>
      <c r="IP32" s="334"/>
      <c r="IQ32" s="334"/>
      <c r="IR32" s="334"/>
    </row>
    <row r="33" spans="1:252" s="368" customFormat="1" x14ac:dyDescent="0.25">
      <c r="A33" s="366">
        <v>43678</v>
      </c>
      <c r="B33" s="367">
        <v>83.4</v>
      </c>
      <c r="C33" s="367">
        <v>27.85</v>
      </c>
      <c r="D33" s="367">
        <v>136.41</v>
      </c>
      <c r="E33" s="367">
        <v>78</v>
      </c>
      <c r="F33" s="367">
        <v>190.15</v>
      </c>
      <c r="G33" s="367">
        <v>15.34</v>
      </c>
      <c r="H33" s="367">
        <v>26.65</v>
      </c>
      <c r="I33" s="367">
        <v>83.04</v>
      </c>
      <c r="J33" s="367">
        <v>88.89</v>
      </c>
      <c r="K33" s="367">
        <v>270.79000000000002</v>
      </c>
      <c r="L33" s="367">
        <v>150.80000000000001</v>
      </c>
      <c r="M33" s="367">
        <v>80.36</v>
      </c>
      <c r="N33" s="367">
        <v>32.75</v>
      </c>
      <c r="O33" s="367">
        <v>12.170000076299999</v>
      </c>
      <c r="P33" s="367">
        <v>25.4300003052</v>
      </c>
      <c r="Q33" s="367">
        <v>34.909999847400002</v>
      </c>
      <c r="R33" s="367">
        <v>33.069999694800003</v>
      </c>
      <c r="S33" s="367">
        <v>28.7999992371</v>
      </c>
      <c r="T33" s="367">
        <v>26.229999542200002</v>
      </c>
      <c r="U33" s="367">
        <v>74.58</v>
      </c>
      <c r="V33" s="334"/>
      <c r="W33" s="334"/>
      <c r="X33" s="334"/>
      <c r="Y33" s="334"/>
      <c r="Z33" s="334"/>
      <c r="AA33" s="334"/>
      <c r="AB33" s="334"/>
      <c r="AC33" s="334"/>
      <c r="AD33" s="334"/>
      <c r="AE33" s="334"/>
      <c r="AF33" s="334"/>
      <c r="AG33" s="334"/>
      <c r="AH33" s="334"/>
      <c r="AI33" s="334"/>
      <c r="AJ33" s="334"/>
      <c r="AK33" s="334"/>
      <c r="AL33" s="334"/>
      <c r="AM33" s="334"/>
      <c r="AN33" s="334"/>
      <c r="AO33" s="334"/>
      <c r="AP33" s="334"/>
      <c r="AQ33" s="334"/>
      <c r="AR33" s="334"/>
      <c r="AS33" s="334"/>
      <c r="AT33" s="334"/>
      <c r="AU33" s="334"/>
      <c r="AV33" s="334"/>
      <c r="AW33" s="334"/>
      <c r="AX33" s="334"/>
      <c r="AY33" s="334"/>
      <c r="AZ33" s="334"/>
      <c r="BA33" s="334"/>
      <c r="BB33" s="334"/>
      <c r="BC33" s="334"/>
      <c r="BD33" s="334"/>
      <c r="BE33" s="334"/>
      <c r="BF33" s="334"/>
      <c r="BG33" s="334"/>
      <c r="BH33" s="334"/>
      <c r="BI33" s="334"/>
      <c r="BJ33" s="334"/>
      <c r="BK33" s="334"/>
      <c r="BL33" s="334"/>
      <c r="BM33" s="334"/>
      <c r="BN33" s="334"/>
      <c r="BO33" s="334"/>
      <c r="BP33" s="334"/>
      <c r="BQ33" s="334"/>
      <c r="BR33" s="334"/>
      <c r="BS33" s="334"/>
      <c r="BT33" s="334"/>
      <c r="BU33" s="334"/>
      <c r="BV33" s="334"/>
      <c r="BW33" s="334"/>
      <c r="BX33" s="334"/>
      <c r="BY33" s="334"/>
      <c r="BZ33" s="334"/>
      <c r="CA33" s="334"/>
      <c r="CB33" s="334"/>
      <c r="CC33" s="334"/>
      <c r="CD33" s="334"/>
      <c r="CE33" s="334"/>
      <c r="CF33" s="334"/>
      <c r="CG33" s="334"/>
      <c r="CH33" s="334"/>
      <c r="CI33" s="334"/>
      <c r="CJ33" s="334"/>
      <c r="CK33" s="334"/>
      <c r="CL33" s="334"/>
      <c r="CM33" s="334"/>
      <c r="CN33" s="334"/>
      <c r="CO33" s="334"/>
      <c r="CP33" s="334"/>
      <c r="CQ33" s="334"/>
      <c r="CR33" s="334"/>
      <c r="CS33" s="334"/>
      <c r="CT33" s="334"/>
      <c r="CU33" s="334"/>
      <c r="CV33" s="334"/>
      <c r="CW33" s="334"/>
      <c r="CX33" s="334"/>
      <c r="CY33" s="334"/>
      <c r="CZ33" s="334"/>
      <c r="DA33" s="334"/>
      <c r="DB33" s="334"/>
      <c r="DC33" s="334"/>
      <c r="DD33" s="334"/>
      <c r="DE33" s="334"/>
      <c r="DF33" s="334"/>
      <c r="DG33" s="334"/>
      <c r="DH33" s="334"/>
      <c r="DI33" s="334"/>
      <c r="DJ33" s="334"/>
      <c r="DK33" s="334"/>
      <c r="DL33" s="334"/>
      <c r="DM33" s="334"/>
      <c r="DN33" s="334"/>
      <c r="DO33" s="334"/>
      <c r="DP33" s="334"/>
      <c r="DQ33" s="334"/>
      <c r="DR33" s="334"/>
      <c r="DS33" s="334"/>
      <c r="DT33" s="334"/>
      <c r="DU33" s="334"/>
      <c r="DV33" s="334"/>
      <c r="DW33" s="334"/>
      <c r="DX33" s="334"/>
      <c r="DY33" s="334"/>
      <c r="DZ33" s="334"/>
      <c r="EA33" s="334"/>
      <c r="EB33" s="334"/>
      <c r="EC33" s="334"/>
      <c r="ED33" s="334"/>
      <c r="EE33" s="334"/>
      <c r="EF33" s="334"/>
      <c r="EG33" s="334"/>
      <c r="EH33" s="334"/>
      <c r="EI33" s="334"/>
      <c r="EJ33" s="334"/>
      <c r="EK33" s="334"/>
      <c r="EL33" s="334"/>
      <c r="EM33" s="334"/>
      <c r="EN33" s="334"/>
      <c r="EO33" s="334"/>
      <c r="EP33" s="334"/>
      <c r="EQ33" s="334"/>
      <c r="ER33" s="334"/>
      <c r="ES33" s="334"/>
      <c r="ET33" s="334"/>
      <c r="EU33" s="334"/>
      <c r="EV33" s="334"/>
      <c r="EW33" s="334"/>
      <c r="EX33" s="334"/>
      <c r="EY33" s="334"/>
      <c r="EZ33" s="334"/>
      <c r="FA33" s="334"/>
      <c r="FB33" s="334"/>
      <c r="FC33" s="334"/>
      <c r="FD33" s="334"/>
      <c r="FE33" s="334"/>
      <c r="FF33" s="334"/>
      <c r="FG33" s="334"/>
      <c r="FH33" s="334"/>
      <c r="FI33" s="334"/>
      <c r="FJ33" s="334"/>
      <c r="FK33" s="334"/>
      <c r="FL33" s="334"/>
      <c r="FM33" s="334"/>
      <c r="FN33" s="334"/>
      <c r="FO33" s="334"/>
      <c r="FP33" s="334"/>
      <c r="FQ33" s="334"/>
      <c r="FR33" s="334"/>
      <c r="FS33" s="334"/>
      <c r="FT33" s="334"/>
      <c r="FU33" s="334"/>
      <c r="FV33" s="334"/>
      <c r="FW33" s="334"/>
      <c r="FX33" s="334"/>
      <c r="FY33" s="334"/>
      <c r="FZ33" s="334"/>
      <c r="GA33" s="334"/>
      <c r="GB33" s="334"/>
      <c r="GC33" s="334"/>
      <c r="GD33" s="334"/>
      <c r="GE33" s="334"/>
      <c r="GF33" s="334"/>
      <c r="GG33" s="334"/>
      <c r="GH33" s="334"/>
      <c r="GI33" s="334"/>
      <c r="GJ33" s="334"/>
      <c r="GK33" s="334"/>
      <c r="GL33" s="334"/>
      <c r="GM33" s="334"/>
      <c r="GN33" s="334"/>
      <c r="GO33" s="334"/>
      <c r="GP33" s="334"/>
      <c r="GQ33" s="334"/>
      <c r="GR33" s="334"/>
      <c r="GS33" s="334"/>
      <c r="GT33" s="334"/>
      <c r="GU33" s="334"/>
      <c r="GV33" s="334"/>
      <c r="GW33" s="334"/>
      <c r="GX33" s="334"/>
      <c r="GY33" s="334"/>
      <c r="GZ33" s="334"/>
      <c r="HA33" s="334"/>
      <c r="HB33" s="334"/>
      <c r="HC33" s="334"/>
      <c r="HD33" s="334"/>
      <c r="HE33" s="334"/>
      <c r="HF33" s="334"/>
      <c r="HG33" s="334"/>
      <c r="HH33" s="334"/>
      <c r="HI33" s="334"/>
      <c r="HJ33" s="334"/>
      <c r="HK33" s="334"/>
      <c r="HL33" s="334"/>
      <c r="HM33" s="334"/>
      <c r="HN33" s="334"/>
      <c r="HO33" s="334"/>
      <c r="HP33" s="334"/>
      <c r="HQ33" s="334"/>
      <c r="HR33" s="334"/>
      <c r="HS33" s="334"/>
      <c r="HT33" s="334"/>
      <c r="HU33" s="334"/>
      <c r="HV33" s="334"/>
      <c r="HW33" s="334"/>
      <c r="HX33" s="334"/>
      <c r="HY33" s="334"/>
      <c r="HZ33" s="334"/>
      <c r="IA33" s="334"/>
      <c r="IB33" s="334"/>
      <c r="IC33" s="334"/>
      <c r="ID33" s="334"/>
      <c r="IE33" s="334"/>
      <c r="IF33" s="334"/>
      <c r="IG33" s="334"/>
      <c r="IH33" s="334"/>
      <c r="II33" s="334"/>
      <c r="IJ33" s="334"/>
      <c r="IK33" s="334"/>
      <c r="IL33" s="334"/>
      <c r="IM33" s="334"/>
      <c r="IN33" s="334"/>
      <c r="IO33" s="334"/>
      <c r="IP33" s="334"/>
      <c r="IQ33" s="334"/>
      <c r="IR33" s="334"/>
    </row>
    <row r="34" spans="1:252" s="368" customFormat="1" x14ac:dyDescent="0.25">
      <c r="A34" s="366">
        <v>43679</v>
      </c>
      <c r="B34" s="367">
        <v>83.48</v>
      </c>
      <c r="C34" s="367">
        <v>27.77</v>
      </c>
      <c r="D34" s="367">
        <v>135.88999999999999</v>
      </c>
      <c r="E34" s="367">
        <v>77.09</v>
      </c>
      <c r="F34" s="367">
        <v>187.35</v>
      </c>
      <c r="G34" s="367">
        <v>15.19</v>
      </c>
      <c r="H34" s="367">
        <v>26.59</v>
      </c>
      <c r="I34" s="367">
        <v>83.74</v>
      </c>
      <c r="J34" s="367">
        <v>89.32</v>
      </c>
      <c r="K34" s="367">
        <v>268.81</v>
      </c>
      <c r="L34" s="367">
        <v>149.58000000000001</v>
      </c>
      <c r="M34" s="367">
        <v>79.05</v>
      </c>
      <c r="N34" s="367">
        <v>32.5</v>
      </c>
      <c r="O34" s="367">
        <v>12.149999618500001</v>
      </c>
      <c r="P34" s="367">
        <v>25.329999923700001</v>
      </c>
      <c r="Q34" s="367">
        <v>34.799999237100003</v>
      </c>
      <c r="R34" s="367">
        <v>32.849998474099998</v>
      </c>
      <c r="S34" s="367">
        <v>28.790000915499999</v>
      </c>
      <c r="T34" s="367">
        <v>26.260000228900001</v>
      </c>
      <c r="U34" s="367">
        <v>74.668199999999999</v>
      </c>
      <c r="V34" s="334"/>
      <c r="W34" s="334"/>
      <c r="X34" s="334"/>
      <c r="Y34" s="334"/>
      <c r="Z34" s="334"/>
      <c r="AA34" s="334"/>
      <c r="AB34" s="334"/>
      <c r="AC34" s="334"/>
      <c r="AD34" s="334"/>
      <c r="AE34" s="334"/>
      <c r="AF34" s="334"/>
      <c r="AG34" s="334"/>
      <c r="AH34" s="334"/>
      <c r="AI34" s="334"/>
      <c r="AJ34" s="334"/>
      <c r="AK34" s="334"/>
      <c r="AL34" s="334"/>
      <c r="AM34" s="334"/>
      <c r="AN34" s="334"/>
      <c r="AO34" s="334"/>
      <c r="AP34" s="334"/>
      <c r="AQ34" s="334"/>
      <c r="AR34" s="334"/>
      <c r="AS34" s="334"/>
      <c r="AT34" s="334"/>
      <c r="AU34" s="334"/>
      <c r="AV34" s="334"/>
      <c r="AW34" s="334"/>
      <c r="AX34" s="334"/>
      <c r="AY34" s="334"/>
      <c r="AZ34" s="334"/>
      <c r="BA34" s="334"/>
      <c r="BB34" s="334"/>
      <c r="BC34" s="334"/>
      <c r="BD34" s="334"/>
      <c r="BE34" s="334"/>
      <c r="BF34" s="334"/>
      <c r="BG34" s="334"/>
      <c r="BH34" s="334"/>
      <c r="BI34" s="334"/>
      <c r="BJ34" s="334"/>
      <c r="BK34" s="334"/>
      <c r="BL34" s="334"/>
      <c r="BM34" s="334"/>
      <c r="BN34" s="334"/>
      <c r="BO34" s="334"/>
      <c r="BP34" s="334"/>
      <c r="BQ34" s="334"/>
      <c r="BR34" s="334"/>
      <c r="BS34" s="334"/>
      <c r="BT34" s="334"/>
      <c r="BU34" s="334"/>
      <c r="BV34" s="334"/>
      <c r="BW34" s="334"/>
      <c r="BX34" s="334"/>
      <c r="BY34" s="334"/>
      <c r="BZ34" s="334"/>
      <c r="CA34" s="334"/>
      <c r="CB34" s="334"/>
      <c r="CC34" s="334"/>
      <c r="CD34" s="334"/>
      <c r="CE34" s="334"/>
      <c r="CF34" s="334"/>
      <c r="CG34" s="334"/>
      <c r="CH34" s="334"/>
      <c r="CI34" s="334"/>
      <c r="CJ34" s="334"/>
      <c r="CK34" s="334"/>
      <c r="CL34" s="334"/>
      <c r="CM34" s="334"/>
      <c r="CN34" s="334"/>
      <c r="CO34" s="334"/>
      <c r="CP34" s="334"/>
      <c r="CQ34" s="334"/>
      <c r="CR34" s="334"/>
      <c r="CS34" s="334"/>
      <c r="CT34" s="334"/>
      <c r="CU34" s="334"/>
      <c r="CV34" s="334"/>
      <c r="CW34" s="334"/>
      <c r="CX34" s="334"/>
      <c r="CY34" s="334"/>
      <c r="CZ34" s="334"/>
      <c r="DA34" s="334"/>
      <c r="DB34" s="334"/>
      <c r="DC34" s="334"/>
      <c r="DD34" s="334"/>
      <c r="DE34" s="334"/>
      <c r="DF34" s="334"/>
      <c r="DG34" s="334"/>
      <c r="DH34" s="334"/>
      <c r="DI34" s="334"/>
      <c r="DJ34" s="334"/>
      <c r="DK34" s="334"/>
      <c r="DL34" s="334"/>
      <c r="DM34" s="334"/>
      <c r="DN34" s="334"/>
      <c r="DO34" s="334"/>
      <c r="DP34" s="334"/>
      <c r="DQ34" s="334"/>
      <c r="DR34" s="334"/>
      <c r="DS34" s="334"/>
      <c r="DT34" s="334"/>
      <c r="DU34" s="334"/>
      <c r="DV34" s="334"/>
      <c r="DW34" s="334"/>
      <c r="DX34" s="334"/>
      <c r="DY34" s="334"/>
      <c r="DZ34" s="334"/>
      <c r="EA34" s="334"/>
      <c r="EB34" s="334"/>
      <c r="EC34" s="334"/>
      <c r="ED34" s="334"/>
      <c r="EE34" s="334"/>
      <c r="EF34" s="334"/>
      <c r="EG34" s="334"/>
      <c r="EH34" s="334"/>
      <c r="EI34" s="334"/>
      <c r="EJ34" s="334"/>
      <c r="EK34" s="334"/>
      <c r="EL34" s="334"/>
      <c r="EM34" s="334"/>
      <c r="EN34" s="334"/>
      <c r="EO34" s="334"/>
      <c r="EP34" s="334"/>
      <c r="EQ34" s="334"/>
      <c r="ER34" s="334"/>
      <c r="ES34" s="334"/>
      <c r="ET34" s="334"/>
      <c r="EU34" s="334"/>
      <c r="EV34" s="334"/>
      <c r="EW34" s="334"/>
      <c r="EX34" s="334"/>
      <c r="EY34" s="334"/>
      <c r="EZ34" s="334"/>
      <c r="FA34" s="334"/>
      <c r="FB34" s="334"/>
      <c r="FC34" s="334"/>
      <c r="FD34" s="334"/>
      <c r="FE34" s="334"/>
      <c r="FF34" s="334"/>
      <c r="FG34" s="334"/>
      <c r="FH34" s="334"/>
      <c r="FI34" s="334"/>
      <c r="FJ34" s="334"/>
      <c r="FK34" s="334"/>
      <c r="FL34" s="334"/>
      <c r="FM34" s="334"/>
      <c r="FN34" s="334"/>
      <c r="FO34" s="334"/>
      <c r="FP34" s="334"/>
      <c r="FQ34" s="334"/>
      <c r="FR34" s="334"/>
      <c r="FS34" s="334"/>
      <c r="FT34" s="334"/>
      <c r="FU34" s="334"/>
      <c r="FV34" s="334"/>
      <c r="FW34" s="334"/>
      <c r="FX34" s="334"/>
      <c r="FY34" s="334"/>
      <c r="FZ34" s="334"/>
      <c r="GA34" s="334"/>
      <c r="GB34" s="334"/>
      <c r="GC34" s="334"/>
      <c r="GD34" s="334"/>
      <c r="GE34" s="334"/>
      <c r="GF34" s="334"/>
      <c r="GG34" s="334"/>
      <c r="GH34" s="334"/>
      <c r="GI34" s="334"/>
      <c r="GJ34" s="334"/>
      <c r="GK34" s="334"/>
      <c r="GL34" s="334"/>
      <c r="GM34" s="334"/>
      <c r="GN34" s="334"/>
      <c r="GO34" s="334"/>
      <c r="GP34" s="334"/>
      <c r="GQ34" s="334"/>
      <c r="GR34" s="334"/>
      <c r="GS34" s="334"/>
      <c r="GT34" s="334"/>
      <c r="GU34" s="334"/>
      <c r="GV34" s="334"/>
      <c r="GW34" s="334"/>
      <c r="GX34" s="334"/>
      <c r="GY34" s="334"/>
      <c r="GZ34" s="334"/>
      <c r="HA34" s="334"/>
      <c r="HB34" s="334"/>
      <c r="HC34" s="334"/>
      <c r="HD34" s="334"/>
      <c r="HE34" s="334"/>
      <c r="HF34" s="334"/>
      <c r="HG34" s="334"/>
      <c r="HH34" s="334"/>
      <c r="HI34" s="334"/>
      <c r="HJ34" s="334"/>
      <c r="HK34" s="334"/>
      <c r="HL34" s="334"/>
      <c r="HM34" s="334"/>
      <c r="HN34" s="334"/>
      <c r="HO34" s="334"/>
      <c r="HP34" s="334"/>
      <c r="HQ34" s="334"/>
      <c r="HR34" s="334"/>
      <c r="HS34" s="334"/>
      <c r="HT34" s="334"/>
      <c r="HU34" s="334"/>
      <c r="HV34" s="334"/>
      <c r="HW34" s="334"/>
      <c r="HX34" s="334"/>
      <c r="HY34" s="334"/>
      <c r="HZ34" s="334"/>
      <c r="IA34" s="334"/>
      <c r="IB34" s="334"/>
      <c r="IC34" s="334"/>
      <c r="ID34" s="334"/>
      <c r="IE34" s="334"/>
      <c r="IF34" s="334"/>
      <c r="IG34" s="334"/>
      <c r="IH34" s="334"/>
      <c r="II34" s="334"/>
      <c r="IJ34" s="334"/>
      <c r="IK34" s="334"/>
      <c r="IL34" s="334"/>
      <c r="IM34" s="334"/>
      <c r="IN34" s="334"/>
      <c r="IO34" s="334"/>
      <c r="IP34" s="334"/>
      <c r="IQ34" s="334"/>
      <c r="IR34" s="334"/>
    </row>
    <row r="35" spans="1:252" s="368" customFormat="1" x14ac:dyDescent="0.25">
      <c r="A35" s="366">
        <v>43680</v>
      </c>
      <c r="B35" s="367">
        <v>83.48</v>
      </c>
      <c r="C35" s="367">
        <v>27.77</v>
      </c>
      <c r="D35" s="367">
        <v>135.88999999999999</v>
      </c>
      <c r="E35" s="367">
        <v>77.09</v>
      </c>
      <c r="F35" s="367">
        <v>187.35</v>
      </c>
      <c r="G35" s="367">
        <v>15.19</v>
      </c>
      <c r="H35" s="367">
        <v>26.59</v>
      </c>
      <c r="I35" s="367">
        <v>83.74</v>
      </c>
      <c r="J35" s="367">
        <v>89.32</v>
      </c>
      <c r="K35" s="367">
        <v>268.81</v>
      </c>
      <c r="L35" s="367">
        <v>149.58000000000001</v>
      </c>
      <c r="M35" s="367">
        <v>79.05</v>
      </c>
      <c r="N35" s="367">
        <v>32.5</v>
      </c>
      <c r="O35" s="367">
        <v>12.149999618500001</v>
      </c>
      <c r="P35" s="367">
        <v>25.329999923700001</v>
      </c>
      <c r="Q35" s="367">
        <v>34.799999237100003</v>
      </c>
      <c r="R35" s="367">
        <v>32.849998474099998</v>
      </c>
      <c r="S35" s="367">
        <v>28.790000915499999</v>
      </c>
      <c r="T35" s="367">
        <v>26.260000228900001</v>
      </c>
      <c r="U35" s="367">
        <v>74.668199999999999</v>
      </c>
      <c r="V35" s="334"/>
      <c r="W35" s="334"/>
      <c r="X35" s="334"/>
      <c r="Y35" s="334"/>
      <c r="Z35" s="334"/>
      <c r="AA35" s="334"/>
      <c r="AB35" s="334"/>
      <c r="AC35" s="334"/>
      <c r="AD35" s="334"/>
      <c r="AE35" s="334"/>
      <c r="AF35" s="334"/>
      <c r="AG35" s="334"/>
      <c r="AH35" s="334"/>
      <c r="AI35" s="334"/>
      <c r="AJ35" s="334"/>
      <c r="AK35" s="334"/>
      <c r="AL35" s="334"/>
      <c r="AM35" s="334"/>
      <c r="AN35" s="334"/>
      <c r="AO35" s="334"/>
      <c r="AP35" s="334"/>
      <c r="AQ35" s="334"/>
      <c r="AR35" s="334"/>
      <c r="AS35" s="334"/>
      <c r="AT35" s="334"/>
      <c r="AU35" s="334"/>
      <c r="AV35" s="334"/>
      <c r="AW35" s="334"/>
      <c r="AX35" s="334"/>
      <c r="AY35" s="334"/>
      <c r="AZ35" s="334"/>
      <c r="BA35" s="334"/>
      <c r="BB35" s="334"/>
      <c r="BC35" s="334"/>
      <c r="BD35" s="334"/>
      <c r="BE35" s="334"/>
      <c r="BF35" s="334"/>
      <c r="BG35" s="334"/>
      <c r="BH35" s="334"/>
      <c r="BI35" s="334"/>
      <c r="BJ35" s="334"/>
      <c r="BK35" s="334"/>
      <c r="BL35" s="334"/>
      <c r="BM35" s="334"/>
      <c r="BN35" s="334"/>
      <c r="BO35" s="334"/>
      <c r="BP35" s="334"/>
      <c r="BQ35" s="334"/>
      <c r="BR35" s="334"/>
      <c r="BS35" s="334"/>
      <c r="BT35" s="334"/>
      <c r="BU35" s="334"/>
      <c r="BV35" s="334"/>
      <c r="BW35" s="334"/>
      <c r="BX35" s="334"/>
      <c r="BY35" s="334"/>
      <c r="BZ35" s="334"/>
      <c r="CA35" s="334"/>
      <c r="CB35" s="334"/>
      <c r="CC35" s="334"/>
      <c r="CD35" s="334"/>
      <c r="CE35" s="334"/>
      <c r="CF35" s="334"/>
      <c r="CG35" s="334"/>
      <c r="CH35" s="334"/>
      <c r="CI35" s="334"/>
      <c r="CJ35" s="334"/>
      <c r="CK35" s="334"/>
      <c r="CL35" s="334"/>
      <c r="CM35" s="334"/>
      <c r="CN35" s="334"/>
      <c r="CO35" s="334"/>
      <c r="CP35" s="334"/>
      <c r="CQ35" s="334"/>
      <c r="CR35" s="334"/>
      <c r="CS35" s="334"/>
      <c r="CT35" s="334"/>
      <c r="CU35" s="334"/>
      <c r="CV35" s="334"/>
      <c r="CW35" s="334"/>
      <c r="CX35" s="334"/>
      <c r="CY35" s="334"/>
      <c r="CZ35" s="334"/>
      <c r="DA35" s="334"/>
      <c r="DB35" s="334"/>
      <c r="DC35" s="334"/>
      <c r="DD35" s="334"/>
      <c r="DE35" s="334"/>
      <c r="DF35" s="334"/>
      <c r="DG35" s="334"/>
      <c r="DH35" s="334"/>
      <c r="DI35" s="334"/>
      <c r="DJ35" s="334"/>
      <c r="DK35" s="334"/>
      <c r="DL35" s="334"/>
      <c r="DM35" s="334"/>
      <c r="DN35" s="334"/>
      <c r="DO35" s="334"/>
      <c r="DP35" s="334"/>
      <c r="DQ35" s="334"/>
      <c r="DR35" s="334"/>
      <c r="DS35" s="334"/>
      <c r="DT35" s="334"/>
      <c r="DU35" s="334"/>
      <c r="DV35" s="334"/>
      <c r="DW35" s="334"/>
      <c r="DX35" s="334"/>
      <c r="DY35" s="334"/>
      <c r="DZ35" s="334"/>
      <c r="EA35" s="334"/>
      <c r="EB35" s="334"/>
      <c r="EC35" s="334"/>
      <c r="ED35" s="334"/>
      <c r="EE35" s="334"/>
      <c r="EF35" s="334"/>
      <c r="EG35" s="334"/>
      <c r="EH35" s="334"/>
      <c r="EI35" s="334"/>
      <c r="EJ35" s="334"/>
      <c r="EK35" s="334"/>
      <c r="EL35" s="334"/>
      <c r="EM35" s="334"/>
      <c r="EN35" s="334"/>
      <c r="EO35" s="334"/>
      <c r="EP35" s="334"/>
      <c r="EQ35" s="334"/>
      <c r="ER35" s="334"/>
      <c r="ES35" s="334"/>
      <c r="ET35" s="334"/>
      <c r="EU35" s="334"/>
      <c r="EV35" s="334"/>
      <c r="EW35" s="334"/>
      <c r="EX35" s="334"/>
      <c r="EY35" s="334"/>
      <c r="EZ35" s="334"/>
      <c r="FA35" s="334"/>
      <c r="FB35" s="334"/>
      <c r="FC35" s="334"/>
      <c r="FD35" s="334"/>
      <c r="FE35" s="334"/>
      <c r="FF35" s="334"/>
      <c r="FG35" s="334"/>
      <c r="FH35" s="334"/>
      <c r="FI35" s="334"/>
      <c r="FJ35" s="334"/>
      <c r="FK35" s="334"/>
      <c r="FL35" s="334"/>
      <c r="FM35" s="334"/>
      <c r="FN35" s="334"/>
      <c r="FO35" s="334"/>
      <c r="FP35" s="334"/>
      <c r="FQ35" s="334"/>
      <c r="FR35" s="334"/>
      <c r="FS35" s="334"/>
      <c r="FT35" s="334"/>
      <c r="FU35" s="334"/>
      <c r="FV35" s="334"/>
      <c r="FW35" s="334"/>
      <c r="FX35" s="334"/>
      <c r="FY35" s="334"/>
      <c r="FZ35" s="334"/>
      <c r="GA35" s="334"/>
      <c r="GB35" s="334"/>
      <c r="GC35" s="334"/>
      <c r="GD35" s="334"/>
      <c r="GE35" s="334"/>
      <c r="GF35" s="334"/>
      <c r="GG35" s="334"/>
      <c r="GH35" s="334"/>
      <c r="GI35" s="334"/>
      <c r="GJ35" s="334"/>
      <c r="GK35" s="334"/>
      <c r="GL35" s="334"/>
      <c r="GM35" s="334"/>
      <c r="GN35" s="334"/>
      <c r="GO35" s="334"/>
      <c r="GP35" s="334"/>
      <c r="GQ35" s="334"/>
      <c r="GR35" s="334"/>
      <c r="GS35" s="334"/>
      <c r="GT35" s="334"/>
      <c r="GU35" s="334"/>
      <c r="GV35" s="334"/>
      <c r="GW35" s="334"/>
      <c r="GX35" s="334"/>
      <c r="GY35" s="334"/>
      <c r="GZ35" s="334"/>
      <c r="HA35" s="334"/>
      <c r="HB35" s="334"/>
      <c r="HC35" s="334"/>
      <c r="HD35" s="334"/>
      <c r="HE35" s="334"/>
      <c r="HF35" s="334"/>
      <c r="HG35" s="334"/>
      <c r="HH35" s="334"/>
      <c r="HI35" s="334"/>
      <c r="HJ35" s="334"/>
      <c r="HK35" s="334"/>
      <c r="HL35" s="334"/>
      <c r="HM35" s="334"/>
      <c r="HN35" s="334"/>
      <c r="HO35" s="334"/>
      <c r="HP35" s="334"/>
      <c r="HQ35" s="334"/>
      <c r="HR35" s="334"/>
      <c r="HS35" s="334"/>
      <c r="HT35" s="334"/>
      <c r="HU35" s="334"/>
      <c r="HV35" s="334"/>
      <c r="HW35" s="334"/>
      <c r="HX35" s="334"/>
      <c r="HY35" s="334"/>
      <c r="HZ35" s="334"/>
      <c r="IA35" s="334"/>
      <c r="IB35" s="334"/>
      <c r="IC35" s="334"/>
      <c r="ID35" s="334"/>
      <c r="IE35" s="334"/>
      <c r="IF35" s="334"/>
      <c r="IG35" s="334"/>
      <c r="IH35" s="334"/>
      <c r="II35" s="334"/>
      <c r="IJ35" s="334"/>
      <c r="IK35" s="334"/>
      <c r="IL35" s="334"/>
      <c r="IM35" s="334"/>
      <c r="IN35" s="334"/>
      <c r="IO35" s="334"/>
      <c r="IP35" s="334"/>
      <c r="IQ35" s="334"/>
      <c r="IR35" s="334"/>
    </row>
    <row r="36" spans="1:252" s="368" customFormat="1" x14ac:dyDescent="0.25">
      <c r="A36" s="366">
        <v>43681</v>
      </c>
      <c r="B36" s="367">
        <v>83.48</v>
      </c>
      <c r="C36" s="367">
        <v>27.77</v>
      </c>
      <c r="D36" s="367">
        <v>135.88999999999999</v>
      </c>
      <c r="E36" s="367">
        <v>77.09</v>
      </c>
      <c r="F36" s="367">
        <v>187.35</v>
      </c>
      <c r="G36" s="367">
        <v>15.19</v>
      </c>
      <c r="H36" s="367">
        <v>26.59</v>
      </c>
      <c r="I36" s="367">
        <v>83.74</v>
      </c>
      <c r="J36" s="367">
        <v>89.32</v>
      </c>
      <c r="K36" s="367">
        <v>268.81</v>
      </c>
      <c r="L36" s="367">
        <v>149.58000000000001</v>
      </c>
      <c r="M36" s="367">
        <v>79.05</v>
      </c>
      <c r="N36" s="367">
        <v>32.5</v>
      </c>
      <c r="O36" s="367">
        <v>12.149999618500001</v>
      </c>
      <c r="P36" s="367">
        <v>25.329999923700001</v>
      </c>
      <c r="Q36" s="367">
        <v>34.799999237100003</v>
      </c>
      <c r="R36" s="367">
        <v>32.849998474099998</v>
      </c>
      <c r="S36" s="367">
        <v>28.790000915499999</v>
      </c>
      <c r="T36" s="367">
        <v>26.260000228900001</v>
      </c>
      <c r="U36" s="367">
        <v>74.668199999999999</v>
      </c>
      <c r="V36" s="334"/>
      <c r="W36" s="334"/>
      <c r="X36" s="334"/>
      <c r="Y36" s="334"/>
      <c r="Z36" s="334"/>
      <c r="AA36" s="334"/>
      <c r="AB36" s="334"/>
      <c r="AC36" s="334"/>
      <c r="AD36" s="334"/>
      <c r="AE36" s="334"/>
      <c r="AF36" s="334"/>
      <c r="AG36" s="334"/>
      <c r="AH36" s="334"/>
      <c r="AI36" s="334"/>
      <c r="AJ36" s="334"/>
      <c r="AK36" s="334"/>
      <c r="AL36" s="334"/>
      <c r="AM36" s="334"/>
      <c r="AN36" s="334"/>
      <c r="AO36" s="334"/>
      <c r="AP36" s="334"/>
      <c r="AQ36" s="334"/>
      <c r="AR36" s="334"/>
      <c r="AS36" s="334"/>
      <c r="AT36" s="334"/>
      <c r="AU36" s="334"/>
      <c r="AV36" s="334"/>
      <c r="AW36" s="334"/>
      <c r="AX36" s="334"/>
      <c r="AY36" s="334"/>
      <c r="AZ36" s="334"/>
      <c r="BA36" s="334"/>
      <c r="BB36" s="334"/>
      <c r="BC36" s="334"/>
      <c r="BD36" s="334"/>
      <c r="BE36" s="334"/>
      <c r="BF36" s="334"/>
      <c r="BG36" s="334"/>
      <c r="BH36" s="334"/>
      <c r="BI36" s="334"/>
      <c r="BJ36" s="334"/>
      <c r="BK36" s="334"/>
      <c r="BL36" s="334"/>
      <c r="BM36" s="334"/>
      <c r="BN36" s="334"/>
      <c r="BO36" s="334"/>
      <c r="BP36" s="334"/>
      <c r="BQ36" s="334"/>
      <c r="BR36" s="334"/>
      <c r="BS36" s="334"/>
      <c r="BT36" s="334"/>
      <c r="BU36" s="334"/>
      <c r="BV36" s="334"/>
      <c r="BW36" s="334"/>
      <c r="BX36" s="334"/>
      <c r="BY36" s="334"/>
      <c r="BZ36" s="334"/>
      <c r="CA36" s="334"/>
      <c r="CB36" s="334"/>
      <c r="CC36" s="334"/>
      <c r="CD36" s="334"/>
      <c r="CE36" s="334"/>
      <c r="CF36" s="334"/>
      <c r="CG36" s="334"/>
      <c r="CH36" s="334"/>
      <c r="CI36" s="334"/>
      <c r="CJ36" s="334"/>
      <c r="CK36" s="334"/>
      <c r="CL36" s="334"/>
      <c r="CM36" s="334"/>
      <c r="CN36" s="334"/>
      <c r="CO36" s="334"/>
      <c r="CP36" s="334"/>
      <c r="CQ36" s="334"/>
      <c r="CR36" s="334"/>
      <c r="CS36" s="334"/>
      <c r="CT36" s="334"/>
      <c r="CU36" s="334"/>
      <c r="CV36" s="334"/>
      <c r="CW36" s="334"/>
      <c r="CX36" s="334"/>
      <c r="CY36" s="334"/>
      <c r="CZ36" s="334"/>
      <c r="DA36" s="334"/>
      <c r="DB36" s="334"/>
      <c r="DC36" s="334"/>
      <c r="DD36" s="334"/>
      <c r="DE36" s="334"/>
      <c r="DF36" s="334"/>
      <c r="DG36" s="334"/>
      <c r="DH36" s="334"/>
      <c r="DI36" s="334"/>
      <c r="DJ36" s="334"/>
      <c r="DK36" s="334"/>
      <c r="DL36" s="334"/>
      <c r="DM36" s="334"/>
      <c r="DN36" s="334"/>
      <c r="DO36" s="334"/>
      <c r="DP36" s="334"/>
      <c r="DQ36" s="334"/>
      <c r="DR36" s="334"/>
      <c r="DS36" s="334"/>
      <c r="DT36" s="334"/>
      <c r="DU36" s="334"/>
      <c r="DV36" s="334"/>
      <c r="DW36" s="334"/>
      <c r="DX36" s="334"/>
      <c r="DY36" s="334"/>
      <c r="DZ36" s="334"/>
      <c r="EA36" s="334"/>
      <c r="EB36" s="334"/>
      <c r="EC36" s="334"/>
      <c r="ED36" s="334"/>
      <c r="EE36" s="334"/>
      <c r="EF36" s="334"/>
      <c r="EG36" s="334"/>
      <c r="EH36" s="334"/>
      <c r="EI36" s="334"/>
      <c r="EJ36" s="334"/>
      <c r="EK36" s="334"/>
      <c r="EL36" s="334"/>
      <c r="EM36" s="334"/>
      <c r="EN36" s="334"/>
      <c r="EO36" s="334"/>
      <c r="EP36" s="334"/>
      <c r="EQ36" s="334"/>
      <c r="ER36" s="334"/>
      <c r="ES36" s="334"/>
      <c r="ET36" s="334"/>
      <c r="EU36" s="334"/>
      <c r="EV36" s="334"/>
      <c r="EW36" s="334"/>
      <c r="EX36" s="334"/>
      <c r="EY36" s="334"/>
      <c r="EZ36" s="334"/>
      <c r="FA36" s="334"/>
      <c r="FB36" s="334"/>
      <c r="FC36" s="334"/>
      <c r="FD36" s="334"/>
      <c r="FE36" s="334"/>
      <c r="FF36" s="334"/>
      <c r="FG36" s="334"/>
      <c r="FH36" s="334"/>
      <c r="FI36" s="334"/>
      <c r="FJ36" s="334"/>
      <c r="FK36" s="334"/>
      <c r="FL36" s="334"/>
      <c r="FM36" s="334"/>
      <c r="FN36" s="334"/>
      <c r="FO36" s="334"/>
      <c r="FP36" s="334"/>
      <c r="FQ36" s="334"/>
      <c r="FR36" s="334"/>
      <c r="FS36" s="334"/>
      <c r="FT36" s="334"/>
      <c r="FU36" s="334"/>
      <c r="FV36" s="334"/>
      <c r="FW36" s="334"/>
      <c r="FX36" s="334"/>
      <c r="FY36" s="334"/>
      <c r="FZ36" s="334"/>
      <c r="GA36" s="334"/>
      <c r="GB36" s="334"/>
      <c r="GC36" s="334"/>
      <c r="GD36" s="334"/>
      <c r="GE36" s="334"/>
      <c r="GF36" s="334"/>
      <c r="GG36" s="334"/>
      <c r="GH36" s="334"/>
      <c r="GI36" s="334"/>
      <c r="GJ36" s="334"/>
      <c r="GK36" s="334"/>
      <c r="GL36" s="334"/>
      <c r="GM36" s="334"/>
      <c r="GN36" s="334"/>
      <c r="GO36" s="334"/>
      <c r="GP36" s="334"/>
      <c r="GQ36" s="334"/>
      <c r="GR36" s="334"/>
      <c r="GS36" s="334"/>
      <c r="GT36" s="334"/>
      <c r="GU36" s="334"/>
      <c r="GV36" s="334"/>
      <c r="GW36" s="334"/>
      <c r="GX36" s="334"/>
      <c r="GY36" s="334"/>
      <c r="GZ36" s="334"/>
      <c r="HA36" s="334"/>
      <c r="HB36" s="334"/>
      <c r="HC36" s="334"/>
      <c r="HD36" s="334"/>
      <c r="HE36" s="334"/>
      <c r="HF36" s="334"/>
      <c r="HG36" s="334"/>
      <c r="HH36" s="334"/>
      <c r="HI36" s="334"/>
      <c r="HJ36" s="334"/>
      <c r="HK36" s="334"/>
      <c r="HL36" s="334"/>
      <c r="HM36" s="334"/>
      <c r="HN36" s="334"/>
      <c r="HO36" s="334"/>
      <c r="HP36" s="334"/>
      <c r="HQ36" s="334"/>
      <c r="HR36" s="334"/>
      <c r="HS36" s="334"/>
      <c r="HT36" s="334"/>
      <c r="HU36" s="334"/>
      <c r="HV36" s="334"/>
      <c r="HW36" s="334"/>
      <c r="HX36" s="334"/>
      <c r="HY36" s="334"/>
      <c r="HZ36" s="334"/>
      <c r="IA36" s="334"/>
      <c r="IB36" s="334"/>
      <c r="IC36" s="334"/>
      <c r="ID36" s="334"/>
      <c r="IE36" s="334"/>
      <c r="IF36" s="334"/>
      <c r="IG36" s="334"/>
      <c r="IH36" s="334"/>
      <c r="II36" s="334"/>
      <c r="IJ36" s="334"/>
      <c r="IK36" s="334"/>
      <c r="IL36" s="334"/>
      <c r="IM36" s="334"/>
      <c r="IN36" s="334"/>
      <c r="IO36" s="334"/>
      <c r="IP36" s="334"/>
      <c r="IQ36" s="334"/>
      <c r="IR36" s="334"/>
    </row>
    <row r="37" spans="1:252" s="368" customFormat="1" x14ac:dyDescent="0.25">
      <c r="A37" s="366">
        <v>43682</v>
      </c>
      <c r="B37" s="367">
        <v>83.84</v>
      </c>
      <c r="C37" s="367">
        <v>28.6</v>
      </c>
      <c r="D37" s="367">
        <v>137.79</v>
      </c>
      <c r="E37" s="367">
        <v>75</v>
      </c>
      <c r="F37" s="367">
        <v>180.73</v>
      </c>
      <c r="G37" s="367">
        <v>15.33</v>
      </c>
      <c r="H37" s="367">
        <v>26.46</v>
      </c>
      <c r="I37" s="367">
        <v>85.22</v>
      </c>
      <c r="J37" s="367">
        <v>87.56</v>
      </c>
      <c r="K37" s="367">
        <v>260.88</v>
      </c>
      <c r="L37" s="367">
        <v>145.13999999999999</v>
      </c>
      <c r="M37" s="367">
        <v>75.75</v>
      </c>
      <c r="N37" s="367">
        <v>32.5</v>
      </c>
      <c r="O37" s="367">
        <v>12.149999618500001</v>
      </c>
      <c r="P37" s="367">
        <v>25.329999923700001</v>
      </c>
      <c r="Q37" s="367">
        <v>34.799999237100003</v>
      </c>
      <c r="R37" s="367">
        <v>32.849998474099998</v>
      </c>
      <c r="S37" s="367">
        <v>28.790000915499999</v>
      </c>
      <c r="T37" s="367">
        <v>26.260000228900001</v>
      </c>
      <c r="U37" s="367">
        <v>74.64</v>
      </c>
      <c r="V37" s="334"/>
      <c r="W37" s="334"/>
      <c r="X37" s="334"/>
      <c r="Y37" s="334"/>
      <c r="Z37" s="334"/>
      <c r="AA37" s="334"/>
      <c r="AB37" s="334"/>
      <c r="AC37" s="334"/>
      <c r="AD37" s="334"/>
      <c r="AE37" s="334"/>
      <c r="AF37" s="334"/>
      <c r="AG37" s="334"/>
      <c r="AH37" s="334"/>
      <c r="AI37" s="334"/>
      <c r="AJ37" s="334"/>
      <c r="AK37" s="334"/>
      <c r="AL37" s="334"/>
      <c r="AM37" s="334"/>
      <c r="AN37" s="334"/>
      <c r="AO37" s="334"/>
      <c r="AP37" s="334"/>
      <c r="AQ37" s="334"/>
      <c r="AR37" s="334"/>
      <c r="AS37" s="334"/>
      <c r="AT37" s="334"/>
      <c r="AU37" s="334"/>
      <c r="AV37" s="334"/>
      <c r="AW37" s="334"/>
      <c r="AX37" s="334"/>
      <c r="AY37" s="334"/>
      <c r="AZ37" s="334"/>
      <c r="BA37" s="334"/>
      <c r="BB37" s="334"/>
      <c r="BC37" s="334"/>
      <c r="BD37" s="334"/>
      <c r="BE37" s="334"/>
      <c r="BF37" s="334"/>
      <c r="BG37" s="334"/>
      <c r="BH37" s="334"/>
      <c r="BI37" s="334"/>
      <c r="BJ37" s="334"/>
      <c r="BK37" s="334"/>
      <c r="BL37" s="334"/>
      <c r="BM37" s="334"/>
      <c r="BN37" s="334"/>
      <c r="BO37" s="334"/>
      <c r="BP37" s="334"/>
      <c r="BQ37" s="334"/>
      <c r="BR37" s="334"/>
      <c r="BS37" s="334"/>
      <c r="BT37" s="334"/>
      <c r="BU37" s="334"/>
      <c r="BV37" s="334"/>
      <c r="BW37" s="334"/>
      <c r="BX37" s="334"/>
      <c r="BY37" s="334"/>
      <c r="BZ37" s="334"/>
      <c r="CA37" s="334"/>
      <c r="CB37" s="334"/>
      <c r="CC37" s="334"/>
      <c r="CD37" s="334"/>
      <c r="CE37" s="334"/>
      <c r="CF37" s="334"/>
      <c r="CG37" s="334"/>
      <c r="CH37" s="334"/>
      <c r="CI37" s="334"/>
      <c r="CJ37" s="334"/>
      <c r="CK37" s="334"/>
      <c r="CL37" s="334"/>
      <c r="CM37" s="334"/>
      <c r="CN37" s="334"/>
      <c r="CO37" s="334"/>
      <c r="CP37" s="334"/>
      <c r="CQ37" s="334"/>
      <c r="CR37" s="334"/>
      <c r="CS37" s="334"/>
      <c r="CT37" s="334"/>
      <c r="CU37" s="334"/>
      <c r="CV37" s="334"/>
      <c r="CW37" s="334"/>
      <c r="CX37" s="334"/>
      <c r="CY37" s="334"/>
      <c r="CZ37" s="334"/>
      <c r="DA37" s="334"/>
      <c r="DB37" s="334"/>
      <c r="DC37" s="334"/>
      <c r="DD37" s="334"/>
      <c r="DE37" s="334"/>
      <c r="DF37" s="334"/>
      <c r="DG37" s="334"/>
      <c r="DH37" s="334"/>
      <c r="DI37" s="334"/>
      <c r="DJ37" s="334"/>
      <c r="DK37" s="334"/>
      <c r="DL37" s="334"/>
      <c r="DM37" s="334"/>
      <c r="DN37" s="334"/>
      <c r="DO37" s="334"/>
      <c r="DP37" s="334"/>
      <c r="DQ37" s="334"/>
      <c r="DR37" s="334"/>
      <c r="DS37" s="334"/>
      <c r="DT37" s="334"/>
      <c r="DU37" s="334"/>
      <c r="DV37" s="334"/>
      <c r="DW37" s="334"/>
      <c r="DX37" s="334"/>
      <c r="DY37" s="334"/>
      <c r="DZ37" s="334"/>
      <c r="EA37" s="334"/>
      <c r="EB37" s="334"/>
      <c r="EC37" s="334"/>
      <c r="ED37" s="334"/>
      <c r="EE37" s="334"/>
      <c r="EF37" s="334"/>
      <c r="EG37" s="334"/>
      <c r="EH37" s="334"/>
      <c r="EI37" s="334"/>
      <c r="EJ37" s="334"/>
      <c r="EK37" s="334"/>
      <c r="EL37" s="334"/>
      <c r="EM37" s="334"/>
      <c r="EN37" s="334"/>
      <c r="EO37" s="334"/>
      <c r="EP37" s="334"/>
      <c r="EQ37" s="334"/>
      <c r="ER37" s="334"/>
      <c r="ES37" s="334"/>
      <c r="ET37" s="334"/>
      <c r="EU37" s="334"/>
      <c r="EV37" s="334"/>
      <c r="EW37" s="334"/>
      <c r="EX37" s="334"/>
      <c r="EY37" s="334"/>
      <c r="EZ37" s="334"/>
      <c r="FA37" s="334"/>
      <c r="FB37" s="334"/>
      <c r="FC37" s="334"/>
      <c r="FD37" s="334"/>
      <c r="FE37" s="334"/>
      <c r="FF37" s="334"/>
      <c r="FG37" s="334"/>
      <c r="FH37" s="334"/>
      <c r="FI37" s="334"/>
      <c r="FJ37" s="334"/>
      <c r="FK37" s="334"/>
      <c r="FL37" s="334"/>
      <c r="FM37" s="334"/>
      <c r="FN37" s="334"/>
      <c r="FO37" s="334"/>
      <c r="FP37" s="334"/>
      <c r="FQ37" s="334"/>
      <c r="FR37" s="334"/>
      <c r="FS37" s="334"/>
      <c r="FT37" s="334"/>
      <c r="FU37" s="334"/>
      <c r="FV37" s="334"/>
      <c r="FW37" s="334"/>
      <c r="FX37" s="334"/>
      <c r="FY37" s="334"/>
      <c r="FZ37" s="334"/>
      <c r="GA37" s="334"/>
      <c r="GB37" s="334"/>
      <c r="GC37" s="334"/>
      <c r="GD37" s="334"/>
      <c r="GE37" s="334"/>
      <c r="GF37" s="334"/>
      <c r="GG37" s="334"/>
      <c r="GH37" s="334"/>
      <c r="GI37" s="334"/>
      <c r="GJ37" s="334"/>
      <c r="GK37" s="334"/>
      <c r="GL37" s="334"/>
      <c r="GM37" s="334"/>
      <c r="GN37" s="334"/>
      <c r="GO37" s="334"/>
      <c r="GP37" s="334"/>
      <c r="GQ37" s="334"/>
      <c r="GR37" s="334"/>
      <c r="GS37" s="334"/>
      <c r="GT37" s="334"/>
      <c r="GU37" s="334"/>
      <c r="GV37" s="334"/>
      <c r="GW37" s="334"/>
      <c r="GX37" s="334"/>
      <c r="GY37" s="334"/>
      <c r="GZ37" s="334"/>
      <c r="HA37" s="334"/>
      <c r="HB37" s="334"/>
      <c r="HC37" s="334"/>
      <c r="HD37" s="334"/>
      <c r="HE37" s="334"/>
      <c r="HF37" s="334"/>
      <c r="HG37" s="334"/>
      <c r="HH37" s="334"/>
      <c r="HI37" s="334"/>
      <c r="HJ37" s="334"/>
      <c r="HK37" s="334"/>
      <c r="HL37" s="334"/>
      <c r="HM37" s="334"/>
      <c r="HN37" s="334"/>
      <c r="HO37" s="334"/>
      <c r="HP37" s="334"/>
      <c r="HQ37" s="334"/>
      <c r="HR37" s="334"/>
      <c r="HS37" s="334"/>
      <c r="HT37" s="334"/>
      <c r="HU37" s="334"/>
      <c r="HV37" s="334"/>
      <c r="HW37" s="334"/>
      <c r="HX37" s="334"/>
      <c r="HY37" s="334"/>
      <c r="HZ37" s="334"/>
      <c r="IA37" s="334"/>
      <c r="IB37" s="334"/>
      <c r="IC37" s="334"/>
      <c r="ID37" s="334"/>
      <c r="IE37" s="334"/>
      <c r="IF37" s="334"/>
      <c r="IG37" s="334"/>
      <c r="IH37" s="334"/>
      <c r="II37" s="334"/>
      <c r="IJ37" s="334"/>
      <c r="IK37" s="334"/>
      <c r="IL37" s="334"/>
      <c r="IM37" s="334"/>
      <c r="IN37" s="334"/>
      <c r="IO37" s="334"/>
      <c r="IP37" s="334"/>
      <c r="IQ37" s="334"/>
      <c r="IR37" s="334"/>
    </row>
    <row r="38" spans="1:252" s="368" customFormat="1" x14ac:dyDescent="0.25">
      <c r="A38" s="366">
        <v>43683</v>
      </c>
      <c r="B38" s="367">
        <v>84.05</v>
      </c>
      <c r="C38" s="367">
        <v>28.67</v>
      </c>
      <c r="D38" s="367">
        <v>138.91</v>
      </c>
      <c r="E38" s="367">
        <v>75.790000000000006</v>
      </c>
      <c r="F38" s="367">
        <v>183.26</v>
      </c>
      <c r="G38" s="367">
        <v>15.38</v>
      </c>
      <c r="H38" s="367">
        <v>26.49</v>
      </c>
      <c r="I38" s="367">
        <v>85.81</v>
      </c>
      <c r="J38" s="367">
        <v>88.53</v>
      </c>
      <c r="K38" s="367">
        <v>264.24</v>
      </c>
      <c r="L38" s="367">
        <v>147.03</v>
      </c>
      <c r="M38" s="367">
        <v>77.010000000000005</v>
      </c>
      <c r="N38" s="367">
        <v>31.940000534100001</v>
      </c>
      <c r="O38" s="367">
        <v>12.4300003052</v>
      </c>
      <c r="P38" s="367">
        <v>25.1399993896</v>
      </c>
      <c r="Q38" s="367">
        <v>34.6399993896</v>
      </c>
      <c r="R38" s="367">
        <v>32.590000152599998</v>
      </c>
      <c r="S38" s="367">
        <v>29.489999771099999</v>
      </c>
      <c r="T38" s="367">
        <v>26.469999313399999</v>
      </c>
      <c r="U38" s="367">
        <v>74.34</v>
      </c>
      <c r="V38" s="334"/>
      <c r="W38" s="334"/>
      <c r="X38" s="334"/>
      <c r="Y38" s="334"/>
      <c r="Z38" s="334"/>
      <c r="AA38" s="334"/>
      <c r="AB38" s="334"/>
      <c r="AC38" s="334"/>
      <c r="AD38" s="334"/>
      <c r="AE38" s="334"/>
      <c r="AF38" s="334"/>
      <c r="AG38" s="334"/>
      <c r="AH38" s="334"/>
      <c r="AI38" s="334"/>
      <c r="AJ38" s="334"/>
      <c r="AK38" s="334"/>
      <c r="AL38" s="334"/>
      <c r="AM38" s="334"/>
      <c r="AN38" s="334"/>
      <c r="AO38" s="334"/>
      <c r="AP38" s="334"/>
      <c r="AQ38" s="334"/>
      <c r="AR38" s="334"/>
      <c r="AS38" s="334"/>
      <c r="AT38" s="334"/>
      <c r="AU38" s="334"/>
      <c r="AV38" s="334"/>
      <c r="AW38" s="334"/>
      <c r="AX38" s="334"/>
      <c r="AY38" s="334"/>
      <c r="AZ38" s="334"/>
      <c r="BA38" s="334"/>
      <c r="BB38" s="334"/>
      <c r="BC38" s="334"/>
      <c r="BD38" s="334"/>
      <c r="BE38" s="334"/>
      <c r="BF38" s="334"/>
      <c r="BG38" s="334"/>
      <c r="BH38" s="334"/>
      <c r="BI38" s="334"/>
      <c r="BJ38" s="334"/>
      <c r="BK38" s="334"/>
      <c r="BL38" s="334"/>
      <c r="BM38" s="334"/>
      <c r="BN38" s="334"/>
      <c r="BO38" s="334"/>
      <c r="BP38" s="334"/>
      <c r="BQ38" s="334"/>
      <c r="BR38" s="334"/>
      <c r="BS38" s="334"/>
      <c r="BT38" s="334"/>
      <c r="BU38" s="334"/>
      <c r="BV38" s="334"/>
      <c r="BW38" s="334"/>
      <c r="BX38" s="334"/>
      <c r="BY38" s="334"/>
      <c r="BZ38" s="334"/>
      <c r="CA38" s="334"/>
      <c r="CB38" s="334"/>
      <c r="CC38" s="334"/>
      <c r="CD38" s="334"/>
      <c r="CE38" s="334"/>
      <c r="CF38" s="334"/>
      <c r="CG38" s="334"/>
      <c r="CH38" s="334"/>
      <c r="CI38" s="334"/>
      <c r="CJ38" s="334"/>
      <c r="CK38" s="334"/>
      <c r="CL38" s="334"/>
      <c r="CM38" s="334"/>
      <c r="CN38" s="334"/>
      <c r="CO38" s="334"/>
      <c r="CP38" s="334"/>
      <c r="CQ38" s="334"/>
      <c r="CR38" s="334"/>
      <c r="CS38" s="334"/>
      <c r="CT38" s="334"/>
      <c r="CU38" s="334"/>
      <c r="CV38" s="334"/>
      <c r="CW38" s="334"/>
      <c r="CX38" s="334"/>
      <c r="CY38" s="334"/>
      <c r="CZ38" s="334"/>
      <c r="DA38" s="334"/>
      <c r="DB38" s="334"/>
      <c r="DC38" s="334"/>
      <c r="DD38" s="334"/>
      <c r="DE38" s="334"/>
      <c r="DF38" s="334"/>
      <c r="DG38" s="334"/>
      <c r="DH38" s="334"/>
      <c r="DI38" s="334"/>
      <c r="DJ38" s="334"/>
      <c r="DK38" s="334"/>
      <c r="DL38" s="334"/>
      <c r="DM38" s="334"/>
      <c r="DN38" s="334"/>
      <c r="DO38" s="334"/>
      <c r="DP38" s="334"/>
      <c r="DQ38" s="334"/>
      <c r="DR38" s="334"/>
      <c r="DS38" s="334"/>
      <c r="DT38" s="334"/>
      <c r="DU38" s="334"/>
      <c r="DV38" s="334"/>
      <c r="DW38" s="334"/>
      <c r="DX38" s="334"/>
      <c r="DY38" s="334"/>
      <c r="DZ38" s="334"/>
      <c r="EA38" s="334"/>
      <c r="EB38" s="334"/>
      <c r="EC38" s="334"/>
      <c r="ED38" s="334"/>
      <c r="EE38" s="334"/>
      <c r="EF38" s="334"/>
      <c r="EG38" s="334"/>
      <c r="EH38" s="334"/>
      <c r="EI38" s="334"/>
      <c r="EJ38" s="334"/>
      <c r="EK38" s="334"/>
      <c r="EL38" s="334"/>
      <c r="EM38" s="334"/>
      <c r="EN38" s="334"/>
      <c r="EO38" s="334"/>
      <c r="EP38" s="334"/>
      <c r="EQ38" s="334"/>
      <c r="ER38" s="334"/>
      <c r="ES38" s="334"/>
      <c r="ET38" s="334"/>
      <c r="EU38" s="334"/>
      <c r="EV38" s="334"/>
      <c r="EW38" s="334"/>
      <c r="EX38" s="334"/>
      <c r="EY38" s="334"/>
      <c r="EZ38" s="334"/>
      <c r="FA38" s="334"/>
      <c r="FB38" s="334"/>
      <c r="FC38" s="334"/>
      <c r="FD38" s="334"/>
      <c r="FE38" s="334"/>
      <c r="FF38" s="334"/>
      <c r="FG38" s="334"/>
      <c r="FH38" s="334"/>
      <c r="FI38" s="334"/>
      <c r="FJ38" s="334"/>
      <c r="FK38" s="334"/>
      <c r="FL38" s="334"/>
      <c r="FM38" s="334"/>
      <c r="FN38" s="334"/>
      <c r="FO38" s="334"/>
      <c r="FP38" s="334"/>
      <c r="FQ38" s="334"/>
      <c r="FR38" s="334"/>
      <c r="FS38" s="334"/>
      <c r="FT38" s="334"/>
      <c r="FU38" s="334"/>
      <c r="FV38" s="334"/>
      <c r="FW38" s="334"/>
      <c r="FX38" s="334"/>
      <c r="FY38" s="334"/>
      <c r="FZ38" s="334"/>
      <c r="GA38" s="334"/>
      <c r="GB38" s="334"/>
      <c r="GC38" s="334"/>
      <c r="GD38" s="334"/>
      <c r="GE38" s="334"/>
      <c r="GF38" s="334"/>
      <c r="GG38" s="334"/>
      <c r="GH38" s="334"/>
      <c r="GI38" s="334"/>
      <c r="GJ38" s="334"/>
      <c r="GK38" s="334"/>
      <c r="GL38" s="334"/>
      <c r="GM38" s="334"/>
      <c r="GN38" s="334"/>
      <c r="GO38" s="334"/>
      <c r="GP38" s="334"/>
      <c r="GQ38" s="334"/>
      <c r="GR38" s="334"/>
      <c r="GS38" s="334"/>
      <c r="GT38" s="334"/>
      <c r="GU38" s="334"/>
      <c r="GV38" s="334"/>
      <c r="GW38" s="334"/>
      <c r="GX38" s="334"/>
      <c r="GY38" s="334"/>
      <c r="GZ38" s="334"/>
      <c r="HA38" s="334"/>
      <c r="HB38" s="334"/>
      <c r="HC38" s="334"/>
      <c r="HD38" s="334"/>
      <c r="HE38" s="334"/>
      <c r="HF38" s="334"/>
      <c r="HG38" s="334"/>
      <c r="HH38" s="334"/>
      <c r="HI38" s="334"/>
      <c r="HJ38" s="334"/>
      <c r="HK38" s="334"/>
      <c r="HL38" s="334"/>
      <c r="HM38" s="334"/>
      <c r="HN38" s="334"/>
      <c r="HO38" s="334"/>
      <c r="HP38" s="334"/>
      <c r="HQ38" s="334"/>
      <c r="HR38" s="334"/>
      <c r="HS38" s="334"/>
      <c r="HT38" s="334"/>
      <c r="HU38" s="334"/>
      <c r="HV38" s="334"/>
      <c r="HW38" s="334"/>
      <c r="HX38" s="334"/>
      <c r="HY38" s="334"/>
      <c r="HZ38" s="334"/>
      <c r="IA38" s="334"/>
      <c r="IB38" s="334"/>
      <c r="IC38" s="334"/>
      <c r="ID38" s="334"/>
      <c r="IE38" s="334"/>
      <c r="IF38" s="334"/>
      <c r="IG38" s="334"/>
      <c r="IH38" s="334"/>
      <c r="II38" s="334"/>
      <c r="IJ38" s="334"/>
      <c r="IK38" s="334"/>
      <c r="IL38" s="334"/>
      <c r="IM38" s="334"/>
      <c r="IN38" s="334"/>
      <c r="IO38" s="334"/>
      <c r="IP38" s="334"/>
      <c r="IQ38" s="334"/>
      <c r="IR38" s="334"/>
    </row>
    <row r="39" spans="1:252" s="368" customFormat="1" x14ac:dyDescent="0.25">
      <c r="A39" s="366">
        <v>43684</v>
      </c>
      <c r="B39" s="367">
        <v>84.05</v>
      </c>
      <c r="C39" s="367">
        <v>29.26</v>
      </c>
      <c r="D39" s="367">
        <v>141.02000000000001</v>
      </c>
      <c r="E39" s="367">
        <v>75.91</v>
      </c>
      <c r="F39" s="367">
        <v>184.25</v>
      </c>
      <c r="G39" s="367">
        <v>15.97</v>
      </c>
      <c r="H39" s="367">
        <v>26.47</v>
      </c>
      <c r="I39" s="367">
        <v>85.89</v>
      </c>
      <c r="J39" s="367">
        <v>89.39</v>
      </c>
      <c r="K39" s="367">
        <v>264.42</v>
      </c>
      <c r="L39" s="367">
        <v>147.19</v>
      </c>
      <c r="M39" s="367">
        <v>77.489999999999995</v>
      </c>
      <c r="N39" s="367">
        <v>31.979999542200002</v>
      </c>
      <c r="O39" s="367">
        <v>12.609999656699999</v>
      </c>
      <c r="P39" s="367">
        <v>25.260000228900001</v>
      </c>
      <c r="Q39" s="367">
        <v>35.060001373299997</v>
      </c>
      <c r="R39" s="367">
        <v>32.849998474099998</v>
      </c>
      <c r="S39" s="367">
        <v>29.899999618500001</v>
      </c>
      <c r="T39" s="367">
        <v>26.520000457799998</v>
      </c>
      <c r="U39" s="367">
        <v>74.150000000000006</v>
      </c>
      <c r="V39" s="334"/>
      <c r="W39" s="334"/>
      <c r="X39" s="334"/>
      <c r="Y39" s="334"/>
      <c r="Z39" s="334"/>
      <c r="AA39" s="334"/>
      <c r="AB39" s="334"/>
      <c r="AC39" s="334"/>
      <c r="AD39" s="334"/>
      <c r="AE39" s="334"/>
      <c r="AF39" s="334"/>
      <c r="AG39" s="334"/>
      <c r="AH39" s="334"/>
      <c r="AI39" s="334"/>
      <c r="AJ39" s="334"/>
      <c r="AK39" s="334"/>
      <c r="AL39" s="334"/>
      <c r="AM39" s="334"/>
      <c r="AN39" s="334"/>
      <c r="AO39" s="334"/>
      <c r="AP39" s="334"/>
      <c r="AQ39" s="334"/>
      <c r="AR39" s="334"/>
      <c r="AS39" s="334"/>
      <c r="AT39" s="334"/>
      <c r="AU39" s="334"/>
      <c r="AV39" s="334"/>
      <c r="AW39" s="334"/>
      <c r="AX39" s="334"/>
      <c r="AY39" s="334"/>
      <c r="AZ39" s="334"/>
      <c r="BA39" s="334"/>
      <c r="BB39" s="334"/>
      <c r="BC39" s="334"/>
      <c r="BD39" s="334"/>
      <c r="BE39" s="334"/>
      <c r="BF39" s="334"/>
      <c r="BG39" s="334"/>
      <c r="BH39" s="334"/>
      <c r="BI39" s="334"/>
      <c r="BJ39" s="334"/>
      <c r="BK39" s="334"/>
      <c r="BL39" s="334"/>
      <c r="BM39" s="334"/>
      <c r="BN39" s="334"/>
      <c r="BO39" s="334"/>
      <c r="BP39" s="334"/>
      <c r="BQ39" s="334"/>
      <c r="BR39" s="334"/>
      <c r="BS39" s="334"/>
      <c r="BT39" s="334"/>
      <c r="BU39" s="334"/>
      <c r="BV39" s="334"/>
      <c r="BW39" s="334"/>
      <c r="BX39" s="334"/>
      <c r="BY39" s="334"/>
      <c r="BZ39" s="334"/>
      <c r="CA39" s="334"/>
      <c r="CB39" s="334"/>
      <c r="CC39" s="334"/>
      <c r="CD39" s="334"/>
      <c r="CE39" s="334"/>
      <c r="CF39" s="334"/>
      <c r="CG39" s="334"/>
      <c r="CH39" s="334"/>
      <c r="CI39" s="334"/>
      <c r="CJ39" s="334"/>
      <c r="CK39" s="334"/>
      <c r="CL39" s="334"/>
      <c r="CM39" s="334"/>
      <c r="CN39" s="334"/>
      <c r="CO39" s="334"/>
      <c r="CP39" s="334"/>
      <c r="CQ39" s="334"/>
      <c r="CR39" s="334"/>
      <c r="CS39" s="334"/>
      <c r="CT39" s="334"/>
      <c r="CU39" s="334"/>
      <c r="CV39" s="334"/>
      <c r="CW39" s="334"/>
      <c r="CX39" s="334"/>
      <c r="CY39" s="334"/>
      <c r="CZ39" s="334"/>
      <c r="DA39" s="334"/>
      <c r="DB39" s="334"/>
      <c r="DC39" s="334"/>
      <c r="DD39" s="334"/>
      <c r="DE39" s="334"/>
      <c r="DF39" s="334"/>
      <c r="DG39" s="334"/>
      <c r="DH39" s="334"/>
      <c r="DI39" s="334"/>
      <c r="DJ39" s="334"/>
      <c r="DK39" s="334"/>
      <c r="DL39" s="334"/>
      <c r="DM39" s="334"/>
      <c r="DN39" s="334"/>
      <c r="DO39" s="334"/>
      <c r="DP39" s="334"/>
      <c r="DQ39" s="334"/>
      <c r="DR39" s="334"/>
      <c r="DS39" s="334"/>
      <c r="DT39" s="334"/>
      <c r="DU39" s="334"/>
      <c r="DV39" s="334"/>
      <c r="DW39" s="334"/>
      <c r="DX39" s="334"/>
      <c r="DY39" s="334"/>
      <c r="DZ39" s="334"/>
      <c r="EA39" s="334"/>
      <c r="EB39" s="334"/>
      <c r="EC39" s="334"/>
      <c r="ED39" s="334"/>
      <c r="EE39" s="334"/>
      <c r="EF39" s="334"/>
      <c r="EG39" s="334"/>
      <c r="EH39" s="334"/>
      <c r="EI39" s="334"/>
      <c r="EJ39" s="334"/>
      <c r="EK39" s="334"/>
      <c r="EL39" s="334"/>
      <c r="EM39" s="334"/>
      <c r="EN39" s="334"/>
      <c r="EO39" s="334"/>
      <c r="EP39" s="334"/>
      <c r="EQ39" s="334"/>
      <c r="ER39" s="334"/>
      <c r="ES39" s="334"/>
      <c r="ET39" s="334"/>
      <c r="EU39" s="334"/>
      <c r="EV39" s="334"/>
      <c r="EW39" s="334"/>
      <c r="EX39" s="334"/>
      <c r="EY39" s="334"/>
      <c r="EZ39" s="334"/>
      <c r="FA39" s="334"/>
      <c r="FB39" s="334"/>
      <c r="FC39" s="334"/>
      <c r="FD39" s="334"/>
      <c r="FE39" s="334"/>
      <c r="FF39" s="334"/>
      <c r="FG39" s="334"/>
      <c r="FH39" s="334"/>
      <c r="FI39" s="334"/>
      <c r="FJ39" s="334"/>
      <c r="FK39" s="334"/>
      <c r="FL39" s="334"/>
      <c r="FM39" s="334"/>
      <c r="FN39" s="334"/>
      <c r="FO39" s="334"/>
      <c r="FP39" s="334"/>
      <c r="FQ39" s="334"/>
      <c r="FR39" s="334"/>
      <c r="FS39" s="334"/>
      <c r="FT39" s="334"/>
      <c r="FU39" s="334"/>
      <c r="FV39" s="334"/>
      <c r="FW39" s="334"/>
      <c r="FX39" s="334"/>
      <c r="FY39" s="334"/>
      <c r="FZ39" s="334"/>
      <c r="GA39" s="334"/>
      <c r="GB39" s="334"/>
      <c r="GC39" s="334"/>
      <c r="GD39" s="334"/>
      <c r="GE39" s="334"/>
      <c r="GF39" s="334"/>
      <c r="GG39" s="334"/>
      <c r="GH39" s="334"/>
      <c r="GI39" s="334"/>
      <c r="GJ39" s="334"/>
      <c r="GK39" s="334"/>
      <c r="GL39" s="334"/>
      <c r="GM39" s="334"/>
      <c r="GN39" s="334"/>
      <c r="GO39" s="334"/>
      <c r="GP39" s="334"/>
      <c r="GQ39" s="334"/>
      <c r="GR39" s="334"/>
      <c r="GS39" s="334"/>
      <c r="GT39" s="334"/>
      <c r="GU39" s="334"/>
      <c r="GV39" s="334"/>
      <c r="GW39" s="334"/>
      <c r="GX39" s="334"/>
      <c r="GY39" s="334"/>
      <c r="GZ39" s="334"/>
      <c r="HA39" s="334"/>
      <c r="HB39" s="334"/>
      <c r="HC39" s="334"/>
      <c r="HD39" s="334"/>
      <c r="HE39" s="334"/>
      <c r="HF39" s="334"/>
      <c r="HG39" s="334"/>
      <c r="HH39" s="334"/>
      <c r="HI39" s="334"/>
      <c r="HJ39" s="334"/>
      <c r="HK39" s="334"/>
      <c r="HL39" s="334"/>
      <c r="HM39" s="334"/>
      <c r="HN39" s="334"/>
      <c r="HO39" s="334"/>
      <c r="HP39" s="334"/>
      <c r="HQ39" s="334"/>
      <c r="HR39" s="334"/>
      <c r="HS39" s="334"/>
      <c r="HT39" s="334"/>
      <c r="HU39" s="334"/>
      <c r="HV39" s="334"/>
      <c r="HW39" s="334"/>
      <c r="HX39" s="334"/>
      <c r="HY39" s="334"/>
      <c r="HZ39" s="334"/>
      <c r="IA39" s="334"/>
      <c r="IB39" s="334"/>
      <c r="IC39" s="334"/>
      <c r="ID39" s="334"/>
      <c r="IE39" s="334"/>
      <c r="IF39" s="334"/>
      <c r="IG39" s="334"/>
      <c r="IH39" s="334"/>
      <c r="II39" s="334"/>
      <c r="IJ39" s="334"/>
      <c r="IK39" s="334"/>
      <c r="IL39" s="334"/>
      <c r="IM39" s="334"/>
      <c r="IN39" s="334"/>
      <c r="IO39" s="334"/>
      <c r="IP39" s="334"/>
      <c r="IQ39" s="334"/>
      <c r="IR39" s="334"/>
    </row>
    <row r="40" spans="1:252" s="368" customFormat="1" x14ac:dyDescent="0.25">
      <c r="A40" s="366">
        <v>43685</v>
      </c>
      <c r="B40" s="367">
        <v>84.12</v>
      </c>
      <c r="C40" s="367">
        <v>29.77</v>
      </c>
      <c r="D40" s="367">
        <v>141.72999999999999</v>
      </c>
      <c r="E40" s="367">
        <v>77.55</v>
      </c>
      <c r="F40" s="367">
        <v>188.26</v>
      </c>
      <c r="G40" s="367">
        <v>15.89</v>
      </c>
      <c r="H40" s="367">
        <v>26.49</v>
      </c>
      <c r="I40" s="367">
        <v>86.06</v>
      </c>
      <c r="J40" s="367">
        <v>90.96</v>
      </c>
      <c r="K40" s="367">
        <v>269.58</v>
      </c>
      <c r="L40" s="367">
        <v>149.99</v>
      </c>
      <c r="M40" s="367">
        <v>79.39</v>
      </c>
      <c r="N40" s="367">
        <v>32.560001373299997</v>
      </c>
      <c r="O40" s="367">
        <v>12.6599998474</v>
      </c>
      <c r="P40" s="367">
        <v>25.4300003052</v>
      </c>
      <c r="Q40" s="367">
        <v>35.1100006104</v>
      </c>
      <c r="R40" s="367">
        <v>33.1199989319</v>
      </c>
      <c r="S40" s="367">
        <v>30.010000228900001</v>
      </c>
      <c r="T40" s="367">
        <v>26.459999084500001</v>
      </c>
      <c r="U40" s="367">
        <v>74.55</v>
      </c>
      <c r="V40" s="334"/>
      <c r="W40" s="334"/>
      <c r="X40" s="334"/>
      <c r="Y40" s="334"/>
      <c r="Z40" s="334"/>
      <c r="AA40" s="334"/>
      <c r="AB40" s="334"/>
      <c r="AC40" s="334"/>
      <c r="AD40" s="334"/>
      <c r="AE40" s="334"/>
      <c r="AF40" s="334"/>
      <c r="AG40" s="334"/>
      <c r="AH40" s="334"/>
      <c r="AI40" s="334"/>
      <c r="AJ40" s="334"/>
      <c r="AK40" s="334"/>
      <c r="AL40" s="334"/>
      <c r="AM40" s="334"/>
      <c r="AN40" s="334"/>
      <c r="AO40" s="334"/>
      <c r="AP40" s="334"/>
      <c r="AQ40" s="334"/>
      <c r="AR40" s="334"/>
      <c r="AS40" s="334"/>
      <c r="AT40" s="334"/>
      <c r="AU40" s="334"/>
      <c r="AV40" s="334"/>
      <c r="AW40" s="334"/>
      <c r="AX40" s="334"/>
      <c r="AY40" s="334"/>
      <c r="AZ40" s="334"/>
      <c r="BA40" s="334"/>
      <c r="BB40" s="334"/>
      <c r="BC40" s="334"/>
      <c r="BD40" s="334"/>
      <c r="BE40" s="334"/>
      <c r="BF40" s="334"/>
      <c r="BG40" s="334"/>
      <c r="BH40" s="334"/>
      <c r="BI40" s="334"/>
      <c r="BJ40" s="334"/>
      <c r="BK40" s="334"/>
      <c r="BL40" s="334"/>
      <c r="BM40" s="334"/>
      <c r="BN40" s="334"/>
      <c r="BO40" s="334"/>
      <c r="BP40" s="334"/>
      <c r="BQ40" s="334"/>
      <c r="BR40" s="334"/>
      <c r="BS40" s="334"/>
      <c r="BT40" s="334"/>
      <c r="BU40" s="334"/>
      <c r="BV40" s="334"/>
      <c r="BW40" s="334"/>
      <c r="BX40" s="334"/>
      <c r="BY40" s="334"/>
      <c r="BZ40" s="334"/>
      <c r="CA40" s="334"/>
      <c r="CB40" s="334"/>
      <c r="CC40" s="334"/>
      <c r="CD40" s="334"/>
      <c r="CE40" s="334"/>
      <c r="CF40" s="334"/>
      <c r="CG40" s="334"/>
      <c r="CH40" s="334"/>
      <c r="CI40" s="334"/>
      <c r="CJ40" s="334"/>
      <c r="CK40" s="334"/>
      <c r="CL40" s="334"/>
      <c r="CM40" s="334"/>
      <c r="CN40" s="334"/>
      <c r="CO40" s="334"/>
      <c r="CP40" s="334"/>
      <c r="CQ40" s="334"/>
      <c r="CR40" s="334"/>
      <c r="CS40" s="334"/>
      <c r="CT40" s="334"/>
      <c r="CU40" s="334"/>
      <c r="CV40" s="334"/>
      <c r="CW40" s="334"/>
      <c r="CX40" s="334"/>
      <c r="CY40" s="334"/>
      <c r="CZ40" s="334"/>
      <c r="DA40" s="334"/>
      <c r="DB40" s="334"/>
      <c r="DC40" s="334"/>
      <c r="DD40" s="334"/>
      <c r="DE40" s="334"/>
      <c r="DF40" s="334"/>
      <c r="DG40" s="334"/>
      <c r="DH40" s="334"/>
      <c r="DI40" s="334"/>
      <c r="DJ40" s="334"/>
      <c r="DK40" s="334"/>
      <c r="DL40" s="334"/>
      <c r="DM40" s="334"/>
      <c r="DN40" s="334"/>
      <c r="DO40" s="334"/>
      <c r="DP40" s="334"/>
      <c r="DQ40" s="334"/>
      <c r="DR40" s="334"/>
      <c r="DS40" s="334"/>
      <c r="DT40" s="334"/>
      <c r="DU40" s="334"/>
      <c r="DV40" s="334"/>
      <c r="DW40" s="334"/>
      <c r="DX40" s="334"/>
      <c r="DY40" s="334"/>
      <c r="DZ40" s="334"/>
      <c r="EA40" s="334"/>
      <c r="EB40" s="334"/>
      <c r="EC40" s="334"/>
      <c r="ED40" s="334"/>
      <c r="EE40" s="334"/>
      <c r="EF40" s="334"/>
      <c r="EG40" s="334"/>
      <c r="EH40" s="334"/>
      <c r="EI40" s="334"/>
      <c r="EJ40" s="334"/>
      <c r="EK40" s="334"/>
      <c r="EL40" s="334"/>
      <c r="EM40" s="334"/>
      <c r="EN40" s="334"/>
      <c r="EO40" s="334"/>
      <c r="EP40" s="334"/>
      <c r="EQ40" s="334"/>
      <c r="ER40" s="334"/>
      <c r="ES40" s="334"/>
      <c r="ET40" s="334"/>
      <c r="EU40" s="334"/>
      <c r="EV40" s="334"/>
      <c r="EW40" s="334"/>
      <c r="EX40" s="334"/>
      <c r="EY40" s="334"/>
      <c r="EZ40" s="334"/>
      <c r="FA40" s="334"/>
      <c r="FB40" s="334"/>
      <c r="FC40" s="334"/>
      <c r="FD40" s="334"/>
      <c r="FE40" s="334"/>
      <c r="FF40" s="334"/>
      <c r="FG40" s="334"/>
      <c r="FH40" s="334"/>
      <c r="FI40" s="334"/>
      <c r="FJ40" s="334"/>
      <c r="FK40" s="334"/>
      <c r="FL40" s="334"/>
      <c r="FM40" s="334"/>
      <c r="FN40" s="334"/>
      <c r="FO40" s="334"/>
      <c r="FP40" s="334"/>
      <c r="FQ40" s="334"/>
      <c r="FR40" s="334"/>
      <c r="FS40" s="334"/>
      <c r="FT40" s="334"/>
      <c r="FU40" s="334"/>
      <c r="FV40" s="334"/>
      <c r="FW40" s="334"/>
      <c r="FX40" s="334"/>
      <c r="FY40" s="334"/>
      <c r="FZ40" s="334"/>
      <c r="GA40" s="334"/>
      <c r="GB40" s="334"/>
      <c r="GC40" s="334"/>
      <c r="GD40" s="334"/>
      <c r="GE40" s="334"/>
      <c r="GF40" s="334"/>
      <c r="GG40" s="334"/>
      <c r="GH40" s="334"/>
      <c r="GI40" s="334"/>
      <c r="GJ40" s="334"/>
      <c r="GK40" s="334"/>
      <c r="GL40" s="334"/>
      <c r="GM40" s="334"/>
      <c r="GN40" s="334"/>
      <c r="GO40" s="334"/>
      <c r="GP40" s="334"/>
      <c r="GQ40" s="334"/>
      <c r="GR40" s="334"/>
      <c r="GS40" s="334"/>
      <c r="GT40" s="334"/>
      <c r="GU40" s="334"/>
      <c r="GV40" s="334"/>
      <c r="GW40" s="334"/>
      <c r="GX40" s="334"/>
      <c r="GY40" s="334"/>
      <c r="GZ40" s="334"/>
      <c r="HA40" s="334"/>
      <c r="HB40" s="334"/>
      <c r="HC40" s="334"/>
      <c r="HD40" s="334"/>
      <c r="HE40" s="334"/>
      <c r="HF40" s="334"/>
      <c r="HG40" s="334"/>
      <c r="HH40" s="334"/>
      <c r="HI40" s="334"/>
      <c r="HJ40" s="334"/>
      <c r="HK40" s="334"/>
      <c r="HL40" s="334"/>
      <c r="HM40" s="334"/>
      <c r="HN40" s="334"/>
      <c r="HO40" s="334"/>
      <c r="HP40" s="334"/>
      <c r="HQ40" s="334"/>
      <c r="HR40" s="334"/>
      <c r="HS40" s="334"/>
      <c r="HT40" s="334"/>
      <c r="HU40" s="334"/>
      <c r="HV40" s="334"/>
      <c r="HW40" s="334"/>
      <c r="HX40" s="334"/>
      <c r="HY40" s="334"/>
      <c r="HZ40" s="334"/>
      <c r="IA40" s="334"/>
      <c r="IB40" s="334"/>
      <c r="IC40" s="334"/>
      <c r="ID40" s="334"/>
      <c r="IE40" s="334"/>
      <c r="IF40" s="334"/>
      <c r="IG40" s="334"/>
      <c r="IH40" s="334"/>
      <c r="II40" s="334"/>
      <c r="IJ40" s="334"/>
      <c r="IK40" s="334"/>
      <c r="IL40" s="334"/>
      <c r="IM40" s="334"/>
      <c r="IN40" s="334"/>
      <c r="IO40" s="334"/>
      <c r="IP40" s="334"/>
      <c r="IQ40" s="334"/>
      <c r="IR40" s="334"/>
    </row>
    <row r="41" spans="1:252" s="368" customFormat="1" x14ac:dyDescent="0.25">
      <c r="A41" s="366">
        <v>43686</v>
      </c>
      <c r="B41" s="367">
        <v>83.97</v>
      </c>
      <c r="C41" s="367">
        <v>29.36</v>
      </c>
      <c r="D41" s="367">
        <v>141.26</v>
      </c>
      <c r="E41" s="367">
        <v>76.59</v>
      </c>
      <c r="F41" s="367">
        <v>186.49</v>
      </c>
      <c r="G41" s="367">
        <v>15.89</v>
      </c>
      <c r="H41" s="367">
        <v>26.46</v>
      </c>
      <c r="I41" s="367">
        <v>85.87</v>
      </c>
      <c r="J41" s="367">
        <v>90.85</v>
      </c>
      <c r="K41" s="367">
        <v>267.7</v>
      </c>
      <c r="L41" s="367">
        <v>148.91999999999999</v>
      </c>
      <c r="M41" s="367">
        <v>78.489999999999995</v>
      </c>
      <c r="N41" s="367">
        <v>32.3600006104</v>
      </c>
      <c r="O41" s="367">
        <v>12.6199998856</v>
      </c>
      <c r="P41" s="367">
        <v>25.280000686600001</v>
      </c>
      <c r="Q41" s="367">
        <v>34.970001220699999</v>
      </c>
      <c r="R41" s="367">
        <v>33</v>
      </c>
      <c r="S41" s="367">
        <v>29.9500007629</v>
      </c>
      <c r="T41" s="367">
        <v>26.399999618500001</v>
      </c>
      <c r="U41" s="367">
        <v>74.7</v>
      </c>
      <c r="V41" s="334"/>
      <c r="W41" s="334"/>
      <c r="X41" s="334"/>
      <c r="Y41" s="334"/>
      <c r="Z41" s="334"/>
      <c r="AA41" s="334"/>
      <c r="AB41" s="334"/>
      <c r="AC41" s="334"/>
      <c r="AD41" s="334"/>
      <c r="AE41" s="334"/>
      <c r="AF41" s="334"/>
      <c r="AG41" s="334"/>
      <c r="AH41" s="334"/>
      <c r="AI41" s="334"/>
      <c r="AJ41" s="334"/>
      <c r="AK41" s="334"/>
      <c r="AL41" s="334"/>
      <c r="AM41" s="334"/>
      <c r="AN41" s="334"/>
      <c r="AO41" s="334"/>
      <c r="AP41" s="334"/>
      <c r="AQ41" s="334"/>
      <c r="AR41" s="334"/>
      <c r="AS41" s="334"/>
      <c r="AT41" s="334"/>
      <c r="AU41" s="334"/>
      <c r="AV41" s="334"/>
      <c r="AW41" s="334"/>
      <c r="AX41" s="334"/>
      <c r="AY41" s="334"/>
      <c r="AZ41" s="334"/>
      <c r="BA41" s="334"/>
      <c r="BB41" s="334"/>
      <c r="BC41" s="334"/>
      <c r="BD41" s="334"/>
      <c r="BE41" s="334"/>
      <c r="BF41" s="334"/>
      <c r="BG41" s="334"/>
      <c r="BH41" s="334"/>
      <c r="BI41" s="334"/>
      <c r="BJ41" s="334"/>
      <c r="BK41" s="334"/>
      <c r="BL41" s="334"/>
      <c r="BM41" s="334"/>
      <c r="BN41" s="334"/>
      <c r="BO41" s="334"/>
      <c r="BP41" s="334"/>
      <c r="BQ41" s="334"/>
      <c r="BR41" s="334"/>
      <c r="BS41" s="334"/>
      <c r="BT41" s="334"/>
      <c r="BU41" s="334"/>
      <c r="BV41" s="334"/>
      <c r="BW41" s="334"/>
      <c r="BX41" s="334"/>
      <c r="BY41" s="334"/>
      <c r="BZ41" s="334"/>
      <c r="CA41" s="334"/>
      <c r="CB41" s="334"/>
      <c r="CC41" s="334"/>
      <c r="CD41" s="334"/>
      <c r="CE41" s="334"/>
      <c r="CF41" s="334"/>
      <c r="CG41" s="334"/>
      <c r="CH41" s="334"/>
      <c r="CI41" s="334"/>
      <c r="CJ41" s="334"/>
      <c r="CK41" s="334"/>
      <c r="CL41" s="334"/>
      <c r="CM41" s="334"/>
      <c r="CN41" s="334"/>
      <c r="CO41" s="334"/>
      <c r="CP41" s="334"/>
      <c r="CQ41" s="334"/>
      <c r="CR41" s="334"/>
      <c r="CS41" s="334"/>
      <c r="CT41" s="334"/>
      <c r="CU41" s="334"/>
      <c r="CV41" s="334"/>
      <c r="CW41" s="334"/>
      <c r="CX41" s="334"/>
      <c r="CY41" s="334"/>
      <c r="CZ41" s="334"/>
      <c r="DA41" s="334"/>
      <c r="DB41" s="334"/>
      <c r="DC41" s="334"/>
      <c r="DD41" s="334"/>
      <c r="DE41" s="334"/>
      <c r="DF41" s="334"/>
      <c r="DG41" s="334"/>
      <c r="DH41" s="334"/>
      <c r="DI41" s="334"/>
      <c r="DJ41" s="334"/>
      <c r="DK41" s="334"/>
      <c r="DL41" s="334"/>
      <c r="DM41" s="334"/>
      <c r="DN41" s="334"/>
      <c r="DO41" s="334"/>
      <c r="DP41" s="334"/>
      <c r="DQ41" s="334"/>
      <c r="DR41" s="334"/>
      <c r="DS41" s="334"/>
      <c r="DT41" s="334"/>
      <c r="DU41" s="334"/>
      <c r="DV41" s="334"/>
      <c r="DW41" s="334"/>
      <c r="DX41" s="334"/>
      <c r="DY41" s="334"/>
      <c r="DZ41" s="334"/>
      <c r="EA41" s="334"/>
      <c r="EB41" s="334"/>
      <c r="EC41" s="334"/>
      <c r="ED41" s="334"/>
      <c r="EE41" s="334"/>
      <c r="EF41" s="334"/>
      <c r="EG41" s="334"/>
      <c r="EH41" s="334"/>
      <c r="EI41" s="334"/>
      <c r="EJ41" s="334"/>
      <c r="EK41" s="334"/>
      <c r="EL41" s="334"/>
      <c r="EM41" s="334"/>
      <c r="EN41" s="334"/>
      <c r="EO41" s="334"/>
      <c r="EP41" s="334"/>
      <c r="EQ41" s="334"/>
      <c r="ER41" s="334"/>
      <c r="ES41" s="334"/>
      <c r="ET41" s="334"/>
      <c r="EU41" s="334"/>
      <c r="EV41" s="334"/>
      <c r="EW41" s="334"/>
      <c r="EX41" s="334"/>
      <c r="EY41" s="334"/>
      <c r="EZ41" s="334"/>
      <c r="FA41" s="334"/>
      <c r="FB41" s="334"/>
      <c r="FC41" s="334"/>
      <c r="FD41" s="334"/>
      <c r="FE41" s="334"/>
      <c r="FF41" s="334"/>
      <c r="FG41" s="334"/>
      <c r="FH41" s="334"/>
      <c r="FI41" s="334"/>
      <c r="FJ41" s="334"/>
      <c r="FK41" s="334"/>
      <c r="FL41" s="334"/>
      <c r="FM41" s="334"/>
      <c r="FN41" s="334"/>
      <c r="FO41" s="334"/>
      <c r="FP41" s="334"/>
      <c r="FQ41" s="334"/>
      <c r="FR41" s="334"/>
      <c r="FS41" s="334"/>
      <c r="FT41" s="334"/>
      <c r="FU41" s="334"/>
      <c r="FV41" s="334"/>
      <c r="FW41" s="334"/>
      <c r="FX41" s="334"/>
      <c r="FY41" s="334"/>
      <c r="FZ41" s="334"/>
      <c r="GA41" s="334"/>
      <c r="GB41" s="334"/>
      <c r="GC41" s="334"/>
      <c r="GD41" s="334"/>
      <c r="GE41" s="334"/>
      <c r="GF41" s="334"/>
      <c r="GG41" s="334"/>
      <c r="GH41" s="334"/>
      <c r="GI41" s="334"/>
      <c r="GJ41" s="334"/>
      <c r="GK41" s="334"/>
      <c r="GL41" s="334"/>
      <c r="GM41" s="334"/>
      <c r="GN41" s="334"/>
      <c r="GO41" s="334"/>
      <c r="GP41" s="334"/>
      <c r="GQ41" s="334"/>
      <c r="GR41" s="334"/>
      <c r="GS41" s="334"/>
      <c r="GT41" s="334"/>
      <c r="GU41" s="334"/>
      <c r="GV41" s="334"/>
      <c r="GW41" s="334"/>
      <c r="GX41" s="334"/>
      <c r="GY41" s="334"/>
      <c r="GZ41" s="334"/>
      <c r="HA41" s="334"/>
      <c r="HB41" s="334"/>
      <c r="HC41" s="334"/>
      <c r="HD41" s="334"/>
      <c r="HE41" s="334"/>
      <c r="HF41" s="334"/>
      <c r="HG41" s="334"/>
      <c r="HH41" s="334"/>
      <c r="HI41" s="334"/>
      <c r="HJ41" s="334"/>
      <c r="HK41" s="334"/>
      <c r="HL41" s="334"/>
      <c r="HM41" s="334"/>
      <c r="HN41" s="334"/>
      <c r="HO41" s="334"/>
      <c r="HP41" s="334"/>
      <c r="HQ41" s="334"/>
      <c r="HR41" s="334"/>
      <c r="HS41" s="334"/>
      <c r="HT41" s="334"/>
      <c r="HU41" s="334"/>
      <c r="HV41" s="334"/>
      <c r="HW41" s="334"/>
      <c r="HX41" s="334"/>
      <c r="HY41" s="334"/>
      <c r="HZ41" s="334"/>
      <c r="IA41" s="334"/>
      <c r="IB41" s="334"/>
      <c r="IC41" s="334"/>
      <c r="ID41" s="334"/>
      <c r="IE41" s="334"/>
      <c r="IF41" s="334"/>
      <c r="IG41" s="334"/>
      <c r="IH41" s="334"/>
      <c r="II41" s="334"/>
      <c r="IJ41" s="334"/>
      <c r="IK41" s="334"/>
      <c r="IL41" s="334"/>
      <c r="IM41" s="334"/>
      <c r="IN41" s="334"/>
      <c r="IO41" s="334"/>
      <c r="IP41" s="334"/>
      <c r="IQ41" s="334"/>
      <c r="IR41" s="334"/>
    </row>
    <row r="42" spans="1:252" s="368" customFormat="1" x14ac:dyDescent="0.25">
      <c r="A42" s="366">
        <v>43687</v>
      </c>
      <c r="B42" s="367">
        <v>83.97</v>
      </c>
      <c r="C42" s="367">
        <v>29.36</v>
      </c>
      <c r="D42" s="367">
        <v>141.26</v>
      </c>
      <c r="E42" s="367">
        <v>76.59</v>
      </c>
      <c r="F42" s="367">
        <v>186.49</v>
      </c>
      <c r="G42" s="367">
        <v>15.89</v>
      </c>
      <c r="H42" s="367">
        <v>26.46</v>
      </c>
      <c r="I42" s="367">
        <v>85.87</v>
      </c>
      <c r="J42" s="367">
        <v>90.85</v>
      </c>
      <c r="K42" s="367">
        <v>267.7</v>
      </c>
      <c r="L42" s="367">
        <v>148.91999999999999</v>
      </c>
      <c r="M42" s="367">
        <v>78.489999999999995</v>
      </c>
      <c r="N42" s="367">
        <v>32.3600006104</v>
      </c>
      <c r="O42" s="367">
        <v>12.6199998856</v>
      </c>
      <c r="P42" s="367">
        <v>25.280000686600001</v>
      </c>
      <c r="Q42" s="367">
        <v>34.970001220699999</v>
      </c>
      <c r="R42" s="367">
        <v>33</v>
      </c>
      <c r="S42" s="367">
        <v>29.9500007629</v>
      </c>
      <c r="T42" s="367">
        <v>26.399999618500001</v>
      </c>
      <c r="U42" s="367">
        <v>74.7</v>
      </c>
      <c r="V42" s="334"/>
      <c r="W42" s="334"/>
      <c r="X42" s="334"/>
      <c r="Y42" s="334"/>
      <c r="Z42" s="334"/>
      <c r="AA42" s="334"/>
      <c r="AB42" s="334"/>
      <c r="AC42" s="334"/>
      <c r="AD42" s="334"/>
      <c r="AE42" s="334"/>
      <c r="AF42" s="334"/>
      <c r="AG42" s="334"/>
      <c r="AH42" s="334"/>
      <c r="AI42" s="334"/>
      <c r="AJ42" s="334"/>
      <c r="AK42" s="334"/>
      <c r="AL42" s="334"/>
      <c r="AM42" s="334"/>
      <c r="AN42" s="334"/>
      <c r="AO42" s="334"/>
      <c r="AP42" s="334"/>
      <c r="AQ42" s="334"/>
      <c r="AR42" s="334"/>
      <c r="AS42" s="334"/>
      <c r="AT42" s="334"/>
      <c r="AU42" s="334"/>
      <c r="AV42" s="334"/>
      <c r="AW42" s="334"/>
      <c r="AX42" s="334"/>
      <c r="AY42" s="334"/>
      <c r="AZ42" s="334"/>
      <c r="BA42" s="334"/>
      <c r="BB42" s="334"/>
      <c r="BC42" s="334"/>
      <c r="BD42" s="334"/>
      <c r="BE42" s="334"/>
      <c r="BF42" s="334"/>
      <c r="BG42" s="334"/>
      <c r="BH42" s="334"/>
      <c r="BI42" s="334"/>
      <c r="BJ42" s="334"/>
      <c r="BK42" s="334"/>
      <c r="BL42" s="334"/>
      <c r="BM42" s="334"/>
      <c r="BN42" s="334"/>
      <c r="BO42" s="334"/>
      <c r="BP42" s="334"/>
      <c r="BQ42" s="334"/>
      <c r="BR42" s="334"/>
      <c r="BS42" s="334"/>
      <c r="BT42" s="334"/>
      <c r="BU42" s="334"/>
      <c r="BV42" s="334"/>
      <c r="BW42" s="334"/>
      <c r="BX42" s="334"/>
      <c r="BY42" s="334"/>
      <c r="BZ42" s="334"/>
      <c r="CA42" s="334"/>
      <c r="CB42" s="334"/>
      <c r="CC42" s="334"/>
      <c r="CD42" s="334"/>
      <c r="CE42" s="334"/>
      <c r="CF42" s="334"/>
      <c r="CG42" s="334"/>
      <c r="CH42" s="334"/>
      <c r="CI42" s="334"/>
      <c r="CJ42" s="334"/>
      <c r="CK42" s="334"/>
      <c r="CL42" s="334"/>
      <c r="CM42" s="334"/>
      <c r="CN42" s="334"/>
      <c r="CO42" s="334"/>
      <c r="CP42" s="334"/>
      <c r="CQ42" s="334"/>
      <c r="CR42" s="334"/>
      <c r="CS42" s="334"/>
      <c r="CT42" s="334"/>
      <c r="CU42" s="334"/>
      <c r="CV42" s="334"/>
      <c r="CW42" s="334"/>
      <c r="CX42" s="334"/>
      <c r="CY42" s="334"/>
      <c r="CZ42" s="334"/>
      <c r="DA42" s="334"/>
      <c r="DB42" s="334"/>
      <c r="DC42" s="334"/>
      <c r="DD42" s="334"/>
      <c r="DE42" s="334"/>
      <c r="DF42" s="334"/>
      <c r="DG42" s="334"/>
      <c r="DH42" s="334"/>
      <c r="DI42" s="334"/>
      <c r="DJ42" s="334"/>
      <c r="DK42" s="334"/>
      <c r="DL42" s="334"/>
      <c r="DM42" s="334"/>
      <c r="DN42" s="334"/>
      <c r="DO42" s="334"/>
      <c r="DP42" s="334"/>
      <c r="DQ42" s="334"/>
      <c r="DR42" s="334"/>
      <c r="DS42" s="334"/>
      <c r="DT42" s="334"/>
      <c r="DU42" s="334"/>
      <c r="DV42" s="334"/>
      <c r="DW42" s="334"/>
      <c r="DX42" s="334"/>
      <c r="DY42" s="334"/>
      <c r="DZ42" s="334"/>
      <c r="EA42" s="334"/>
      <c r="EB42" s="334"/>
      <c r="EC42" s="334"/>
      <c r="ED42" s="334"/>
      <c r="EE42" s="334"/>
      <c r="EF42" s="334"/>
      <c r="EG42" s="334"/>
      <c r="EH42" s="334"/>
      <c r="EI42" s="334"/>
      <c r="EJ42" s="334"/>
      <c r="EK42" s="334"/>
      <c r="EL42" s="334"/>
      <c r="EM42" s="334"/>
      <c r="EN42" s="334"/>
      <c r="EO42" s="334"/>
      <c r="EP42" s="334"/>
      <c r="EQ42" s="334"/>
      <c r="ER42" s="334"/>
      <c r="ES42" s="334"/>
      <c r="ET42" s="334"/>
      <c r="EU42" s="334"/>
      <c r="EV42" s="334"/>
      <c r="EW42" s="334"/>
      <c r="EX42" s="334"/>
      <c r="EY42" s="334"/>
      <c r="EZ42" s="334"/>
      <c r="FA42" s="334"/>
      <c r="FB42" s="334"/>
      <c r="FC42" s="334"/>
      <c r="FD42" s="334"/>
      <c r="FE42" s="334"/>
      <c r="FF42" s="334"/>
      <c r="FG42" s="334"/>
      <c r="FH42" s="334"/>
      <c r="FI42" s="334"/>
      <c r="FJ42" s="334"/>
      <c r="FK42" s="334"/>
      <c r="FL42" s="334"/>
      <c r="FM42" s="334"/>
      <c r="FN42" s="334"/>
      <c r="FO42" s="334"/>
      <c r="FP42" s="334"/>
      <c r="FQ42" s="334"/>
      <c r="FR42" s="334"/>
      <c r="FS42" s="334"/>
      <c r="FT42" s="334"/>
      <c r="FU42" s="334"/>
      <c r="FV42" s="334"/>
      <c r="FW42" s="334"/>
      <c r="FX42" s="334"/>
      <c r="FY42" s="334"/>
      <c r="FZ42" s="334"/>
      <c r="GA42" s="334"/>
      <c r="GB42" s="334"/>
      <c r="GC42" s="334"/>
      <c r="GD42" s="334"/>
      <c r="GE42" s="334"/>
      <c r="GF42" s="334"/>
      <c r="GG42" s="334"/>
      <c r="GH42" s="334"/>
      <c r="GI42" s="334"/>
      <c r="GJ42" s="334"/>
      <c r="GK42" s="334"/>
      <c r="GL42" s="334"/>
      <c r="GM42" s="334"/>
      <c r="GN42" s="334"/>
      <c r="GO42" s="334"/>
      <c r="GP42" s="334"/>
      <c r="GQ42" s="334"/>
      <c r="GR42" s="334"/>
      <c r="GS42" s="334"/>
      <c r="GT42" s="334"/>
      <c r="GU42" s="334"/>
      <c r="GV42" s="334"/>
      <c r="GW42" s="334"/>
      <c r="GX42" s="334"/>
      <c r="GY42" s="334"/>
      <c r="GZ42" s="334"/>
      <c r="HA42" s="334"/>
      <c r="HB42" s="334"/>
      <c r="HC42" s="334"/>
      <c r="HD42" s="334"/>
      <c r="HE42" s="334"/>
      <c r="HF42" s="334"/>
      <c r="HG42" s="334"/>
      <c r="HH42" s="334"/>
      <c r="HI42" s="334"/>
      <c r="HJ42" s="334"/>
      <c r="HK42" s="334"/>
      <c r="HL42" s="334"/>
      <c r="HM42" s="334"/>
      <c r="HN42" s="334"/>
      <c r="HO42" s="334"/>
      <c r="HP42" s="334"/>
      <c r="HQ42" s="334"/>
      <c r="HR42" s="334"/>
      <c r="HS42" s="334"/>
      <c r="HT42" s="334"/>
      <c r="HU42" s="334"/>
      <c r="HV42" s="334"/>
      <c r="HW42" s="334"/>
      <c r="HX42" s="334"/>
      <c r="HY42" s="334"/>
      <c r="HZ42" s="334"/>
      <c r="IA42" s="334"/>
      <c r="IB42" s="334"/>
      <c r="IC42" s="334"/>
      <c r="ID42" s="334"/>
      <c r="IE42" s="334"/>
      <c r="IF42" s="334"/>
      <c r="IG42" s="334"/>
      <c r="IH42" s="334"/>
      <c r="II42" s="334"/>
      <c r="IJ42" s="334"/>
      <c r="IK42" s="334"/>
      <c r="IL42" s="334"/>
      <c r="IM42" s="334"/>
      <c r="IN42" s="334"/>
      <c r="IO42" s="334"/>
      <c r="IP42" s="334"/>
      <c r="IQ42" s="334"/>
      <c r="IR42" s="334"/>
    </row>
    <row r="43" spans="1:252" s="368" customFormat="1" x14ac:dyDescent="0.25">
      <c r="A43" s="366">
        <v>43688</v>
      </c>
      <c r="B43" s="367">
        <v>83.97</v>
      </c>
      <c r="C43" s="367">
        <v>29.36</v>
      </c>
      <c r="D43" s="367">
        <v>141.26</v>
      </c>
      <c r="E43" s="367">
        <v>76.59</v>
      </c>
      <c r="F43" s="367">
        <v>186.49</v>
      </c>
      <c r="G43" s="367">
        <v>15.89</v>
      </c>
      <c r="H43" s="367">
        <v>26.46</v>
      </c>
      <c r="I43" s="367">
        <v>85.87</v>
      </c>
      <c r="J43" s="367">
        <v>90.85</v>
      </c>
      <c r="K43" s="367">
        <v>267.7</v>
      </c>
      <c r="L43" s="367">
        <v>148.91999999999999</v>
      </c>
      <c r="M43" s="367">
        <v>78.489999999999995</v>
      </c>
      <c r="N43" s="367">
        <v>32.3600006104</v>
      </c>
      <c r="O43" s="367">
        <v>12.6199998856</v>
      </c>
      <c r="P43" s="367">
        <v>25.280000686600001</v>
      </c>
      <c r="Q43" s="367">
        <v>34.970001220699999</v>
      </c>
      <c r="R43" s="367">
        <v>33</v>
      </c>
      <c r="S43" s="367">
        <v>29.9500007629</v>
      </c>
      <c r="T43" s="367">
        <v>26.399999618500001</v>
      </c>
      <c r="U43" s="367">
        <v>74.7</v>
      </c>
      <c r="V43" s="334"/>
      <c r="W43" s="334"/>
      <c r="X43" s="334"/>
      <c r="Y43" s="334"/>
      <c r="Z43" s="334"/>
      <c r="AA43" s="334"/>
      <c r="AB43" s="334"/>
      <c r="AC43" s="334"/>
      <c r="AD43" s="334"/>
      <c r="AE43" s="334"/>
      <c r="AF43" s="334"/>
      <c r="AG43" s="334"/>
      <c r="AH43" s="334"/>
      <c r="AI43" s="334"/>
      <c r="AJ43" s="334"/>
      <c r="AK43" s="334"/>
      <c r="AL43" s="334"/>
      <c r="AM43" s="334"/>
      <c r="AN43" s="334"/>
      <c r="AO43" s="334"/>
      <c r="AP43" s="334"/>
      <c r="AQ43" s="334"/>
      <c r="AR43" s="334"/>
      <c r="AS43" s="334"/>
      <c r="AT43" s="334"/>
      <c r="AU43" s="334"/>
      <c r="AV43" s="334"/>
      <c r="AW43" s="334"/>
      <c r="AX43" s="334"/>
      <c r="AY43" s="334"/>
      <c r="AZ43" s="334"/>
      <c r="BA43" s="334"/>
      <c r="BB43" s="334"/>
      <c r="BC43" s="334"/>
      <c r="BD43" s="334"/>
      <c r="BE43" s="334"/>
      <c r="BF43" s="334"/>
      <c r="BG43" s="334"/>
      <c r="BH43" s="334"/>
      <c r="BI43" s="334"/>
      <c r="BJ43" s="334"/>
      <c r="BK43" s="334"/>
      <c r="BL43" s="334"/>
      <c r="BM43" s="334"/>
      <c r="BN43" s="334"/>
      <c r="BO43" s="334"/>
      <c r="BP43" s="334"/>
      <c r="BQ43" s="334"/>
      <c r="BR43" s="334"/>
      <c r="BS43" s="334"/>
      <c r="BT43" s="334"/>
      <c r="BU43" s="334"/>
      <c r="BV43" s="334"/>
      <c r="BW43" s="334"/>
      <c r="BX43" s="334"/>
      <c r="BY43" s="334"/>
      <c r="BZ43" s="334"/>
      <c r="CA43" s="334"/>
      <c r="CB43" s="334"/>
      <c r="CC43" s="334"/>
      <c r="CD43" s="334"/>
      <c r="CE43" s="334"/>
      <c r="CF43" s="334"/>
      <c r="CG43" s="334"/>
      <c r="CH43" s="334"/>
      <c r="CI43" s="334"/>
      <c r="CJ43" s="334"/>
      <c r="CK43" s="334"/>
      <c r="CL43" s="334"/>
      <c r="CM43" s="334"/>
      <c r="CN43" s="334"/>
      <c r="CO43" s="334"/>
      <c r="CP43" s="334"/>
      <c r="CQ43" s="334"/>
      <c r="CR43" s="334"/>
      <c r="CS43" s="334"/>
      <c r="CT43" s="334"/>
      <c r="CU43" s="334"/>
      <c r="CV43" s="334"/>
      <c r="CW43" s="334"/>
      <c r="CX43" s="334"/>
      <c r="CY43" s="334"/>
      <c r="CZ43" s="334"/>
      <c r="DA43" s="334"/>
      <c r="DB43" s="334"/>
      <c r="DC43" s="334"/>
      <c r="DD43" s="334"/>
      <c r="DE43" s="334"/>
      <c r="DF43" s="334"/>
      <c r="DG43" s="334"/>
      <c r="DH43" s="334"/>
      <c r="DI43" s="334"/>
      <c r="DJ43" s="334"/>
      <c r="DK43" s="334"/>
      <c r="DL43" s="334"/>
      <c r="DM43" s="334"/>
      <c r="DN43" s="334"/>
      <c r="DO43" s="334"/>
      <c r="DP43" s="334"/>
      <c r="DQ43" s="334"/>
      <c r="DR43" s="334"/>
      <c r="DS43" s="334"/>
      <c r="DT43" s="334"/>
      <c r="DU43" s="334"/>
      <c r="DV43" s="334"/>
      <c r="DW43" s="334"/>
      <c r="DX43" s="334"/>
      <c r="DY43" s="334"/>
      <c r="DZ43" s="334"/>
      <c r="EA43" s="334"/>
      <c r="EB43" s="334"/>
      <c r="EC43" s="334"/>
      <c r="ED43" s="334"/>
      <c r="EE43" s="334"/>
      <c r="EF43" s="334"/>
      <c r="EG43" s="334"/>
      <c r="EH43" s="334"/>
      <c r="EI43" s="334"/>
      <c r="EJ43" s="334"/>
      <c r="EK43" s="334"/>
      <c r="EL43" s="334"/>
      <c r="EM43" s="334"/>
      <c r="EN43" s="334"/>
      <c r="EO43" s="334"/>
      <c r="EP43" s="334"/>
      <c r="EQ43" s="334"/>
      <c r="ER43" s="334"/>
      <c r="ES43" s="334"/>
      <c r="ET43" s="334"/>
      <c r="EU43" s="334"/>
      <c r="EV43" s="334"/>
      <c r="EW43" s="334"/>
      <c r="EX43" s="334"/>
      <c r="EY43" s="334"/>
      <c r="EZ43" s="334"/>
      <c r="FA43" s="334"/>
      <c r="FB43" s="334"/>
      <c r="FC43" s="334"/>
      <c r="FD43" s="334"/>
      <c r="FE43" s="334"/>
      <c r="FF43" s="334"/>
      <c r="FG43" s="334"/>
      <c r="FH43" s="334"/>
      <c r="FI43" s="334"/>
      <c r="FJ43" s="334"/>
      <c r="FK43" s="334"/>
      <c r="FL43" s="334"/>
      <c r="FM43" s="334"/>
      <c r="FN43" s="334"/>
      <c r="FO43" s="334"/>
      <c r="FP43" s="334"/>
      <c r="FQ43" s="334"/>
      <c r="FR43" s="334"/>
      <c r="FS43" s="334"/>
      <c r="FT43" s="334"/>
      <c r="FU43" s="334"/>
      <c r="FV43" s="334"/>
      <c r="FW43" s="334"/>
      <c r="FX43" s="334"/>
      <c r="FY43" s="334"/>
      <c r="FZ43" s="334"/>
      <c r="GA43" s="334"/>
      <c r="GB43" s="334"/>
      <c r="GC43" s="334"/>
      <c r="GD43" s="334"/>
      <c r="GE43" s="334"/>
      <c r="GF43" s="334"/>
      <c r="GG43" s="334"/>
      <c r="GH43" s="334"/>
      <c r="GI43" s="334"/>
      <c r="GJ43" s="334"/>
      <c r="GK43" s="334"/>
      <c r="GL43" s="334"/>
      <c r="GM43" s="334"/>
      <c r="GN43" s="334"/>
      <c r="GO43" s="334"/>
      <c r="GP43" s="334"/>
      <c r="GQ43" s="334"/>
      <c r="GR43" s="334"/>
      <c r="GS43" s="334"/>
      <c r="GT43" s="334"/>
      <c r="GU43" s="334"/>
      <c r="GV43" s="334"/>
      <c r="GW43" s="334"/>
      <c r="GX43" s="334"/>
      <c r="GY43" s="334"/>
      <c r="GZ43" s="334"/>
      <c r="HA43" s="334"/>
      <c r="HB43" s="334"/>
      <c r="HC43" s="334"/>
      <c r="HD43" s="334"/>
      <c r="HE43" s="334"/>
      <c r="HF43" s="334"/>
      <c r="HG43" s="334"/>
      <c r="HH43" s="334"/>
      <c r="HI43" s="334"/>
      <c r="HJ43" s="334"/>
      <c r="HK43" s="334"/>
      <c r="HL43" s="334"/>
      <c r="HM43" s="334"/>
      <c r="HN43" s="334"/>
      <c r="HO43" s="334"/>
      <c r="HP43" s="334"/>
      <c r="HQ43" s="334"/>
      <c r="HR43" s="334"/>
      <c r="HS43" s="334"/>
      <c r="HT43" s="334"/>
      <c r="HU43" s="334"/>
      <c r="HV43" s="334"/>
      <c r="HW43" s="334"/>
      <c r="HX43" s="334"/>
      <c r="HY43" s="334"/>
      <c r="HZ43" s="334"/>
      <c r="IA43" s="334"/>
      <c r="IB43" s="334"/>
      <c r="IC43" s="334"/>
      <c r="ID43" s="334"/>
      <c r="IE43" s="334"/>
      <c r="IF43" s="334"/>
      <c r="IG43" s="334"/>
      <c r="IH43" s="334"/>
      <c r="II43" s="334"/>
      <c r="IJ43" s="334"/>
      <c r="IK43" s="334"/>
      <c r="IL43" s="334"/>
      <c r="IM43" s="334"/>
      <c r="IN43" s="334"/>
      <c r="IO43" s="334"/>
      <c r="IP43" s="334"/>
      <c r="IQ43" s="334"/>
      <c r="IR43" s="334"/>
    </row>
    <row r="44" spans="1:252" s="368" customFormat="1" x14ac:dyDescent="0.25">
      <c r="A44" s="366">
        <v>43689</v>
      </c>
      <c r="B44" s="367">
        <v>84.34</v>
      </c>
      <c r="C44" s="367">
        <v>29</v>
      </c>
      <c r="D44" s="367">
        <v>142.63</v>
      </c>
      <c r="E44" s="367">
        <v>75.709999999999994</v>
      </c>
      <c r="F44" s="367">
        <v>184.35</v>
      </c>
      <c r="G44" s="367">
        <v>15.98</v>
      </c>
      <c r="H44" s="367">
        <v>26.44</v>
      </c>
      <c r="I44" s="367">
        <v>87.66</v>
      </c>
      <c r="J44" s="367">
        <v>90.61</v>
      </c>
      <c r="K44" s="367">
        <v>264.58</v>
      </c>
      <c r="L44" s="367">
        <v>147.08000000000001</v>
      </c>
      <c r="M44" s="367">
        <v>77.45</v>
      </c>
      <c r="N44" s="367">
        <v>31.979999542200002</v>
      </c>
      <c r="O44" s="367">
        <v>12.7700004578</v>
      </c>
      <c r="P44" s="367">
        <v>25.1399993896</v>
      </c>
      <c r="Q44" s="367">
        <v>34.939998626700003</v>
      </c>
      <c r="R44" s="367">
        <v>32.779998779300001</v>
      </c>
      <c r="S44" s="367">
        <v>29.879999160800001</v>
      </c>
      <c r="T44" s="367">
        <v>26.520000457799998</v>
      </c>
      <c r="U44" s="367">
        <v>74.510000000000005</v>
      </c>
      <c r="V44" s="334"/>
      <c r="W44" s="334"/>
      <c r="X44" s="334"/>
      <c r="Y44" s="334"/>
      <c r="Z44" s="334"/>
      <c r="AA44" s="334"/>
      <c r="AB44" s="334"/>
      <c r="AC44" s="334"/>
      <c r="AD44" s="334"/>
      <c r="AE44" s="334"/>
      <c r="AF44" s="334"/>
      <c r="AG44" s="334"/>
      <c r="AH44" s="334"/>
      <c r="AI44" s="334"/>
      <c r="AJ44" s="334"/>
      <c r="AK44" s="334"/>
      <c r="AL44" s="334"/>
      <c r="AM44" s="334"/>
      <c r="AN44" s="334"/>
      <c r="AO44" s="334"/>
      <c r="AP44" s="334"/>
      <c r="AQ44" s="334"/>
      <c r="AR44" s="334"/>
      <c r="AS44" s="334"/>
      <c r="AT44" s="334"/>
      <c r="AU44" s="334"/>
      <c r="AV44" s="334"/>
      <c r="AW44" s="334"/>
      <c r="AX44" s="334"/>
      <c r="AY44" s="334"/>
      <c r="AZ44" s="334"/>
      <c r="BA44" s="334"/>
      <c r="BB44" s="334"/>
      <c r="BC44" s="334"/>
      <c r="BD44" s="334"/>
      <c r="BE44" s="334"/>
      <c r="BF44" s="334"/>
      <c r="BG44" s="334"/>
      <c r="BH44" s="334"/>
      <c r="BI44" s="334"/>
      <c r="BJ44" s="334"/>
      <c r="BK44" s="334"/>
      <c r="BL44" s="334"/>
      <c r="BM44" s="334"/>
      <c r="BN44" s="334"/>
      <c r="BO44" s="334"/>
      <c r="BP44" s="334"/>
      <c r="BQ44" s="334"/>
      <c r="BR44" s="334"/>
      <c r="BS44" s="334"/>
      <c r="BT44" s="334"/>
      <c r="BU44" s="334"/>
      <c r="BV44" s="334"/>
      <c r="BW44" s="334"/>
      <c r="BX44" s="334"/>
      <c r="BY44" s="334"/>
      <c r="BZ44" s="334"/>
      <c r="CA44" s="334"/>
      <c r="CB44" s="334"/>
      <c r="CC44" s="334"/>
      <c r="CD44" s="334"/>
      <c r="CE44" s="334"/>
      <c r="CF44" s="334"/>
      <c r="CG44" s="334"/>
      <c r="CH44" s="334"/>
      <c r="CI44" s="334"/>
      <c r="CJ44" s="334"/>
      <c r="CK44" s="334"/>
      <c r="CL44" s="334"/>
      <c r="CM44" s="334"/>
      <c r="CN44" s="334"/>
      <c r="CO44" s="334"/>
      <c r="CP44" s="334"/>
      <c r="CQ44" s="334"/>
      <c r="CR44" s="334"/>
      <c r="CS44" s="334"/>
      <c r="CT44" s="334"/>
      <c r="CU44" s="334"/>
      <c r="CV44" s="334"/>
      <c r="CW44" s="334"/>
      <c r="CX44" s="334"/>
      <c r="CY44" s="334"/>
      <c r="CZ44" s="334"/>
      <c r="DA44" s="334"/>
      <c r="DB44" s="334"/>
      <c r="DC44" s="334"/>
      <c r="DD44" s="334"/>
      <c r="DE44" s="334"/>
      <c r="DF44" s="334"/>
      <c r="DG44" s="334"/>
      <c r="DH44" s="334"/>
      <c r="DI44" s="334"/>
      <c r="DJ44" s="334"/>
      <c r="DK44" s="334"/>
      <c r="DL44" s="334"/>
      <c r="DM44" s="334"/>
      <c r="DN44" s="334"/>
      <c r="DO44" s="334"/>
      <c r="DP44" s="334"/>
      <c r="DQ44" s="334"/>
      <c r="DR44" s="334"/>
      <c r="DS44" s="334"/>
      <c r="DT44" s="334"/>
      <c r="DU44" s="334"/>
      <c r="DV44" s="334"/>
      <c r="DW44" s="334"/>
      <c r="DX44" s="334"/>
      <c r="DY44" s="334"/>
      <c r="DZ44" s="334"/>
      <c r="EA44" s="334"/>
      <c r="EB44" s="334"/>
      <c r="EC44" s="334"/>
      <c r="ED44" s="334"/>
      <c r="EE44" s="334"/>
      <c r="EF44" s="334"/>
      <c r="EG44" s="334"/>
      <c r="EH44" s="334"/>
      <c r="EI44" s="334"/>
      <c r="EJ44" s="334"/>
      <c r="EK44" s="334"/>
      <c r="EL44" s="334"/>
      <c r="EM44" s="334"/>
      <c r="EN44" s="334"/>
      <c r="EO44" s="334"/>
      <c r="EP44" s="334"/>
      <c r="EQ44" s="334"/>
      <c r="ER44" s="334"/>
      <c r="ES44" s="334"/>
      <c r="ET44" s="334"/>
      <c r="EU44" s="334"/>
      <c r="EV44" s="334"/>
      <c r="EW44" s="334"/>
      <c r="EX44" s="334"/>
      <c r="EY44" s="334"/>
      <c r="EZ44" s="334"/>
      <c r="FA44" s="334"/>
      <c r="FB44" s="334"/>
      <c r="FC44" s="334"/>
      <c r="FD44" s="334"/>
      <c r="FE44" s="334"/>
      <c r="FF44" s="334"/>
      <c r="FG44" s="334"/>
      <c r="FH44" s="334"/>
      <c r="FI44" s="334"/>
      <c r="FJ44" s="334"/>
      <c r="FK44" s="334"/>
      <c r="FL44" s="334"/>
      <c r="FM44" s="334"/>
      <c r="FN44" s="334"/>
      <c r="FO44" s="334"/>
      <c r="FP44" s="334"/>
      <c r="FQ44" s="334"/>
      <c r="FR44" s="334"/>
      <c r="FS44" s="334"/>
      <c r="FT44" s="334"/>
      <c r="FU44" s="334"/>
      <c r="FV44" s="334"/>
      <c r="FW44" s="334"/>
      <c r="FX44" s="334"/>
      <c r="FY44" s="334"/>
      <c r="FZ44" s="334"/>
      <c r="GA44" s="334"/>
      <c r="GB44" s="334"/>
      <c r="GC44" s="334"/>
      <c r="GD44" s="334"/>
      <c r="GE44" s="334"/>
      <c r="GF44" s="334"/>
      <c r="GG44" s="334"/>
      <c r="GH44" s="334"/>
      <c r="GI44" s="334"/>
      <c r="GJ44" s="334"/>
      <c r="GK44" s="334"/>
      <c r="GL44" s="334"/>
      <c r="GM44" s="334"/>
      <c r="GN44" s="334"/>
      <c r="GO44" s="334"/>
      <c r="GP44" s="334"/>
      <c r="GQ44" s="334"/>
      <c r="GR44" s="334"/>
      <c r="GS44" s="334"/>
      <c r="GT44" s="334"/>
      <c r="GU44" s="334"/>
      <c r="GV44" s="334"/>
      <c r="GW44" s="334"/>
      <c r="GX44" s="334"/>
      <c r="GY44" s="334"/>
      <c r="GZ44" s="334"/>
      <c r="HA44" s="334"/>
      <c r="HB44" s="334"/>
      <c r="HC44" s="334"/>
      <c r="HD44" s="334"/>
      <c r="HE44" s="334"/>
      <c r="HF44" s="334"/>
      <c r="HG44" s="334"/>
      <c r="HH44" s="334"/>
      <c r="HI44" s="334"/>
      <c r="HJ44" s="334"/>
      <c r="HK44" s="334"/>
      <c r="HL44" s="334"/>
      <c r="HM44" s="334"/>
      <c r="HN44" s="334"/>
      <c r="HO44" s="334"/>
      <c r="HP44" s="334"/>
      <c r="HQ44" s="334"/>
      <c r="HR44" s="334"/>
      <c r="HS44" s="334"/>
      <c r="HT44" s="334"/>
      <c r="HU44" s="334"/>
      <c r="HV44" s="334"/>
      <c r="HW44" s="334"/>
      <c r="HX44" s="334"/>
      <c r="HY44" s="334"/>
      <c r="HZ44" s="334"/>
      <c r="IA44" s="334"/>
      <c r="IB44" s="334"/>
      <c r="IC44" s="334"/>
      <c r="ID44" s="334"/>
      <c r="IE44" s="334"/>
      <c r="IF44" s="334"/>
      <c r="IG44" s="334"/>
      <c r="IH44" s="334"/>
      <c r="II44" s="334"/>
      <c r="IJ44" s="334"/>
      <c r="IK44" s="334"/>
      <c r="IL44" s="334"/>
      <c r="IM44" s="334"/>
      <c r="IN44" s="334"/>
      <c r="IO44" s="334"/>
      <c r="IP44" s="334"/>
      <c r="IQ44" s="334"/>
      <c r="IR44" s="334"/>
    </row>
    <row r="45" spans="1:252" s="368" customFormat="1" x14ac:dyDescent="0.25">
      <c r="A45" s="366">
        <v>43690</v>
      </c>
      <c r="B45" s="367">
        <v>84.21</v>
      </c>
      <c r="C45" s="367">
        <v>28.45</v>
      </c>
      <c r="D45" s="367">
        <v>141.78</v>
      </c>
      <c r="E45" s="367">
        <v>76.52</v>
      </c>
      <c r="F45" s="367">
        <v>188.39</v>
      </c>
      <c r="G45" s="367">
        <v>15.87</v>
      </c>
      <c r="H45" s="367">
        <v>26.56</v>
      </c>
      <c r="I45" s="367">
        <v>87.33</v>
      </c>
      <c r="J45" s="367">
        <v>90.74</v>
      </c>
      <c r="K45" s="367">
        <v>268.66000000000003</v>
      </c>
      <c r="L45" s="367">
        <v>149.18</v>
      </c>
      <c r="M45" s="367">
        <v>79.400000000000006</v>
      </c>
      <c r="N45" s="367">
        <v>32.450000762899997</v>
      </c>
      <c r="O45" s="367">
        <v>12.6800003052</v>
      </c>
      <c r="P45" s="367">
        <v>25.340000152599998</v>
      </c>
      <c r="Q45" s="367">
        <v>35.1199989319</v>
      </c>
      <c r="R45" s="367">
        <v>33</v>
      </c>
      <c r="S45" s="367">
        <v>29.25</v>
      </c>
      <c r="T45" s="367">
        <v>26.5</v>
      </c>
      <c r="U45" s="367">
        <v>74.56</v>
      </c>
      <c r="V45" s="334"/>
      <c r="W45" s="334"/>
      <c r="X45" s="334"/>
      <c r="Y45" s="334"/>
      <c r="Z45" s="334"/>
      <c r="AA45" s="334"/>
      <c r="AB45" s="334"/>
      <c r="AC45" s="334"/>
      <c r="AD45" s="334"/>
      <c r="AE45" s="334"/>
      <c r="AF45" s="334"/>
      <c r="AG45" s="334"/>
      <c r="AH45" s="334"/>
      <c r="AI45" s="334"/>
      <c r="AJ45" s="334"/>
      <c r="AK45" s="334"/>
      <c r="AL45" s="334"/>
      <c r="AM45" s="334"/>
      <c r="AN45" s="334"/>
      <c r="AO45" s="334"/>
      <c r="AP45" s="334"/>
      <c r="AQ45" s="334"/>
      <c r="AR45" s="334"/>
      <c r="AS45" s="334"/>
      <c r="AT45" s="334"/>
      <c r="AU45" s="334"/>
      <c r="AV45" s="334"/>
      <c r="AW45" s="334"/>
      <c r="AX45" s="334"/>
      <c r="AY45" s="334"/>
      <c r="AZ45" s="334"/>
      <c r="BA45" s="334"/>
      <c r="BB45" s="334"/>
      <c r="BC45" s="334"/>
      <c r="BD45" s="334"/>
      <c r="BE45" s="334"/>
      <c r="BF45" s="334"/>
      <c r="BG45" s="334"/>
      <c r="BH45" s="334"/>
      <c r="BI45" s="334"/>
      <c r="BJ45" s="334"/>
      <c r="BK45" s="334"/>
      <c r="BL45" s="334"/>
      <c r="BM45" s="334"/>
      <c r="BN45" s="334"/>
      <c r="BO45" s="334"/>
      <c r="BP45" s="334"/>
      <c r="BQ45" s="334"/>
      <c r="BR45" s="334"/>
      <c r="BS45" s="334"/>
      <c r="BT45" s="334"/>
      <c r="BU45" s="334"/>
      <c r="BV45" s="334"/>
      <c r="BW45" s="334"/>
      <c r="BX45" s="334"/>
      <c r="BY45" s="334"/>
      <c r="BZ45" s="334"/>
      <c r="CA45" s="334"/>
      <c r="CB45" s="334"/>
      <c r="CC45" s="334"/>
      <c r="CD45" s="334"/>
      <c r="CE45" s="334"/>
      <c r="CF45" s="334"/>
      <c r="CG45" s="334"/>
      <c r="CH45" s="334"/>
      <c r="CI45" s="334"/>
      <c r="CJ45" s="334"/>
      <c r="CK45" s="334"/>
      <c r="CL45" s="334"/>
      <c r="CM45" s="334"/>
      <c r="CN45" s="334"/>
      <c r="CO45" s="334"/>
      <c r="CP45" s="334"/>
      <c r="CQ45" s="334"/>
      <c r="CR45" s="334"/>
      <c r="CS45" s="334"/>
      <c r="CT45" s="334"/>
      <c r="CU45" s="334"/>
      <c r="CV45" s="334"/>
      <c r="CW45" s="334"/>
      <c r="CX45" s="334"/>
      <c r="CY45" s="334"/>
      <c r="CZ45" s="334"/>
      <c r="DA45" s="334"/>
      <c r="DB45" s="334"/>
      <c r="DC45" s="334"/>
      <c r="DD45" s="334"/>
      <c r="DE45" s="334"/>
      <c r="DF45" s="334"/>
      <c r="DG45" s="334"/>
      <c r="DH45" s="334"/>
      <c r="DI45" s="334"/>
      <c r="DJ45" s="334"/>
      <c r="DK45" s="334"/>
      <c r="DL45" s="334"/>
      <c r="DM45" s="334"/>
      <c r="DN45" s="334"/>
      <c r="DO45" s="334"/>
      <c r="DP45" s="334"/>
      <c r="DQ45" s="334"/>
      <c r="DR45" s="334"/>
      <c r="DS45" s="334"/>
      <c r="DT45" s="334"/>
      <c r="DU45" s="334"/>
      <c r="DV45" s="334"/>
      <c r="DW45" s="334"/>
      <c r="DX45" s="334"/>
      <c r="DY45" s="334"/>
      <c r="DZ45" s="334"/>
      <c r="EA45" s="334"/>
      <c r="EB45" s="334"/>
      <c r="EC45" s="334"/>
      <c r="ED45" s="334"/>
      <c r="EE45" s="334"/>
      <c r="EF45" s="334"/>
      <c r="EG45" s="334"/>
      <c r="EH45" s="334"/>
      <c r="EI45" s="334"/>
      <c r="EJ45" s="334"/>
      <c r="EK45" s="334"/>
      <c r="EL45" s="334"/>
      <c r="EM45" s="334"/>
      <c r="EN45" s="334"/>
      <c r="EO45" s="334"/>
      <c r="EP45" s="334"/>
      <c r="EQ45" s="334"/>
      <c r="ER45" s="334"/>
      <c r="ES45" s="334"/>
      <c r="ET45" s="334"/>
      <c r="EU45" s="334"/>
      <c r="EV45" s="334"/>
      <c r="EW45" s="334"/>
      <c r="EX45" s="334"/>
      <c r="EY45" s="334"/>
      <c r="EZ45" s="334"/>
      <c r="FA45" s="334"/>
      <c r="FB45" s="334"/>
      <c r="FC45" s="334"/>
      <c r="FD45" s="334"/>
      <c r="FE45" s="334"/>
      <c r="FF45" s="334"/>
      <c r="FG45" s="334"/>
      <c r="FH45" s="334"/>
      <c r="FI45" s="334"/>
      <c r="FJ45" s="334"/>
      <c r="FK45" s="334"/>
      <c r="FL45" s="334"/>
      <c r="FM45" s="334"/>
      <c r="FN45" s="334"/>
      <c r="FO45" s="334"/>
      <c r="FP45" s="334"/>
      <c r="FQ45" s="334"/>
      <c r="FR45" s="334"/>
      <c r="FS45" s="334"/>
      <c r="FT45" s="334"/>
      <c r="FU45" s="334"/>
      <c r="FV45" s="334"/>
      <c r="FW45" s="334"/>
      <c r="FX45" s="334"/>
      <c r="FY45" s="334"/>
      <c r="FZ45" s="334"/>
      <c r="GA45" s="334"/>
      <c r="GB45" s="334"/>
      <c r="GC45" s="334"/>
      <c r="GD45" s="334"/>
      <c r="GE45" s="334"/>
      <c r="GF45" s="334"/>
      <c r="GG45" s="334"/>
      <c r="GH45" s="334"/>
      <c r="GI45" s="334"/>
      <c r="GJ45" s="334"/>
      <c r="GK45" s="334"/>
      <c r="GL45" s="334"/>
      <c r="GM45" s="334"/>
      <c r="GN45" s="334"/>
      <c r="GO45" s="334"/>
      <c r="GP45" s="334"/>
      <c r="GQ45" s="334"/>
      <c r="GR45" s="334"/>
      <c r="GS45" s="334"/>
      <c r="GT45" s="334"/>
      <c r="GU45" s="334"/>
      <c r="GV45" s="334"/>
      <c r="GW45" s="334"/>
      <c r="GX45" s="334"/>
      <c r="GY45" s="334"/>
      <c r="GZ45" s="334"/>
      <c r="HA45" s="334"/>
      <c r="HB45" s="334"/>
      <c r="HC45" s="334"/>
      <c r="HD45" s="334"/>
      <c r="HE45" s="334"/>
      <c r="HF45" s="334"/>
      <c r="HG45" s="334"/>
      <c r="HH45" s="334"/>
      <c r="HI45" s="334"/>
      <c r="HJ45" s="334"/>
      <c r="HK45" s="334"/>
      <c r="HL45" s="334"/>
      <c r="HM45" s="334"/>
      <c r="HN45" s="334"/>
      <c r="HO45" s="334"/>
      <c r="HP45" s="334"/>
      <c r="HQ45" s="334"/>
      <c r="HR45" s="334"/>
      <c r="HS45" s="334"/>
      <c r="HT45" s="334"/>
      <c r="HU45" s="334"/>
      <c r="HV45" s="334"/>
      <c r="HW45" s="334"/>
      <c r="HX45" s="334"/>
      <c r="HY45" s="334"/>
      <c r="HZ45" s="334"/>
      <c r="IA45" s="334"/>
      <c r="IB45" s="334"/>
      <c r="IC45" s="334"/>
      <c r="ID45" s="334"/>
      <c r="IE45" s="334"/>
      <c r="IF45" s="334"/>
      <c r="IG45" s="334"/>
      <c r="IH45" s="334"/>
      <c r="II45" s="334"/>
      <c r="IJ45" s="334"/>
      <c r="IK45" s="334"/>
      <c r="IL45" s="334"/>
      <c r="IM45" s="334"/>
      <c r="IN45" s="334"/>
      <c r="IO45" s="334"/>
      <c r="IP45" s="334"/>
      <c r="IQ45" s="334"/>
      <c r="IR45" s="334"/>
    </row>
    <row r="46" spans="1:252" s="368" customFormat="1" x14ac:dyDescent="0.25">
      <c r="A46" s="366">
        <v>43691</v>
      </c>
      <c r="B46" s="367">
        <v>84.51</v>
      </c>
      <c r="C46" s="367">
        <v>28.41</v>
      </c>
      <c r="D46" s="367">
        <v>142.75</v>
      </c>
      <c r="E46" s="367">
        <v>74.27</v>
      </c>
      <c r="F46" s="367">
        <v>182.76</v>
      </c>
      <c r="G46" s="367">
        <v>16.079999999999998</v>
      </c>
      <c r="H46" s="367">
        <v>26.62</v>
      </c>
      <c r="I46" s="367">
        <v>89.22</v>
      </c>
      <c r="J46" s="367">
        <v>89.36</v>
      </c>
      <c r="K46" s="367">
        <v>260.57</v>
      </c>
      <c r="L46" s="367">
        <v>144.87</v>
      </c>
      <c r="M46" s="367">
        <v>76.959999999999994</v>
      </c>
      <c r="N46" s="367">
        <v>31.489999771099999</v>
      </c>
      <c r="O46" s="367">
        <v>12.779999733</v>
      </c>
      <c r="P46" s="367">
        <v>24.940000534100001</v>
      </c>
      <c r="Q46" s="367">
        <v>34.900001525900002</v>
      </c>
      <c r="R46" s="367">
        <v>32.400001525900002</v>
      </c>
      <c r="S46" s="367">
        <v>29.530000686600001</v>
      </c>
      <c r="T46" s="367">
        <v>26.649999618500001</v>
      </c>
      <c r="U46" s="367">
        <v>74.06</v>
      </c>
      <c r="V46" s="334"/>
      <c r="W46" s="334"/>
      <c r="X46" s="334"/>
      <c r="Y46" s="334"/>
      <c r="Z46" s="334"/>
      <c r="AA46" s="334"/>
      <c r="AB46" s="334"/>
      <c r="AC46" s="334"/>
      <c r="AD46" s="334"/>
      <c r="AE46" s="334"/>
      <c r="AF46" s="334"/>
      <c r="AG46" s="334"/>
      <c r="AH46" s="334"/>
      <c r="AI46" s="334"/>
      <c r="AJ46" s="334"/>
      <c r="AK46" s="334"/>
      <c r="AL46" s="334"/>
      <c r="AM46" s="334"/>
      <c r="AN46" s="334"/>
      <c r="AO46" s="334"/>
      <c r="AP46" s="334"/>
      <c r="AQ46" s="334"/>
      <c r="AR46" s="334"/>
      <c r="AS46" s="334"/>
      <c r="AT46" s="334"/>
      <c r="AU46" s="334"/>
      <c r="AV46" s="334"/>
      <c r="AW46" s="334"/>
      <c r="AX46" s="334"/>
      <c r="AY46" s="334"/>
      <c r="AZ46" s="334"/>
      <c r="BA46" s="334"/>
      <c r="BB46" s="334"/>
      <c r="BC46" s="334"/>
      <c r="BD46" s="334"/>
      <c r="BE46" s="334"/>
      <c r="BF46" s="334"/>
      <c r="BG46" s="334"/>
      <c r="BH46" s="334"/>
      <c r="BI46" s="334"/>
      <c r="BJ46" s="334"/>
      <c r="BK46" s="334"/>
      <c r="BL46" s="334"/>
      <c r="BM46" s="334"/>
      <c r="BN46" s="334"/>
      <c r="BO46" s="334"/>
      <c r="BP46" s="334"/>
      <c r="BQ46" s="334"/>
      <c r="BR46" s="334"/>
      <c r="BS46" s="334"/>
      <c r="BT46" s="334"/>
      <c r="BU46" s="334"/>
      <c r="BV46" s="334"/>
      <c r="BW46" s="334"/>
      <c r="BX46" s="334"/>
      <c r="BY46" s="334"/>
      <c r="BZ46" s="334"/>
      <c r="CA46" s="334"/>
      <c r="CB46" s="334"/>
      <c r="CC46" s="334"/>
      <c r="CD46" s="334"/>
      <c r="CE46" s="334"/>
      <c r="CF46" s="334"/>
      <c r="CG46" s="334"/>
      <c r="CH46" s="334"/>
      <c r="CI46" s="334"/>
      <c r="CJ46" s="334"/>
      <c r="CK46" s="334"/>
      <c r="CL46" s="334"/>
      <c r="CM46" s="334"/>
      <c r="CN46" s="334"/>
      <c r="CO46" s="334"/>
      <c r="CP46" s="334"/>
      <c r="CQ46" s="334"/>
      <c r="CR46" s="334"/>
      <c r="CS46" s="334"/>
      <c r="CT46" s="334"/>
      <c r="CU46" s="334"/>
      <c r="CV46" s="334"/>
      <c r="CW46" s="334"/>
      <c r="CX46" s="334"/>
      <c r="CY46" s="334"/>
      <c r="CZ46" s="334"/>
      <c r="DA46" s="334"/>
      <c r="DB46" s="334"/>
      <c r="DC46" s="334"/>
      <c r="DD46" s="334"/>
      <c r="DE46" s="334"/>
      <c r="DF46" s="334"/>
      <c r="DG46" s="334"/>
      <c r="DH46" s="334"/>
      <c r="DI46" s="334"/>
      <c r="DJ46" s="334"/>
      <c r="DK46" s="334"/>
      <c r="DL46" s="334"/>
      <c r="DM46" s="334"/>
      <c r="DN46" s="334"/>
      <c r="DO46" s="334"/>
      <c r="DP46" s="334"/>
      <c r="DQ46" s="334"/>
      <c r="DR46" s="334"/>
      <c r="DS46" s="334"/>
      <c r="DT46" s="334"/>
      <c r="DU46" s="334"/>
      <c r="DV46" s="334"/>
      <c r="DW46" s="334"/>
      <c r="DX46" s="334"/>
      <c r="DY46" s="334"/>
      <c r="DZ46" s="334"/>
      <c r="EA46" s="334"/>
      <c r="EB46" s="334"/>
      <c r="EC46" s="334"/>
      <c r="ED46" s="334"/>
      <c r="EE46" s="334"/>
      <c r="EF46" s="334"/>
      <c r="EG46" s="334"/>
      <c r="EH46" s="334"/>
      <c r="EI46" s="334"/>
      <c r="EJ46" s="334"/>
      <c r="EK46" s="334"/>
      <c r="EL46" s="334"/>
      <c r="EM46" s="334"/>
      <c r="EN46" s="334"/>
      <c r="EO46" s="334"/>
      <c r="EP46" s="334"/>
      <c r="EQ46" s="334"/>
      <c r="ER46" s="334"/>
      <c r="ES46" s="334"/>
      <c r="ET46" s="334"/>
      <c r="EU46" s="334"/>
      <c r="EV46" s="334"/>
      <c r="EW46" s="334"/>
      <c r="EX46" s="334"/>
      <c r="EY46" s="334"/>
      <c r="EZ46" s="334"/>
      <c r="FA46" s="334"/>
      <c r="FB46" s="334"/>
      <c r="FC46" s="334"/>
      <c r="FD46" s="334"/>
      <c r="FE46" s="334"/>
      <c r="FF46" s="334"/>
      <c r="FG46" s="334"/>
      <c r="FH46" s="334"/>
      <c r="FI46" s="334"/>
      <c r="FJ46" s="334"/>
      <c r="FK46" s="334"/>
      <c r="FL46" s="334"/>
      <c r="FM46" s="334"/>
      <c r="FN46" s="334"/>
      <c r="FO46" s="334"/>
      <c r="FP46" s="334"/>
      <c r="FQ46" s="334"/>
      <c r="FR46" s="334"/>
      <c r="FS46" s="334"/>
      <c r="FT46" s="334"/>
      <c r="FU46" s="334"/>
      <c r="FV46" s="334"/>
      <c r="FW46" s="334"/>
      <c r="FX46" s="334"/>
      <c r="FY46" s="334"/>
      <c r="FZ46" s="334"/>
      <c r="GA46" s="334"/>
      <c r="GB46" s="334"/>
      <c r="GC46" s="334"/>
      <c r="GD46" s="334"/>
      <c r="GE46" s="334"/>
      <c r="GF46" s="334"/>
      <c r="GG46" s="334"/>
      <c r="GH46" s="334"/>
      <c r="GI46" s="334"/>
      <c r="GJ46" s="334"/>
      <c r="GK46" s="334"/>
      <c r="GL46" s="334"/>
      <c r="GM46" s="334"/>
      <c r="GN46" s="334"/>
      <c r="GO46" s="334"/>
      <c r="GP46" s="334"/>
      <c r="GQ46" s="334"/>
      <c r="GR46" s="334"/>
      <c r="GS46" s="334"/>
      <c r="GT46" s="334"/>
      <c r="GU46" s="334"/>
      <c r="GV46" s="334"/>
      <c r="GW46" s="334"/>
      <c r="GX46" s="334"/>
      <c r="GY46" s="334"/>
      <c r="GZ46" s="334"/>
      <c r="HA46" s="334"/>
      <c r="HB46" s="334"/>
      <c r="HC46" s="334"/>
      <c r="HD46" s="334"/>
      <c r="HE46" s="334"/>
      <c r="HF46" s="334"/>
      <c r="HG46" s="334"/>
      <c r="HH46" s="334"/>
      <c r="HI46" s="334"/>
      <c r="HJ46" s="334"/>
      <c r="HK46" s="334"/>
      <c r="HL46" s="334"/>
      <c r="HM46" s="334"/>
      <c r="HN46" s="334"/>
      <c r="HO46" s="334"/>
      <c r="HP46" s="334"/>
      <c r="HQ46" s="334"/>
      <c r="HR46" s="334"/>
      <c r="HS46" s="334"/>
      <c r="HT46" s="334"/>
      <c r="HU46" s="334"/>
      <c r="HV46" s="334"/>
      <c r="HW46" s="334"/>
      <c r="HX46" s="334"/>
      <c r="HY46" s="334"/>
      <c r="HZ46" s="334"/>
      <c r="IA46" s="334"/>
      <c r="IB46" s="334"/>
      <c r="IC46" s="334"/>
      <c r="ID46" s="334"/>
      <c r="IE46" s="334"/>
      <c r="IF46" s="334"/>
      <c r="IG46" s="334"/>
      <c r="IH46" s="334"/>
      <c r="II46" s="334"/>
      <c r="IJ46" s="334"/>
      <c r="IK46" s="334"/>
      <c r="IL46" s="334"/>
      <c r="IM46" s="334"/>
      <c r="IN46" s="334"/>
      <c r="IO46" s="334"/>
      <c r="IP46" s="334"/>
      <c r="IQ46" s="334"/>
      <c r="IR46" s="334"/>
    </row>
    <row r="47" spans="1:252" s="368" customFormat="1" x14ac:dyDescent="0.25">
      <c r="A47" s="366">
        <v>43692</v>
      </c>
      <c r="B47" s="367">
        <v>84.92</v>
      </c>
      <c r="C47" s="367">
        <v>28.73</v>
      </c>
      <c r="D47" s="367">
        <v>143.69999999999999</v>
      </c>
      <c r="E47" s="367">
        <v>73.989999999999995</v>
      </c>
      <c r="F47" s="367">
        <v>182.55</v>
      </c>
      <c r="G47" s="367">
        <v>16.13</v>
      </c>
      <c r="H47" s="367">
        <v>26.64</v>
      </c>
      <c r="I47" s="367">
        <v>90.22</v>
      </c>
      <c r="J47" s="367">
        <v>90.25</v>
      </c>
      <c r="K47" s="367">
        <v>261.39</v>
      </c>
      <c r="L47" s="367">
        <v>145.13999999999999</v>
      </c>
      <c r="M47" s="367">
        <v>76.819999999999993</v>
      </c>
      <c r="N47" s="367">
        <v>31.579999923700001</v>
      </c>
      <c r="O47" s="367">
        <v>12.8199996948</v>
      </c>
      <c r="P47" s="367">
        <v>24.989999771099999</v>
      </c>
      <c r="Q47" s="367">
        <v>35.029998779300001</v>
      </c>
      <c r="R47" s="367">
        <v>32.319999694800003</v>
      </c>
      <c r="S47" s="367">
        <v>29.729999542200002</v>
      </c>
      <c r="T47" s="367">
        <v>26.760000228900001</v>
      </c>
      <c r="U47" s="367">
        <v>74.09</v>
      </c>
      <c r="V47" s="334"/>
      <c r="W47" s="334"/>
      <c r="X47" s="334"/>
      <c r="Y47" s="334"/>
      <c r="Z47" s="334"/>
      <c r="AA47" s="334"/>
      <c r="AB47" s="334"/>
      <c r="AC47" s="334"/>
      <c r="AD47" s="334"/>
      <c r="AE47" s="334"/>
      <c r="AF47" s="334"/>
      <c r="AG47" s="334"/>
      <c r="AH47" s="334"/>
      <c r="AI47" s="334"/>
      <c r="AJ47" s="334"/>
      <c r="AK47" s="334"/>
      <c r="AL47" s="334"/>
      <c r="AM47" s="334"/>
      <c r="AN47" s="334"/>
      <c r="AO47" s="334"/>
      <c r="AP47" s="334"/>
      <c r="AQ47" s="334"/>
      <c r="AR47" s="334"/>
      <c r="AS47" s="334"/>
      <c r="AT47" s="334"/>
      <c r="AU47" s="334"/>
      <c r="AV47" s="334"/>
      <c r="AW47" s="334"/>
      <c r="AX47" s="334"/>
      <c r="AY47" s="334"/>
      <c r="AZ47" s="334"/>
      <c r="BA47" s="334"/>
      <c r="BB47" s="334"/>
      <c r="BC47" s="334"/>
      <c r="BD47" s="334"/>
      <c r="BE47" s="334"/>
      <c r="BF47" s="334"/>
      <c r="BG47" s="334"/>
      <c r="BH47" s="334"/>
      <c r="BI47" s="334"/>
      <c r="BJ47" s="334"/>
      <c r="BK47" s="334"/>
      <c r="BL47" s="334"/>
      <c r="BM47" s="334"/>
      <c r="BN47" s="334"/>
      <c r="BO47" s="334"/>
      <c r="BP47" s="334"/>
      <c r="BQ47" s="334"/>
      <c r="BR47" s="334"/>
      <c r="BS47" s="334"/>
      <c r="BT47" s="334"/>
      <c r="BU47" s="334"/>
      <c r="BV47" s="334"/>
      <c r="BW47" s="334"/>
      <c r="BX47" s="334"/>
      <c r="BY47" s="334"/>
      <c r="BZ47" s="334"/>
      <c r="CA47" s="334"/>
      <c r="CB47" s="334"/>
      <c r="CC47" s="334"/>
      <c r="CD47" s="334"/>
      <c r="CE47" s="334"/>
      <c r="CF47" s="334"/>
      <c r="CG47" s="334"/>
      <c r="CH47" s="334"/>
      <c r="CI47" s="334"/>
      <c r="CJ47" s="334"/>
      <c r="CK47" s="334"/>
      <c r="CL47" s="334"/>
      <c r="CM47" s="334"/>
      <c r="CN47" s="334"/>
      <c r="CO47" s="334"/>
      <c r="CP47" s="334"/>
      <c r="CQ47" s="334"/>
      <c r="CR47" s="334"/>
      <c r="CS47" s="334"/>
      <c r="CT47" s="334"/>
      <c r="CU47" s="334"/>
      <c r="CV47" s="334"/>
      <c r="CW47" s="334"/>
      <c r="CX47" s="334"/>
      <c r="CY47" s="334"/>
      <c r="CZ47" s="334"/>
      <c r="DA47" s="334"/>
      <c r="DB47" s="334"/>
      <c r="DC47" s="334"/>
      <c r="DD47" s="334"/>
      <c r="DE47" s="334"/>
      <c r="DF47" s="334"/>
      <c r="DG47" s="334"/>
      <c r="DH47" s="334"/>
      <c r="DI47" s="334"/>
      <c r="DJ47" s="334"/>
      <c r="DK47" s="334"/>
      <c r="DL47" s="334"/>
      <c r="DM47" s="334"/>
      <c r="DN47" s="334"/>
      <c r="DO47" s="334"/>
      <c r="DP47" s="334"/>
      <c r="DQ47" s="334"/>
      <c r="DR47" s="334"/>
      <c r="DS47" s="334"/>
      <c r="DT47" s="334"/>
      <c r="DU47" s="334"/>
      <c r="DV47" s="334"/>
      <c r="DW47" s="334"/>
      <c r="DX47" s="334"/>
      <c r="DY47" s="334"/>
      <c r="DZ47" s="334"/>
      <c r="EA47" s="334"/>
      <c r="EB47" s="334"/>
      <c r="EC47" s="334"/>
      <c r="ED47" s="334"/>
      <c r="EE47" s="334"/>
      <c r="EF47" s="334"/>
      <c r="EG47" s="334"/>
      <c r="EH47" s="334"/>
      <c r="EI47" s="334"/>
      <c r="EJ47" s="334"/>
      <c r="EK47" s="334"/>
      <c r="EL47" s="334"/>
      <c r="EM47" s="334"/>
      <c r="EN47" s="334"/>
      <c r="EO47" s="334"/>
      <c r="EP47" s="334"/>
      <c r="EQ47" s="334"/>
      <c r="ER47" s="334"/>
      <c r="ES47" s="334"/>
      <c r="ET47" s="334"/>
      <c r="EU47" s="334"/>
      <c r="EV47" s="334"/>
      <c r="EW47" s="334"/>
      <c r="EX47" s="334"/>
      <c r="EY47" s="334"/>
      <c r="EZ47" s="334"/>
      <c r="FA47" s="334"/>
      <c r="FB47" s="334"/>
      <c r="FC47" s="334"/>
      <c r="FD47" s="334"/>
      <c r="FE47" s="334"/>
      <c r="FF47" s="334"/>
      <c r="FG47" s="334"/>
      <c r="FH47" s="334"/>
      <c r="FI47" s="334"/>
      <c r="FJ47" s="334"/>
      <c r="FK47" s="334"/>
      <c r="FL47" s="334"/>
      <c r="FM47" s="334"/>
      <c r="FN47" s="334"/>
      <c r="FO47" s="334"/>
      <c r="FP47" s="334"/>
      <c r="FQ47" s="334"/>
      <c r="FR47" s="334"/>
      <c r="FS47" s="334"/>
      <c r="FT47" s="334"/>
      <c r="FU47" s="334"/>
      <c r="FV47" s="334"/>
      <c r="FW47" s="334"/>
      <c r="FX47" s="334"/>
      <c r="FY47" s="334"/>
      <c r="FZ47" s="334"/>
      <c r="GA47" s="334"/>
      <c r="GB47" s="334"/>
      <c r="GC47" s="334"/>
      <c r="GD47" s="334"/>
      <c r="GE47" s="334"/>
      <c r="GF47" s="334"/>
      <c r="GG47" s="334"/>
      <c r="GH47" s="334"/>
      <c r="GI47" s="334"/>
      <c r="GJ47" s="334"/>
      <c r="GK47" s="334"/>
      <c r="GL47" s="334"/>
      <c r="GM47" s="334"/>
      <c r="GN47" s="334"/>
      <c r="GO47" s="334"/>
      <c r="GP47" s="334"/>
      <c r="GQ47" s="334"/>
      <c r="GR47" s="334"/>
      <c r="GS47" s="334"/>
      <c r="GT47" s="334"/>
      <c r="GU47" s="334"/>
      <c r="GV47" s="334"/>
      <c r="GW47" s="334"/>
      <c r="GX47" s="334"/>
      <c r="GY47" s="334"/>
      <c r="GZ47" s="334"/>
      <c r="HA47" s="334"/>
      <c r="HB47" s="334"/>
      <c r="HC47" s="334"/>
      <c r="HD47" s="334"/>
      <c r="HE47" s="334"/>
      <c r="HF47" s="334"/>
      <c r="HG47" s="334"/>
      <c r="HH47" s="334"/>
      <c r="HI47" s="334"/>
      <c r="HJ47" s="334"/>
      <c r="HK47" s="334"/>
      <c r="HL47" s="334"/>
      <c r="HM47" s="334"/>
      <c r="HN47" s="334"/>
      <c r="HO47" s="334"/>
      <c r="HP47" s="334"/>
      <c r="HQ47" s="334"/>
      <c r="HR47" s="334"/>
      <c r="HS47" s="334"/>
      <c r="HT47" s="334"/>
      <c r="HU47" s="334"/>
      <c r="HV47" s="334"/>
      <c r="HW47" s="334"/>
      <c r="HX47" s="334"/>
      <c r="HY47" s="334"/>
      <c r="HZ47" s="334"/>
      <c r="IA47" s="334"/>
      <c r="IB47" s="334"/>
      <c r="IC47" s="334"/>
      <c r="ID47" s="334"/>
      <c r="IE47" s="334"/>
      <c r="IF47" s="334"/>
      <c r="IG47" s="334"/>
      <c r="IH47" s="334"/>
      <c r="II47" s="334"/>
      <c r="IJ47" s="334"/>
      <c r="IK47" s="334"/>
      <c r="IL47" s="334"/>
      <c r="IM47" s="334"/>
      <c r="IN47" s="334"/>
      <c r="IO47" s="334"/>
      <c r="IP47" s="334"/>
      <c r="IQ47" s="334"/>
      <c r="IR47" s="334"/>
    </row>
    <row r="48" spans="1:252" s="368" customFormat="1" x14ac:dyDescent="0.25">
      <c r="A48" s="366">
        <v>43693</v>
      </c>
      <c r="B48" s="367">
        <v>84.83</v>
      </c>
      <c r="C48" s="367">
        <v>28.28</v>
      </c>
      <c r="D48" s="367">
        <v>142.78</v>
      </c>
      <c r="E48" s="367">
        <v>75.64</v>
      </c>
      <c r="F48" s="367">
        <v>185.48</v>
      </c>
      <c r="G48" s="367">
        <v>16.02</v>
      </c>
      <c r="H48" s="367">
        <v>26.66</v>
      </c>
      <c r="I48" s="367">
        <v>89.51</v>
      </c>
      <c r="J48" s="367">
        <v>91.18</v>
      </c>
      <c r="K48" s="367">
        <v>265.22000000000003</v>
      </c>
      <c r="L48" s="367">
        <v>147.34</v>
      </c>
      <c r="M48" s="367">
        <v>78.28</v>
      </c>
      <c r="N48" s="367">
        <v>32.060001373299997</v>
      </c>
      <c r="O48" s="367">
        <v>12.760000228899999</v>
      </c>
      <c r="P48" s="367">
        <v>25.1800003052</v>
      </c>
      <c r="Q48" s="367">
        <v>35.1399993896</v>
      </c>
      <c r="R48" s="367">
        <v>32.6100006104</v>
      </c>
      <c r="S48" s="367">
        <v>29.520000457799998</v>
      </c>
      <c r="T48" s="367">
        <v>26.690000534100001</v>
      </c>
      <c r="U48" s="367">
        <v>74.339799999999997</v>
      </c>
      <c r="V48" s="334"/>
      <c r="W48" s="334"/>
      <c r="X48" s="334"/>
      <c r="Y48" s="334"/>
      <c r="Z48" s="334"/>
      <c r="AA48" s="334"/>
      <c r="AB48" s="334"/>
      <c r="AC48" s="334"/>
      <c r="AD48" s="334"/>
      <c r="AE48" s="334"/>
      <c r="AF48" s="334"/>
      <c r="AG48" s="334"/>
      <c r="AH48" s="334"/>
      <c r="AI48" s="334"/>
      <c r="AJ48" s="334"/>
      <c r="AK48" s="334"/>
      <c r="AL48" s="334"/>
      <c r="AM48" s="334"/>
      <c r="AN48" s="334"/>
      <c r="AO48" s="334"/>
      <c r="AP48" s="334"/>
      <c r="AQ48" s="334"/>
      <c r="AR48" s="334"/>
      <c r="AS48" s="334"/>
      <c r="AT48" s="334"/>
      <c r="AU48" s="334"/>
      <c r="AV48" s="334"/>
      <c r="AW48" s="334"/>
      <c r="AX48" s="334"/>
      <c r="AY48" s="334"/>
      <c r="AZ48" s="334"/>
      <c r="BA48" s="334"/>
      <c r="BB48" s="334"/>
      <c r="BC48" s="334"/>
      <c r="BD48" s="334"/>
      <c r="BE48" s="334"/>
      <c r="BF48" s="334"/>
      <c r="BG48" s="334"/>
      <c r="BH48" s="334"/>
      <c r="BI48" s="334"/>
      <c r="BJ48" s="334"/>
      <c r="BK48" s="334"/>
      <c r="BL48" s="334"/>
      <c r="BM48" s="334"/>
      <c r="BN48" s="334"/>
      <c r="BO48" s="334"/>
      <c r="BP48" s="334"/>
      <c r="BQ48" s="334"/>
      <c r="BR48" s="334"/>
      <c r="BS48" s="334"/>
      <c r="BT48" s="334"/>
      <c r="BU48" s="334"/>
      <c r="BV48" s="334"/>
      <c r="BW48" s="334"/>
      <c r="BX48" s="334"/>
      <c r="BY48" s="334"/>
      <c r="BZ48" s="334"/>
      <c r="CA48" s="334"/>
      <c r="CB48" s="334"/>
      <c r="CC48" s="334"/>
      <c r="CD48" s="334"/>
      <c r="CE48" s="334"/>
      <c r="CF48" s="334"/>
      <c r="CG48" s="334"/>
      <c r="CH48" s="334"/>
      <c r="CI48" s="334"/>
      <c r="CJ48" s="334"/>
      <c r="CK48" s="334"/>
      <c r="CL48" s="334"/>
      <c r="CM48" s="334"/>
      <c r="CN48" s="334"/>
      <c r="CO48" s="334"/>
      <c r="CP48" s="334"/>
      <c r="CQ48" s="334"/>
      <c r="CR48" s="334"/>
      <c r="CS48" s="334"/>
      <c r="CT48" s="334"/>
      <c r="CU48" s="334"/>
      <c r="CV48" s="334"/>
      <c r="CW48" s="334"/>
      <c r="CX48" s="334"/>
      <c r="CY48" s="334"/>
      <c r="CZ48" s="334"/>
      <c r="DA48" s="334"/>
      <c r="DB48" s="334"/>
      <c r="DC48" s="334"/>
      <c r="DD48" s="334"/>
      <c r="DE48" s="334"/>
      <c r="DF48" s="334"/>
      <c r="DG48" s="334"/>
      <c r="DH48" s="334"/>
      <c r="DI48" s="334"/>
      <c r="DJ48" s="334"/>
      <c r="DK48" s="334"/>
      <c r="DL48" s="334"/>
      <c r="DM48" s="334"/>
      <c r="DN48" s="334"/>
      <c r="DO48" s="334"/>
      <c r="DP48" s="334"/>
      <c r="DQ48" s="334"/>
      <c r="DR48" s="334"/>
      <c r="DS48" s="334"/>
      <c r="DT48" s="334"/>
      <c r="DU48" s="334"/>
      <c r="DV48" s="334"/>
      <c r="DW48" s="334"/>
      <c r="DX48" s="334"/>
      <c r="DY48" s="334"/>
      <c r="DZ48" s="334"/>
      <c r="EA48" s="334"/>
      <c r="EB48" s="334"/>
      <c r="EC48" s="334"/>
      <c r="ED48" s="334"/>
      <c r="EE48" s="334"/>
      <c r="EF48" s="334"/>
      <c r="EG48" s="334"/>
      <c r="EH48" s="334"/>
      <c r="EI48" s="334"/>
      <c r="EJ48" s="334"/>
      <c r="EK48" s="334"/>
      <c r="EL48" s="334"/>
      <c r="EM48" s="334"/>
      <c r="EN48" s="334"/>
      <c r="EO48" s="334"/>
      <c r="EP48" s="334"/>
      <c r="EQ48" s="334"/>
      <c r="ER48" s="334"/>
      <c r="ES48" s="334"/>
      <c r="ET48" s="334"/>
      <c r="EU48" s="334"/>
      <c r="EV48" s="334"/>
      <c r="EW48" s="334"/>
      <c r="EX48" s="334"/>
      <c r="EY48" s="334"/>
      <c r="EZ48" s="334"/>
      <c r="FA48" s="334"/>
      <c r="FB48" s="334"/>
      <c r="FC48" s="334"/>
      <c r="FD48" s="334"/>
      <c r="FE48" s="334"/>
      <c r="FF48" s="334"/>
      <c r="FG48" s="334"/>
      <c r="FH48" s="334"/>
      <c r="FI48" s="334"/>
      <c r="FJ48" s="334"/>
      <c r="FK48" s="334"/>
      <c r="FL48" s="334"/>
      <c r="FM48" s="334"/>
      <c r="FN48" s="334"/>
      <c r="FO48" s="334"/>
      <c r="FP48" s="334"/>
      <c r="FQ48" s="334"/>
      <c r="FR48" s="334"/>
      <c r="FS48" s="334"/>
      <c r="FT48" s="334"/>
      <c r="FU48" s="334"/>
      <c r="FV48" s="334"/>
      <c r="FW48" s="334"/>
      <c r="FX48" s="334"/>
      <c r="FY48" s="334"/>
      <c r="FZ48" s="334"/>
      <c r="GA48" s="334"/>
      <c r="GB48" s="334"/>
      <c r="GC48" s="334"/>
      <c r="GD48" s="334"/>
      <c r="GE48" s="334"/>
      <c r="GF48" s="334"/>
      <c r="GG48" s="334"/>
      <c r="GH48" s="334"/>
      <c r="GI48" s="334"/>
      <c r="GJ48" s="334"/>
      <c r="GK48" s="334"/>
      <c r="GL48" s="334"/>
      <c r="GM48" s="334"/>
      <c r="GN48" s="334"/>
      <c r="GO48" s="334"/>
      <c r="GP48" s="334"/>
      <c r="GQ48" s="334"/>
      <c r="GR48" s="334"/>
      <c r="GS48" s="334"/>
      <c r="GT48" s="334"/>
      <c r="GU48" s="334"/>
      <c r="GV48" s="334"/>
      <c r="GW48" s="334"/>
      <c r="GX48" s="334"/>
      <c r="GY48" s="334"/>
      <c r="GZ48" s="334"/>
      <c r="HA48" s="334"/>
      <c r="HB48" s="334"/>
      <c r="HC48" s="334"/>
      <c r="HD48" s="334"/>
      <c r="HE48" s="334"/>
      <c r="HF48" s="334"/>
      <c r="HG48" s="334"/>
      <c r="HH48" s="334"/>
      <c r="HI48" s="334"/>
      <c r="HJ48" s="334"/>
      <c r="HK48" s="334"/>
      <c r="HL48" s="334"/>
      <c r="HM48" s="334"/>
      <c r="HN48" s="334"/>
      <c r="HO48" s="334"/>
      <c r="HP48" s="334"/>
      <c r="HQ48" s="334"/>
      <c r="HR48" s="334"/>
      <c r="HS48" s="334"/>
      <c r="HT48" s="334"/>
      <c r="HU48" s="334"/>
      <c r="HV48" s="334"/>
      <c r="HW48" s="334"/>
      <c r="HX48" s="334"/>
      <c r="HY48" s="334"/>
      <c r="HZ48" s="334"/>
      <c r="IA48" s="334"/>
      <c r="IB48" s="334"/>
      <c r="IC48" s="334"/>
      <c r="ID48" s="334"/>
      <c r="IE48" s="334"/>
      <c r="IF48" s="334"/>
      <c r="IG48" s="334"/>
      <c r="IH48" s="334"/>
      <c r="II48" s="334"/>
      <c r="IJ48" s="334"/>
      <c r="IK48" s="334"/>
      <c r="IL48" s="334"/>
      <c r="IM48" s="334"/>
      <c r="IN48" s="334"/>
      <c r="IO48" s="334"/>
      <c r="IP48" s="334"/>
      <c r="IQ48" s="334"/>
      <c r="IR48" s="334"/>
    </row>
    <row r="49" spans="1:252" s="368" customFormat="1" x14ac:dyDescent="0.25">
      <c r="A49" s="366">
        <v>43694</v>
      </c>
      <c r="B49" s="367">
        <v>84.83</v>
      </c>
      <c r="C49" s="367">
        <v>28.28</v>
      </c>
      <c r="D49" s="367">
        <v>142.78</v>
      </c>
      <c r="E49" s="367">
        <v>75.64</v>
      </c>
      <c r="F49" s="367">
        <v>185.48</v>
      </c>
      <c r="G49" s="367">
        <v>16.02</v>
      </c>
      <c r="H49" s="367">
        <v>26.66</v>
      </c>
      <c r="I49" s="367">
        <v>89.51</v>
      </c>
      <c r="J49" s="367">
        <v>91.18</v>
      </c>
      <c r="K49" s="367">
        <v>265.22000000000003</v>
      </c>
      <c r="L49" s="367">
        <v>147.34</v>
      </c>
      <c r="M49" s="367">
        <v>78.28</v>
      </c>
      <c r="N49" s="367">
        <v>32.060001373299997</v>
      </c>
      <c r="O49" s="367">
        <v>12.760000228899999</v>
      </c>
      <c r="P49" s="367">
        <v>25.1800003052</v>
      </c>
      <c r="Q49" s="367">
        <v>35.1399993896</v>
      </c>
      <c r="R49" s="367">
        <v>32.6100006104</v>
      </c>
      <c r="S49" s="367">
        <v>29.520000457799998</v>
      </c>
      <c r="T49" s="367">
        <v>26.690000534100001</v>
      </c>
      <c r="U49" s="367">
        <v>74.339799999999997</v>
      </c>
      <c r="V49" s="334"/>
      <c r="W49" s="334"/>
      <c r="X49" s="334"/>
      <c r="Y49" s="334"/>
      <c r="Z49" s="334"/>
      <c r="AA49" s="334"/>
      <c r="AB49" s="334"/>
      <c r="AC49" s="334"/>
      <c r="AD49" s="334"/>
      <c r="AE49" s="334"/>
      <c r="AF49" s="334"/>
      <c r="AG49" s="334"/>
      <c r="AH49" s="334"/>
      <c r="AI49" s="334"/>
      <c r="AJ49" s="334"/>
      <c r="AK49" s="334"/>
      <c r="AL49" s="334"/>
      <c r="AM49" s="334"/>
      <c r="AN49" s="334"/>
      <c r="AO49" s="334"/>
      <c r="AP49" s="334"/>
      <c r="AQ49" s="334"/>
      <c r="AR49" s="334"/>
      <c r="AS49" s="334"/>
      <c r="AT49" s="334"/>
      <c r="AU49" s="334"/>
      <c r="AV49" s="334"/>
      <c r="AW49" s="334"/>
      <c r="AX49" s="334"/>
      <c r="AY49" s="334"/>
      <c r="AZ49" s="334"/>
      <c r="BA49" s="334"/>
      <c r="BB49" s="334"/>
      <c r="BC49" s="334"/>
      <c r="BD49" s="334"/>
      <c r="BE49" s="334"/>
      <c r="BF49" s="334"/>
      <c r="BG49" s="334"/>
      <c r="BH49" s="334"/>
      <c r="BI49" s="334"/>
      <c r="BJ49" s="334"/>
      <c r="BK49" s="334"/>
      <c r="BL49" s="334"/>
      <c r="BM49" s="334"/>
      <c r="BN49" s="334"/>
      <c r="BO49" s="334"/>
      <c r="BP49" s="334"/>
      <c r="BQ49" s="334"/>
      <c r="BR49" s="334"/>
      <c r="BS49" s="334"/>
      <c r="BT49" s="334"/>
      <c r="BU49" s="334"/>
      <c r="BV49" s="334"/>
      <c r="BW49" s="334"/>
      <c r="BX49" s="334"/>
      <c r="BY49" s="334"/>
      <c r="BZ49" s="334"/>
      <c r="CA49" s="334"/>
      <c r="CB49" s="334"/>
      <c r="CC49" s="334"/>
      <c r="CD49" s="334"/>
      <c r="CE49" s="334"/>
      <c r="CF49" s="334"/>
      <c r="CG49" s="334"/>
      <c r="CH49" s="334"/>
      <c r="CI49" s="334"/>
      <c r="CJ49" s="334"/>
      <c r="CK49" s="334"/>
      <c r="CL49" s="334"/>
      <c r="CM49" s="334"/>
      <c r="CN49" s="334"/>
      <c r="CO49" s="334"/>
      <c r="CP49" s="334"/>
      <c r="CQ49" s="334"/>
      <c r="CR49" s="334"/>
      <c r="CS49" s="334"/>
      <c r="CT49" s="334"/>
      <c r="CU49" s="334"/>
      <c r="CV49" s="334"/>
      <c r="CW49" s="334"/>
      <c r="CX49" s="334"/>
      <c r="CY49" s="334"/>
      <c r="CZ49" s="334"/>
      <c r="DA49" s="334"/>
      <c r="DB49" s="334"/>
      <c r="DC49" s="334"/>
      <c r="DD49" s="334"/>
      <c r="DE49" s="334"/>
      <c r="DF49" s="334"/>
      <c r="DG49" s="334"/>
      <c r="DH49" s="334"/>
      <c r="DI49" s="334"/>
      <c r="DJ49" s="334"/>
      <c r="DK49" s="334"/>
      <c r="DL49" s="334"/>
      <c r="DM49" s="334"/>
      <c r="DN49" s="334"/>
      <c r="DO49" s="334"/>
      <c r="DP49" s="334"/>
      <c r="DQ49" s="334"/>
      <c r="DR49" s="334"/>
      <c r="DS49" s="334"/>
      <c r="DT49" s="334"/>
      <c r="DU49" s="334"/>
      <c r="DV49" s="334"/>
      <c r="DW49" s="334"/>
      <c r="DX49" s="334"/>
      <c r="DY49" s="334"/>
      <c r="DZ49" s="334"/>
      <c r="EA49" s="334"/>
      <c r="EB49" s="334"/>
      <c r="EC49" s="334"/>
      <c r="ED49" s="334"/>
      <c r="EE49" s="334"/>
      <c r="EF49" s="334"/>
      <c r="EG49" s="334"/>
      <c r="EH49" s="334"/>
      <c r="EI49" s="334"/>
      <c r="EJ49" s="334"/>
      <c r="EK49" s="334"/>
      <c r="EL49" s="334"/>
      <c r="EM49" s="334"/>
      <c r="EN49" s="334"/>
      <c r="EO49" s="334"/>
      <c r="EP49" s="334"/>
      <c r="EQ49" s="334"/>
      <c r="ER49" s="334"/>
      <c r="ES49" s="334"/>
      <c r="ET49" s="334"/>
      <c r="EU49" s="334"/>
      <c r="EV49" s="334"/>
      <c r="EW49" s="334"/>
      <c r="EX49" s="334"/>
      <c r="EY49" s="334"/>
      <c r="EZ49" s="334"/>
      <c r="FA49" s="334"/>
      <c r="FB49" s="334"/>
      <c r="FC49" s="334"/>
      <c r="FD49" s="334"/>
      <c r="FE49" s="334"/>
      <c r="FF49" s="334"/>
      <c r="FG49" s="334"/>
      <c r="FH49" s="334"/>
      <c r="FI49" s="334"/>
      <c r="FJ49" s="334"/>
      <c r="FK49" s="334"/>
      <c r="FL49" s="334"/>
      <c r="FM49" s="334"/>
      <c r="FN49" s="334"/>
      <c r="FO49" s="334"/>
      <c r="FP49" s="334"/>
      <c r="FQ49" s="334"/>
      <c r="FR49" s="334"/>
      <c r="FS49" s="334"/>
      <c r="FT49" s="334"/>
      <c r="FU49" s="334"/>
      <c r="FV49" s="334"/>
      <c r="FW49" s="334"/>
      <c r="FX49" s="334"/>
      <c r="FY49" s="334"/>
      <c r="FZ49" s="334"/>
      <c r="GA49" s="334"/>
      <c r="GB49" s="334"/>
      <c r="GC49" s="334"/>
      <c r="GD49" s="334"/>
      <c r="GE49" s="334"/>
      <c r="GF49" s="334"/>
      <c r="GG49" s="334"/>
      <c r="GH49" s="334"/>
      <c r="GI49" s="334"/>
      <c r="GJ49" s="334"/>
      <c r="GK49" s="334"/>
      <c r="GL49" s="334"/>
      <c r="GM49" s="334"/>
      <c r="GN49" s="334"/>
      <c r="GO49" s="334"/>
      <c r="GP49" s="334"/>
      <c r="GQ49" s="334"/>
      <c r="GR49" s="334"/>
      <c r="GS49" s="334"/>
      <c r="GT49" s="334"/>
      <c r="GU49" s="334"/>
      <c r="GV49" s="334"/>
      <c r="GW49" s="334"/>
      <c r="GX49" s="334"/>
      <c r="GY49" s="334"/>
      <c r="GZ49" s="334"/>
      <c r="HA49" s="334"/>
      <c r="HB49" s="334"/>
      <c r="HC49" s="334"/>
      <c r="HD49" s="334"/>
      <c r="HE49" s="334"/>
      <c r="HF49" s="334"/>
      <c r="HG49" s="334"/>
      <c r="HH49" s="334"/>
      <c r="HI49" s="334"/>
      <c r="HJ49" s="334"/>
      <c r="HK49" s="334"/>
      <c r="HL49" s="334"/>
      <c r="HM49" s="334"/>
      <c r="HN49" s="334"/>
      <c r="HO49" s="334"/>
      <c r="HP49" s="334"/>
      <c r="HQ49" s="334"/>
      <c r="HR49" s="334"/>
      <c r="HS49" s="334"/>
      <c r="HT49" s="334"/>
      <c r="HU49" s="334"/>
      <c r="HV49" s="334"/>
      <c r="HW49" s="334"/>
      <c r="HX49" s="334"/>
      <c r="HY49" s="334"/>
      <c r="HZ49" s="334"/>
      <c r="IA49" s="334"/>
      <c r="IB49" s="334"/>
      <c r="IC49" s="334"/>
      <c r="ID49" s="334"/>
      <c r="IE49" s="334"/>
      <c r="IF49" s="334"/>
      <c r="IG49" s="334"/>
      <c r="IH49" s="334"/>
      <c r="II49" s="334"/>
      <c r="IJ49" s="334"/>
      <c r="IK49" s="334"/>
      <c r="IL49" s="334"/>
      <c r="IM49" s="334"/>
      <c r="IN49" s="334"/>
      <c r="IO49" s="334"/>
      <c r="IP49" s="334"/>
      <c r="IQ49" s="334"/>
      <c r="IR49" s="334"/>
    </row>
    <row r="50" spans="1:252" s="368" customFormat="1" x14ac:dyDescent="0.25">
      <c r="A50" s="366">
        <v>43695</v>
      </c>
      <c r="B50" s="367">
        <v>84.83</v>
      </c>
      <c r="C50" s="367">
        <v>28.28</v>
      </c>
      <c r="D50" s="367">
        <v>142.78</v>
      </c>
      <c r="E50" s="367">
        <v>75.64</v>
      </c>
      <c r="F50" s="367">
        <v>185.48</v>
      </c>
      <c r="G50" s="367">
        <v>16.02</v>
      </c>
      <c r="H50" s="367">
        <v>26.66</v>
      </c>
      <c r="I50" s="367">
        <v>89.51</v>
      </c>
      <c r="J50" s="367">
        <v>91.18</v>
      </c>
      <c r="K50" s="367">
        <v>265.22000000000003</v>
      </c>
      <c r="L50" s="367">
        <v>147.34</v>
      </c>
      <c r="M50" s="367">
        <v>78.28</v>
      </c>
      <c r="N50" s="367">
        <v>32.060001373299997</v>
      </c>
      <c r="O50" s="367">
        <v>12.760000228899999</v>
      </c>
      <c r="P50" s="367">
        <v>25.1800003052</v>
      </c>
      <c r="Q50" s="367">
        <v>35.1399993896</v>
      </c>
      <c r="R50" s="367">
        <v>32.6100006104</v>
      </c>
      <c r="S50" s="367">
        <v>29.520000457799998</v>
      </c>
      <c r="T50" s="367">
        <v>26.690000534100001</v>
      </c>
      <c r="U50" s="367">
        <v>74.339799999999997</v>
      </c>
      <c r="V50" s="334"/>
      <c r="W50" s="334"/>
      <c r="X50" s="334"/>
      <c r="Y50" s="334"/>
      <c r="Z50" s="334"/>
      <c r="AA50" s="334"/>
      <c r="AB50" s="334"/>
      <c r="AC50" s="334"/>
      <c r="AD50" s="334"/>
      <c r="AE50" s="334"/>
      <c r="AF50" s="334"/>
      <c r="AG50" s="334"/>
      <c r="AH50" s="334"/>
      <c r="AI50" s="334"/>
      <c r="AJ50" s="334"/>
      <c r="AK50" s="334"/>
      <c r="AL50" s="334"/>
      <c r="AM50" s="334"/>
      <c r="AN50" s="334"/>
      <c r="AO50" s="334"/>
      <c r="AP50" s="334"/>
      <c r="AQ50" s="334"/>
      <c r="AR50" s="334"/>
      <c r="AS50" s="334"/>
      <c r="AT50" s="334"/>
      <c r="AU50" s="334"/>
      <c r="AV50" s="334"/>
      <c r="AW50" s="334"/>
      <c r="AX50" s="334"/>
      <c r="AY50" s="334"/>
      <c r="AZ50" s="334"/>
      <c r="BA50" s="334"/>
      <c r="BB50" s="334"/>
      <c r="BC50" s="334"/>
      <c r="BD50" s="334"/>
      <c r="BE50" s="334"/>
      <c r="BF50" s="334"/>
      <c r="BG50" s="334"/>
      <c r="BH50" s="334"/>
      <c r="BI50" s="334"/>
      <c r="BJ50" s="334"/>
      <c r="BK50" s="334"/>
      <c r="BL50" s="334"/>
      <c r="BM50" s="334"/>
      <c r="BN50" s="334"/>
      <c r="BO50" s="334"/>
      <c r="BP50" s="334"/>
      <c r="BQ50" s="334"/>
      <c r="BR50" s="334"/>
      <c r="BS50" s="334"/>
      <c r="BT50" s="334"/>
      <c r="BU50" s="334"/>
      <c r="BV50" s="334"/>
      <c r="BW50" s="334"/>
      <c r="BX50" s="334"/>
      <c r="BY50" s="334"/>
      <c r="BZ50" s="334"/>
      <c r="CA50" s="334"/>
      <c r="CB50" s="334"/>
      <c r="CC50" s="334"/>
      <c r="CD50" s="334"/>
      <c r="CE50" s="334"/>
      <c r="CF50" s="334"/>
      <c r="CG50" s="334"/>
      <c r="CH50" s="334"/>
      <c r="CI50" s="334"/>
      <c r="CJ50" s="334"/>
      <c r="CK50" s="334"/>
      <c r="CL50" s="334"/>
      <c r="CM50" s="334"/>
      <c r="CN50" s="334"/>
      <c r="CO50" s="334"/>
      <c r="CP50" s="334"/>
      <c r="CQ50" s="334"/>
      <c r="CR50" s="334"/>
      <c r="CS50" s="334"/>
      <c r="CT50" s="334"/>
      <c r="CU50" s="334"/>
      <c r="CV50" s="334"/>
      <c r="CW50" s="334"/>
      <c r="CX50" s="334"/>
      <c r="CY50" s="334"/>
      <c r="CZ50" s="334"/>
      <c r="DA50" s="334"/>
      <c r="DB50" s="334"/>
      <c r="DC50" s="334"/>
      <c r="DD50" s="334"/>
      <c r="DE50" s="334"/>
      <c r="DF50" s="334"/>
      <c r="DG50" s="334"/>
      <c r="DH50" s="334"/>
      <c r="DI50" s="334"/>
      <c r="DJ50" s="334"/>
      <c r="DK50" s="334"/>
      <c r="DL50" s="334"/>
      <c r="DM50" s="334"/>
      <c r="DN50" s="334"/>
      <c r="DO50" s="334"/>
      <c r="DP50" s="334"/>
      <c r="DQ50" s="334"/>
      <c r="DR50" s="334"/>
      <c r="DS50" s="334"/>
      <c r="DT50" s="334"/>
      <c r="DU50" s="334"/>
      <c r="DV50" s="334"/>
      <c r="DW50" s="334"/>
      <c r="DX50" s="334"/>
      <c r="DY50" s="334"/>
      <c r="DZ50" s="334"/>
      <c r="EA50" s="334"/>
      <c r="EB50" s="334"/>
      <c r="EC50" s="334"/>
      <c r="ED50" s="334"/>
      <c r="EE50" s="334"/>
      <c r="EF50" s="334"/>
      <c r="EG50" s="334"/>
      <c r="EH50" s="334"/>
      <c r="EI50" s="334"/>
      <c r="EJ50" s="334"/>
      <c r="EK50" s="334"/>
      <c r="EL50" s="334"/>
      <c r="EM50" s="334"/>
      <c r="EN50" s="334"/>
      <c r="EO50" s="334"/>
      <c r="EP50" s="334"/>
      <c r="EQ50" s="334"/>
      <c r="ER50" s="334"/>
      <c r="ES50" s="334"/>
      <c r="ET50" s="334"/>
      <c r="EU50" s="334"/>
      <c r="EV50" s="334"/>
      <c r="EW50" s="334"/>
      <c r="EX50" s="334"/>
      <c r="EY50" s="334"/>
      <c r="EZ50" s="334"/>
      <c r="FA50" s="334"/>
      <c r="FB50" s="334"/>
      <c r="FC50" s="334"/>
      <c r="FD50" s="334"/>
      <c r="FE50" s="334"/>
      <c r="FF50" s="334"/>
      <c r="FG50" s="334"/>
      <c r="FH50" s="334"/>
      <c r="FI50" s="334"/>
      <c r="FJ50" s="334"/>
      <c r="FK50" s="334"/>
      <c r="FL50" s="334"/>
      <c r="FM50" s="334"/>
      <c r="FN50" s="334"/>
      <c r="FO50" s="334"/>
      <c r="FP50" s="334"/>
      <c r="FQ50" s="334"/>
      <c r="FR50" s="334"/>
      <c r="FS50" s="334"/>
      <c r="FT50" s="334"/>
      <c r="FU50" s="334"/>
      <c r="FV50" s="334"/>
      <c r="FW50" s="334"/>
      <c r="FX50" s="334"/>
      <c r="FY50" s="334"/>
      <c r="FZ50" s="334"/>
      <c r="GA50" s="334"/>
      <c r="GB50" s="334"/>
      <c r="GC50" s="334"/>
      <c r="GD50" s="334"/>
      <c r="GE50" s="334"/>
      <c r="GF50" s="334"/>
      <c r="GG50" s="334"/>
      <c r="GH50" s="334"/>
      <c r="GI50" s="334"/>
      <c r="GJ50" s="334"/>
      <c r="GK50" s="334"/>
      <c r="GL50" s="334"/>
      <c r="GM50" s="334"/>
      <c r="GN50" s="334"/>
      <c r="GO50" s="334"/>
      <c r="GP50" s="334"/>
      <c r="GQ50" s="334"/>
      <c r="GR50" s="334"/>
      <c r="GS50" s="334"/>
      <c r="GT50" s="334"/>
      <c r="GU50" s="334"/>
      <c r="GV50" s="334"/>
      <c r="GW50" s="334"/>
      <c r="GX50" s="334"/>
      <c r="GY50" s="334"/>
      <c r="GZ50" s="334"/>
      <c r="HA50" s="334"/>
      <c r="HB50" s="334"/>
      <c r="HC50" s="334"/>
      <c r="HD50" s="334"/>
      <c r="HE50" s="334"/>
      <c r="HF50" s="334"/>
      <c r="HG50" s="334"/>
      <c r="HH50" s="334"/>
      <c r="HI50" s="334"/>
      <c r="HJ50" s="334"/>
      <c r="HK50" s="334"/>
      <c r="HL50" s="334"/>
      <c r="HM50" s="334"/>
      <c r="HN50" s="334"/>
      <c r="HO50" s="334"/>
      <c r="HP50" s="334"/>
      <c r="HQ50" s="334"/>
      <c r="HR50" s="334"/>
      <c r="HS50" s="334"/>
      <c r="HT50" s="334"/>
      <c r="HU50" s="334"/>
      <c r="HV50" s="334"/>
      <c r="HW50" s="334"/>
      <c r="HX50" s="334"/>
      <c r="HY50" s="334"/>
      <c r="HZ50" s="334"/>
      <c r="IA50" s="334"/>
      <c r="IB50" s="334"/>
      <c r="IC50" s="334"/>
      <c r="ID50" s="334"/>
      <c r="IE50" s="334"/>
      <c r="IF50" s="334"/>
      <c r="IG50" s="334"/>
      <c r="IH50" s="334"/>
      <c r="II50" s="334"/>
      <c r="IJ50" s="334"/>
      <c r="IK50" s="334"/>
      <c r="IL50" s="334"/>
      <c r="IM50" s="334"/>
      <c r="IN50" s="334"/>
      <c r="IO50" s="334"/>
      <c r="IP50" s="334"/>
      <c r="IQ50" s="334"/>
      <c r="IR50" s="334"/>
    </row>
    <row r="51" spans="1:252" s="368" customFormat="1" x14ac:dyDescent="0.25">
      <c r="A51" s="366">
        <v>43696</v>
      </c>
      <c r="B51" s="367">
        <v>84.56</v>
      </c>
      <c r="C51" s="367">
        <v>27.93</v>
      </c>
      <c r="D51" s="367">
        <v>141.11000000000001</v>
      </c>
      <c r="E51" s="367">
        <v>76.42</v>
      </c>
      <c r="F51" s="367">
        <v>188.43</v>
      </c>
      <c r="G51" s="367">
        <v>15.79</v>
      </c>
      <c r="H51" s="367">
        <v>26.72</v>
      </c>
      <c r="I51" s="367">
        <v>88.33</v>
      </c>
      <c r="J51" s="367">
        <v>91.84</v>
      </c>
      <c r="K51" s="367">
        <v>268.48</v>
      </c>
      <c r="L51" s="367">
        <v>149.09</v>
      </c>
      <c r="M51" s="367">
        <v>79.47</v>
      </c>
      <c r="N51" s="367">
        <v>32.430000305199997</v>
      </c>
      <c r="O51" s="367">
        <v>12.600000381499999</v>
      </c>
      <c r="P51" s="367">
        <v>25.399999618500001</v>
      </c>
      <c r="Q51" s="367">
        <v>35.349998474099998</v>
      </c>
      <c r="R51" s="367">
        <v>32.939998626700003</v>
      </c>
      <c r="S51" s="367">
        <v>29.5</v>
      </c>
      <c r="T51" s="367">
        <v>26.579999923700001</v>
      </c>
      <c r="U51" s="367">
        <v>73.959999999999994</v>
      </c>
      <c r="V51" s="334"/>
      <c r="W51" s="334"/>
      <c r="X51" s="334"/>
      <c r="Y51" s="334"/>
      <c r="Z51" s="334"/>
      <c r="AA51" s="334"/>
      <c r="AB51" s="334"/>
      <c r="AC51" s="334"/>
      <c r="AD51" s="334"/>
      <c r="AE51" s="334"/>
      <c r="AF51" s="334"/>
      <c r="AG51" s="334"/>
      <c r="AH51" s="334"/>
      <c r="AI51" s="334"/>
      <c r="AJ51" s="334"/>
      <c r="AK51" s="334"/>
      <c r="AL51" s="334"/>
      <c r="AM51" s="334"/>
      <c r="AN51" s="334"/>
      <c r="AO51" s="334"/>
      <c r="AP51" s="334"/>
      <c r="AQ51" s="334"/>
      <c r="AR51" s="334"/>
      <c r="AS51" s="334"/>
      <c r="AT51" s="334"/>
      <c r="AU51" s="334"/>
      <c r="AV51" s="334"/>
      <c r="AW51" s="334"/>
      <c r="AX51" s="334"/>
      <c r="AY51" s="334"/>
      <c r="AZ51" s="334"/>
      <c r="BA51" s="334"/>
      <c r="BB51" s="334"/>
      <c r="BC51" s="334"/>
      <c r="BD51" s="334"/>
      <c r="BE51" s="334"/>
      <c r="BF51" s="334"/>
      <c r="BG51" s="334"/>
      <c r="BH51" s="334"/>
      <c r="BI51" s="334"/>
      <c r="BJ51" s="334"/>
      <c r="BK51" s="334"/>
      <c r="BL51" s="334"/>
      <c r="BM51" s="334"/>
      <c r="BN51" s="334"/>
      <c r="BO51" s="334"/>
      <c r="BP51" s="334"/>
      <c r="BQ51" s="334"/>
      <c r="BR51" s="334"/>
      <c r="BS51" s="334"/>
      <c r="BT51" s="334"/>
      <c r="BU51" s="334"/>
      <c r="BV51" s="334"/>
      <c r="BW51" s="334"/>
      <c r="BX51" s="334"/>
      <c r="BY51" s="334"/>
      <c r="BZ51" s="334"/>
      <c r="CA51" s="334"/>
      <c r="CB51" s="334"/>
      <c r="CC51" s="334"/>
      <c r="CD51" s="334"/>
      <c r="CE51" s="334"/>
      <c r="CF51" s="334"/>
      <c r="CG51" s="334"/>
      <c r="CH51" s="334"/>
      <c r="CI51" s="334"/>
      <c r="CJ51" s="334"/>
      <c r="CK51" s="334"/>
      <c r="CL51" s="334"/>
      <c r="CM51" s="334"/>
      <c r="CN51" s="334"/>
      <c r="CO51" s="334"/>
      <c r="CP51" s="334"/>
      <c r="CQ51" s="334"/>
      <c r="CR51" s="334"/>
      <c r="CS51" s="334"/>
      <c r="CT51" s="334"/>
      <c r="CU51" s="334"/>
      <c r="CV51" s="334"/>
      <c r="CW51" s="334"/>
      <c r="CX51" s="334"/>
      <c r="CY51" s="334"/>
      <c r="CZ51" s="334"/>
      <c r="DA51" s="334"/>
      <c r="DB51" s="334"/>
      <c r="DC51" s="334"/>
      <c r="DD51" s="334"/>
      <c r="DE51" s="334"/>
      <c r="DF51" s="334"/>
      <c r="DG51" s="334"/>
      <c r="DH51" s="334"/>
      <c r="DI51" s="334"/>
      <c r="DJ51" s="334"/>
      <c r="DK51" s="334"/>
      <c r="DL51" s="334"/>
      <c r="DM51" s="334"/>
      <c r="DN51" s="334"/>
      <c r="DO51" s="334"/>
      <c r="DP51" s="334"/>
      <c r="DQ51" s="334"/>
      <c r="DR51" s="334"/>
      <c r="DS51" s="334"/>
      <c r="DT51" s="334"/>
      <c r="DU51" s="334"/>
      <c r="DV51" s="334"/>
      <c r="DW51" s="334"/>
      <c r="DX51" s="334"/>
      <c r="DY51" s="334"/>
      <c r="DZ51" s="334"/>
      <c r="EA51" s="334"/>
      <c r="EB51" s="334"/>
      <c r="EC51" s="334"/>
      <c r="ED51" s="334"/>
      <c r="EE51" s="334"/>
      <c r="EF51" s="334"/>
      <c r="EG51" s="334"/>
      <c r="EH51" s="334"/>
      <c r="EI51" s="334"/>
      <c r="EJ51" s="334"/>
      <c r="EK51" s="334"/>
      <c r="EL51" s="334"/>
      <c r="EM51" s="334"/>
      <c r="EN51" s="334"/>
      <c r="EO51" s="334"/>
      <c r="EP51" s="334"/>
      <c r="EQ51" s="334"/>
      <c r="ER51" s="334"/>
      <c r="ES51" s="334"/>
      <c r="ET51" s="334"/>
      <c r="EU51" s="334"/>
      <c r="EV51" s="334"/>
      <c r="EW51" s="334"/>
      <c r="EX51" s="334"/>
      <c r="EY51" s="334"/>
      <c r="EZ51" s="334"/>
      <c r="FA51" s="334"/>
      <c r="FB51" s="334"/>
      <c r="FC51" s="334"/>
      <c r="FD51" s="334"/>
      <c r="FE51" s="334"/>
      <c r="FF51" s="334"/>
      <c r="FG51" s="334"/>
      <c r="FH51" s="334"/>
      <c r="FI51" s="334"/>
      <c r="FJ51" s="334"/>
      <c r="FK51" s="334"/>
      <c r="FL51" s="334"/>
      <c r="FM51" s="334"/>
      <c r="FN51" s="334"/>
      <c r="FO51" s="334"/>
      <c r="FP51" s="334"/>
      <c r="FQ51" s="334"/>
      <c r="FR51" s="334"/>
      <c r="FS51" s="334"/>
      <c r="FT51" s="334"/>
      <c r="FU51" s="334"/>
      <c r="FV51" s="334"/>
      <c r="FW51" s="334"/>
      <c r="FX51" s="334"/>
      <c r="FY51" s="334"/>
      <c r="FZ51" s="334"/>
      <c r="GA51" s="334"/>
      <c r="GB51" s="334"/>
      <c r="GC51" s="334"/>
      <c r="GD51" s="334"/>
      <c r="GE51" s="334"/>
      <c r="GF51" s="334"/>
      <c r="GG51" s="334"/>
      <c r="GH51" s="334"/>
      <c r="GI51" s="334"/>
      <c r="GJ51" s="334"/>
      <c r="GK51" s="334"/>
      <c r="GL51" s="334"/>
      <c r="GM51" s="334"/>
      <c r="GN51" s="334"/>
      <c r="GO51" s="334"/>
      <c r="GP51" s="334"/>
      <c r="GQ51" s="334"/>
      <c r="GR51" s="334"/>
      <c r="GS51" s="334"/>
      <c r="GT51" s="334"/>
      <c r="GU51" s="334"/>
      <c r="GV51" s="334"/>
      <c r="GW51" s="334"/>
      <c r="GX51" s="334"/>
      <c r="GY51" s="334"/>
      <c r="GZ51" s="334"/>
      <c r="HA51" s="334"/>
      <c r="HB51" s="334"/>
      <c r="HC51" s="334"/>
      <c r="HD51" s="334"/>
      <c r="HE51" s="334"/>
      <c r="HF51" s="334"/>
      <c r="HG51" s="334"/>
      <c r="HH51" s="334"/>
      <c r="HI51" s="334"/>
      <c r="HJ51" s="334"/>
      <c r="HK51" s="334"/>
      <c r="HL51" s="334"/>
      <c r="HM51" s="334"/>
      <c r="HN51" s="334"/>
      <c r="HO51" s="334"/>
      <c r="HP51" s="334"/>
      <c r="HQ51" s="334"/>
      <c r="HR51" s="334"/>
      <c r="HS51" s="334"/>
      <c r="HT51" s="334"/>
      <c r="HU51" s="334"/>
      <c r="HV51" s="334"/>
      <c r="HW51" s="334"/>
      <c r="HX51" s="334"/>
      <c r="HY51" s="334"/>
      <c r="HZ51" s="334"/>
      <c r="IA51" s="334"/>
      <c r="IB51" s="334"/>
      <c r="IC51" s="334"/>
      <c r="ID51" s="334"/>
      <c r="IE51" s="334"/>
      <c r="IF51" s="334"/>
      <c r="IG51" s="334"/>
      <c r="IH51" s="334"/>
      <c r="II51" s="334"/>
      <c r="IJ51" s="334"/>
      <c r="IK51" s="334"/>
      <c r="IL51" s="334"/>
      <c r="IM51" s="334"/>
      <c r="IN51" s="334"/>
      <c r="IO51" s="334"/>
      <c r="IP51" s="334"/>
      <c r="IQ51" s="334"/>
      <c r="IR51" s="334"/>
    </row>
    <row r="52" spans="1:252" s="368" customFormat="1" x14ac:dyDescent="0.25">
      <c r="A52" s="366">
        <v>43697</v>
      </c>
      <c r="B52" s="367">
        <v>84.78</v>
      </c>
      <c r="C52" s="367">
        <v>28.85</v>
      </c>
      <c r="D52" s="367">
        <v>142.21</v>
      </c>
      <c r="E52" s="367">
        <v>75.790000000000006</v>
      </c>
      <c r="F52" s="367">
        <v>186.97</v>
      </c>
      <c r="G52" s="367">
        <v>16.05</v>
      </c>
      <c r="H52" s="367">
        <v>26.66</v>
      </c>
      <c r="I52" s="367">
        <v>89.21</v>
      </c>
      <c r="J52" s="367">
        <v>91.19</v>
      </c>
      <c r="K52" s="367">
        <v>266.39999999999998</v>
      </c>
      <c r="L52" s="367">
        <v>147.94999999999999</v>
      </c>
      <c r="M52" s="367">
        <v>79.069999999999993</v>
      </c>
      <c r="N52" s="367">
        <v>32.169998168900001</v>
      </c>
      <c r="O52" s="367">
        <v>12.720000267</v>
      </c>
      <c r="P52" s="367">
        <v>25.290000915499999</v>
      </c>
      <c r="Q52" s="367">
        <v>35.479999542199998</v>
      </c>
      <c r="R52" s="367">
        <v>32.75</v>
      </c>
      <c r="S52" s="367">
        <v>30.120000839199999</v>
      </c>
      <c r="T52" s="367">
        <v>26.600000381499999</v>
      </c>
      <c r="U52" s="367">
        <v>74.156000000000006</v>
      </c>
      <c r="V52" s="334"/>
      <c r="W52" s="334"/>
      <c r="X52" s="334"/>
      <c r="Y52" s="334"/>
      <c r="Z52" s="334"/>
      <c r="AA52" s="334"/>
      <c r="AB52" s="334"/>
      <c r="AC52" s="334"/>
      <c r="AD52" s="334"/>
      <c r="AE52" s="334"/>
      <c r="AF52" s="334"/>
      <c r="AG52" s="334"/>
      <c r="AH52" s="334"/>
      <c r="AI52" s="334"/>
      <c r="AJ52" s="334"/>
      <c r="AK52" s="334"/>
      <c r="AL52" s="334"/>
      <c r="AM52" s="334"/>
      <c r="AN52" s="334"/>
      <c r="AO52" s="334"/>
      <c r="AP52" s="334"/>
      <c r="AQ52" s="334"/>
      <c r="AR52" s="334"/>
      <c r="AS52" s="334"/>
      <c r="AT52" s="334"/>
      <c r="AU52" s="334"/>
      <c r="AV52" s="334"/>
      <c r="AW52" s="334"/>
      <c r="AX52" s="334"/>
      <c r="AY52" s="334"/>
      <c r="AZ52" s="334"/>
      <c r="BA52" s="334"/>
      <c r="BB52" s="334"/>
      <c r="BC52" s="334"/>
      <c r="BD52" s="334"/>
      <c r="BE52" s="334"/>
      <c r="BF52" s="334"/>
      <c r="BG52" s="334"/>
      <c r="BH52" s="334"/>
      <c r="BI52" s="334"/>
      <c r="BJ52" s="334"/>
      <c r="BK52" s="334"/>
      <c r="BL52" s="334"/>
      <c r="BM52" s="334"/>
      <c r="BN52" s="334"/>
      <c r="BO52" s="334"/>
      <c r="BP52" s="334"/>
      <c r="BQ52" s="334"/>
      <c r="BR52" s="334"/>
      <c r="BS52" s="334"/>
      <c r="BT52" s="334"/>
      <c r="BU52" s="334"/>
      <c r="BV52" s="334"/>
      <c r="BW52" s="334"/>
      <c r="BX52" s="334"/>
      <c r="BY52" s="334"/>
      <c r="BZ52" s="334"/>
      <c r="CA52" s="334"/>
      <c r="CB52" s="334"/>
      <c r="CC52" s="334"/>
      <c r="CD52" s="334"/>
      <c r="CE52" s="334"/>
      <c r="CF52" s="334"/>
      <c r="CG52" s="334"/>
      <c r="CH52" s="334"/>
      <c r="CI52" s="334"/>
      <c r="CJ52" s="334"/>
      <c r="CK52" s="334"/>
      <c r="CL52" s="334"/>
      <c r="CM52" s="334"/>
      <c r="CN52" s="334"/>
      <c r="CO52" s="334"/>
      <c r="CP52" s="334"/>
      <c r="CQ52" s="334"/>
      <c r="CR52" s="334"/>
      <c r="CS52" s="334"/>
      <c r="CT52" s="334"/>
      <c r="CU52" s="334"/>
      <c r="CV52" s="334"/>
      <c r="CW52" s="334"/>
      <c r="CX52" s="334"/>
      <c r="CY52" s="334"/>
      <c r="CZ52" s="334"/>
      <c r="DA52" s="334"/>
      <c r="DB52" s="334"/>
      <c r="DC52" s="334"/>
      <c r="DD52" s="334"/>
      <c r="DE52" s="334"/>
      <c r="DF52" s="334"/>
      <c r="DG52" s="334"/>
      <c r="DH52" s="334"/>
      <c r="DI52" s="334"/>
      <c r="DJ52" s="334"/>
      <c r="DK52" s="334"/>
      <c r="DL52" s="334"/>
      <c r="DM52" s="334"/>
      <c r="DN52" s="334"/>
      <c r="DO52" s="334"/>
      <c r="DP52" s="334"/>
      <c r="DQ52" s="334"/>
      <c r="DR52" s="334"/>
      <c r="DS52" s="334"/>
      <c r="DT52" s="334"/>
      <c r="DU52" s="334"/>
      <c r="DV52" s="334"/>
      <c r="DW52" s="334"/>
      <c r="DX52" s="334"/>
      <c r="DY52" s="334"/>
      <c r="DZ52" s="334"/>
      <c r="EA52" s="334"/>
      <c r="EB52" s="334"/>
      <c r="EC52" s="334"/>
      <c r="ED52" s="334"/>
      <c r="EE52" s="334"/>
      <c r="EF52" s="334"/>
      <c r="EG52" s="334"/>
      <c r="EH52" s="334"/>
      <c r="EI52" s="334"/>
      <c r="EJ52" s="334"/>
      <c r="EK52" s="334"/>
      <c r="EL52" s="334"/>
      <c r="EM52" s="334"/>
      <c r="EN52" s="334"/>
      <c r="EO52" s="334"/>
      <c r="EP52" s="334"/>
      <c r="EQ52" s="334"/>
      <c r="ER52" s="334"/>
      <c r="ES52" s="334"/>
      <c r="ET52" s="334"/>
      <c r="EU52" s="334"/>
      <c r="EV52" s="334"/>
      <c r="EW52" s="334"/>
      <c r="EX52" s="334"/>
      <c r="EY52" s="334"/>
      <c r="EZ52" s="334"/>
      <c r="FA52" s="334"/>
      <c r="FB52" s="334"/>
      <c r="FC52" s="334"/>
      <c r="FD52" s="334"/>
      <c r="FE52" s="334"/>
      <c r="FF52" s="334"/>
      <c r="FG52" s="334"/>
      <c r="FH52" s="334"/>
      <c r="FI52" s="334"/>
      <c r="FJ52" s="334"/>
      <c r="FK52" s="334"/>
      <c r="FL52" s="334"/>
      <c r="FM52" s="334"/>
      <c r="FN52" s="334"/>
      <c r="FO52" s="334"/>
      <c r="FP52" s="334"/>
      <c r="FQ52" s="334"/>
      <c r="FR52" s="334"/>
      <c r="FS52" s="334"/>
      <c r="FT52" s="334"/>
      <c r="FU52" s="334"/>
      <c r="FV52" s="334"/>
      <c r="FW52" s="334"/>
      <c r="FX52" s="334"/>
      <c r="FY52" s="334"/>
      <c r="FZ52" s="334"/>
      <c r="GA52" s="334"/>
      <c r="GB52" s="334"/>
      <c r="GC52" s="334"/>
      <c r="GD52" s="334"/>
      <c r="GE52" s="334"/>
      <c r="GF52" s="334"/>
      <c r="GG52" s="334"/>
      <c r="GH52" s="334"/>
      <c r="GI52" s="334"/>
      <c r="GJ52" s="334"/>
      <c r="GK52" s="334"/>
      <c r="GL52" s="334"/>
      <c r="GM52" s="334"/>
      <c r="GN52" s="334"/>
      <c r="GO52" s="334"/>
      <c r="GP52" s="334"/>
      <c r="GQ52" s="334"/>
      <c r="GR52" s="334"/>
      <c r="GS52" s="334"/>
      <c r="GT52" s="334"/>
      <c r="GU52" s="334"/>
      <c r="GV52" s="334"/>
      <c r="GW52" s="334"/>
      <c r="GX52" s="334"/>
      <c r="GY52" s="334"/>
      <c r="GZ52" s="334"/>
      <c r="HA52" s="334"/>
      <c r="HB52" s="334"/>
      <c r="HC52" s="334"/>
      <c r="HD52" s="334"/>
      <c r="HE52" s="334"/>
      <c r="HF52" s="334"/>
      <c r="HG52" s="334"/>
      <c r="HH52" s="334"/>
      <c r="HI52" s="334"/>
      <c r="HJ52" s="334"/>
      <c r="HK52" s="334"/>
      <c r="HL52" s="334"/>
      <c r="HM52" s="334"/>
      <c r="HN52" s="334"/>
      <c r="HO52" s="334"/>
      <c r="HP52" s="334"/>
      <c r="HQ52" s="334"/>
      <c r="HR52" s="334"/>
      <c r="HS52" s="334"/>
      <c r="HT52" s="334"/>
      <c r="HU52" s="334"/>
      <c r="HV52" s="334"/>
      <c r="HW52" s="334"/>
      <c r="HX52" s="334"/>
      <c r="HY52" s="334"/>
      <c r="HZ52" s="334"/>
      <c r="IA52" s="334"/>
      <c r="IB52" s="334"/>
      <c r="IC52" s="334"/>
      <c r="ID52" s="334"/>
      <c r="IE52" s="334"/>
      <c r="IF52" s="334"/>
      <c r="IG52" s="334"/>
      <c r="IH52" s="334"/>
      <c r="II52" s="334"/>
      <c r="IJ52" s="334"/>
      <c r="IK52" s="334"/>
      <c r="IL52" s="334"/>
      <c r="IM52" s="334"/>
      <c r="IN52" s="334"/>
      <c r="IO52" s="334"/>
      <c r="IP52" s="334"/>
      <c r="IQ52" s="334"/>
      <c r="IR52" s="334"/>
    </row>
    <row r="53" spans="1:252" s="368" customFormat="1" x14ac:dyDescent="0.25">
      <c r="A53" s="366">
        <v>43698</v>
      </c>
      <c r="B53" s="367">
        <v>84.74</v>
      </c>
      <c r="C53" s="367">
        <v>28.7</v>
      </c>
      <c r="D53" s="367">
        <v>141.76</v>
      </c>
      <c r="E53" s="367">
        <v>76.400000000000006</v>
      </c>
      <c r="F53" s="367">
        <v>188.63</v>
      </c>
      <c r="G53" s="367">
        <v>16.05</v>
      </c>
      <c r="H53" s="367">
        <v>26.69</v>
      </c>
      <c r="I53" s="367">
        <v>88.59</v>
      </c>
      <c r="J53" s="367">
        <v>91.57</v>
      </c>
      <c r="K53" s="367">
        <v>268.56</v>
      </c>
      <c r="L53" s="367">
        <v>149.19999999999999</v>
      </c>
      <c r="M53" s="367">
        <v>80</v>
      </c>
      <c r="N53" s="367">
        <v>32.430000305199997</v>
      </c>
      <c r="O53" s="367">
        <v>12.649999618500001</v>
      </c>
      <c r="P53" s="367">
        <v>25.379999160800001</v>
      </c>
      <c r="Q53" s="367">
        <v>35.419998168900001</v>
      </c>
      <c r="R53" s="367">
        <v>32.930000305199997</v>
      </c>
      <c r="S53" s="367">
        <v>30.1100006104</v>
      </c>
      <c r="T53" s="367">
        <v>26.5</v>
      </c>
      <c r="U53" s="367">
        <v>74.2</v>
      </c>
      <c r="V53" s="334"/>
      <c r="W53" s="334"/>
      <c r="X53" s="334"/>
      <c r="Y53" s="334"/>
      <c r="Z53" s="334"/>
      <c r="AA53" s="334"/>
      <c r="AB53" s="334"/>
      <c r="AC53" s="334"/>
      <c r="AD53" s="334"/>
      <c r="AE53" s="334"/>
      <c r="AF53" s="334"/>
      <c r="AG53" s="334"/>
      <c r="AH53" s="334"/>
      <c r="AI53" s="334"/>
      <c r="AJ53" s="334"/>
      <c r="AK53" s="334"/>
      <c r="AL53" s="334"/>
      <c r="AM53" s="334"/>
      <c r="AN53" s="334"/>
      <c r="AO53" s="334"/>
      <c r="AP53" s="334"/>
      <c r="AQ53" s="334"/>
      <c r="AR53" s="334"/>
      <c r="AS53" s="334"/>
      <c r="AT53" s="334"/>
      <c r="AU53" s="334"/>
      <c r="AV53" s="334"/>
      <c r="AW53" s="334"/>
      <c r="AX53" s="334"/>
      <c r="AY53" s="334"/>
      <c r="AZ53" s="334"/>
      <c r="BA53" s="334"/>
      <c r="BB53" s="334"/>
      <c r="BC53" s="334"/>
      <c r="BD53" s="334"/>
      <c r="BE53" s="334"/>
      <c r="BF53" s="334"/>
      <c r="BG53" s="334"/>
      <c r="BH53" s="334"/>
      <c r="BI53" s="334"/>
      <c r="BJ53" s="334"/>
      <c r="BK53" s="334"/>
      <c r="BL53" s="334"/>
      <c r="BM53" s="334"/>
      <c r="BN53" s="334"/>
      <c r="BO53" s="334"/>
      <c r="BP53" s="334"/>
      <c r="BQ53" s="334"/>
      <c r="BR53" s="334"/>
      <c r="BS53" s="334"/>
      <c r="BT53" s="334"/>
      <c r="BU53" s="334"/>
      <c r="BV53" s="334"/>
      <c r="BW53" s="334"/>
      <c r="BX53" s="334"/>
      <c r="BY53" s="334"/>
      <c r="BZ53" s="334"/>
      <c r="CA53" s="334"/>
      <c r="CB53" s="334"/>
      <c r="CC53" s="334"/>
      <c r="CD53" s="334"/>
      <c r="CE53" s="334"/>
      <c r="CF53" s="334"/>
      <c r="CG53" s="334"/>
      <c r="CH53" s="334"/>
      <c r="CI53" s="334"/>
      <c r="CJ53" s="334"/>
      <c r="CK53" s="334"/>
      <c r="CL53" s="334"/>
      <c r="CM53" s="334"/>
      <c r="CN53" s="334"/>
      <c r="CO53" s="334"/>
      <c r="CP53" s="334"/>
      <c r="CQ53" s="334"/>
      <c r="CR53" s="334"/>
      <c r="CS53" s="334"/>
      <c r="CT53" s="334"/>
      <c r="CU53" s="334"/>
      <c r="CV53" s="334"/>
      <c r="CW53" s="334"/>
      <c r="CX53" s="334"/>
      <c r="CY53" s="334"/>
      <c r="CZ53" s="334"/>
      <c r="DA53" s="334"/>
      <c r="DB53" s="334"/>
      <c r="DC53" s="334"/>
      <c r="DD53" s="334"/>
      <c r="DE53" s="334"/>
      <c r="DF53" s="334"/>
      <c r="DG53" s="334"/>
      <c r="DH53" s="334"/>
      <c r="DI53" s="334"/>
      <c r="DJ53" s="334"/>
      <c r="DK53" s="334"/>
      <c r="DL53" s="334"/>
      <c r="DM53" s="334"/>
      <c r="DN53" s="334"/>
      <c r="DO53" s="334"/>
      <c r="DP53" s="334"/>
      <c r="DQ53" s="334"/>
      <c r="DR53" s="334"/>
      <c r="DS53" s="334"/>
      <c r="DT53" s="334"/>
      <c r="DU53" s="334"/>
      <c r="DV53" s="334"/>
      <c r="DW53" s="334"/>
      <c r="DX53" s="334"/>
      <c r="DY53" s="334"/>
      <c r="DZ53" s="334"/>
      <c r="EA53" s="334"/>
      <c r="EB53" s="334"/>
      <c r="EC53" s="334"/>
      <c r="ED53" s="334"/>
      <c r="EE53" s="334"/>
      <c r="EF53" s="334"/>
      <c r="EG53" s="334"/>
      <c r="EH53" s="334"/>
      <c r="EI53" s="334"/>
      <c r="EJ53" s="334"/>
      <c r="EK53" s="334"/>
      <c r="EL53" s="334"/>
      <c r="EM53" s="334"/>
      <c r="EN53" s="334"/>
      <c r="EO53" s="334"/>
      <c r="EP53" s="334"/>
      <c r="EQ53" s="334"/>
      <c r="ER53" s="334"/>
      <c r="ES53" s="334"/>
      <c r="ET53" s="334"/>
      <c r="EU53" s="334"/>
      <c r="EV53" s="334"/>
      <c r="EW53" s="334"/>
      <c r="EX53" s="334"/>
      <c r="EY53" s="334"/>
      <c r="EZ53" s="334"/>
      <c r="FA53" s="334"/>
      <c r="FB53" s="334"/>
      <c r="FC53" s="334"/>
      <c r="FD53" s="334"/>
      <c r="FE53" s="334"/>
      <c r="FF53" s="334"/>
      <c r="FG53" s="334"/>
      <c r="FH53" s="334"/>
      <c r="FI53" s="334"/>
      <c r="FJ53" s="334"/>
      <c r="FK53" s="334"/>
      <c r="FL53" s="334"/>
      <c r="FM53" s="334"/>
      <c r="FN53" s="334"/>
      <c r="FO53" s="334"/>
      <c r="FP53" s="334"/>
      <c r="FQ53" s="334"/>
      <c r="FR53" s="334"/>
      <c r="FS53" s="334"/>
      <c r="FT53" s="334"/>
      <c r="FU53" s="334"/>
      <c r="FV53" s="334"/>
      <c r="FW53" s="334"/>
      <c r="FX53" s="334"/>
      <c r="FY53" s="334"/>
      <c r="FZ53" s="334"/>
      <c r="GA53" s="334"/>
      <c r="GB53" s="334"/>
      <c r="GC53" s="334"/>
      <c r="GD53" s="334"/>
      <c r="GE53" s="334"/>
      <c r="GF53" s="334"/>
      <c r="GG53" s="334"/>
      <c r="GH53" s="334"/>
      <c r="GI53" s="334"/>
      <c r="GJ53" s="334"/>
      <c r="GK53" s="334"/>
      <c r="GL53" s="334"/>
      <c r="GM53" s="334"/>
      <c r="GN53" s="334"/>
      <c r="GO53" s="334"/>
      <c r="GP53" s="334"/>
      <c r="GQ53" s="334"/>
      <c r="GR53" s="334"/>
      <c r="GS53" s="334"/>
      <c r="GT53" s="334"/>
      <c r="GU53" s="334"/>
      <c r="GV53" s="334"/>
      <c r="GW53" s="334"/>
      <c r="GX53" s="334"/>
      <c r="GY53" s="334"/>
      <c r="GZ53" s="334"/>
      <c r="HA53" s="334"/>
      <c r="HB53" s="334"/>
      <c r="HC53" s="334"/>
      <c r="HD53" s="334"/>
      <c r="HE53" s="334"/>
      <c r="HF53" s="334"/>
      <c r="HG53" s="334"/>
      <c r="HH53" s="334"/>
      <c r="HI53" s="334"/>
      <c r="HJ53" s="334"/>
      <c r="HK53" s="334"/>
      <c r="HL53" s="334"/>
      <c r="HM53" s="334"/>
      <c r="HN53" s="334"/>
      <c r="HO53" s="334"/>
      <c r="HP53" s="334"/>
      <c r="HQ53" s="334"/>
      <c r="HR53" s="334"/>
      <c r="HS53" s="334"/>
      <c r="HT53" s="334"/>
      <c r="HU53" s="334"/>
      <c r="HV53" s="334"/>
      <c r="HW53" s="334"/>
      <c r="HX53" s="334"/>
      <c r="HY53" s="334"/>
      <c r="HZ53" s="334"/>
      <c r="IA53" s="334"/>
      <c r="IB53" s="334"/>
      <c r="IC53" s="334"/>
      <c r="ID53" s="334"/>
      <c r="IE53" s="334"/>
      <c r="IF53" s="334"/>
      <c r="IG53" s="334"/>
      <c r="IH53" s="334"/>
      <c r="II53" s="334"/>
      <c r="IJ53" s="334"/>
      <c r="IK53" s="334"/>
      <c r="IL53" s="334"/>
      <c r="IM53" s="334"/>
      <c r="IN53" s="334"/>
      <c r="IO53" s="334"/>
      <c r="IP53" s="334"/>
      <c r="IQ53" s="334"/>
      <c r="IR53" s="334"/>
    </row>
    <row r="54" spans="1:252" s="368" customFormat="1" x14ac:dyDescent="0.25">
      <c r="A54" s="366">
        <v>43699</v>
      </c>
      <c r="B54" s="367">
        <v>84.58</v>
      </c>
      <c r="C54" s="367">
        <v>28.49</v>
      </c>
      <c r="D54" s="367">
        <v>141.4</v>
      </c>
      <c r="E54" s="367">
        <v>76.19</v>
      </c>
      <c r="F54" s="367">
        <v>188.02</v>
      </c>
      <c r="G54" s="367">
        <v>15.97</v>
      </c>
      <c r="H54" s="367">
        <v>26.67</v>
      </c>
      <c r="I54" s="367">
        <v>88.034999999999997</v>
      </c>
      <c r="J54" s="367">
        <v>91.99</v>
      </c>
      <c r="K54" s="367">
        <v>268.45999999999998</v>
      </c>
      <c r="L54" s="367">
        <v>149.07</v>
      </c>
      <c r="M54" s="367">
        <v>79.81</v>
      </c>
      <c r="N54" s="367">
        <v>32.430000305199997</v>
      </c>
      <c r="O54" s="367">
        <v>12.6599998474</v>
      </c>
      <c r="P54" s="367">
        <v>25.329999923700001</v>
      </c>
      <c r="Q54" s="367">
        <v>35.310001373299997</v>
      </c>
      <c r="R54" s="367">
        <v>32.840000152599998</v>
      </c>
      <c r="S54" s="367">
        <v>29.959999084500001</v>
      </c>
      <c r="T54" s="367">
        <v>26.370000839199999</v>
      </c>
      <c r="U54" s="367">
        <v>74.19</v>
      </c>
      <c r="V54" s="334"/>
      <c r="W54" s="334"/>
      <c r="X54" s="334"/>
      <c r="Y54" s="334"/>
      <c r="Z54" s="334"/>
      <c r="AA54" s="334"/>
      <c r="AB54" s="334"/>
      <c r="AC54" s="334"/>
      <c r="AD54" s="334"/>
      <c r="AE54" s="334"/>
      <c r="AF54" s="334"/>
      <c r="AG54" s="334"/>
      <c r="AH54" s="334"/>
      <c r="AI54" s="334"/>
      <c r="AJ54" s="334"/>
      <c r="AK54" s="334"/>
      <c r="AL54" s="334"/>
      <c r="AM54" s="334"/>
      <c r="AN54" s="334"/>
      <c r="AO54" s="334"/>
      <c r="AP54" s="334"/>
      <c r="AQ54" s="334"/>
      <c r="AR54" s="334"/>
      <c r="AS54" s="334"/>
      <c r="AT54" s="334"/>
      <c r="AU54" s="334"/>
      <c r="AV54" s="334"/>
      <c r="AW54" s="334"/>
      <c r="AX54" s="334"/>
      <c r="AY54" s="334"/>
      <c r="AZ54" s="334"/>
      <c r="BA54" s="334"/>
      <c r="BB54" s="334"/>
      <c r="BC54" s="334"/>
      <c r="BD54" s="334"/>
      <c r="BE54" s="334"/>
      <c r="BF54" s="334"/>
      <c r="BG54" s="334"/>
      <c r="BH54" s="334"/>
      <c r="BI54" s="334"/>
      <c r="BJ54" s="334"/>
      <c r="BK54" s="334"/>
      <c r="BL54" s="334"/>
      <c r="BM54" s="334"/>
      <c r="BN54" s="334"/>
      <c r="BO54" s="334"/>
      <c r="BP54" s="334"/>
      <c r="BQ54" s="334"/>
      <c r="BR54" s="334"/>
      <c r="BS54" s="334"/>
      <c r="BT54" s="334"/>
      <c r="BU54" s="334"/>
      <c r="BV54" s="334"/>
      <c r="BW54" s="334"/>
      <c r="BX54" s="334"/>
      <c r="BY54" s="334"/>
      <c r="BZ54" s="334"/>
      <c r="CA54" s="334"/>
      <c r="CB54" s="334"/>
      <c r="CC54" s="334"/>
      <c r="CD54" s="334"/>
      <c r="CE54" s="334"/>
      <c r="CF54" s="334"/>
      <c r="CG54" s="334"/>
      <c r="CH54" s="334"/>
      <c r="CI54" s="334"/>
      <c r="CJ54" s="334"/>
      <c r="CK54" s="334"/>
      <c r="CL54" s="334"/>
      <c r="CM54" s="334"/>
      <c r="CN54" s="334"/>
      <c r="CO54" s="334"/>
      <c r="CP54" s="334"/>
      <c r="CQ54" s="334"/>
      <c r="CR54" s="334"/>
      <c r="CS54" s="334"/>
      <c r="CT54" s="334"/>
      <c r="CU54" s="334"/>
      <c r="CV54" s="334"/>
      <c r="CW54" s="334"/>
      <c r="CX54" s="334"/>
      <c r="CY54" s="334"/>
      <c r="CZ54" s="334"/>
      <c r="DA54" s="334"/>
      <c r="DB54" s="334"/>
      <c r="DC54" s="334"/>
      <c r="DD54" s="334"/>
      <c r="DE54" s="334"/>
      <c r="DF54" s="334"/>
      <c r="DG54" s="334"/>
      <c r="DH54" s="334"/>
      <c r="DI54" s="334"/>
      <c r="DJ54" s="334"/>
      <c r="DK54" s="334"/>
      <c r="DL54" s="334"/>
      <c r="DM54" s="334"/>
      <c r="DN54" s="334"/>
      <c r="DO54" s="334"/>
      <c r="DP54" s="334"/>
      <c r="DQ54" s="334"/>
      <c r="DR54" s="334"/>
      <c r="DS54" s="334"/>
      <c r="DT54" s="334"/>
      <c r="DU54" s="334"/>
      <c r="DV54" s="334"/>
      <c r="DW54" s="334"/>
      <c r="DX54" s="334"/>
      <c r="DY54" s="334"/>
      <c r="DZ54" s="334"/>
      <c r="EA54" s="334"/>
      <c r="EB54" s="334"/>
      <c r="EC54" s="334"/>
      <c r="ED54" s="334"/>
      <c r="EE54" s="334"/>
      <c r="EF54" s="334"/>
      <c r="EG54" s="334"/>
      <c r="EH54" s="334"/>
      <c r="EI54" s="334"/>
      <c r="EJ54" s="334"/>
      <c r="EK54" s="334"/>
      <c r="EL54" s="334"/>
      <c r="EM54" s="334"/>
      <c r="EN54" s="334"/>
      <c r="EO54" s="334"/>
      <c r="EP54" s="334"/>
      <c r="EQ54" s="334"/>
      <c r="ER54" s="334"/>
      <c r="ES54" s="334"/>
      <c r="ET54" s="334"/>
      <c r="EU54" s="334"/>
      <c r="EV54" s="334"/>
      <c r="EW54" s="334"/>
      <c r="EX54" s="334"/>
      <c r="EY54" s="334"/>
      <c r="EZ54" s="334"/>
      <c r="FA54" s="334"/>
      <c r="FB54" s="334"/>
      <c r="FC54" s="334"/>
      <c r="FD54" s="334"/>
      <c r="FE54" s="334"/>
      <c r="FF54" s="334"/>
      <c r="FG54" s="334"/>
      <c r="FH54" s="334"/>
      <c r="FI54" s="334"/>
      <c r="FJ54" s="334"/>
      <c r="FK54" s="334"/>
      <c r="FL54" s="334"/>
      <c r="FM54" s="334"/>
      <c r="FN54" s="334"/>
      <c r="FO54" s="334"/>
      <c r="FP54" s="334"/>
      <c r="FQ54" s="334"/>
      <c r="FR54" s="334"/>
      <c r="FS54" s="334"/>
      <c r="FT54" s="334"/>
      <c r="FU54" s="334"/>
      <c r="FV54" s="334"/>
      <c r="FW54" s="334"/>
      <c r="FX54" s="334"/>
      <c r="FY54" s="334"/>
      <c r="FZ54" s="334"/>
      <c r="GA54" s="334"/>
      <c r="GB54" s="334"/>
      <c r="GC54" s="334"/>
      <c r="GD54" s="334"/>
      <c r="GE54" s="334"/>
      <c r="GF54" s="334"/>
      <c r="GG54" s="334"/>
      <c r="GH54" s="334"/>
      <c r="GI54" s="334"/>
      <c r="GJ54" s="334"/>
      <c r="GK54" s="334"/>
      <c r="GL54" s="334"/>
      <c r="GM54" s="334"/>
      <c r="GN54" s="334"/>
      <c r="GO54" s="334"/>
      <c r="GP54" s="334"/>
      <c r="GQ54" s="334"/>
      <c r="GR54" s="334"/>
      <c r="GS54" s="334"/>
      <c r="GT54" s="334"/>
      <c r="GU54" s="334"/>
      <c r="GV54" s="334"/>
      <c r="GW54" s="334"/>
      <c r="GX54" s="334"/>
      <c r="GY54" s="334"/>
      <c r="GZ54" s="334"/>
      <c r="HA54" s="334"/>
      <c r="HB54" s="334"/>
      <c r="HC54" s="334"/>
      <c r="HD54" s="334"/>
      <c r="HE54" s="334"/>
      <c r="HF54" s="334"/>
      <c r="HG54" s="334"/>
      <c r="HH54" s="334"/>
      <c r="HI54" s="334"/>
      <c r="HJ54" s="334"/>
      <c r="HK54" s="334"/>
      <c r="HL54" s="334"/>
      <c r="HM54" s="334"/>
      <c r="HN54" s="334"/>
      <c r="HO54" s="334"/>
      <c r="HP54" s="334"/>
      <c r="HQ54" s="334"/>
      <c r="HR54" s="334"/>
      <c r="HS54" s="334"/>
      <c r="HT54" s="334"/>
      <c r="HU54" s="334"/>
      <c r="HV54" s="334"/>
      <c r="HW54" s="334"/>
      <c r="HX54" s="334"/>
      <c r="HY54" s="334"/>
      <c r="HZ54" s="334"/>
      <c r="IA54" s="334"/>
      <c r="IB54" s="334"/>
      <c r="IC54" s="334"/>
      <c r="ID54" s="334"/>
      <c r="IE54" s="334"/>
      <c r="IF54" s="334"/>
      <c r="IG54" s="334"/>
      <c r="IH54" s="334"/>
      <c r="II54" s="334"/>
      <c r="IJ54" s="334"/>
      <c r="IK54" s="334"/>
      <c r="IL54" s="334"/>
      <c r="IM54" s="334"/>
      <c r="IN54" s="334"/>
      <c r="IO54" s="334"/>
      <c r="IP54" s="334"/>
      <c r="IQ54" s="334"/>
      <c r="IR54" s="334"/>
    </row>
    <row r="55" spans="1:252" s="368" customFormat="1" x14ac:dyDescent="0.25">
      <c r="A55" s="366">
        <v>43700</v>
      </c>
      <c r="B55" s="367">
        <v>84.89</v>
      </c>
      <c r="C55" s="367">
        <v>29.64</v>
      </c>
      <c r="D55" s="367">
        <v>144.16999999999999</v>
      </c>
      <c r="E55" s="367">
        <v>73.86</v>
      </c>
      <c r="F55" s="367">
        <v>182.07</v>
      </c>
      <c r="G55" s="367">
        <v>16.350000000000001</v>
      </c>
      <c r="H55" s="367">
        <v>26.52</v>
      </c>
      <c r="I55" s="367">
        <v>89.45</v>
      </c>
      <c r="J55" s="367">
        <v>90.7</v>
      </c>
      <c r="K55" s="367">
        <v>261.57</v>
      </c>
      <c r="L55" s="367">
        <v>145.31</v>
      </c>
      <c r="M55" s="367">
        <v>77.17</v>
      </c>
      <c r="N55" s="367">
        <v>31.5699996948</v>
      </c>
      <c r="O55" s="367">
        <v>12.890000343300001</v>
      </c>
      <c r="P55" s="367">
        <v>24.9300003052</v>
      </c>
      <c r="Q55" s="367">
        <v>34.8699989319</v>
      </c>
      <c r="R55" s="367">
        <v>32.3899993896</v>
      </c>
      <c r="S55" s="367">
        <v>30.790000915499999</v>
      </c>
      <c r="T55" s="367">
        <v>26.540000915499999</v>
      </c>
      <c r="U55" s="367">
        <v>74.25</v>
      </c>
      <c r="V55" s="334"/>
      <c r="W55" s="334"/>
      <c r="X55" s="334"/>
      <c r="Y55" s="334"/>
      <c r="Z55" s="334"/>
      <c r="AA55" s="334"/>
      <c r="AB55" s="334"/>
      <c r="AC55" s="334"/>
      <c r="AD55" s="334"/>
      <c r="AE55" s="334"/>
      <c r="AF55" s="334"/>
      <c r="AG55" s="334"/>
      <c r="AH55" s="334"/>
      <c r="AI55" s="334"/>
      <c r="AJ55" s="334"/>
      <c r="AK55" s="334"/>
      <c r="AL55" s="334"/>
      <c r="AM55" s="334"/>
      <c r="AN55" s="334"/>
      <c r="AO55" s="334"/>
      <c r="AP55" s="334"/>
      <c r="AQ55" s="334"/>
      <c r="AR55" s="334"/>
      <c r="AS55" s="334"/>
      <c r="AT55" s="334"/>
      <c r="AU55" s="334"/>
      <c r="AV55" s="334"/>
      <c r="AW55" s="334"/>
      <c r="AX55" s="334"/>
      <c r="AY55" s="334"/>
      <c r="AZ55" s="334"/>
      <c r="BA55" s="334"/>
      <c r="BB55" s="334"/>
      <c r="BC55" s="334"/>
      <c r="BD55" s="334"/>
      <c r="BE55" s="334"/>
      <c r="BF55" s="334"/>
      <c r="BG55" s="334"/>
      <c r="BH55" s="334"/>
      <c r="BI55" s="334"/>
      <c r="BJ55" s="334"/>
      <c r="BK55" s="334"/>
      <c r="BL55" s="334"/>
      <c r="BM55" s="334"/>
      <c r="BN55" s="334"/>
      <c r="BO55" s="334"/>
      <c r="BP55" s="334"/>
      <c r="BQ55" s="334"/>
      <c r="BR55" s="334"/>
      <c r="BS55" s="334"/>
      <c r="BT55" s="334"/>
      <c r="BU55" s="334"/>
      <c r="BV55" s="334"/>
      <c r="BW55" s="334"/>
      <c r="BX55" s="334"/>
      <c r="BY55" s="334"/>
      <c r="BZ55" s="334"/>
      <c r="CA55" s="334"/>
      <c r="CB55" s="334"/>
      <c r="CC55" s="334"/>
      <c r="CD55" s="334"/>
      <c r="CE55" s="334"/>
      <c r="CF55" s="334"/>
      <c r="CG55" s="334"/>
      <c r="CH55" s="334"/>
      <c r="CI55" s="334"/>
      <c r="CJ55" s="334"/>
      <c r="CK55" s="334"/>
      <c r="CL55" s="334"/>
      <c r="CM55" s="334"/>
      <c r="CN55" s="334"/>
      <c r="CO55" s="334"/>
      <c r="CP55" s="334"/>
      <c r="CQ55" s="334"/>
      <c r="CR55" s="334"/>
      <c r="CS55" s="334"/>
      <c r="CT55" s="334"/>
      <c r="CU55" s="334"/>
      <c r="CV55" s="334"/>
      <c r="CW55" s="334"/>
      <c r="CX55" s="334"/>
      <c r="CY55" s="334"/>
      <c r="CZ55" s="334"/>
      <c r="DA55" s="334"/>
      <c r="DB55" s="334"/>
      <c r="DC55" s="334"/>
      <c r="DD55" s="334"/>
      <c r="DE55" s="334"/>
      <c r="DF55" s="334"/>
      <c r="DG55" s="334"/>
      <c r="DH55" s="334"/>
      <c r="DI55" s="334"/>
      <c r="DJ55" s="334"/>
      <c r="DK55" s="334"/>
      <c r="DL55" s="334"/>
      <c r="DM55" s="334"/>
      <c r="DN55" s="334"/>
      <c r="DO55" s="334"/>
      <c r="DP55" s="334"/>
      <c r="DQ55" s="334"/>
      <c r="DR55" s="334"/>
      <c r="DS55" s="334"/>
      <c r="DT55" s="334"/>
      <c r="DU55" s="334"/>
      <c r="DV55" s="334"/>
      <c r="DW55" s="334"/>
      <c r="DX55" s="334"/>
      <c r="DY55" s="334"/>
      <c r="DZ55" s="334"/>
      <c r="EA55" s="334"/>
      <c r="EB55" s="334"/>
      <c r="EC55" s="334"/>
      <c r="ED55" s="334"/>
      <c r="EE55" s="334"/>
      <c r="EF55" s="334"/>
      <c r="EG55" s="334"/>
      <c r="EH55" s="334"/>
      <c r="EI55" s="334"/>
      <c r="EJ55" s="334"/>
      <c r="EK55" s="334"/>
      <c r="EL55" s="334"/>
      <c r="EM55" s="334"/>
      <c r="EN55" s="334"/>
      <c r="EO55" s="334"/>
      <c r="EP55" s="334"/>
      <c r="EQ55" s="334"/>
      <c r="ER55" s="334"/>
      <c r="ES55" s="334"/>
      <c r="ET55" s="334"/>
      <c r="EU55" s="334"/>
      <c r="EV55" s="334"/>
      <c r="EW55" s="334"/>
      <c r="EX55" s="334"/>
      <c r="EY55" s="334"/>
      <c r="EZ55" s="334"/>
      <c r="FA55" s="334"/>
      <c r="FB55" s="334"/>
      <c r="FC55" s="334"/>
      <c r="FD55" s="334"/>
      <c r="FE55" s="334"/>
      <c r="FF55" s="334"/>
      <c r="FG55" s="334"/>
      <c r="FH55" s="334"/>
      <c r="FI55" s="334"/>
      <c r="FJ55" s="334"/>
      <c r="FK55" s="334"/>
      <c r="FL55" s="334"/>
      <c r="FM55" s="334"/>
      <c r="FN55" s="334"/>
      <c r="FO55" s="334"/>
      <c r="FP55" s="334"/>
      <c r="FQ55" s="334"/>
      <c r="FR55" s="334"/>
      <c r="FS55" s="334"/>
      <c r="FT55" s="334"/>
      <c r="FU55" s="334"/>
      <c r="FV55" s="334"/>
      <c r="FW55" s="334"/>
      <c r="FX55" s="334"/>
      <c r="FY55" s="334"/>
      <c r="FZ55" s="334"/>
      <c r="GA55" s="334"/>
      <c r="GB55" s="334"/>
      <c r="GC55" s="334"/>
      <c r="GD55" s="334"/>
      <c r="GE55" s="334"/>
      <c r="GF55" s="334"/>
      <c r="GG55" s="334"/>
      <c r="GH55" s="334"/>
      <c r="GI55" s="334"/>
      <c r="GJ55" s="334"/>
      <c r="GK55" s="334"/>
      <c r="GL55" s="334"/>
      <c r="GM55" s="334"/>
      <c r="GN55" s="334"/>
      <c r="GO55" s="334"/>
      <c r="GP55" s="334"/>
      <c r="GQ55" s="334"/>
      <c r="GR55" s="334"/>
      <c r="GS55" s="334"/>
      <c r="GT55" s="334"/>
      <c r="GU55" s="334"/>
      <c r="GV55" s="334"/>
      <c r="GW55" s="334"/>
      <c r="GX55" s="334"/>
      <c r="GY55" s="334"/>
      <c r="GZ55" s="334"/>
      <c r="HA55" s="334"/>
      <c r="HB55" s="334"/>
      <c r="HC55" s="334"/>
      <c r="HD55" s="334"/>
      <c r="HE55" s="334"/>
      <c r="HF55" s="334"/>
      <c r="HG55" s="334"/>
      <c r="HH55" s="334"/>
      <c r="HI55" s="334"/>
      <c r="HJ55" s="334"/>
      <c r="HK55" s="334"/>
      <c r="HL55" s="334"/>
      <c r="HM55" s="334"/>
      <c r="HN55" s="334"/>
      <c r="HO55" s="334"/>
      <c r="HP55" s="334"/>
      <c r="HQ55" s="334"/>
      <c r="HR55" s="334"/>
      <c r="HS55" s="334"/>
      <c r="HT55" s="334"/>
      <c r="HU55" s="334"/>
      <c r="HV55" s="334"/>
      <c r="HW55" s="334"/>
      <c r="HX55" s="334"/>
      <c r="HY55" s="334"/>
      <c r="HZ55" s="334"/>
      <c r="IA55" s="334"/>
      <c r="IB55" s="334"/>
      <c r="IC55" s="334"/>
      <c r="ID55" s="334"/>
      <c r="IE55" s="334"/>
      <c r="IF55" s="334"/>
      <c r="IG55" s="334"/>
      <c r="IH55" s="334"/>
      <c r="II55" s="334"/>
      <c r="IJ55" s="334"/>
      <c r="IK55" s="334"/>
      <c r="IL55" s="334"/>
      <c r="IM55" s="334"/>
      <c r="IN55" s="334"/>
      <c r="IO55" s="334"/>
      <c r="IP55" s="334"/>
      <c r="IQ55" s="334"/>
      <c r="IR55" s="334"/>
    </row>
    <row r="56" spans="1:252" s="368" customFormat="1" x14ac:dyDescent="0.25">
      <c r="A56" s="366">
        <v>43701</v>
      </c>
      <c r="B56" s="367">
        <v>84.89</v>
      </c>
      <c r="C56" s="367">
        <v>29.64</v>
      </c>
      <c r="D56" s="367">
        <v>144.16999999999999</v>
      </c>
      <c r="E56" s="367">
        <v>73.86</v>
      </c>
      <c r="F56" s="367">
        <v>182.07</v>
      </c>
      <c r="G56" s="367">
        <v>16.350000000000001</v>
      </c>
      <c r="H56" s="367">
        <v>26.52</v>
      </c>
      <c r="I56" s="367">
        <v>89.45</v>
      </c>
      <c r="J56" s="367">
        <v>90.7</v>
      </c>
      <c r="K56" s="367">
        <v>261.57</v>
      </c>
      <c r="L56" s="367">
        <v>145.31</v>
      </c>
      <c r="M56" s="367">
        <v>77.17</v>
      </c>
      <c r="N56" s="367">
        <v>31.5699996948</v>
      </c>
      <c r="O56" s="367">
        <v>12.890000343300001</v>
      </c>
      <c r="P56" s="367">
        <v>24.9300003052</v>
      </c>
      <c r="Q56" s="367">
        <v>34.8699989319</v>
      </c>
      <c r="R56" s="367">
        <v>32.3899993896</v>
      </c>
      <c r="S56" s="367">
        <v>30.790000915499999</v>
      </c>
      <c r="T56" s="367">
        <v>26.540000915499999</v>
      </c>
      <c r="U56" s="367">
        <v>74.25</v>
      </c>
      <c r="V56" s="334"/>
      <c r="W56" s="334"/>
      <c r="X56" s="334"/>
      <c r="Y56" s="334"/>
      <c r="Z56" s="334"/>
      <c r="AA56" s="334"/>
      <c r="AB56" s="334"/>
      <c r="AC56" s="334"/>
      <c r="AD56" s="334"/>
      <c r="AE56" s="334"/>
      <c r="AF56" s="334"/>
      <c r="AG56" s="334"/>
      <c r="AH56" s="334"/>
      <c r="AI56" s="334"/>
      <c r="AJ56" s="334"/>
      <c r="AK56" s="334"/>
      <c r="AL56" s="334"/>
      <c r="AM56" s="334"/>
      <c r="AN56" s="334"/>
      <c r="AO56" s="334"/>
      <c r="AP56" s="334"/>
      <c r="AQ56" s="334"/>
      <c r="AR56" s="334"/>
      <c r="AS56" s="334"/>
      <c r="AT56" s="334"/>
      <c r="AU56" s="334"/>
      <c r="AV56" s="334"/>
      <c r="AW56" s="334"/>
      <c r="AX56" s="334"/>
      <c r="AY56" s="334"/>
      <c r="AZ56" s="334"/>
      <c r="BA56" s="334"/>
      <c r="BB56" s="334"/>
      <c r="BC56" s="334"/>
      <c r="BD56" s="334"/>
      <c r="BE56" s="334"/>
      <c r="BF56" s="334"/>
      <c r="BG56" s="334"/>
      <c r="BH56" s="334"/>
      <c r="BI56" s="334"/>
      <c r="BJ56" s="334"/>
      <c r="BK56" s="334"/>
      <c r="BL56" s="334"/>
      <c r="BM56" s="334"/>
      <c r="BN56" s="334"/>
      <c r="BO56" s="334"/>
      <c r="BP56" s="334"/>
      <c r="BQ56" s="334"/>
      <c r="BR56" s="334"/>
      <c r="BS56" s="334"/>
      <c r="BT56" s="334"/>
      <c r="BU56" s="334"/>
      <c r="BV56" s="334"/>
      <c r="BW56" s="334"/>
      <c r="BX56" s="334"/>
      <c r="BY56" s="334"/>
      <c r="BZ56" s="334"/>
      <c r="CA56" s="334"/>
      <c r="CB56" s="334"/>
      <c r="CC56" s="334"/>
      <c r="CD56" s="334"/>
      <c r="CE56" s="334"/>
      <c r="CF56" s="334"/>
      <c r="CG56" s="334"/>
      <c r="CH56" s="334"/>
      <c r="CI56" s="334"/>
      <c r="CJ56" s="334"/>
      <c r="CK56" s="334"/>
      <c r="CL56" s="334"/>
      <c r="CM56" s="334"/>
      <c r="CN56" s="334"/>
      <c r="CO56" s="334"/>
      <c r="CP56" s="334"/>
      <c r="CQ56" s="334"/>
      <c r="CR56" s="334"/>
      <c r="CS56" s="334"/>
      <c r="CT56" s="334"/>
      <c r="CU56" s="334"/>
      <c r="CV56" s="334"/>
      <c r="CW56" s="334"/>
      <c r="CX56" s="334"/>
      <c r="CY56" s="334"/>
      <c r="CZ56" s="334"/>
      <c r="DA56" s="334"/>
      <c r="DB56" s="334"/>
      <c r="DC56" s="334"/>
      <c r="DD56" s="334"/>
      <c r="DE56" s="334"/>
      <c r="DF56" s="334"/>
      <c r="DG56" s="334"/>
      <c r="DH56" s="334"/>
      <c r="DI56" s="334"/>
      <c r="DJ56" s="334"/>
      <c r="DK56" s="334"/>
      <c r="DL56" s="334"/>
      <c r="DM56" s="334"/>
      <c r="DN56" s="334"/>
      <c r="DO56" s="334"/>
      <c r="DP56" s="334"/>
      <c r="DQ56" s="334"/>
      <c r="DR56" s="334"/>
      <c r="DS56" s="334"/>
      <c r="DT56" s="334"/>
      <c r="DU56" s="334"/>
      <c r="DV56" s="334"/>
      <c r="DW56" s="334"/>
      <c r="DX56" s="334"/>
      <c r="DY56" s="334"/>
      <c r="DZ56" s="334"/>
      <c r="EA56" s="334"/>
      <c r="EB56" s="334"/>
      <c r="EC56" s="334"/>
      <c r="ED56" s="334"/>
      <c r="EE56" s="334"/>
      <c r="EF56" s="334"/>
      <c r="EG56" s="334"/>
      <c r="EH56" s="334"/>
      <c r="EI56" s="334"/>
      <c r="EJ56" s="334"/>
      <c r="EK56" s="334"/>
      <c r="EL56" s="334"/>
      <c r="EM56" s="334"/>
      <c r="EN56" s="334"/>
      <c r="EO56" s="334"/>
      <c r="EP56" s="334"/>
      <c r="EQ56" s="334"/>
      <c r="ER56" s="334"/>
      <c r="ES56" s="334"/>
      <c r="ET56" s="334"/>
      <c r="EU56" s="334"/>
      <c r="EV56" s="334"/>
      <c r="EW56" s="334"/>
      <c r="EX56" s="334"/>
      <c r="EY56" s="334"/>
      <c r="EZ56" s="334"/>
      <c r="FA56" s="334"/>
      <c r="FB56" s="334"/>
      <c r="FC56" s="334"/>
      <c r="FD56" s="334"/>
      <c r="FE56" s="334"/>
      <c r="FF56" s="334"/>
      <c r="FG56" s="334"/>
      <c r="FH56" s="334"/>
      <c r="FI56" s="334"/>
      <c r="FJ56" s="334"/>
      <c r="FK56" s="334"/>
      <c r="FL56" s="334"/>
      <c r="FM56" s="334"/>
      <c r="FN56" s="334"/>
      <c r="FO56" s="334"/>
      <c r="FP56" s="334"/>
      <c r="FQ56" s="334"/>
      <c r="FR56" s="334"/>
      <c r="FS56" s="334"/>
      <c r="FT56" s="334"/>
      <c r="FU56" s="334"/>
      <c r="FV56" s="334"/>
      <c r="FW56" s="334"/>
      <c r="FX56" s="334"/>
      <c r="FY56" s="334"/>
      <c r="FZ56" s="334"/>
      <c r="GA56" s="334"/>
      <c r="GB56" s="334"/>
      <c r="GC56" s="334"/>
      <c r="GD56" s="334"/>
      <c r="GE56" s="334"/>
      <c r="GF56" s="334"/>
      <c r="GG56" s="334"/>
      <c r="GH56" s="334"/>
      <c r="GI56" s="334"/>
      <c r="GJ56" s="334"/>
      <c r="GK56" s="334"/>
      <c r="GL56" s="334"/>
      <c r="GM56" s="334"/>
      <c r="GN56" s="334"/>
      <c r="GO56" s="334"/>
      <c r="GP56" s="334"/>
      <c r="GQ56" s="334"/>
      <c r="GR56" s="334"/>
      <c r="GS56" s="334"/>
      <c r="GT56" s="334"/>
      <c r="GU56" s="334"/>
      <c r="GV56" s="334"/>
      <c r="GW56" s="334"/>
      <c r="GX56" s="334"/>
      <c r="GY56" s="334"/>
      <c r="GZ56" s="334"/>
      <c r="HA56" s="334"/>
      <c r="HB56" s="334"/>
      <c r="HC56" s="334"/>
      <c r="HD56" s="334"/>
      <c r="HE56" s="334"/>
      <c r="HF56" s="334"/>
      <c r="HG56" s="334"/>
      <c r="HH56" s="334"/>
      <c r="HI56" s="334"/>
      <c r="HJ56" s="334"/>
      <c r="HK56" s="334"/>
      <c r="HL56" s="334"/>
      <c r="HM56" s="334"/>
      <c r="HN56" s="334"/>
      <c r="HO56" s="334"/>
      <c r="HP56" s="334"/>
      <c r="HQ56" s="334"/>
      <c r="HR56" s="334"/>
      <c r="HS56" s="334"/>
      <c r="HT56" s="334"/>
      <c r="HU56" s="334"/>
      <c r="HV56" s="334"/>
      <c r="HW56" s="334"/>
      <c r="HX56" s="334"/>
      <c r="HY56" s="334"/>
      <c r="HZ56" s="334"/>
      <c r="IA56" s="334"/>
      <c r="IB56" s="334"/>
      <c r="IC56" s="334"/>
      <c r="ID56" s="334"/>
      <c r="IE56" s="334"/>
      <c r="IF56" s="334"/>
      <c r="IG56" s="334"/>
      <c r="IH56" s="334"/>
      <c r="II56" s="334"/>
      <c r="IJ56" s="334"/>
      <c r="IK56" s="334"/>
      <c r="IL56" s="334"/>
      <c r="IM56" s="334"/>
      <c r="IN56" s="334"/>
      <c r="IO56" s="334"/>
      <c r="IP56" s="334"/>
      <c r="IQ56" s="334"/>
      <c r="IR56" s="334"/>
    </row>
    <row r="57" spans="1:252" s="368" customFormat="1" x14ac:dyDescent="0.25">
      <c r="A57" s="366">
        <v>43702</v>
      </c>
      <c r="B57" s="367">
        <v>84.89</v>
      </c>
      <c r="C57" s="367">
        <v>29.64</v>
      </c>
      <c r="D57" s="367">
        <v>144.16999999999999</v>
      </c>
      <c r="E57" s="367">
        <v>73.86</v>
      </c>
      <c r="F57" s="367">
        <v>182.07</v>
      </c>
      <c r="G57" s="367">
        <v>16.350000000000001</v>
      </c>
      <c r="H57" s="367">
        <v>26.52</v>
      </c>
      <c r="I57" s="367">
        <v>89.45</v>
      </c>
      <c r="J57" s="367">
        <v>90.7</v>
      </c>
      <c r="K57" s="367">
        <v>261.57</v>
      </c>
      <c r="L57" s="367">
        <v>145.31</v>
      </c>
      <c r="M57" s="367">
        <v>77.17</v>
      </c>
      <c r="N57" s="367">
        <v>31.5699996948</v>
      </c>
      <c r="O57" s="367">
        <v>12.890000343300001</v>
      </c>
      <c r="P57" s="367">
        <v>24.9300003052</v>
      </c>
      <c r="Q57" s="367">
        <v>34.8699989319</v>
      </c>
      <c r="R57" s="367">
        <v>32.3899993896</v>
      </c>
      <c r="S57" s="367">
        <v>30.790000915499999</v>
      </c>
      <c r="T57" s="367">
        <v>26.540000915499999</v>
      </c>
      <c r="U57" s="367">
        <v>74.25</v>
      </c>
      <c r="V57" s="334"/>
      <c r="W57" s="334"/>
      <c r="X57" s="334"/>
      <c r="Y57" s="334"/>
      <c r="Z57" s="334"/>
      <c r="AA57" s="334"/>
      <c r="AB57" s="334"/>
      <c r="AC57" s="334"/>
      <c r="AD57" s="334"/>
      <c r="AE57" s="334"/>
      <c r="AF57" s="334"/>
      <c r="AG57" s="334"/>
      <c r="AH57" s="334"/>
      <c r="AI57" s="334"/>
      <c r="AJ57" s="334"/>
      <c r="AK57" s="334"/>
      <c r="AL57" s="334"/>
      <c r="AM57" s="334"/>
      <c r="AN57" s="334"/>
      <c r="AO57" s="334"/>
      <c r="AP57" s="334"/>
      <c r="AQ57" s="334"/>
      <c r="AR57" s="334"/>
      <c r="AS57" s="334"/>
      <c r="AT57" s="334"/>
      <c r="AU57" s="334"/>
      <c r="AV57" s="334"/>
      <c r="AW57" s="334"/>
      <c r="AX57" s="334"/>
      <c r="AY57" s="334"/>
      <c r="AZ57" s="334"/>
      <c r="BA57" s="334"/>
      <c r="BB57" s="334"/>
      <c r="BC57" s="334"/>
      <c r="BD57" s="334"/>
      <c r="BE57" s="334"/>
      <c r="BF57" s="334"/>
      <c r="BG57" s="334"/>
      <c r="BH57" s="334"/>
      <c r="BI57" s="334"/>
      <c r="BJ57" s="334"/>
      <c r="BK57" s="334"/>
      <c r="BL57" s="334"/>
      <c r="BM57" s="334"/>
      <c r="BN57" s="334"/>
      <c r="BO57" s="334"/>
      <c r="BP57" s="334"/>
      <c r="BQ57" s="334"/>
      <c r="BR57" s="334"/>
      <c r="BS57" s="334"/>
      <c r="BT57" s="334"/>
      <c r="BU57" s="334"/>
      <c r="BV57" s="334"/>
      <c r="BW57" s="334"/>
      <c r="BX57" s="334"/>
      <c r="BY57" s="334"/>
      <c r="BZ57" s="334"/>
      <c r="CA57" s="334"/>
      <c r="CB57" s="334"/>
      <c r="CC57" s="334"/>
      <c r="CD57" s="334"/>
      <c r="CE57" s="334"/>
      <c r="CF57" s="334"/>
      <c r="CG57" s="334"/>
      <c r="CH57" s="334"/>
      <c r="CI57" s="334"/>
      <c r="CJ57" s="334"/>
      <c r="CK57" s="334"/>
      <c r="CL57" s="334"/>
      <c r="CM57" s="334"/>
      <c r="CN57" s="334"/>
      <c r="CO57" s="334"/>
      <c r="CP57" s="334"/>
      <c r="CQ57" s="334"/>
      <c r="CR57" s="334"/>
      <c r="CS57" s="334"/>
      <c r="CT57" s="334"/>
      <c r="CU57" s="334"/>
      <c r="CV57" s="334"/>
      <c r="CW57" s="334"/>
      <c r="CX57" s="334"/>
      <c r="CY57" s="334"/>
      <c r="CZ57" s="334"/>
      <c r="DA57" s="334"/>
      <c r="DB57" s="334"/>
      <c r="DC57" s="334"/>
      <c r="DD57" s="334"/>
      <c r="DE57" s="334"/>
      <c r="DF57" s="334"/>
      <c r="DG57" s="334"/>
      <c r="DH57" s="334"/>
      <c r="DI57" s="334"/>
      <c r="DJ57" s="334"/>
      <c r="DK57" s="334"/>
      <c r="DL57" s="334"/>
      <c r="DM57" s="334"/>
      <c r="DN57" s="334"/>
      <c r="DO57" s="334"/>
      <c r="DP57" s="334"/>
      <c r="DQ57" s="334"/>
      <c r="DR57" s="334"/>
      <c r="DS57" s="334"/>
      <c r="DT57" s="334"/>
      <c r="DU57" s="334"/>
      <c r="DV57" s="334"/>
      <c r="DW57" s="334"/>
      <c r="DX57" s="334"/>
      <c r="DY57" s="334"/>
      <c r="DZ57" s="334"/>
      <c r="EA57" s="334"/>
      <c r="EB57" s="334"/>
      <c r="EC57" s="334"/>
      <c r="ED57" s="334"/>
      <c r="EE57" s="334"/>
      <c r="EF57" s="334"/>
      <c r="EG57" s="334"/>
      <c r="EH57" s="334"/>
      <c r="EI57" s="334"/>
      <c r="EJ57" s="334"/>
      <c r="EK57" s="334"/>
      <c r="EL57" s="334"/>
      <c r="EM57" s="334"/>
      <c r="EN57" s="334"/>
      <c r="EO57" s="334"/>
      <c r="EP57" s="334"/>
      <c r="EQ57" s="334"/>
      <c r="ER57" s="334"/>
      <c r="ES57" s="334"/>
      <c r="ET57" s="334"/>
      <c r="EU57" s="334"/>
      <c r="EV57" s="334"/>
      <c r="EW57" s="334"/>
      <c r="EX57" s="334"/>
      <c r="EY57" s="334"/>
      <c r="EZ57" s="334"/>
      <c r="FA57" s="334"/>
      <c r="FB57" s="334"/>
      <c r="FC57" s="334"/>
      <c r="FD57" s="334"/>
      <c r="FE57" s="334"/>
      <c r="FF57" s="334"/>
      <c r="FG57" s="334"/>
      <c r="FH57" s="334"/>
      <c r="FI57" s="334"/>
      <c r="FJ57" s="334"/>
      <c r="FK57" s="334"/>
      <c r="FL57" s="334"/>
      <c r="FM57" s="334"/>
      <c r="FN57" s="334"/>
      <c r="FO57" s="334"/>
      <c r="FP57" s="334"/>
      <c r="FQ57" s="334"/>
      <c r="FR57" s="334"/>
      <c r="FS57" s="334"/>
      <c r="FT57" s="334"/>
      <c r="FU57" s="334"/>
      <c r="FV57" s="334"/>
      <c r="FW57" s="334"/>
      <c r="FX57" s="334"/>
      <c r="FY57" s="334"/>
      <c r="FZ57" s="334"/>
      <c r="GA57" s="334"/>
      <c r="GB57" s="334"/>
      <c r="GC57" s="334"/>
      <c r="GD57" s="334"/>
      <c r="GE57" s="334"/>
      <c r="GF57" s="334"/>
      <c r="GG57" s="334"/>
      <c r="GH57" s="334"/>
      <c r="GI57" s="334"/>
      <c r="GJ57" s="334"/>
      <c r="GK57" s="334"/>
      <c r="GL57" s="334"/>
      <c r="GM57" s="334"/>
      <c r="GN57" s="334"/>
      <c r="GO57" s="334"/>
      <c r="GP57" s="334"/>
      <c r="GQ57" s="334"/>
      <c r="GR57" s="334"/>
      <c r="GS57" s="334"/>
      <c r="GT57" s="334"/>
      <c r="GU57" s="334"/>
      <c r="GV57" s="334"/>
      <c r="GW57" s="334"/>
      <c r="GX57" s="334"/>
      <c r="GY57" s="334"/>
      <c r="GZ57" s="334"/>
      <c r="HA57" s="334"/>
      <c r="HB57" s="334"/>
      <c r="HC57" s="334"/>
      <c r="HD57" s="334"/>
      <c r="HE57" s="334"/>
      <c r="HF57" s="334"/>
      <c r="HG57" s="334"/>
      <c r="HH57" s="334"/>
      <c r="HI57" s="334"/>
      <c r="HJ57" s="334"/>
      <c r="HK57" s="334"/>
      <c r="HL57" s="334"/>
      <c r="HM57" s="334"/>
      <c r="HN57" s="334"/>
      <c r="HO57" s="334"/>
      <c r="HP57" s="334"/>
      <c r="HQ57" s="334"/>
      <c r="HR57" s="334"/>
      <c r="HS57" s="334"/>
      <c r="HT57" s="334"/>
      <c r="HU57" s="334"/>
      <c r="HV57" s="334"/>
      <c r="HW57" s="334"/>
      <c r="HX57" s="334"/>
      <c r="HY57" s="334"/>
      <c r="HZ57" s="334"/>
      <c r="IA57" s="334"/>
      <c r="IB57" s="334"/>
      <c r="IC57" s="334"/>
      <c r="ID57" s="334"/>
      <c r="IE57" s="334"/>
      <c r="IF57" s="334"/>
      <c r="IG57" s="334"/>
      <c r="IH57" s="334"/>
      <c r="II57" s="334"/>
      <c r="IJ57" s="334"/>
      <c r="IK57" s="334"/>
      <c r="IL57" s="334"/>
      <c r="IM57" s="334"/>
      <c r="IN57" s="334"/>
      <c r="IO57" s="334"/>
      <c r="IP57" s="334"/>
      <c r="IQ57" s="334"/>
      <c r="IR57" s="334"/>
    </row>
    <row r="58" spans="1:252" s="368" customFormat="1" x14ac:dyDescent="0.25">
      <c r="A58" s="366">
        <v>43703</v>
      </c>
      <c r="B58" s="367">
        <v>84.84</v>
      </c>
      <c r="C58" s="367">
        <v>29.64</v>
      </c>
      <c r="D58" s="367">
        <v>144.19</v>
      </c>
      <c r="E58" s="367">
        <v>74.55</v>
      </c>
      <c r="F58" s="367">
        <v>184.82</v>
      </c>
      <c r="G58" s="367">
        <v>16.52</v>
      </c>
      <c r="H58" s="367">
        <v>26.66</v>
      </c>
      <c r="I58" s="367">
        <v>89.08</v>
      </c>
      <c r="J58" s="367">
        <v>91.4</v>
      </c>
      <c r="K58" s="367">
        <v>264.47000000000003</v>
      </c>
      <c r="L58" s="367">
        <v>146.78</v>
      </c>
      <c r="M58" s="367">
        <v>78.239999999999995</v>
      </c>
      <c r="N58" s="367">
        <v>31.9300003052</v>
      </c>
      <c r="O58" s="367">
        <v>12.8800001144</v>
      </c>
      <c r="P58" s="367">
        <v>25.0699996948</v>
      </c>
      <c r="Q58" s="367">
        <v>34.909999847400002</v>
      </c>
      <c r="R58" s="367">
        <v>32.479999542199998</v>
      </c>
      <c r="S58" s="367">
        <v>30.719999313399999</v>
      </c>
      <c r="T58" s="367">
        <v>26.469999313399999</v>
      </c>
      <c r="U58" s="367">
        <v>74.41</v>
      </c>
      <c r="V58" s="334"/>
      <c r="W58" s="334"/>
      <c r="X58" s="334"/>
      <c r="Y58" s="334"/>
      <c r="Z58" s="334"/>
      <c r="AA58" s="334"/>
      <c r="AB58" s="334"/>
      <c r="AC58" s="334"/>
      <c r="AD58" s="334"/>
      <c r="AE58" s="334"/>
      <c r="AF58" s="334"/>
      <c r="AG58" s="334"/>
      <c r="AH58" s="334"/>
      <c r="AI58" s="334"/>
      <c r="AJ58" s="334"/>
      <c r="AK58" s="334"/>
      <c r="AL58" s="334"/>
      <c r="AM58" s="334"/>
      <c r="AN58" s="334"/>
      <c r="AO58" s="334"/>
      <c r="AP58" s="334"/>
      <c r="AQ58" s="334"/>
      <c r="AR58" s="334"/>
      <c r="AS58" s="334"/>
      <c r="AT58" s="334"/>
      <c r="AU58" s="334"/>
      <c r="AV58" s="334"/>
      <c r="AW58" s="334"/>
      <c r="AX58" s="334"/>
      <c r="AY58" s="334"/>
      <c r="AZ58" s="334"/>
      <c r="BA58" s="334"/>
      <c r="BB58" s="334"/>
      <c r="BC58" s="334"/>
      <c r="BD58" s="334"/>
      <c r="BE58" s="334"/>
      <c r="BF58" s="334"/>
      <c r="BG58" s="334"/>
      <c r="BH58" s="334"/>
      <c r="BI58" s="334"/>
      <c r="BJ58" s="334"/>
      <c r="BK58" s="334"/>
      <c r="BL58" s="334"/>
      <c r="BM58" s="334"/>
      <c r="BN58" s="334"/>
      <c r="BO58" s="334"/>
      <c r="BP58" s="334"/>
      <c r="BQ58" s="334"/>
      <c r="BR58" s="334"/>
      <c r="BS58" s="334"/>
      <c r="BT58" s="334"/>
      <c r="BU58" s="334"/>
      <c r="BV58" s="334"/>
      <c r="BW58" s="334"/>
      <c r="BX58" s="334"/>
      <c r="BY58" s="334"/>
      <c r="BZ58" s="334"/>
      <c r="CA58" s="334"/>
      <c r="CB58" s="334"/>
      <c r="CC58" s="334"/>
      <c r="CD58" s="334"/>
      <c r="CE58" s="334"/>
      <c r="CF58" s="334"/>
      <c r="CG58" s="334"/>
      <c r="CH58" s="334"/>
      <c r="CI58" s="334"/>
      <c r="CJ58" s="334"/>
      <c r="CK58" s="334"/>
      <c r="CL58" s="334"/>
      <c r="CM58" s="334"/>
      <c r="CN58" s="334"/>
      <c r="CO58" s="334"/>
      <c r="CP58" s="334"/>
      <c r="CQ58" s="334"/>
      <c r="CR58" s="334"/>
      <c r="CS58" s="334"/>
      <c r="CT58" s="334"/>
      <c r="CU58" s="334"/>
      <c r="CV58" s="334"/>
      <c r="CW58" s="334"/>
      <c r="CX58" s="334"/>
      <c r="CY58" s="334"/>
      <c r="CZ58" s="334"/>
      <c r="DA58" s="334"/>
      <c r="DB58" s="334"/>
      <c r="DC58" s="334"/>
      <c r="DD58" s="334"/>
      <c r="DE58" s="334"/>
      <c r="DF58" s="334"/>
      <c r="DG58" s="334"/>
      <c r="DH58" s="334"/>
      <c r="DI58" s="334"/>
      <c r="DJ58" s="334"/>
      <c r="DK58" s="334"/>
      <c r="DL58" s="334"/>
      <c r="DM58" s="334"/>
      <c r="DN58" s="334"/>
      <c r="DO58" s="334"/>
      <c r="DP58" s="334"/>
      <c r="DQ58" s="334"/>
      <c r="DR58" s="334"/>
      <c r="DS58" s="334"/>
      <c r="DT58" s="334"/>
      <c r="DU58" s="334"/>
      <c r="DV58" s="334"/>
      <c r="DW58" s="334"/>
      <c r="DX58" s="334"/>
      <c r="DY58" s="334"/>
      <c r="DZ58" s="334"/>
      <c r="EA58" s="334"/>
      <c r="EB58" s="334"/>
      <c r="EC58" s="334"/>
      <c r="ED58" s="334"/>
      <c r="EE58" s="334"/>
      <c r="EF58" s="334"/>
      <c r="EG58" s="334"/>
      <c r="EH58" s="334"/>
      <c r="EI58" s="334"/>
      <c r="EJ58" s="334"/>
      <c r="EK58" s="334"/>
      <c r="EL58" s="334"/>
      <c r="EM58" s="334"/>
      <c r="EN58" s="334"/>
      <c r="EO58" s="334"/>
      <c r="EP58" s="334"/>
      <c r="EQ58" s="334"/>
      <c r="ER58" s="334"/>
      <c r="ES58" s="334"/>
      <c r="ET58" s="334"/>
      <c r="EU58" s="334"/>
      <c r="EV58" s="334"/>
      <c r="EW58" s="334"/>
      <c r="EX58" s="334"/>
      <c r="EY58" s="334"/>
      <c r="EZ58" s="334"/>
      <c r="FA58" s="334"/>
      <c r="FB58" s="334"/>
      <c r="FC58" s="334"/>
      <c r="FD58" s="334"/>
      <c r="FE58" s="334"/>
      <c r="FF58" s="334"/>
      <c r="FG58" s="334"/>
      <c r="FH58" s="334"/>
      <c r="FI58" s="334"/>
      <c r="FJ58" s="334"/>
      <c r="FK58" s="334"/>
      <c r="FL58" s="334"/>
      <c r="FM58" s="334"/>
      <c r="FN58" s="334"/>
      <c r="FO58" s="334"/>
      <c r="FP58" s="334"/>
      <c r="FQ58" s="334"/>
      <c r="FR58" s="334"/>
      <c r="FS58" s="334"/>
      <c r="FT58" s="334"/>
      <c r="FU58" s="334"/>
      <c r="FV58" s="334"/>
      <c r="FW58" s="334"/>
      <c r="FX58" s="334"/>
      <c r="FY58" s="334"/>
      <c r="FZ58" s="334"/>
      <c r="GA58" s="334"/>
      <c r="GB58" s="334"/>
      <c r="GC58" s="334"/>
      <c r="GD58" s="334"/>
      <c r="GE58" s="334"/>
      <c r="GF58" s="334"/>
      <c r="GG58" s="334"/>
      <c r="GH58" s="334"/>
      <c r="GI58" s="334"/>
      <c r="GJ58" s="334"/>
      <c r="GK58" s="334"/>
      <c r="GL58" s="334"/>
      <c r="GM58" s="334"/>
      <c r="GN58" s="334"/>
      <c r="GO58" s="334"/>
      <c r="GP58" s="334"/>
      <c r="GQ58" s="334"/>
      <c r="GR58" s="334"/>
      <c r="GS58" s="334"/>
      <c r="GT58" s="334"/>
      <c r="GU58" s="334"/>
      <c r="GV58" s="334"/>
      <c r="GW58" s="334"/>
      <c r="GX58" s="334"/>
      <c r="GY58" s="334"/>
      <c r="GZ58" s="334"/>
      <c r="HA58" s="334"/>
      <c r="HB58" s="334"/>
      <c r="HC58" s="334"/>
      <c r="HD58" s="334"/>
      <c r="HE58" s="334"/>
      <c r="HF58" s="334"/>
      <c r="HG58" s="334"/>
      <c r="HH58" s="334"/>
      <c r="HI58" s="334"/>
      <c r="HJ58" s="334"/>
      <c r="HK58" s="334"/>
      <c r="HL58" s="334"/>
      <c r="HM58" s="334"/>
      <c r="HN58" s="334"/>
      <c r="HO58" s="334"/>
      <c r="HP58" s="334"/>
      <c r="HQ58" s="334"/>
      <c r="HR58" s="334"/>
      <c r="HS58" s="334"/>
      <c r="HT58" s="334"/>
      <c r="HU58" s="334"/>
      <c r="HV58" s="334"/>
      <c r="HW58" s="334"/>
      <c r="HX58" s="334"/>
      <c r="HY58" s="334"/>
      <c r="HZ58" s="334"/>
      <c r="IA58" s="334"/>
      <c r="IB58" s="334"/>
      <c r="IC58" s="334"/>
      <c r="ID58" s="334"/>
      <c r="IE58" s="334"/>
      <c r="IF58" s="334"/>
      <c r="IG58" s="334"/>
      <c r="IH58" s="334"/>
      <c r="II58" s="334"/>
      <c r="IJ58" s="334"/>
      <c r="IK58" s="334"/>
      <c r="IL58" s="334"/>
      <c r="IM58" s="334"/>
      <c r="IN58" s="334"/>
      <c r="IO58" s="334"/>
      <c r="IP58" s="334"/>
      <c r="IQ58" s="334"/>
      <c r="IR58" s="334"/>
    </row>
    <row r="59" spans="1:252" s="368" customFormat="1" x14ac:dyDescent="0.25">
      <c r="A59" s="366">
        <v>43704</v>
      </c>
      <c r="B59" s="367">
        <v>85.13</v>
      </c>
      <c r="C59" s="367">
        <v>30.56</v>
      </c>
      <c r="D59" s="367">
        <v>145.57</v>
      </c>
      <c r="E59" s="367">
        <v>73.61</v>
      </c>
      <c r="F59" s="367">
        <v>184.43</v>
      </c>
      <c r="G59" s="367">
        <v>17.03</v>
      </c>
      <c r="H59" s="367">
        <v>26.64</v>
      </c>
      <c r="I59" s="367">
        <v>90.46</v>
      </c>
      <c r="J59" s="367">
        <v>91.14</v>
      </c>
      <c r="K59" s="367">
        <v>263.43</v>
      </c>
      <c r="L59" s="367">
        <v>146.1</v>
      </c>
      <c r="M59" s="367">
        <v>78.12</v>
      </c>
      <c r="N59" s="367">
        <v>31.829999923700001</v>
      </c>
      <c r="O59" s="367">
        <v>13</v>
      </c>
      <c r="P59" s="367">
        <v>25.149999618500001</v>
      </c>
      <c r="Q59" s="367">
        <v>35.229999542199998</v>
      </c>
      <c r="R59" s="367">
        <v>32.709999084499998</v>
      </c>
      <c r="S59" s="367">
        <v>31.659999847400002</v>
      </c>
      <c r="T59" s="367">
        <v>26.6399993896</v>
      </c>
      <c r="U59" s="367">
        <v>74.19</v>
      </c>
      <c r="V59" s="334"/>
      <c r="W59" s="334"/>
      <c r="X59" s="334"/>
      <c r="Y59" s="334"/>
      <c r="Z59" s="334"/>
      <c r="AA59" s="334"/>
      <c r="AB59" s="334"/>
      <c r="AC59" s="334"/>
      <c r="AD59" s="334"/>
      <c r="AE59" s="334"/>
      <c r="AF59" s="334"/>
      <c r="AG59" s="334"/>
      <c r="AH59" s="334"/>
      <c r="AI59" s="334"/>
      <c r="AJ59" s="334"/>
      <c r="AK59" s="334"/>
      <c r="AL59" s="334"/>
      <c r="AM59" s="334"/>
      <c r="AN59" s="334"/>
      <c r="AO59" s="334"/>
      <c r="AP59" s="334"/>
      <c r="AQ59" s="334"/>
      <c r="AR59" s="334"/>
      <c r="AS59" s="334"/>
      <c r="AT59" s="334"/>
      <c r="AU59" s="334"/>
      <c r="AV59" s="334"/>
      <c r="AW59" s="334"/>
      <c r="AX59" s="334"/>
      <c r="AY59" s="334"/>
      <c r="AZ59" s="334"/>
      <c r="BA59" s="334"/>
      <c r="BB59" s="334"/>
      <c r="BC59" s="334"/>
      <c r="BD59" s="334"/>
      <c r="BE59" s="334"/>
      <c r="BF59" s="334"/>
      <c r="BG59" s="334"/>
      <c r="BH59" s="334"/>
      <c r="BI59" s="334"/>
      <c r="BJ59" s="334"/>
      <c r="BK59" s="334"/>
      <c r="BL59" s="334"/>
      <c r="BM59" s="334"/>
      <c r="BN59" s="334"/>
      <c r="BO59" s="334"/>
      <c r="BP59" s="334"/>
      <c r="BQ59" s="334"/>
      <c r="BR59" s="334"/>
      <c r="BS59" s="334"/>
      <c r="BT59" s="334"/>
      <c r="BU59" s="334"/>
      <c r="BV59" s="334"/>
      <c r="BW59" s="334"/>
      <c r="BX59" s="334"/>
      <c r="BY59" s="334"/>
      <c r="BZ59" s="334"/>
      <c r="CA59" s="334"/>
      <c r="CB59" s="334"/>
      <c r="CC59" s="334"/>
      <c r="CD59" s="334"/>
      <c r="CE59" s="334"/>
      <c r="CF59" s="334"/>
      <c r="CG59" s="334"/>
      <c r="CH59" s="334"/>
      <c r="CI59" s="334"/>
      <c r="CJ59" s="334"/>
      <c r="CK59" s="334"/>
      <c r="CL59" s="334"/>
      <c r="CM59" s="334"/>
      <c r="CN59" s="334"/>
      <c r="CO59" s="334"/>
      <c r="CP59" s="334"/>
      <c r="CQ59" s="334"/>
      <c r="CR59" s="334"/>
      <c r="CS59" s="334"/>
      <c r="CT59" s="334"/>
      <c r="CU59" s="334"/>
      <c r="CV59" s="334"/>
      <c r="CW59" s="334"/>
      <c r="CX59" s="334"/>
      <c r="CY59" s="334"/>
      <c r="CZ59" s="334"/>
      <c r="DA59" s="334"/>
      <c r="DB59" s="334"/>
      <c r="DC59" s="334"/>
      <c r="DD59" s="334"/>
      <c r="DE59" s="334"/>
      <c r="DF59" s="334"/>
      <c r="DG59" s="334"/>
      <c r="DH59" s="334"/>
      <c r="DI59" s="334"/>
      <c r="DJ59" s="334"/>
      <c r="DK59" s="334"/>
      <c r="DL59" s="334"/>
      <c r="DM59" s="334"/>
      <c r="DN59" s="334"/>
      <c r="DO59" s="334"/>
      <c r="DP59" s="334"/>
      <c r="DQ59" s="334"/>
      <c r="DR59" s="334"/>
      <c r="DS59" s="334"/>
      <c r="DT59" s="334"/>
      <c r="DU59" s="334"/>
      <c r="DV59" s="334"/>
      <c r="DW59" s="334"/>
      <c r="DX59" s="334"/>
      <c r="DY59" s="334"/>
      <c r="DZ59" s="334"/>
      <c r="EA59" s="334"/>
      <c r="EB59" s="334"/>
      <c r="EC59" s="334"/>
      <c r="ED59" s="334"/>
      <c r="EE59" s="334"/>
      <c r="EF59" s="334"/>
      <c r="EG59" s="334"/>
      <c r="EH59" s="334"/>
      <c r="EI59" s="334"/>
      <c r="EJ59" s="334"/>
      <c r="EK59" s="334"/>
      <c r="EL59" s="334"/>
      <c r="EM59" s="334"/>
      <c r="EN59" s="334"/>
      <c r="EO59" s="334"/>
      <c r="EP59" s="334"/>
      <c r="EQ59" s="334"/>
      <c r="ER59" s="334"/>
      <c r="ES59" s="334"/>
      <c r="ET59" s="334"/>
      <c r="EU59" s="334"/>
      <c r="EV59" s="334"/>
      <c r="EW59" s="334"/>
      <c r="EX59" s="334"/>
      <c r="EY59" s="334"/>
      <c r="EZ59" s="334"/>
      <c r="FA59" s="334"/>
      <c r="FB59" s="334"/>
      <c r="FC59" s="334"/>
      <c r="FD59" s="334"/>
      <c r="FE59" s="334"/>
      <c r="FF59" s="334"/>
      <c r="FG59" s="334"/>
      <c r="FH59" s="334"/>
      <c r="FI59" s="334"/>
      <c r="FJ59" s="334"/>
      <c r="FK59" s="334"/>
      <c r="FL59" s="334"/>
      <c r="FM59" s="334"/>
      <c r="FN59" s="334"/>
      <c r="FO59" s="334"/>
      <c r="FP59" s="334"/>
      <c r="FQ59" s="334"/>
      <c r="FR59" s="334"/>
      <c r="FS59" s="334"/>
      <c r="FT59" s="334"/>
      <c r="FU59" s="334"/>
      <c r="FV59" s="334"/>
      <c r="FW59" s="334"/>
      <c r="FX59" s="334"/>
      <c r="FY59" s="334"/>
      <c r="FZ59" s="334"/>
      <c r="GA59" s="334"/>
      <c r="GB59" s="334"/>
      <c r="GC59" s="334"/>
      <c r="GD59" s="334"/>
      <c r="GE59" s="334"/>
      <c r="GF59" s="334"/>
      <c r="GG59" s="334"/>
      <c r="GH59" s="334"/>
      <c r="GI59" s="334"/>
      <c r="GJ59" s="334"/>
      <c r="GK59" s="334"/>
      <c r="GL59" s="334"/>
      <c r="GM59" s="334"/>
      <c r="GN59" s="334"/>
      <c r="GO59" s="334"/>
      <c r="GP59" s="334"/>
      <c r="GQ59" s="334"/>
      <c r="GR59" s="334"/>
      <c r="GS59" s="334"/>
      <c r="GT59" s="334"/>
      <c r="GU59" s="334"/>
      <c r="GV59" s="334"/>
      <c r="GW59" s="334"/>
      <c r="GX59" s="334"/>
      <c r="GY59" s="334"/>
      <c r="GZ59" s="334"/>
      <c r="HA59" s="334"/>
      <c r="HB59" s="334"/>
      <c r="HC59" s="334"/>
      <c r="HD59" s="334"/>
      <c r="HE59" s="334"/>
      <c r="HF59" s="334"/>
      <c r="HG59" s="334"/>
      <c r="HH59" s="334"/>
      <c r="HI59" s="334"/>
      <c r="HJ59" s="334"/>
      <c r="HK59" s="334"/>
      <c r="HL59" s="334"/>
      <c r="HM59" s="334"/>
      <c r="HN59" s="334"/>
      <c r="HO59" s="334"/>
      <c r="HP59" s="334"/>
      <c r="HQ59" s="334"/>
      <c r="HR59" s="334"/>
      <c r="HS59" s="334"/>
      <c r="HT59" s="334"/>
      <c r="HU59" s="334"/>
      <c r="HV59" s="334"/>
      <c r="HW59" s="334"/>
      <c r="HX59" s="334"/>
      <c r="HY59" s="334"/>
      <c r="HZ59" s="334"/>
      <c r="IA59" s="334"/>
      <c r="IB59" s="334"/>
      <c r="IC59" s="334"/>
      <c r="ID59" s="334"/>
      <c r="IE59" s="334"/>
      <c r="IF59" s="334"/>
      <c r="IG59" s="334"/>
      <c r="IH59" s="334"/>
      <c r="II59" s="334"/>
      <c r="IJ59" s="334"/>
      <c r="IK59" s="334"/>
      <c r="IL59" s="334"/>
      <c r="IM59" s="334"/>
      <c r="IN59" s="334"/>
      <c r="IO59" s="334"/>
      <c r="IP59" s="334"/>
      <c r="IQ59" s="334"/>
      <c r="IR59" s="334"/>
    </row>
    <row r="60" spans="1:252" s="368" customFormat="1" x14ac:dyDescent="0.25">
      <c r="A60" s="366">
        <v>43705</v>
      </c>
      <c r="B60" s="367">
        <v>85.16</v>
      </c>
      <c r="C60" s="367">
        <v>30.41</v>
      </c>
      <c r="D60" s="367">
        <v>145.16</v>
      </c>
      <c r="E60" s="367">
        <v>74.489999999999995</v>
      </c>
      <c r="F60" s="367">
        <v>185.09</v>
      </c>
      <c r="G60" s="367">
        <v>17.170000000000002</v>
      </c>
      <c r="H60" s="367">
        <v>26.7</v>
      </c>
      <c r="I60" s="367">
        <v>90.55</v>
      </c>
      <c r="J60" s="367">
        <v>91.44</v>
      </c>
      <c r="K60" s="367">
        <v>265.26</v>
      </c>
      <c r="L60" s="367">
        <v>147.13999999999999</v>
      </c>
      <c r="M60" s="367">
        <v>78.19</v>
      </c>
      <c r="N60" s="367">
        <v>32.020000457800002</v>
      </c>
      <c r="O60" s="367">
        <v>12.9799995422</v>
      </c>
      <c r="P60" s="367">
        <v>25.280000686600001</v>
      </c>
      <c r="Q60" s="367">
        <v>35.3800010681</v>
      </c>
      <c r="R60" s="367">
        <v>32.8800010681</v>
      </c>
      <c r="S60" s="367">
        <v>31.629999160800001</v>
      </c>
      <c r="T60" s="367">
        <v>26.649999618500001</v>
      </c>
      <c r="U60" s="367">
        <v>74.23</v>
      </c>
      <c r="V60" s="334"/>
      <c r="W60" s="334"/>
      <c r="X60" s="334"/>
      <c r="Y60" s="334"/>
      <c r="Z60" s="334"/>
      <c r="AA60" s="334"/>
      <c r="AB60" s="334"/>
      <c r="AC60" s="334"/>
      <c r="AD60" s="334"/>
      <c r="AE60" s="334"/>
      <c r="AF60" s="334"/>
      <c r="AG60" s="334"/>
      <c r="AH60" s="334"/>
      <c r="AI60" s="334"/>
      <c r="AJ60" s="334"/>
      <c r="AK60" s="334"/>
      <c r="AL60" s="334"/>
      <c r="AM60" s="334"/>
      <c r="AN60" s="334"/>
      <c r="AO60" s="334"/>
      <c r="AP60" s="334"/>
      <c r="AQ60" s="334"/>
      <c r="AR60" s="334"/>
      <c r="AS60" s="334"/>
      <c r="AT60" s="334"/>
      <c r="AU60" s="334"/>
      <c r="AV60" s="334"/>
      <c r="AW60" s="334"/>
      <c r="AX60" s="334"/>
      <c r="AY60" s="334"/>
      <c r="AZ60" s="334"/>
      <c r="BA60" s="334"/>
      <c r="BB60" s="334"/>
      <c r="BC60" s="334"/>
      <c r="BD60" s="334"/>
      <c r="BE60" s="334"/>
      <c r="BF60" s="334"/>
      <c r="BG60" s="334"/>
      <c r="BH60" s="334"/>
      <c r="BI60" s="334"/>
      <c r="BJ60" s="334"/>
      <c r="BK60" s="334"/>
      <c r="BL60" s="334"/>
      <c r="BM60" s="334"/>
      <c r="BN60" s="334"/>
      <c r="BO60" s="334"/>
      <c r="BP60" s="334"/>
      <c r="BQ60" s="334"/>
      <c r="BR60" s="334"/>
      <c r="BS60" s="334"/>
      <c r="BT60" s="334"/>
      <c r="BU60" s="334"/>
      <c r="BV60" s="334"/>
      <c r="BW60" s="334"/>
      <c r="BX60" s="334"/>
      <c r="BY60" s="334"/>
      <c r="BZ60" s="334"/>
      <c r="CA60" s="334"/>
      <c r="CB60" s="334"/>
      <c r="CC60" s="334"/>
      <c r="CD60" s="334"/>
      <c r="CE60" s="334"/>
      <c r="CF60" s="334"/>
      <c r="CG60" s="334"/>
      <c r="CH60" s="334"/>
      <c r="CI60" s="334"/>
      <c r="CJ60" s="334"/>
      <c r="CK60" s="334"/>
      <c r="CL60" s="334"/>
      <c r="CM60" s="334"/>
      <c r="CN60" s="334"/>
      <c r="CO60" s="334"/>
      <c r="CP60" s="334"/>
      <c r="CQ60" s="334"/>
      <c r="CR60" s="334"/>
      <c r="CS60" s="334"/>
      <c r="CT60" s="334"/>
      <c r="CU60" s="334"/>
      <c r="CV60" s="334"/>
      <c r="CW60" s="334"/>
      <c r="CX60" s="334"/>
      <c r="CY60" s="334"/>
      <c r="CZ60" s="334"/>
      <c r="DA60" s="334"/>
      <c r="DB60" s="334"/>
      <c r="DC60" s="334"/>
      <c r="DD60" s="334"/>
      <c r="DE60" s="334"/>
      <c r="DF60" s="334"/>
      <c r="DG60" s="334"/>
      <c r="DH60" s="334"/>
      <c r="DI60" s="334"/>
      <c r="DJ60" s="334"/>
      <c r="DK60" s="334"/>
      <c r="DL60" s="334"/>
      <c r="DM60" s="334"/>
      <c r="DN60" s="334"/>
      <c r="DO60" s="334"/>
      <c r="DP60" s="334"/>
      <c r="DQ60" s="334"/>
      <c r="DR60" s="334"/>
      <c r="DS60" s="334"/>
      <c r="DT60" s="334"/>
      <c r="DU60" s="334"/>
      <c r="DV60" s="334"/>
      <c r="DW60" s="334"/>
      <c r="DX60" s="334"/>
      <c r="DY60" s="334"/>
      <c r="DZ60" s="334"/>
      <c r="EA60" s="334"/>
      <c r="EB60" s="334"/>
      <c r="EC60" s="334"/>
      <c r="ED60" s="334"/>
      <c r="EE60" s="334"/>
      <c r="EF60" s="334"/>
      <c r="EG60" s="334"/>
      <c r="EH60" s="334"/>
      <c r="EI60" s="334"/>
      <c r="EJ60" s="334"/>
      <c r="EK60" s="334"/>
      <c r="EL60" s="334"/>
      <c r="EM60" s="334"/>
      <c r="EN60" s="334"/>
      <c r="EO60" s="334"/>
      <c r="EP60" s="334"/>
      <c r="EQ60" s="334"/>
      <c r="ER60" s="334"/>
      <c r="ES60" s="334"/>
      <c r="ET60" s="334"/>
      <c r="EU60" s="334"/>
      <c r="EV60" s="334"/>
      <c r="EW60" s="334"/>
      <c r="EX60" s="334"/>
      <c r="EY60" s="334"/>
      <c r="EZ60" s="334"/>
      <c r="FA60" s="334"/>
      <c r="FB60" s="334"/>
      <c r="FC60" s="334"/>
      <c r="FD60" s="334"/>
      <c r="FE60" s="334"/>
      <c r="FF60" s="334"/>
      <c r="FG60" s="334"/>
      <c r="FH60" s="334"/>
      <c r="FI60" s="334"/>
      <c r="FJ60" s="334"/>
      <c r="FK60" s="334"/>
      <c r="FL60" s="334"/>
      <c r="FM60" s="334"/>
      <c r="FN60" s="334"/>
      <c r="FO60" s="334"/>
      <c r="FP60" s="334"/>
      <c r="FQ60" s="334"/>
      <c r="FR60" s="334"/>
      <c r="FS60" s="334"/>
      <c r="FT60" s="334"/>
      <c r="FU60" s="334"/>
      <c r="FV60" s="334"/>
      <c r="FW60" s="334"/>
      <c r="FX60" s="334"/>
      <c r="FY60" s="334"/>
      <c r="FZ60" s="334"/>
      <c r="GA60" s="334"/>
      <c r="GB60" s="334"/>
      <c r="GC60" s="334"/>
      <c r="GD60" s="334"/>
      <c r="GE60" s="334"/>
      <c r="GF60" s="334"/>
      <c r="GG60" s="334"/>
      <c r="GH60" s="334"/>
      <c r="GI60" s="334"/>
      <c r="GJ60" s="334"/>
      <c r="GK60" s="334"/>
      <c r="GL60" s="334"/>
      <c r="GM60" s="334"/>
      <c r="GN60" s="334"/>
      <c r="GO60" s="334"/>
      <c r="GP60" s="334"/>
      <c r="GQ60" s="334"/>
      <c r="GR60" s="334"/>
      <c r="GS60" s="334"/>
      <c r="GT60" s="334"/>
      <c r="GU60" s="334"/>
      <c r="GV60" s="334"/>
      <c r="GW60" s="334"/>
      <c r="GX60" s="334"/>
      <c r="GY60" s="334"/>
      <c r="GZ60" s="334"/>
      <c r="HA60" s="334"/>
      <c r="HB60" s="334"/>
      <c r="HC60" s="334"/>
      <c r="HD60" s="334"/>
      <c r="HE60" s="334"/>
      <c r="HF60" s="334"/>
      <c r="HG60" s="334"/>
      <c r="HH60" s="334"/>
      <c r="HI60" s="334"/>
      <c r="HJ60" s="334"/>
      <c r="HK60" s="334"/>
      <c r="HL60" s="334"/>
      <c r="HM60" s="334"/>
      <c r="HN60" s="334"/>
      <c r="HO60" s="334"/>
      <c r="HP60" s="334"/>
      <c r="HQ60" s="334"/>
      <c r="HR60" s="334"/>
      <c r="HS60" s="334"/>
      <c r="HT60" s="334"/>
      <c r="HU60" s="334"/>
      <c r="HV60" s="334"/>
      <c r="HW60" s="334"/>
      <c r="HX60" s="334"/>
      <c r="HY60" s="334"/>
      <c r="HZ60" s="334"/>
      <c r="IA60" s="334"/>
      <c r="IB60" s="334"/>
      <c r="IC60" s="334"/>
      <c r="ID60" s="334"/>
      <c r="IE60" s="334"/>
      <c r="IF60" s="334"/>
      <c r="IG60" s="334"/>
      <c r="IH60" s="334"/>
      <c r="II60" s="334"/>
      <c r="IJ60" s="334"/>
      <c r="IK60" s="334"/>
      <c r="IL60" s="334"/>
      <c r="IM60" s="334"/>
      <c r="IN60" s="334"/>
      <c r="IO60" s="334"/>
      <c r="IP60" s="334"/>
      <c r="IQ60" s="334"/>
      <c r="IR60" s="334"/>
    </row>
    <row r="61" spans="1:252" s="368" customFormat="1" x14ac:dyDescent="0.25">
      <c r="A61" s="366">
        <v>43706</v>
      </c>
      <c r="B61" s="367">
        <v>85.11</v>
      </c>
      <c r="C61" s="367">
        <v>29.66</v>
      </c>
      <c r="D61" s="367">
        <v>144.12</v>
      </c>
      <c r="E61" s="367">
        <v>75.73</v>
      </c>
      <c r="F61" s="367">
        <v>187.92</v>
      </c>
      <c r="G61" s="367">
        <v>17.07</v>
      </c>
      <c r="H61" s="367">
        <v>26.77</v>
      </c>
      <c r="I61" s="367">
        <v>90.22</v>
      </c>
      <c r="J61" s="367">
        <v>92.15</v>
      </c>
      <c r="K61" s="367">
        <v>268.70999999999998</v>
      </c>
      <c r="L61" s="367">
        <v>149.09</v>
      </c>
      <c r="M61" s="367">
        <v>79.55</v>
      </c>
      <c r="N61" s="367">
        <v>32.439998626700003</v>
      </c>
      <c r="O61" s="367">
        <v>12.8699998856</v>
      </c>
      <c r="P61" s="367">
        <v>25.4300003052</v>
      </c>
      <c r="Q61" s="367">
        <v>35.3800010681</v>
      </c>
      <c r="R61" s="367">
        <v>33.1300010681</v>
      </c>
      <c r="S61" s="367">
        <v>30.7999992371</v>
      </c>
      <c r="T61" s="367">
        <v>26.620000839199999</v>
      </c>
      <c r="U61" s="367">
        <v>74.19</v>
      </c>
      <c r="V61" s="334"/>
      <c r="W61" s="334"/>
      <c r="X61" s="334"/>
      <c r="Y61" s="334"/>
      <c r="Z61" s="334"/>
      <c r="AA61" s="334"/>
      <c r="AB61" s="334"/>
      <c r="AC61" s="334"/>
      <c r="AD61" s="334"/>
      <c r="AE61" s="334"/>
      <c r="AF61" s="334"/>
      <c r="AG61" s="334"/>
      <c r="AH61" s="334"/>
      <c r="AI61" s="334"/>
      <c r="AJ61" s="334"/>
      <c r="AK61" s="334"/>
      <c r="AL61" s="334"/>
      <c r="AM61" s="334"/>
      <c r="AN61" s="334"/>
      <c r="AO61" s="334"/>
      <c r="AP61" s="334"/>
      <c r="AQ61" s="334"/>
      <c r="AR61" s="334"/>
      <c r="AS61" s="334"/>
      <c r="AT61" s="334"/>
      <c r="AU61" s="334"/>
      <c r="AV61" s="334"/>
      <c r="AW61" s="334"/>
      <c r="AX61" s="334"/>
      <c r="AY61" s="334"/>
      <c r="AZ61" s="334"/>
      <c r="BA61" s="334"/>
      <c r="BB61" s="334"/>
      <c r="BC61" s="334"/>
      <c r="BD61" s="334"/>
      <c r="BE61" s="334"/>
      <c r="BF61" s="334"/>
      <c r="BG61" s="334"/>
      <c r="BH61" s="334"/>
      <c r="BI61" s="334"/>
      <c r="BJ61" s="334"/>
      <c r="BK61" s="334"/>
      <c r="BL61" s="334"/>
      <c r="BM61" s="334"/>
      <c r="BN61" s="334"/>
      <c r="BO61" s="334"/>
      <c r="BP61" s="334"/>
      <c r="BQ61" s="334"/>
      <c r="BR61" s="334"/>
      <c r="BS61" s="334"/>
      <c r="BT61" s="334"/>
      <c r="BU61" s="334"/>
      <c r="BV61" s="334"/>
      <c r="BW61" s="334"/>
      <c r="BX61" s="334"/>
      <c r="BY61" s="334"/>
      <c r="BZ61" s="334"/>
      <c r="CA61" s="334"/>
      <c r="CB61" s="334"/>
      <c r="CC61" s="334"/>
      <c r="CD61" s="334"/>
      <c r="CE61" s="334"/>
      <c r="CF61" s="334"/>
      <c r="CG61" s="334"/>
      <c r="CH61" s="334"/>
      <c r="CI61" s="334"/>
      <c r="CJ61" s="334"/>
      <c r="CK61" s="334"/>
      <c r="CL61" s="334"/>
      <c r="CM61" s="334"/>
      <c r="CN61" s="334"/>
      <c r="CO61" s="334"/>
      <c r="CP61" s="334"/>
      <c r="CQ61" s="334"/>
      <c r="CR61" s="334"/>
      <c r="CS61" s="334"/>
      <c r="CT61" s="334"/>
      <c r="CU61" s="334"/>
      <c r="CV61" s="334"/>
      <c r="CW61" s="334"/>
      <c r="CX61" s="334"/>
      <c r="CY61" s="334"/>
      <c r="CZ61" s="334"/>
      <c r="DA61" s="334"/>
      <c r="DB61" s="334"/>
      <c r="DC61" s="334"/>
      <c r="DD61" s="334"/>
      <c r="DE61" s="334"/>
      <c r="DF61" s="334"/>
      <c r="DG61" s="334"/>
      <c r="DH61" s="334"/>
      <c r="DI61" s="334"/>
      <c r="DJ61" s="334"/>
      <c r="DK61" s="334"/>
      <c r="DL61" s="334"/>
      <c r="DM61" s="334"/>
      <c r="DN61" s="334"/>
      <c r="DO61" s="334"/>
      <c r="DP61" s="334"/>
      <c r="DQ61" s="334"/>
      <c r="DR61" s="334"/>
      <c r="DS61" s="334"/>
      <c r="DT61" s="334"/>
      <c r="DU61" s="334"/>
      <c r="DV61" s="334"/>
      <c r="DW61" s="334"/>
      <c r="DX61" s="334"/>
      <c r="DY61" s="334"/>
      <c r="DZ61" s="334"/>
      <c r="EA61" s="334"/>
      <c r="EB61" s="334"/>
      <c r="EC61" s="334"/>
      <c r="ED61" s="334"/>
      <c r="EE61" s="334"/>
      <c r="EF61" s="334"/>
      <c r="EG61" s="334"/>
      <c r="EH61" s="334"/>
      <c r="EI61" s="334"/>
      <c r="EJ61" s="334"/>
      <c r="EK61" s="334"/>
      <c r="EL61" s="334"/>
      <c r="EM61" s="334"/>
      <c r="EN61" s="334"/>
      <c r="EO61" s="334"/>
      <c r="EP61" s="334"/>
      <c r="EQ61" s="334"/>
      <c r="ER61" s="334"/>
      <c r="ES61" s="334"/>
      <c r="ET61" s="334"/>
      <c r="EU61" s="334"/>
      <c r="EV61" s="334"/>
      <c r="EW61" s="334"/>
      <c r="EX61" s="334"/>
      <c r="EY61" s="334"/>
      <c r="EZ61" s="334"/>
      <c r="FA61" s="334"/>
      <c r="FB61" s="334"/>
      <c r="FC61" s="334"/>
      <c r="FD61" s="334"/>
      <c r="FE61" s="334"/>
      <c r="FF61" s="334"/>
      <c r="FG61" s="334"/>
      <c r="FH61" s="334"/>
      <c r="FI61" s="334"/>
      <c r="FJ61" s="334"/>
      <c r="FK61" s="334"/>
      <c r="FL61" s="334"/>
      <c r="FM61" s="334"/>
      <c r="FN61" s="334"/>
      <c r="FO61" s="334"/>
      <c r="FP61" s="334"/>
      <c r="FQ61" s="334"/>
      <c r="FR61" s="334"/>
      <c r="FS61" s="334"/>
      <c r="FT61" s="334"/>
      <c r="FU61" s="334"/>
      <c r="FV61" s="334"/>
      <c r="FW61" s="334"/>
      <c r="FX61" s="334"/>
      <c r="FY61" s="334"/>
      <c r="FZ61" s="334"/>
      <c r="GA61" s="334"/>
      <c r="GB61" s="334"/>
      <c r="GC61" s="334"/>
      <c r="GD61" s="334"/>
      <c r="GE61" s="334"/>
      <c r="GF61" s="334"/>
      <c r="GG61" s="334"/>
      <c r="GH61" s="334"/>
      <c r="GI61" s="334"/>
      <c r="GJ61" s="334"/>
      <c r="GK61" s="334"/>
      <c r="GL61" s="334"/>
      <c r="GM61" s="334"/>
      <c r="GN61" s="334"/>
      <c r="GO61" s="334"/>
      <c r="GP61" s="334"/>
      <c r="GQ61" s="334"/>
      <c r="GR61" s="334"/>
      <c r="GS61" s="334"/>
      <c r="GT61" s="334"/>
      <c r="GU61" s="334"/>
      <c r="GV61" s="334"/>
      <c r="GW61" s="334"/>
      <c r="GX61" s="334"/>
      <c r="GY61" s="334"/>
      <c r="GZ61" s="334"/>
      <c r="HA61" s="334"/>
      <c r="HB61" s="334"/>
      <c r="HC61" s="334"/>
      <c r="HD61" s="334"/>
      <c r="HE61" s="334"/>
      <c r="HF61" s="334"/>
      <c r="HG61" s="334"/>
      <c r="HH61" s="334"/>
      <c r="HI61" s="334"/>
      <c r="HJ61" s="334"/>
      <c r="HK61" s="334"/>
      <c r="HL61" s="334"/>
      <c r="HM61" s="334"/>
      <c r="HN61" s="334"/>
      <c r="HO61" s="334"/>
      <c r="HP61" s="334"/>
      <c r="HQ61" s="334"/>
      <c r="HR61" s="334"/>
      <c r="HS61" s="334"/>
      <c r="HT61" s="334"/>
      <c r="HU61" s="334"/>
      <c r="HV61" s="334"/>
      <c r="HW61" s="334"/>
      <c r="HX61" s="334"/>
      <c r="HY61" s="334"/>
      <c r="HZ61" s="334"/>
      <c r="IA61" s="334"/>
      <c r="IB61" s="334"/>
      <c r="IC61" s="334"/>
      <c r="ID61" s="334"/>
      <c r="IE61" s="334"/>
      <c r="IF61" s="334"/>
      <c r="IG61" s="334"/>
      <c r="IH61" s="334"/>
      <c r="II61" s="334"/>
      <c r="IJ61" s="334"/>
      <c r="IK61" s="334"/>
      <c r="IL61" s="334"/>
      <c r="IM61" s="334"/>
      <c r="IN61" s="334"/>
      <c r="IO61" s="334"/>
      <c r="IP61" s="334"/>
      <c r="IQ61" s="334"/>
      <c r="IR61" s="334"/>
    </row>
    <row r="62" spans="1:252" s="368" customFormat="1" x14ac:dyDescent="0.25">
      <c r="A62" s="366">
        <v>43707</v>
      </c>
      <c r="B62" s="367">
        <v>85.1</v>
      </c>
      <c r="C62" s="367">
        <v>29.86</v>
      </c>
      <c r="D62" s="367">
        <v>143.75</v>
      </c>
      <c r="E62" s="367">
        <v>75.58</v>
      </c>
      <c r="F62" s="367">
        <v>187.47</v>
      </c>
      <c r="G62" s="367">
        <v>17.149999999999999</v>
      </c>
      <c r="H62" s="367">
        <v>26.87</v>
      </c>
      <c r="I62" s="367">
        <v>90.23</v>
      </c>
      <c r="J62" s="367">
        <v>92.22</v>
      </c>
      <c r="K62" s="367">
        <v>268.56</v>
      </c>
      <c r="L62" s="367">
        <v>149.04</v>
      </c>
      <c r="M62" s="367">
        <v>79.53</v>
      </c>
      <c r="N62" s="367">
        <v>32.459999084499998</v>
      </c>
      <c r="O62" s="367">
        <v>12.859999656699999</v>
      </c>
      <c r="P62" s="367">
        <v>25.510000228900001</v>
      </c>
      <c r="Q62" s="367">
        <v>35.509998321499999</v>
      </c>
      <c r="R62" s="367">
        <v>33.25</v>
      </c>
      <c r="S62" s="367">
        <v>30.959999084500001</v>
      </c>
      <c r="T62" s="367">
        <v>26.530000686600001</v>
      </c>
      <c r="U62" s="367">
        <v>74.180000000000007</v>
      </c>
      <c r="V62" s="334"/>
      <c r="W62" s="334"/>
      <c r="X62" s="334"/>
      <c r="Y62" s="334"/>
      <c r="Z62" s="334"/>
      <c r="AA62" s="334"/>
      <c r="AB62" s="334"/>
      <c r="AC62" s="334"/>
      <c r="AD62" s="334"/>
      <c r="AE62" s="334"/>
      <c r="AF62" s="334"/>
      <c r="AG62" s="334"/>
      <c r="AH62" s="334"/>
      <c r="AI62" s="334"/>
      <c r="AJ62" s="334"/>
      <c r="AK62" s="334"/>
      <c r="AL62" s="334"/>
      <c r="AM62" s="334"/>
      <c r="AN62" s="334"/>
      <c r="AO62" s="334"/>
      <c r="AP62" s="334"/>
      <c r="AQ62" s="334"/>
      <c r="AR62" s="334"/>
      <c r="AS62" s="334"/>
      <c r="AT62" s="334"/>
      <c r="AU62" s="334"/>
      <c r="AV62" s="334"/>
      <c r="AW62" s="334"/>
      <c r="AX62" s="334"/>
      <c r="AY62" s="334"/>
      <c r="AZ62" s="334"/>
      <c r="BA62" s="334"/>
      <c r="BB62" s="334"/>
      <c r="BC62" s="334"/>
      <c r="BD62" s="334"/>
      <c r="BE62" s="334"/>
      <c r="BF62" s="334"/>
      <c r="BG62" s="334"/>
      <c r="BH62" s="334"/>
      <c r="BI62" s="334"/>
      <c r="BJ62" s="334"/>
      <c r="BK62" s="334"/>
      <c r="BL62" s="334"/>
      <c r="BM62" s="334"/>
      <c r="BN62" s="334"/>
      <c r="BO62" s="334"/>
      <c r="BP62" s="334"/>
      <c r="BQ62" s="334"/>
      <c r="BR62" s="334"/>
      <c r="BS62" s="334"/>
      <c r="BT62" s="334"/>
      <c r="BU62" s="334"/>
      <c r="BV62" s="334"/>
      <c r="BW62" s="334"/>
      <c r="BX62" s="334"/>
      <c r="BY62" s="334"/>
      <c r="BZ62" s="334"/>
      <c r="CA62" s="334"/>
      <c r="CB62" s="334"/>
      <c r="CC62" s="334"/>
      <c r="CD62" s="334"/>
      <c r="CE62" s="334"/>
      <c r="CF62" s="334"/>
      <c r="CG62" s="334"/>
      <c r="CH62" s="334"/>
      <c r="CI62" s="334"/>
      <c r="CJ62" s="334"/>
      <c r="CK62" s="334"/>
      <c r="CL62" s="334"/>
      <c r="CM62" s="334"/>
      <c r="CN62" s="334"/>
      <c r="CO62" s="334"/>
      <c r="CP62" s="334"/>
      <c r="CQ62" s="334"/>
      <c r="CR62" s="334"/>
      <c r="CS62" s="334"/>
      <c r="CT62" s="334"/>
      <c r="CU62" s="334"/>
      <c r="CV62" s="334"/>
      <c r="CW62" s="334"/>
      <c r="CX62" s="334"/>
      <c r="CY62" s="334"/>
      <c r="CZ62" s="334"/>
      <c r="DA62" s="334"/>
      <c r="DB62" s="334"/>
      <c r="DC62" s="334"/>
      <c r="DD62" s="334"/>
      <c r="DE62" s="334"/>
      <c r="DF62" s="334"/>
      <c r="DG62" s="334"/>
      <c r="DH62" s="334"/>
      <c r="DI62" s="334"/>
      <c r="DJ62" s="334"/>
      <c r="DK62" s="334"/>
      <c r="DL62" s="334"/>
      <c r="DM62" s="334"/>
      <c r="DN62" s="334"/>
      <c r="DO62" s="334"/>
      <c r="DP62" s="334"/>
      <c r="DQ62" s="334"/>
      <c r="DR62" s="334"/>
      <c r="DS62" s="334"/>
      <c r="DT62" s="334"/>
      <c r="DU62" s="334"/>
      <c r="DV62" s="334"/>
      <c r="DW62" s="334"/>
      <c r="DX62" s="334"/>
      <c r="DY62" s="334"/>
      <c r="DZ62" s="334"/>
      <c r="EA62" s="334"/>
      <c r="EB62" s="334"/>
      <c r="EC62" s="334"/>
      <c r="ED62" s="334"/>
      <c r="EE62" s="334"/>
      <c r="EF62" s="334"/>
      <c r="EG62" s="334"/>
      <c r="EH62" s="334"/>
      <c r="EI62" s="334"/>
      <c r="EJ62" s="334"/>
      <c r="EK62" s="334"/>
      <c r="EL62" s="334"/>
      <c r="EM62" s="334"/>
      <c r="EN62" s="334"/>
      <c r="EO62" s="334"/>
      <c r="EP62" s="334"/>
      <c r="EQ62" s="334"/>
      <c r="ER62" s="334"/>
      <c r="ES62" s="334"/>
      <c r="ET62" s="334"/>
      <c r="EU62" s="334"/>
      <c r="EV62" s="334"/>
      <c r="EW62" s="334"/>
      <c r="EX62" s="334"/>
      <c r="EY62" s="334"/>
      <c r="EZ62" s="334"/>
      <c r="FA62" s="334"/>
      <c r="FB62" s="334"/>
      <c r="FC62" s="334"/>
      <c r="FD62" s="334"/>
      <c r="FE62" s="334"/>
      <c r="FF62" s="334"/>
      <c r="FG62" s="334"/>
      <c r="FH62" s="334"/>
      <c r="FI62" s="334"/>
      <c r="FJ62" s="334"/>
      <c r="FK62" s="334"/>
      <c r="FL62" s="334"/>
      <c r="FM62" s="334"/>
      <c r="FN62" s="334"/>
      <c r="FO62" s="334"/>
      <c r="FP62" s="334"/>
      <c r="FQ62" s="334"/>
      <c r="FR62" s="334"/>
      <c r="FS62" s="334"/>
      <c r="FT62" s="334"/>
      <c r="FU62" s="334"/>
      <c r="FV62" s="334"/>
      <c r="FW62" s="334"/>
      <c r="FX62" s="334"/>
      <c r="FY62" s="334"/>
      <c r="FZ62" s="334"/>
      <c r="GA62" s="334"/>
      <c r="GB62" s="334"/>
      <c r="GC62" s="334"/>
      <c r="GD62" s="334"/>
      <c r="GE62" s="334"/>
      <c r="GF62" s="334"/>
      <c r="GG62" s="334"/>
      <c r="GH62" s="334"/>
      <c r="GI62" s="334"/>
      <c r="GJ62" s="334"/>
      <c r="GK62" s="334"/>
      <c r="GL62" s="334"/>
      <c r="GM62" s="334"/>
      <c r="GN62" s="334"/>
      <c r="GO62" s="334"/>
      <c r="GP62" s="334"/>
      <c r="GQ62" s="334"/>
      <c r="GR62" s="334"/>
      <c r="GS62" s="334"/>
      <c r="GT62" s="334"/>
      <c r="GU62" s="334"/>
      <c r="GV62" s="334"/>
      <c r="GW62" s="334"/>
      <c r="GX62" s="334"/>
      <c r="GY62" s="334"/>
      <c r="GZ62" s="334"/>
      <c r="HA62" s="334"/>
      <c r="HB62" s="334"/>
      <c r="HC62" s="334"/>
      <c r="HD62" s="334"/>
      <c r="HE62" s="334"/>
      <c r="HF62" s="334"/>
      <c r="HG62" s="334"/>
      <c r="HH62" s="334"/>
      <c r="HI62" s="334"/>
      <c r="HJ62" s="334"/>
      <c r="HK62" s="334"/>
      <c r="HL62" s="334"/>
      <c r="HM62" s="334"/>
      <c r="HN62" s="334"/>
      <c r="HO62" s="334"/>
      <c r="HP62" s="334"/>
      <c r="HQ62" s="334"/>
      <c r="HR62" s="334"/>
      <c r="HS62" s="334"/>
      <c r="HT62" s="334"/>
      <c r="HU62" s="334"/>
      <c r="HV62" s="334"/>
      <c r="HW62" s="334"/>
      <c r="HX62" s="334"/>
      <c r="HY62" s="334"/>
      <c r="HZ62" s="334"/>
      <c r="IA62" s="334"/>
      <c r="IB62" s="334"/>
      <c r="IC62" s="334"/>
      <c r="ID62" s="334"/>
      <c r="IE62" s="334"/>
      <c r="IF62" s="334"/>
      <c r="IG62" s="334"/>
      <c r="IH62" s="334"/>
      <c r="II62" s="334"/>
      <c r="IJ62" s="334"/>
      <c r="IK62" s="334"/>
      <c r="IL62" s="334"/>
      <c r="IM62" s="334"/>
      <c r="IN62" s="334"/>
      <c r="IO62" s="334"/>
      <c r="IP62" s="334"/>
      <c r="IQ62" s="334"/>
      <c r="IR62" s="334"/>
    </row>
    <row r="63" spans="1:252" s="368" customFormat="1" x14ac:dyDescent="0.25">
      <c r="A63" s="366">
        <v>43708</v>
      </c>
      <c r="B63" s="367">
        <v>85.1</v>
      </c>
      <c r="C63" s="367">
        <v>29.86</v>
      </c>
      <c r="D63" s="367">
        <v>143.75</v>
      </c>
      <c r="E63" s="367">
        <v>75.58</v>
      </c>
      <c r="F63" s="367">
        <v>187.47</v>
      </c>
      <c r="G63" s="367">
        <v>17.149999999999999</v>
      </c>
      <c r="H63" s="367">
        <v>26.87</v>
      </c>
      <c r="I63" s="367">
        <v>90.23</v>
      </c>
      <c r="J63" s="367">
        <v>92.22</v>
      </c>
      <c r="K63" s="367">
        <v>268.56</v>
      </c>
      <c r="L63" s="367">
        <v>149.04</v>
      </c>
      <c r="M63" s="367">
        <v>79.53</v>
      </c>
      <c r="N63" s="367">
        <v>32.459999084499998</v>
      </c>
      <c r="O63" s="367">
        <v>12.859999656699999</v>
      </c>
      <c r="P63" s="367">
        <v>25.510000228900001</v>
      </c>
      <c r="Q63" s="367">
        <v>35.509998321499999</v>
      </c>
      <c r="R63" s="367">
        <v>33.25</v>
      </c>
      <c r="S63" s="367">
        <v>30.959999084500001</v>
      </c>
      <c r="T63" s="367">
        <v>26.530000686600001</v>
      </c>
      <c r="U63" s="367">
        <v>74.180000000000007</v>
      </c>
      <c r="V63" s="334"/>
      <c r="W63" s="334"/>
      <c r="X63" s="334"/>
      <c r="Y63" s="334"/>
      <c r="Z63" s="334"/>
      <c r="AA63" s="334"/>
      <c r="AB63" s="334"/>
      <c r="AC63" s="334"/>
      <c r="AD63" s="334"/>
      <c r="AE63" s="334"/>
      <c r="AF63" s="334"/>
      <c r="AG63" s="334"/>
      <c r="AH63" s="334"/>
      <c r="AI63" s="334"/>
      <c r="AJ63" s="334"/>
      <c r="AK63" s="334"/>
      <c r="AL63" s="334"/>
      <c r="AM63" s="334"/>
      <c r="AN63" s="334"/>
      <c r="AO63" s="334"/>
      <c r="AP63" s="334"/>
      <c r="AQ63" s="334"/>
      <c r="AR63" s="334"/>
      <c r="AS63" s="334"/>
      <c r="AT63" s="334"/>
      <c r="AU63" s="334"/>
      <c r="AV63" s="334"/>
      <c r="AW63" s="334"/>
      <c r="AX63" s="334"/>
      <c r="AY63" s="334"/>
      <c r="AZ63" s="334"/>
      <c r="BA63" s="334"/>
      <c r="BB63" s="334"/>
      <c r="BC63" s="334"/>
      <c r="BD63" s="334"/>
      <c r="BE63" s="334"/>
      <c r="BF63" s="334"/>
      <c r="BG63" s="334"/>
      <c r="BH63" s="334"/>
      <c r="BI63" s="334"/>
      <c r="BJ63" s="334"/>
      <c r="BK63" s="334"/>
      <c r="BL63" s="334"/>
      <c r="BM63" s="334"/>
      <c r="BN63" s="334"/>
      <c r="BO63" s="334"/>
      <c r="BP63" s="334"/>
      <c r="BQ63" s="334"/>
      <c r="BR63" s="334"/>
      <c r="BS63" s="334"/>
      <c r="BT63" s="334"/>
      <c r="BU63" s="334"/>
      <c r="BV63" s="334"/>
      <c r="BW63" s="334"/>
      <c r="BX63" s="334"/>
      <c r="BY63" s="334"/>
      <c r="BZ63" s="334"/>
      <c r="CA63" s="334"/>
      <c r="CB63" s="334"/>
      <c r="CC63" s="334"/>
      <c r="CD63" s="334"/>
      <c r="CE63" s="334"/>
      <c r="CF63" s="334"/>
      <c r="CG63" s="334"/>
      <c r="CH63" s="334"/>
      <c r="CI63" s="334"/>
      <c r="CJ63" s="334"/>
      <c r="CK63" s="334"/>
      <c r="CL63" s="334"/>
      <c r="CM63" s="334"/>
      <c r="CN63" s="334"/>
      <c r="CO63" s="334"/>
      <c r="CP63" s="334"/>
      <c r="CQ63" s="334"/>
      <c r="CR63" s="334"/>
      <c r="CS63" s="334"/>
      <c r="CT63" s="334"/>
      <c r="CU63" s="334"/>
      <c r="CV63" s="334"/>
      <c r="CW63" s="334"/>
      <c r="CX63" s="334"/>
      <c r="CY63" s="334"/>
      <c r="CZ63" s="334"/>
      <c r="DA63" s="334"/>
      <c r="DB63" s="334"/>
      <c r="DC63" s="334"/>
      <c r="DD63" s="334"/>
      <c r="DE63" s="334"/>
      <c r="DF63" s="334"/>
      <c r="DG63" s="334"/>
      <c r="DH63" s="334"/>
      <c r="DI63" s="334"/>
      <c r="DJ63" s="334"/>
      <c r="DK63" s="334"/>
      <c r="DL63" s="334"/>
      <c r="DM63" s="334"/>
      <c r="DN63" s="334"/>
      <c r="DO63" s="334"/>
      <c r="DP63" s="334"/>
      <c r="DQ63" s="334"/>
      <c r="DR63" s="334"/>
      <c r="DS63" s="334"/>
      <c r="DT63" s="334"/>
      <c r="DU63" s="334"/>
      <c r="DV63" s="334"/>
      <c r="DW63" s="334"/>
      <c r="DX63" s="334"/>
      <c r="DY63" s="334"/>
      <c r="DZ63" s="334"/>
      <c r="EA63" s="334"/>
      <c r="EB63" s="334"/>
      <c r="EC63" s="334"/>
      <c r="ED63" s="334"/>
      <c r="EE63" s="334"/>
      <c r="EF63" s="334"/>
      <c r="EG63" s="334"/>
      <c r="EH63" s="334"/>
      <c r="EI63" s="334"/>
      <c r="EJ63" s="334"/>
      <c r="EK63" s="334"/>
      <c r="EL63" s="334"/>
      <c r="EM63" s="334"/>
      <c r="EN63" s="334"/>
      <c r="EO63" s="334"/>
      <c r="EP63" s="334"/>
      <c r="EQ63" s="334"/>
      <c r="ER63" s="334"/>
      <c r="ES63" s="334"/>
      <c r="ET63" s="334"/>
      <c r="EU63" s="334"/>
      <c r="EV63" s="334"/>
      <c r="EW63" s="334"/>
      <c r="EX63" s="334"/>
      <c r="EY63" s="334"/>
      <c r="EZ63" s="334"/>
      <c r="FA63" s="334"/>
      <c r="FB63" s="334"/>
      <c r="FC63" s="334"/>
      <c r="FD63" s="334"/>
      <c r="FE63" s="334"/>
      <c r="FF63" s="334"/>
      <c r="FG63" s="334"/>
      <c r="FH63" s="334"/>
      <c r="FI63" s="334"/>
      <c r="FJ63" s="334"/>
      <c r="FK63" s="334"/>
      <c r="FL63" s="334"/>
      <c r="FM63" s="334"/>
      <c r="FN63" s="334"/>
      <c r="FO63" s="334"/>
      <c r="FP63" s="334"/>
      <c r="FQ63" s="334"/>
      <c r="FR63" s="334"/>
      <c r="FS63" s="334"/>
      <c r="FT63" s="334"/>
      <c r="FU63" s="334"/>
      <c r="FV63" s="334"/>
      <c r="FW63" s="334"/>
      <c r="FX63" s="334"/>
      <c r="FY63" s="334"/>
      <c r="FZ63" s="334"/>
      <c r="GA63" s="334"/>
      <c r="GB63" s="334"/>
      <c r="GC63" s="334"/>
      <c r="GD63" s="334"/>
      <c r="GE63" s="334"/>
      <c r="GF63" s="334"/>
      <c r="GG63" s="334"/>
      <c r="GH63" s="334"/>
      <c r="GI63" s="334"/>
      <c r="GJ63" s="334"/>
      <c r="GK63" s="334"/>
      <c r="GL63" s="334"/>
      <c r="GM63" s="334"/>
      <c r="GN63" s="334"/>
      <c r="GO63" s="334"/>
      <c r="GP63" s="334"/>
      <c r="GQ63" s="334"/>
      <c r="GR63" s="334"/>
      <c r="GS63" s="334"/>
      <c r="GT63" s="334"/>
      <c r="GU63" s="334"/>
      <c r="GV63" s="334"/>
      <c r="GW63" s="334"/>
      <c r="GX63" s="334"/>
      <c r="GY63" s="334"/>
      <c r="GZ63" s="334"/>
      <c r="HA63" s="334"/>
      <c r="HB63" s="334"/>
      <c r="HC63" s="334"/>
      <c r="HD63" s="334"/>
      <c r="HE63" s="334"/>
      <c r="HF63" s="334"/>
      <c r="HG63" s="334"/>
      <c r="HH63" s="334"/>
      <c r="HI63" s="334"/>
      <c r="HJ63" s="334"/>
      <c r="HK63" s="334"/>
      <c r="HL63" s="334"/>
      <c r="HM63" s="334"/>
      <c r="HN63" s="334"/>
      <c r="HO63" s="334"/>
      <c r="HP63" s="334"/>
      <c r="HQ63" s="334"/>
      <c r="HR63" s="334"/>
      <c r="HS63" s="334"/>
      <c r="HT63" s="334"/>
      <c r="HU63" s="334"/>
      <c r="HV63" s="334"/>
      <c r="HW63" s="334"/>
      <c r="HX63" s="334"/>
      <c r="HY63" s="334"/>
      <c r="HZ63" s="334"/>
      <c r="IA63" s="334"/>
      <c r="IB63" s="334"/>
      <c r="IC63" s="334"/>
      <c r="ID63" s="334"/>
      <c r="IE63" s="334"/>
      <c r="IF63" s="334"/>
      <c r="IG63" s="334"/>
      <c r="IH63" s="334"/>
      <c r="II63" s="334"/>
      <c r="IJ63" s="334"/>
      <c r="IK63" s="334"/>
      <c r="IL63" s="334"/>
      <c r="IM63" s="334"/>
      <c r="IN63" s="334"/>
      <c r="IO63" s="334"/>
      <c r="IP63" s="334"/>
      <c r="IQ63" s="334"/>
      <c r="IR63" s="334"/>
    </row>
    <row r="64" spans="1:252" s="368" customFormat="1" x14ac:dyDescent="0.25">
      <c r="A64" s="366">
        <v>43709</v>
      </c>
      <c r="B64" s="345">
        <v>85.1</v>
      </c>
      <c r="C64" s="345">
        <v>29.86</v>
      </c>
      <c r="D64" s="345">
        <v>143.75</v>
      </c>
      <c r="E64" s="345">
        <v>75.58</v>
      </c>
      <c r="F64" s="345">
        <v>187.47</v>
      </c>
      <c r="G64" s="345">
        <v>17.149999999999999</v>
      </c>
      <c r="H64" s="345">
        <v>26.87</v>
      </c>
      <c r="I64" s="345">
        <v>90.23</v>
      </c>
      <c r="J64" s="345">
        <v>92.22</v>
      </c>
      <c r="K64" s="345">
        <v>268.56</v>
      </c>
      <c r="L64" s="345">
        <v>149.04</v>
      </c>
      <c r="M64" s="345">
        <v>79.53</v>
      </c>
      <c r="N64" s="345">
        <v>32.459999084499998</v>
      </c>
      <c r="O64" s="345">
        <v>12.859999656699999</v>
      </c>
      <c r="P64" s="345">
        <v>25.510000228900001</v>
      </c>
      <c r="Q64" s="345">
        <v>35.509998321499999</v>
      </c>
      <c r="R64" s="345">
        <v>33.25</v>
      </c>
      <c r="S64" s="345">
        <v>30.959999084500001</v>
      </c>
      <c r="T64" s="345">
        <v>26.530000686600001</v>
      </c>
      <c r="U64" s="345">
        <v>74.180000000000007</v>
      </c>
      <c r="V64" s="334"/>
      <c r="W64" s="334"/>
      <c r="X64" s="334"/>
      <c r="Y64" s="334"/>
      <c r="Z64" s="334"/>
      <c r="AA64" s="334"/>
      <c r="AB64" s="334"/>
      <c r="AC64" s="334"/>
      <c r="AD64" s="334"/>
      <c r="AE64" s="334"/>
      <c r="AF64" s="334"/>
      <c r="AG64" s="334"/>
      <c r="AH64" s="334"/>
      <c r="AI64" s="334"/>
      <c r="AJ64" s="334"/>
      <c r="AK64" s="334"/>
      <c r="AL64" s="334"/>
      <c r="AM64" s="334"/>
      <c r="AN64" s="334"/>
      <c r="AO64" s="334"/>
      <c r="AP64" s="334"/>
      <c r="AQ64" s="334"/>
      <c r="AR64" s="334"/>
      <c r="AS64" s="334"/>
      <c r="AT64" s="334"/>
      <c r="AU64" s="334"/>
      <c r="AV64" s="334"/>
      <c r="AW64" s="334"/>
      <c r="AX64" s="334"/>
      <c r="AY64" s="334"/>
      <c r="AZ64" s="334"/>
      <c r="BA64" s="334"/>
      <c r="BB64" s="334"/>
      <c r="BC64" s="334"/>
      <c r="BD64" s="334"/>
      <c r="BE64" s="334"/>
      <c r="BF64" s="334"/>
      <c r="BG64" s="334"/>
      <c r="BH64" s="334"/>
      <c r="BI64" s="334"/>
      <c r="BJ64" s="334"/>
      <c r="BK64" s="334"/>
      <c r="BL64" s="334"/>
      <c r="BM64" s="334"/>
      <c r="BN64" s="334"/>
      <c r="BO64" s="334"/>
      <c r="BP64" s="334"/>
      <c r="BQ64" s="334"/>
      <c r="BR64" s="334"/>
      <c r="BS64" s="334"/>
      <c r="BT64" s="334"/>
      <c r="BU64" s="334"/>
      <c r="BV64" s="334"/>
      <c r="BW64" s="334"/>
      <c r="BX64" s="334"/>
      <c r="BY64" s="334"/>
      <c r="BZ64" s="334"/>
      <c r="CA64" s="334"/>
      <c r="CB64" s="334"/>
      <c r="CC64" s="334"/>
      <c r="CD64" s="334"/>
      <c r="CE64" s="334"/>
      <c r="CF64" s="334"/>
      <c r="CG64" s="334"/>
      <c r="CH64" s="334"/>
      <c r="CI64" s="334"/>
      <c r="CJ64" s="334"/>
      <c r="CK64" s="334"/>
      <c r="CL64" s="334"/>
      <c r="CM64" s="334"/>
      <c r="CN64" s="334"/>
      <c r="CO64" s="334"/>
      <c r="CP64" s="334"/>
      <c r="CQ64" s="334"/>
      <c r="CR64" s="334"/>
      <c r="CS64" s="334"/>
      <c r="CT64" s="334"/>
      <c r="CU64" s="334"/>
      <c r="CV64" s="334"/>
      <c r="CW64" s="334"/>
      <c r="CX64" s="334"/>
      <c r="CY64" s="334"/>
      <c r="CZ64" s="334"/>
      <c r="DA64" s="334"/>
      <c r="DB64" s="334"/>
      <c r="DC64" s="334"/>
      <c r="DD64" s="334"/>
      <c r="DE64" s="334"/>
      <c r="DF64" s="334"/>
      <c r="DG64" s="334"/>
      <c r="DH64" s="334"/>
      <c r="DI64" s="334"/>
      <c r="DJ64" s="334"/>
      <c r="DK64" s="334"/>
      <c r="DL64" s="334"/>
      <c r="DM64" s="334"/>
      <c r="DN64" s="334"/>
      <c r="DO64" s="334"/>
      <c r="DP64" s="334"/>
      <c r="DQ64" s="334"/>
      <c r="DR64" s="334"/>
      <c r="DS64" s="334"/>
      <c r="DT64" s="334"/>
      <c r="DU64" s="334"/>
      <c r="DV64" s="334"/>
      <c r="DW64" s="334"/>
      <c r="DX64" s="334"/>
      <c r="DY64" s="334"/>
      <c r="DZ64" s="334"/>
      <c r="EA64" s="334"/>
      <c r="EB64" s="334"/>
      <c r="EC64" s="334"/>
      <c r="ED64" s="334"/>
      <c r="EE64" s="334"/>
      <c r="EF64" s="334"/>
      <c r="EG64" s="334"/>
      <c r="EH64" s="334"/>
      <c r="EI64" s="334"/>
      <c r="EJ64" s="334"/>
      <c r="EK64" s="334"/>
      <c r="EL64" s="334"/>
      <c r="EM64" s="334"/>
      <c r="EN64" s="334"/>
      <c r="EO64" s="334"/>
      <c r="EP64" s="334"/>
      <c r="EQ64" s="334"/>
      <c r="ER64" s="334"/>
      <c r="ES64" s="334"/>
      <c r="ET64" s="334"/>
      <c r="EU64" s="334"/>
      <c r="EV64" s="334"/>
      <c r="EW64" s="334"/>
      <c r="EX64" s="334"/>
      <c r="EY64" s="334"/>
      <c r="EZ64" s="334"/>
      <c r="FA64" s="334"/>
      <c r="FB64" s="334"/>
      <c r="FC64" s="334"/>
      <c r="FD64" s="334"/>
      <c r="FE64" s="334"/>
      <c r="FF64" s="334"/>
      <c r="FG64" s="334"/>
      <c r="FH64" s="334"/>
      <c r="FI64" s="334"/>
      <c r="FJ64" s="334"/>
      <c r="FK64" s="334"/>
      <c r="FL64" s="334"/>
      <c r="FM64" s="334"/>
      <c r="FN64" s="334"/>
      <c r="FO64" s="334"/>
      <c r="FP64" s="334"/>
      <c r="FQ64" s="334"/>
      <c r="FR64" s="334"/>
      <c r="FS64" s="334"/>
      <c r="FT64" s="334"/>
      <c r="FU64" s="334"/>
      <c r="FV64" s="334"/>
      <c r="FW64" s="334"/>
      <c r="FX64" s="334"/>
      <c r="FY64" s="334"/>
      <c r="FZ64" s="334"/>
      <c r="GA64" s="334"/>
      <c r="GB64" s="334"/>
      <c r="GC64" s="334"/>
      <c r="GD64" s="334"/>
      <c r="GE64" s="334"/>
      <c r="GF64" s="334"/>
      <c r="GG64" s="334"/>
      <c r="GH64" s="334"/>
      <c r="GI64" s="334"/>
      <c r="GJ64" s="334"/>
      <c r="GK64" s="334"/>
      <c r="GL64" s="334"/>
      <c r="GM64" s="334"/>
      <c r="GN64" s="334"/>
      <c r="GO64" s="334"/>
      <c r="GP64" s="334"/>
      <c r="GQ64" s="334"/>
      <c r="GR64" s="334"/>
      <c r="GS64" s="334"/>
      <c r="GT64" s="334"/>
      <c r="GU64" s="334"/>
      <c r="GV64" s="334"/>
      <c r="GW64" s="334"/>
      <c r="GX64" s="334"/>
      <c r="GY64" s="334"/>
      <c r="GZ64" s="334"/>
      <c r="HA64" s="334"/>
      <c r="HB64" s="334"/>
      <c r="HC64" s="334"/>
      <c r="HD64" s="334"/>
      <c r="HE64" s="334"/>
      <c r="HF64" s="334"/>
      <c r="HG64" s="334"/>
      <c r="HH64" s="334"/>
      <c r="HI64" s="334"/>
      <c r="HJ64" s="334"/>
      <c r="HK64" s="334"/>
      <c r="HL64" s="334"/>
      <c r="HM64" s="334"/>
      <c r="HN64" s="334"/>
      <c r="HO64" s="334"/>
      <c r="HP64" s="334"/>
      <c r="HQ64" s="334"/>
      <c r="HR64" s="334"/>
      <c r="HS64" s="334"/>
      <c r="HT64" s="334"/>
      <c r="HU64" s="334"/>
      <c r="HV64" s="334"/>
      <c r="HW64" s="334"/>
      <c r="HX64" s="334"/>
      <c r="HY64" s="334"/>
      <c r="HZ64" s="334"/>
      <c r="IA64" s="334"/>
      <c r="IB64" s="334"/>
      <c r="IC64" s="334"/>
      <c r="ID64" s="334"/>
      <c r="IE64" s="334"/>
      <c r="IF64" s="334"/>
      <c r="IG64" s="334"/>
      <c r="IH64" s="334"/>
      <c r="II64" s="334"/>
      <c r="IJ64" s="334"/>
      <c r="IK64" s="334"/>
      <c r="IL64" s="334"/>
      <c r="IM64" s="334"/>
      <c r="IN64" s="334"/>
      <c r="IO64" s="334"/>
      <c r="IP64" s="334"/>
      <c r="IQ64" s="334"/>
      <c r="IR64" s="334"/>
    </row>
    <row r="65" spans="1:252" s="368" customFormat="1" x14ac:dyDescent="0.25">
      <c r="A65" s="366">
        <v>43710</v>
      </c>
      <c r="B65" s="345">
        <v>85.1</v>
      </c>
      <c r="C65" s="345">
        <v>29.86</v>
      </c>
      <c r="D65" s="345">
        <v>143.75</v>
      </c>
      <c r="E65" s="345">
        <v>75.58</v>
      </c>
      <c r="F65" s="345">
        <v>187.47</v>
      </c>
      <c r="G65" s="345">
        <v>17.149999999999999</v>
      </c>
      <c r="H65" s="345">
        <v>26.87</v>
      </c>
      <c r="I65" s="345">
        <v>90.23</v>
      </c>
      <c r="J65" s="345">
        <v>92.22</v>
      </c>
      <c r="K65" s="345">
        <v>268.56</v>
      </c>
      <c r="L65" s="345">
        <v>149.04</v>
      </c>
      <c r="M65" s="345">
        <v>79.53</v>
      </c>
      <c r="N65" s="345">
        <v>32.459999084499998</v>
      </c>
      <c r="O65" s="345">
        <v>12.859999656699999</v>
      </c>
      <c r="P65" s="345">
        <v>25.510000228900001</v>
      </c>
      <c r="Q65" s="345">
        <v>35.509998321499999</v>
      </c>
      <c r="R65" s="345">
        <v>33.25</v>
      </c>
      <c r="S65" s="345">
        <v>30.959999084500001</v>
      </c>
      <c r="T65" s="345">
        <v>26.530000686600001</v>
      </c>
      <c r="U65" s="345">
        <v>74.180000000000007</v>
      </c>
      <c r="V65" s="334"/>
      <c r="W65" s="334"/>
      <c r="X65" s="334"/>
      <c r="Y65" s="334"/>
      <c r="Z65" s="334"/>
      <c r="AA65" s="334"/>
      <c r="AB65" s="334"/>
      <c r="AC65" s="334"/>
      <c r="AD65" s="334"/>
      <c r="AE65" s="334"/>
      <c r="AF65" s="334"/>
      <c r="AG65" s="334"/>
      <c r="AH65" s="334"/>
      <c r="AI65" s="334"/>
      <c r="AJ65" s="334"/>
      <c r="AK65" s="334"/>
      <c r="AL65" s="334"/>
      <c r="AM65" s="334"/>
      <c r="AN65" s="334"/>
      <c r="AO65" s="334"/>
      <c r="AP65" s="334"/>
      <c r="AQ65" s="334"/>
      <c r="AR65" s="334"/>
      <c r="AS65" s="334"/>
      <c r="AT65" s="334"/>
      <c r="AU65" s="334"/>
      <c r="AV65" s="334"/>
      <c r="AW65" s="334"/>
      <c r="AX65" s="334"/>
      <c r="AY65" s="334"/>
      <c r="AZ65" s="334"/>
      <c r="BA65" s="334"/>
      <c r="BB65" s="334"/>
      <c r="BC65" s="334"/>
      <c r="BD65" s="334"/>
      <c r="BE65" s="334"/>
      <c r="BF65" s="334"/>
      <c r="BG65" s="334"/>
      <c r="BH65" s="334"/>
      <c r="BI65" s="334"/>
      <c r="BJ65" s="334"/>
      <c r="BK65" s="334"/>
      <c r="BL65" s="334"/>
      <c r="BM65" s="334"/>
      <c r="BN65" s="334"/>
      <c r="BO65" s="334"/>
      <c r="BP65" s="334"/>
      <c r="BQ65" s="334"/>
      <c r="BR65" s="334"/>
      <c r="BS65" s="334"/>
      <c r="BT65" s="334"/>
      <c r="BU65" s="334"/>
      <c r="BV65" s="334"/>
      <c r="BW65" s="334"/>
      <c r="BX65" s="334"/>
      <c r="BY65" s="334"/>
      <c r="BZ65" s="334"/>
      <c r="CA65" s="334"/>
      <c r="CB65" s="334"/>
      <c r="CC65" s="334"/>
      <c r="CD65" s="334"/>
      <c r="CE65" s="334"/>
      <c r="CF65" s="334"/>
      <c r="CG65" s="334"/>
      <c r="CH65" s="334"/>
      <c r="CI65" s="334"/>
      <c r="CJ65" s="334"/>
      <c r="CK65" s="334"/>
      <c r="CL65" s="334"/>
      <c r="CM65" s="334"/>
      <c r="CN65" s="334"/>
      <c r="CO65" s="334"/>
      <c r="CP65" s="334"/>
      <c r="CQ65" s="334"/>
      <c r="CR65" s="334"/>
      <c r="CS65" s="334"/>
      <c r="CT65" s="334"/>
      <c r="CU65" s="334"/>
      <c r="CV65" s="334"/>
      <c r="CW65" s="334"/>
      <c r="CX65" s="334"/>
      <c r="CY65" s="334"/>
      <c r="CZ65" s="334"/>
      <c r="DA65" s="334"/>
      <c r="DB65" s="334"/>
      <c r="DC65" s="334"/>
      <c r="DD65" s="334"/>
      <c r="DE65" s="334"/>
      <c r="DF65" s="334"/>
      <c r="DG65" s="334"/>
      <c r="DH65" s="334"/>
      <c r="DI65" s="334"/>
      <c r="DJ65" s="334"/>
      <c r="DK65" s="334"/>
      <c r="DL65" s="334"/>
      <c r="DM65" s="334"/>
      <c r="DN65" s="334"/>
      <c r="DO65" s="334"/>
      <c r="DP65" s="334"/>
      <c r="DQ65" s="334"/>
      <c r="DR65" s="334"/>
      <c r="DS65" s="334"/>
      <c r="DT65" s="334"/>
      <c r="DU65" s="334"/>
      <c r="DV65" s="334"/>
      <c r="DW65" s="334"/>
      <c r="DX65" s="334"/>
      <c r="DY65" s="334"/>
      <c r="DZ65" s="334"/>
      <c r="EA65" s="334"/>
      <c r="EB65" s="334"/>
      <c r="EC65" s="334"/>
      <c r="ED65" s="334"/>
      <c r="EE65" s="334"/>
      <c r="EF65" s="334"/>
      <c r="EG65" s="334"/>
      <c r="EH65" s="334"/>
      <c r="EI65" s="334"/>
      <c r="EJ65" s="334"/>
      <c r="EK65" s="334"/>
      <c r="EL65" s="334"/>
      <c r="EM65" s="334"/>
      <c r="EN65" s="334"/>
      <c r="EO65" s="334"/>
      <c r="EP65" s="334"/>
      <c r="EQ65" s="334"/>
      <c r="ER65" s="334"/>
      <c r="ES65" s="334"/>
      <c r="ET65" s="334"/>
      <c r="EU65" s="334"/>
      <c r="EV65" s="334"/>
      <c r="EW65" s="334"/>
      <c r="EX65" s="334"/>
      <c r="EY65" s="334"/>
      <c r="EZ65" s="334"/>
      <c r="FA65" s="334"/>
      <c r="FB65" s="334"/>
      <c r="FC65" s="334"/>
      <c r="FD65" s="334"/>
      <c r="FE65" s="334"/>
      <c r="FF65" s="334"/>
      <c r="FG65" s="334"/>
      <c r="FH65" s="334"/>
      <c r="FI65" s="334"/>
      <c r="FJ65" s="334"/>
      <c r="FK65" s="334"/>
      <c r="FL65" s="334"/>
      <c r="FM65" s="334"/>
      <c r="FN65" s="334"/>
      <c r="FO65" s="334"/>
      <c r="FP65" s="334"/>
      <c r="FQ65" s="334"/>
      <c r="FR65" s="334"/>
      <c r="FS65" s="334"/>
      <c r="FT65" s="334"/>
      <c r="FU65" s="334"/>
      <c r="FV65" s="334"/>
      <c r="FW65" s="334"/>
      <c r="FX65" s="334"/>
      <c r="FY65" s="334"/>
      <c r="FZ65" s="334"/>
      <c r="GA65" s="334"/>
      <c r="GB65" s="334"/>
      <c r="GC65" s="334"/>
      <c r="GD65" s="334"/>
      <c r="GE65" s="334"/>
      <c r="GF65" s="334"/>
      <c r="GG65" s="334"/>
      <c r="GH65" s="334"/>
      <c r="GI65" s="334"/>
      <c r="GJ65" s="334"/>
      <c r="GK65" s="334"/>
      <c r="GL65" s="334"/>
      <c r="GM65" s="334"/>
      <c r="GN65" s="334"/>
      <c r="GO65" s="334"/>
      <c r="GP65" s="334"/>
      <c r="GQ65" s="334"/>
      <c r="GR65" s="334"/>
      <c r="GS65" s="334"/>
      <c r="GT65" s="334"/>
      <c r="GU65" s="334"/>
      <c r="GV65" s="334"/>
      <c r="GW65" s="334"/>
      <c r="GX65" s="334"/>
      <c r="GY65" s="334"/>
      <c r="GZ65" s="334"/>
      <c r="HA65" s="334"/>
      <c r="HB65" s="334"/>
      <c r="HC65" s="334"/>
      <c r="HD65" s="334"/>
      <c r="HE65" s="334"/>
      <c r="HF65" s="334"/>
      <c r="HG65" s="334"/>
      <c r="HH65" s="334"/>
      <c r="HI65" s="334"/>
      <c r="HJ65" s="334"/>
      <c r="HK65" s="334"/>
      <c r="HL65" s="334"/>
      <c r="HM65" s="334"/>
      <c r="HN65" s="334"/>
      <c r="HO65" s="334"/>
      <c r="HP65" s="334"/>
      <c r="HQ65" s="334"/>
      <c r="HR65" s="334"/>
      <c r="HS65" s="334"/>
      <c r="HT65" s="334"/>
      <c r="HU65" s="334"/>
      <c r="HV65" s="334"/>
      <c r="HW65" s="334"/>
      <c r="HX65" s="334"/>
      <c r="HY65" s="334"/>
      <c r="HZ65" s="334"/>
      <c r="IA65" s="334"/>
      <c r="IB65" s="334"/>
      <c r="IC65" s="334"/>
      <c r="ID65" s="334"/>
      <c r="IE65" s="334"/>
      <c r="IF65" s="334"/>
      <c r="IG65" s="334"/>
      <c r="IH65" s="334"/>
      <c r="II65" s="334"/>
      <c r="IJ65" s="334"/>
      <c r="IK65" s="334"/>
      <c r="IL65" s="334"/>
      <c r="IM65" s="334"/>
      <c r="IN65" s="334"/>
      <c r="IO65" s="334"/>
      <c r="IP65" s="334"/>
      <c r="IQ65" s="334"/>
      <c r="IR65" s="334"/>
    </row>
    <row r="66" spans="1:252" s="368" customFormat="1" x14ac:dyDescent="0.25">
      <c r="A66" s="366">
        <v>43711</v>
      </c>
      <c r="B66" s="345">
        <v>84.99</v>
      </c>
      <c r="C66" s="345">
        <v>30.37</v>
      </c>
      <c r="D66" s="345">
        <v>145.75</v>
      </c>
      <c r="E66" s="345">
        <v>74.540000000000006</v>
      </c>
      <c r="F66" s="345">
        <v>185.65</v>
      </c>
      <c r="G66" s="345">
        <v>17.89</v>
      </c>
      <c r="H66" s="345">
        <v>26.93</v>
      </c>
      <c r="I66" s="345">
        <v>90.19</v>
      </c>
      <c r="J66" s="345">
        <v>93.14</v>
      </c>
      <c r="K66" s="345">
        <v>267.11</v>
      </c>
      <c r="L66" s="345">
        <v>148.07</v>
      </c>
      <c r="M66" s="345">
        <v>78.56</v>
      </c>
      <c r="N66" s="345">
        <v>32.25</v>
      </c>
      <c r="O66" s="345">
        <v>13.03</v>
      </c>
      <c r="P66" s="345">
        <v>25.43</v>
      </c>
      <c r="Q66" s="345">
        <v>35.590000000000003</v>
      </c>
      <c r="R66" s="345">
        <v>33.17</v>
      </c>
      <c r="S66" s="345">
        <v>31.4</v>
      </c>
      <c r="T66" s="345">
        <v>26.56</v>
      </c>
      <c r="U66" s="345">
        <v>73.94</v>
      </c>
      <c r="V66" s="334"/>
      <c r="W66" s="334"/>
      <c r="X66" s="334"/>
      <c r="Y66" s="334"/>
      <c r="Z66" s="334"/>
      <c r="AA66" s="334"/>
      <c r="AB66" s="334"/>
      <c r="AC66" s="334"/>
      <c r="AD66" s="334"/>
      <c r="AE66" s="334"/>
      <c r="AF66" s="334"/>
      <c r="AG66" s="334"/>
      <c r="AH66" s="334"/>
      <c r="AI66" s="334"/>
      <c r="AJ66" s="334"/>
      <c r="AK66" s="334"/>
      <c r="AL66" s="334"/>
      <c r="AM66" s="334"/>
      <c r="AN66" s="334"/>
      <c r="AO66" s="334"/>
      <c r="AP66" s="334"/>
      <c r="AQ66" s="334"/>
      <c r="AR66" s="334"/>
      <c r="AS66" s="334"/>
      <c r="AT66" s="334"/>
      <c r="AU66" s="334"/>
      <c r="AV66" s="334"/>
      <c r="AW66" s="334"/>
      <c r="AX66" s="334"/>
      <c r="AY66" s="334"/>
      <c r="AZ66" s="334"/>
      <c r="BA66" s="334"/>
      <c r="BB66" s="334"/>
      <c r="BC66" s="334"/>
      <c r="BD66" s="334"/>
      <c r="BE66" s="334"/>
      <c r="BF66" s="334"/>
      <c r="BG66" s="334"/>
      <c r="BH66" s="334"/>
      <c r="BI66" s="334"/>
      <c r="BJ66" s="334"/>
      <c r="BK66" s="334"/>
      <c r="BL66" s="334"/>
      <c r="BM66" s="334"/>
      <c r="BN66" s="334"/>
      <c r="BO66" s="334"/>
      <c r="BP66" s="334"/>
      <c r="BQ66" s="334"/>
      <c r="BR66" s="334"/>
      <c r="BS66" s="334"/>
      <c r="BT66" s="334"/>
      <c r="BU66" s="334"/>
      <c r="BV66" s="334"/>
      <c r="BW66" s="334"/>
      <c r="BX66" s="334"/>
      <c r="BY66" s="334"/>
      <c r="BZ66" s="334"/>
      <c r="CA66" s="334"/>
      <c r="CB66" s="334"/>
      <c r="CC66" s="334"/>
      <c r="CD66" s="334"/>
      <c r="CE66" s="334"/>
      <c r="CF66" s="334"/>
      <c r="CG66" s="334"/>
      <c r="CH66" s="334"/>
      <c r="CI66" s="334"/>
      <c r="CJ66" s="334"/>
      <c r="CK66" s="334"/>
      <c r="CL66" s="334"/>
      <c r="CM66" s="334"/>
      <c r="CN66" s="334"/>
      <c r="CO66" s="334"/>
      <c r="CP66" s="334"/>
      <c r="CQ66" s="334"/>
      <c r="CR66" s="334"/>
      <c r="CS66" s="334"/>
      <c r="CT66" s="334"/>
      <c r="CU66" s="334"/>
      <c r="CV66" s="334"/>
      <c r="CW66" s="334"/>
      <c r="CX66" s="334"/>
      <c r="CY66" s="334"/>
      <c r="CZ66" s="334"/>
      <c r="DA66" s="334"/>
      <c r="DB66" s="334"/>
      <c r="DC66" s="334"/>
      <c r="DD66" s="334"/>
      <c r="DE66" s="334"/>
      <c r="DF66" s="334"/>
      <c r="DG66" s="334"/>
      <c r="DH66" s="334"/>
      <c r="DI66" s="334"/>
      <c r="DJ66" s="334"/>
      <c r="DK66" s="334"/>
      <c r="DL66" s="334"/>
      <c r="DM66" s="334"/>
      <c r="DN66" s="334"/>
      <c r="DO66" s="334"/>
      <c r="DP66" s="334"/>
      <c r="DQ66" s="334"/>
      <c r="DR66" s="334"/>
      <c r="DS66" s="334"/>
      <c r="DT66" s="334"/>
      <c r="DU66" s="334"/>
      <c r="DV66" s="334"/>
      <c r="DW66" s="334"/>
      <c r="DX66" s="334"/>
      <c r="DY66" s="334"/>
      <c r="DZ66" s="334"/>
      <c r="EA66" s="334"/>
      <c r="EB66" s="334"/>
      <c r="EC66" s="334"/>
      <c r="ED66" s="334"/>
      <c r="EE66" s="334"/>
      <c r="EF66" s="334"/>
      <c r="EG66" s="334"/>
      <c r="EH66" s="334"/>
      <c r="EI66" s="334"/>
      <c r="EJ66" s="334"/>
      <c r="EK66" s="334"/>
      <c r="EL66" s="334"/>
      <c r="EM66" s="334"/>
      <c r="EN66" s="334"/>
      <c r="EO66" s="334"/>
      <c r="EP66" s="334"/>
      <c r="EQ66" s="334"/>
      <c r="ER66" s="334"/>
      <c r="ES66" s="334"/>
      <c r="ET66" s="334"/>
      <c r="EU66" s="334"/>
      <c r="EV66" s="334"/>
      <c r="EW66" s="334"/>
      <c r="EX66" s="334"/>
      <c r="EY66" s="334"/>
      <c r="EZ66" s="334"/>
      <c r="FA66" s="334"/>
      <c r="FB66" s="334"/>
      <c r="FC66" s="334"/>
      <c r="FD66" s="334"/>
      <c r="FE66" s="334"/>
      <c r="FF66" s="334"/>
      <c r="FG66" s="334"/>
      <c r="FH66" s="334"/>
      <c r="FI66" s="334"/>
      <c r="FJ66" s="334"/>
      <c r="FK66" s="334"/>
      <c r="FL66" s="334"/>
      <c r="FM66" s="334"/>
      <c r="FN66" s="334"/>
      <c r="FO66" s="334"/>
      <c r="FP66" s="334"/>
      <c r="FQ66" s="334"/>
      <c r="FR66" s="334"/>
      <c r="FS66" s="334"/>
      <c r="FT66" s="334"/>
      <c r="FU66" s="334"/>
      <c r="FV66" s="334"/>
      <c r="FW66" s="334"/>
      <c r="FX66" s="334"/>
      <c r="FY66" s="334"/>
      <c r="FZ66" s="334"/>
      <c r="GA66" s="334"/>
      <c r="GB66" s="334"/>
      <c r="GC66" s="334"/>
      <c r="GD66" s="334"/>
      <c r="GE66" s="334"/>
      <c r="GF66" s="334"/>
      <c r="GG66" s="334"/>
      <c r="GH66" s="334"/>
      <c r="GI66" s="334"/>
      <c r="GJ66" s="334"/>
      <c r="GK66" s="334"/>
      <c r="GL66" s="334"/>
      <c r="GM66" s="334"/>
      <c r="GN66" s="334"/>
      <c r="GO66" s="334"/>
      <c r="GP66" s="334"/>
      <c r="GQ66" s="334"/>
      <c r="GR66" s="334"/>
      <c r="GS66" s="334"/>
      <c r="GT66" s="334"/>
      <c r="GU66" s="334"/>
      <c r="GV66" s="334"/>
      <c r="GW66" s="334"/>
      <c r="GX66" s="334"/>
      <c r="GY66" s="334"/>
      <c r="GZ66" s="334"/>
      <c r="HA66" s="334"/>
      <c r="HB66" s="334"/>
      <c r="HC66" s="334"/>
      <c r="HD66" s="334"/>
      <c r="HE66" s="334"/>
      <c r="HF66" s="334"/>
      <c r="HG66" s="334"/>
      <c r="HH66" s="334"/>
      <c r="HI66" s="334"/>
      <c r="HJ66" s="334"/>
      <c r="HK66" s="334"/>
      <c r="HL66" s="334"/>
      <c r="HM66" s="334"/>
      <c r="HN66" s="334"/>
      <c r="HO66" s="334"/>
      <c r="HP66" s="334"/>
      <c r="HQ66" s="334"/>
      <c r="HR66" s="334"/>
      <c r="HS66" s="334"/>
      <c r="HT66" s="334"/>
      <c r="HU66" s="334"/>
      <c r="HV66" s="334"/>
      <c r="HW66" s="334"/>
      <c r="HX66" s="334"/>
      <c r="HY66" s="334"/>
      <c r="HZ66" s="334"/>
      <c r="IA66" s="334"/>
      <c r="IB66" s="334"/>
      <c r="IC66" s="334"/>
      <c r="ID66" s="334"/>
      <c r="IE66" s="334"/>
      <c r="IF66" s="334"/>
      <c r="IG66" s="334"/>
      <c r="IH66" s="334"/>
      <c r="II66" s="334"/>
      <c r="IJ66" s="334"/>
      <c r="IK66" s="334"/>
      <c r="IL66" s="334"/>
      <c r="IM66" s="334"/>
      <c r="IN66" s="334"/>
      <c r="IO66" s="334"/>
      <c r="IP66" s="334"/>
      <c r="IQ66" s="334"/>
      <c r="IR66" s="334"/>
    </row>
    <row r="67" spans="1:252" s="368" customFormat="1" x14ac:dyDescent="0.25">
      <c r="A67" s="366">
        <v>43712</v>
      </c>
      <c r="B67" s="345">
        <v>85.15</v>
      </c>
      <c r="C67" s="345">
        <v>30.95</v>
      </c>
      <c r="D67" s="345">
        <v>146.66</v>
      </c>
      <c r="E67" s="345">
        <v>75.3</v>
      </c>
      <c r="F67" s="345">
        <v>188.33</v>
      </c>
      <c r="G67" s="345">
        <v>18.34</v>
      </c>
      <c r="H67" s="345">
        <v>26.76</v>
      </c>
      <c r="I67" s="345">
        <v>90.27</v>
      </c>
      <c r="J67" s="345">
        <v>93.92</v>
      </c>
      <c r="K67" s="345">
        <v>269.97000000000003</v>
      </c>
      <c r="L67" s="345">
        <v>149.65</v>
      </c>
      <c r="M67" s="345">
        <v>79.900000000000006</v>
      </c>
      <c r="N67" s="345">
        <v>32.6</v>
      </c>
      <c r="O67" s="345">
        <v>13.08</v>
      </c>
      <c r="P67" s="345">
        <v>25.52</v>
      </c>
      <c r="Q67" s="345">
        <v>35.78</v>
      </c>
      <c r="R67" s="345">
        <v>33.270000000000003</v>
      </c>
      <c r="S67" s="345">
        <v>31.58</v>
      </c>
      <c r="T67" s="345">
        <v>26.57</v>
      </c>
      <c r="U67" s="345">
        <v>74.599999999999994</v>
      </c>
      <c r="V67" s="334"/>
      <c r="W67" s="334"/>
      <c r="X67" s="334"/>
      <c r="Y67" s="334"/>
      <c r="Z67" s="334"/>
      <c r="AA67" s="334"/>
      <c r="AB67" s="334"/>
      <c r="AC67" s="334"/>
      <c r="AD67" s="334"/>
      <c r="AE67" s="334"/>
      <c r="AF67" s="334"/>
      <c r="AG67" s="334"/>
      <c r="AH67" s="334"/>
      <c r="AI67" s="334"/>
      <c r="AJ67" s="334"/>
      <c r="AK67" s="334"/>
      <c r="AL67" s="334"/>
      <c r="AM67" s="334"/>
      <c r="AN67" s="334"/>
      <c r="AO67" s="334"/>
      <c r="AP67" s="334"/>
      <c r="AQ67" s="334"/>
      <c r="AR67" s="334"/>
      <c r="AS67" s="334"/>
      <c r="AT67" s="334"/>
      <c r="AU67" s="334"/>
      <c r="AV67" s="334"/>
      <c r="AW67" s="334"/>
      <c r="AX67" s="334"/>
      <c r="AY67" s="334"/>
      <c r="AZ67" s="334"/>
      <c r="BA67" s="334"/>
      <c r="BB67" s="334"/>
      <c r="BC67" s="334"/>
      <c r="BD67" s="334"/>
      <c r="BE67" s="334"/>
      <c r="BF67" s="334"/>
      <c r="BG67" s="334"/>
      <c r="BH67" s="334"/>
      <c r="BI67" s="334"/>
      <c r="BJ67" s="334"/>
      <c r="BK67" s="334"/>
      <c r="BL67" s="334"/>
      <c r="BM67" s="334"/>
      <c r="BN67" s="334"/>
      <c r="BO67" s="334"/>
      <c r="BP67" s="334"/>
      <c r="BQ67" s="334"/>
      <c r="BR67" s="334"/>
      <c r="BS67" s="334"/>
      <c r="BT67" s="334"/>
      <c r="BU67" s="334"/>
      <c r="BV67" s="334"/>
      <c r="BW67" s="334"/>
      <c r="BX67" s="334"/>
      <c r="BY67" s="334"/>
      <c r="BZ67" s="334"/>
      <c r="CA67" s="334"/>
      <c r="CB67" s="334"/>
      <c r="CC67" s="334"/>
      <c r="CD67" s="334"/>
      <c r="CE67" s="334"/>
      <c r="CF67" s="334"/>
      <c r="CG67" s="334"/>
      <c r="CH67" s="334"/>
      <c r="CI67" s="334"/>
      <c r="CJ67" s="334"/>
      <c r="CK67" s="334"/>
      <c r="CL67" s="334"/>
      <c r="CM67" s="334"/>
      <c r="CN67" s="334"/>
      <c r="CO67" s="334"/>
      <c r="CP67" s="334"/>
      <c r="CQ67" s="334"/>
      <c r="CR67" s="334"/>
      <c r="CS67" s="334"/>
      <c r="CT67" s="334"/>
      <c r="CU67" s="334"/>
      <c r="CV67" s="334"/>
      <c r="CW67" s="334"/>
      <c r="CX67" s="334"/>
      <c r="CY67" s="334"/>
      <c r="CZ67" s="334"/>
      <c r="DA67" s="334"/>
      <c r="DB67" s="334"/>
      <c r="DC67" s="334"/>
      <c r="DD67" s="334"/>
      <c r="DE67" s="334"/>
      <c r="DF67" s="334"/>
      <c r="DG67" s="334"/>
      <c r="DH67" s="334"/>
      <c r="DI67" s="334"/>
      <c r="DJ67" s="334"/>
      <c r="DK67" s="334"/>
      <c r="DL67" s="334"/>
      <c r="DM67" s="334"/>
      <c r="DN67" s="334"/>
      <c r="DO67" s="334"/>
      <c r="DP67" s="334"/>
      <c r="DQ67" s="334"/>
      <c r="DR67" s="334"/>
      <c r="DS67" s="334"/>
      <c r="DT67" s="334"/>
      <c r="DU67" s="334"/>
      <c r="DV67" s="334"/>
      <c r="DW67" s="334"/>
      <c r="DX67" s="334"/>
      <c r="DY67" s="334"/>
      <c r="DZ67" s="334"/>
      <c r="EA67" s="334"/>
      <c r="EB67" s="334"/>
      <c r="EC67" s="334"/>
      <c r="ED67" s="334"/>
      <c r="EE67" s="334"/>
      <c r="EF67" s="334"/>
      <c r="EG67" s="334"/>
      <c r="EH67" s="334"/>
      <c r="EI67" s="334"/>
      <c r="EJ67" s="334"/>
      <c r="EK67" s="334"/>
      <c r="EL67" s="334"/>
      <c r="EM67" s="334"/>
      <c r="EN67" s="334"/>
      <c r="EO67" s="334"/>
      <c r="EP67" s="334"/>
      <c r="EQ67" s="334"/>
      <c r="ER67" s="334"/>
      <c r="ES67" s="334"/>
      <c r="ET67" s="334"/>
      <c r="EU67" s="334"/>
      <c r="EV67" s="334"/>
      <c r="EW67" s="334"/>
      <c r="EX67" s="334"/>
      <c r="EY67" s="334"/>
      <c r="EZ67" s="334"/>
      <c r="FA67" s="334"/>
      <c r="FB67" s="334"/>
      <c r="FC67" s="334"/>
      <c r="FD67" s="334"/>
      <c r="FE67" s="334"/>
      <c r="FF67" s="334"/>
      <c r="FG67" s="334"/>
      <c r="FH67" s="334"/>
      <c r="FI67" s="334"/>
      <c r="FJ67" s="334"/>
      <c r="FK67" s="334"/>
      <c r="FL67" s="334"/>
      <c r="FM67" s="334"/>
      <c r="FN67" s="334"/>
      <c r="FO67" s="334"/>
      <c r="FP67" s="334"/>
      <c r="FQ67" s="334"/>
      <c r="FR67" s="334"/>
      <c r="FS67" s="334"/>
      <c r="FT67" s="334"/>
      <c r="FU67" s="334"/>
      <c r="FV67" s="334"/>
      <c r="FW67" s="334"/>
      <c r="FX67" s="334"/>
      <c r="FY67" s="334"/>
      <c r="FZ67" s="334"/>
      <c r="GA67" s="334"/>
      <c r="GB67" s="334"/>
      <c r="GC67" s="334"/>
      <c r="GD67" s="334"/>
      <c r="GE67" s="334"/>
      <c r="GF67" s="334"/>
      <c r="GG67" s="334"/>
      <c r="GH67" s="334"/>
      <c r="GI67" s="334"/>
      <c r="GJ67" s="334"/>
      <c r="GK67" s="334"/>
      <c r="GL67" s="334"/>
      <c r="GM67" s="334"/>
      <c r="GN67" s="334"/>
      <c r="GO67" s="334"/>
      <c r="GP67" s="334"/>
      <c r="GQ67" s="334"/>
      <c r="GR67" s="334"/>
      <c r="GS67" s="334"/>
      <c r="GT67" s="334"/>
      <c r="GU67" s="334"/>
      <c r="GV67" s="334"/>
      <c r="GW67" s="334"/>
      <c r="GX67" s="334"/>
      <c r="GY67" s="334"/>
      <c r="GZ67" s="334"/>
      <c r="HA67" s="334"/>
      <c r="HB67" s="334"/>
      <c r="HC67" s="334"/>
      <c r="HD67" s="334"/>
      <c r="HE67" s="334"/>
      <c r="HF67" s="334"/>
      <c r="HG67" s="334"/>
      <c r="HH67" s="334"/>
      <c r="HI67" s="334"/>
      <c r="HJ67" s="334"/>
      <c r="HK67" s="334"/>
      <c r="HL67" s="334"/>
      <c r="HM67" s="334"/>
      <c r="HN67" s="334"/>
      <c r="HO67" s="334"/>
      <c r="HP67" s="334"/>
      <c r="HQ67" s="334"/>
      <c r="HR67" s="334"/>
      <c r="HS67" s="334"/>
      <c r="HT67" s="334"/>
      <c r="HU67" s="334"/>
      <c r="HV67" s="334"/>
      <c r="HW67" s="334"/>
      <c r="HX67" s="334"/>
      <c r="HY67" s="334"/>
      <c r="HZ67" s="334"/>
      <c r="IA67" s="334"/>
      <c r="IB67" s="334"/>
      <c r="IC67" s="334"/>
      <c r="ID67" s="334"/>
      <c r="IE67" s="334"/>
      <c r="IF67" s="334"/>
      <c r="IG67" s="334"/>
      <c r="IH67" s="334"/>
      <c r="II67" s="334"/>
      <c r="IJ67" s="334"/>
      <c r="IK67" s="334"/>
      <c r="IL67" s="334"/>
      <c r="IM67" s="334"/>
      <c r="IN67" s="334"/>
      <c r="IO67" s="334"/>
      <c r="IP67" s="334"/>
      <c r="IQ67" s="334"/>
      <c r="IR67" s="334"/>
    </row>
    <row r="68" spans="1:252" s="368" customFormat="1" x14ac:dyDescent="0.25">
      <c r="A68" s="366">
        <v>43713</v>
      </c>
      <c r="B68" s="345">
        <v>84.71</v>
      </c>
      <c r="C68" s="345">
        <v>29.31</v>
      </c>
      <c r="D68" s="345">
        <v>143.13999999999999</v>
      </c>
      <c r="E68" s="345">
        <v>76.77</v>
      </c>
      <c r="F68" s="345">
        <v>191.78</v>
      </c>
      <c r="G68" s="345">
        <v>17.41</v>
      </c>
      <c r="H68" s="345">
        <v>26.77</v>
      </c>
      <c r="I68" s="345">
        <v>88.78</v>
      </c>
      <c r="J68" s="345">
        <v>93.24</v>
      </c>
      <c r="K68" s="345">
        <v>273.54000000000002</v>
      </c>
      <c r="L68" s="345">
        <v>151.65</v>
      </c>
      <c r="M68" s="345">
        <v>81.569999999999993</v>
      </c>
      <c r="N68" s="345">
        <v>33.020000000000003</v>
      </c>
      <c r="O68" s="345">
        <v>12.8</v>
      </c>
      <c r="P68" s="345">
        <v>25.68</v>
      </c>
      <c r="Q68" s="345">
        <v>35.520000000000003</v>
      </c>
      <c r="R68" s="345">
        <v>33.54</v>
      </c>
      <c r="S68" s="345">
        <v>30.48</v>
      </c>
      <c r="T68" s="345">
        <v>26.35</v>
      </c>
      <c r="U68" s="345">
        <v>74.569999999999993</v>
      </c>
      <c r="V68" s="334"/>
      <c r="W68" s="334"/>
      <c r="X68" s="334"/>
      <c r="Y68" s="334"/>
      <c r="Z68" s="334"/>
      <c r="AA68" s="334"/>
      <c r="AB68" s="334"/>
      <c r="AC68" s="334"/>
      <c r="AD68" s="334"/>
      <c r="AE68" s="334"/>
      <c r="AF68" s="334"/>
      <c r="AG68" s="334"/>
      <c r="AH68" s="334"/>
      <c r="AI68" s="334"/>
      <c r="AJ68" s="334"/>
      <c r="AK68" s="334"/>
      <c r="AL68" s="334"/>
      <c r="AM68" s="334"/>
      <c r="AN68" s="334"/>
      <c r="AO68" s="334"/>
      <c r="AP68" s="334"/>
      <c r="AQ68" s="334"/>
      <c r="AR68" s="334"/>
      <c r="AS68" s="334"/>
      <c r="AT68" s="334"/>
      <c r="AU68" s="334"/>
      <c r="AV68" s="334"/>
      <c r="AW68" s="334"/>
      <c r="AX68" s="334"/>
      <c r="AY68" s="334"/>
      <c r="AZ68" s="334"/>
      <c r="BA68" s="334"/>
      <c r="BB68" s="334"/>
      <c r="BC68" s="334"/>
      <c r="BD68" s="334"/>
      <c r="BE68" s="334"/>
      <c r="BF68" s="334"/>
      <c r="BG68" s="334"/>
      <c r="BH68" s="334"/>
      <c r="BI68" s="334"/>
      <c r="BJ68" s="334"/>
      <c r="BK68" s="334"/>
      <c r="BL68" s="334"/>
      <c r="BM68" s="334"/>
      <c r="BN68" s="334"/>
      <c r="BO68" s="334"/>
      <c r="BP68" s="334"/>
      <c r="BQ68" s="334"/>
      <c r="BR68" s="334"/>
      <c r="BS68" s="334"/>
      <c r="BT68" s="334"/>
      <c r="BU68" s="334"/>
      <c r="BV68" s="334"/>
      <c r="BW68" s="334"/>
      <c r="BX68" s="334"/>
      <c r="BY68" s="334"/>
      <c r="BZ68" s="334"/>
      <c r="CA68" s="334"/>
      <c r="CB68" s="334"/>
      <c r="CC68" s="334"/>
      <c r="CD68" s="334"/>
      <c r="CE68" s="334"/>
      <c r="CF68" s="334"/>
      <c r="CG68" s="334"/>
      <c r="CH68" s="334"/>
      <c r="CI68" s="334"/>
      <c r="CJ68" s="334"/>
      <c r="CK68" s="334"/>
      <c r="CL68" s="334"/>
      <c r="CM68" s="334"/>
      <c r="CN68" s="334"/>
      <c r="CO68" s="334"/>
      <c r="CP68" s="334"/>
      <c r="CQ68" s="334"/>
      <c r="CR68" s="334"/>
      <c r="CS68" s="334"/>
      <c r="CT68" s="334"/>
      <c r="CU68" s="334"/>
      <c r="CV68" s="334"/>
      <c r="CW68" s="334"/>
      <c r="CX68" s="334"/>
      <c r="CY68" s="334"/>
      <c r="CZ68" s="334"/>
      <c r="DA68" s="334"/>
      <c r="DB68" s="334"/>
      <c r="DC68" s="334"/>
      <c r="DD68" s="334"/>
      <c r="DE68" s="334"/>
      <c r="DF68" s="334"/>
      <c r="DG68" s="334"/>
      <c r="DH68" s="334"/>
      <c r="DI68" s="334"/>
      <c r="DJ68" s="334"/>
      <c r="DK68" s="334"/>
      <c r="DL68" s="334"/>
      <c r="DM68" s="334"/>
      <c r="DN68" s="334"/>
      <c r="DO68" s="334"/>
      <c r="DP68" s="334"/>
      <c r="DQ68" s="334"/>
      <c r="DR68" s="334"/>
      <c r="DS68" s="334"/>
      <c r="DT68" s="334"/>
      <c r="DU68" s="334"/>
      <c r="DV68" s="334"/>
      <c r="DW68" s="334"/>
      <c r="DX68" s="334"/>
      <c r="DY68" s="334"/>
      <c r="DZ68" s="334"/>
      <c r="EA68" s="334"/>
      <c r="EB68" s="334"/>
      <c r="EC68" s="334"/>
      <c r="ED68" s="334"/>
      <c r="EE68" s="334"/>
      <c r="EF68" s="334"/>
      <c r="EG68" s="334"/>
      <c r="EH68" s="334"/>
      <c r="EI68" s="334"/>
      <c r="EJ68" s="334"/>
      <c r="EK68" s="334"/>
      <c r="EL68" s="334"/>
      <c r="EM68" s="334"/>
      <c r="EN68" s="334"/>
      <c r="EO68" s="334"/>
      <c r="EP68" s="334"/>
      <c r="EQ68" s="334"/>
      <c r="ER68" s="334"/>
      <c r="ES68" s="334"/>
      <c r="ET68" s="334"/>
      <c r="EU68" s="334"/>
      <c r="EV68" s="334"/>
      <c r="EW68" s="334"/>
      <c r="EX68" s="334"/>
      <c r="EY68" s="334"/>
      <c r="EZ68" s="334"/>
      <c r="FA68" s="334"/>
      <c r="FB68" s="334"/>
      <c r="FC68" s="334"/>
      <c r="FD68" s="334"/>
      <c r="FE68" s="334"/>
      <c r="FF68" s="334"/>
      <c r="FG68" s="334"/>
      <c r="FH68" s="334"/>
      <c r="FI68" s="334"/>
      <c r="FJ68" s="334"/>
      <c r="FK68" s="334"/>
      <c r="FL68" s="334"/>
      <c r="FM68" s="334"/>
      <c r="FN68" s="334"/>
      <c r="FO68" s="334"/>
      <c r="FP68" s="334"/>
      <c r="FQ68" s="334"/>
      <c r="FR68" s="334"/>
      <c r="FS68" s="334"/>
      <c r="FT68" s="334"/>
      <c r="FU68" s="334"/>
      <c r="FV68" s="334"/>
      <c r="FW68" s="334"/>
      <c r="FX68" s="334"/>
      <c r="FY68" s="334"/>
      <c r="FZ68" s="334"/>
      <c r="GA68" s="334"/>
      <c r="GB68" s="334"/>
      <c r="GC68" s="334"/>
      <c r="GD68" s="334"/>
      <c r="GE68" s="334"/>
      <c r="GF68" s="334"/>
      <c r="GG68" s="334"/>
      <c r="GH68" s="334"/>
      <c r="GI68" s="334"/>
      <c r="GJ68" s="334"/>
      <c r="GK68" s="334"/>
      <c r="GL68" s="334"/>
      <c r="GM68" s="334"/>
      <c r="GN68" s="334"/>
      <c r="GO68" s="334"/>
      <c r="GP68" s="334"/>
      <c r="GQ68" s="334"/>
      <c r="GR68" s="334"/>
      <c r="GS68" s="334"/>
      <c r="GT68" s="334"/>
      <c r="GU68" s="334"/>
      <c r="GV68" s="334"/>
      <c r="GW68" s="334"/>
      <c r="GX68" s="334"/>
      <c r="GY68" s="334"/>
      <c r="GZ68" s="334"/>
      <c r="HA68" s="334"/>
      <c r="HB68" s="334"/>
      <c r="HC68" s="334"/>
      <c r="HD68" s="334"/>
      <c r="HE68" s="334"/>
      <c r="HF68" s="334"/>
      <c r="HG68" s="334"/>
      <c r="HH68" s="334"/>
      <c r="HI68" s="334"/>
      <c r="HJ68" s="334"/>
      <c r="HK68" s="334"/>
      <c r="HL68" s="334"/>
      <c r="HM68" s="334"/>
      <c r="HN68" s="334"/>
      <c r="HO68" s="334"/>
      <c r="HP68" s="334"/>
      <c r="HQ68" s="334"/>
      <c r="HR68" s="334"/>
      <c r="HS68" s="334"/>
      <c r="HT68" s="334"/>
      <c r="HU68" s="334"/>
      <c r="HV68" s="334"/>
      <c r="HW68" s="334"/>
      <c r="HX68" s="334"/>
      <c r="HY68" s="334"/>
      <c r="HZ68" s="334"/>
      <c r="IA68" s="334"/>
      <c r="IB68" s="334"/>
      <c r="IC68" s="334"/>
      <c r="ID68" s="334"/>
      <c r="IE68" s="334"/>
      <c r="IF68" s="334"/>
      <c r="IG68" s="334"/>
      <c r="IH68" s="334"/>
      <c r="II68" s="334"/>
      <c r="IJ68" s="334"/>
      <c r="IK68" s="334"/>
      <c r="IL68" s="334"/>
      <c r="IM68" s="334"/>
      <c r="IN68" s="334"/>
      <c r="IO68" s="334"/>
      <c r="IP68" s="334"/>
      <c r="IQ68" s="334"/>
      <c r="IR68" s="334"/>
    </row>
    <row r="69" spans="1:252" s="368" customFormat="1" x14ac:dyDescent="0.25">
      <c r="A69" s="366">
        <v>43714</v>
      </c>
      <c r="B69" s="345">
        <v>84.81</v>
      </c>
      <c r="C69" s="345">
        <v>28.48</v>
      </c>
      <c r="D69" s="345">
        <v>141.94</v>
      </c>
      <c r="E69" s="345">
        <v>76.56</v>
      </c>
      <c r="F69" s="345">
        <v>191.59</v>
      </c>
      <c r="G69" s="345">
        <v>16.87</v>
      </c>
      <c r="H69" s="345">
        <v>26.78</v>
      </c>
      <c r="I69" s="345">
        <v>89.35</v>
      </c>
      <c r="J69" s="345">
        <v>93.45</v>
      </c>
      <c r="K69" s="345">
        <v>273.74</v>
      </c>
      <c r="L69" s="345">
        <v>151.68</v>
      </c>
      <c r="M69" s="345">
        <v>81.5</v>
      </c>
      <c r="N69" s="345">
        <v>33.07</v>
      </c>
      <c r="O69" s="345">
        <v>12.69</v>
      </c>
      <c r="P69" s="345">
        <v>25.64</v>
      </c>
      <c r="Q69" s="345">
        <v>35.42</v>
      </c>
      <c r="R69" s="345">
        <v>33.44</v>
      </c>
      <c r="S69" s="345">
        <v>29.86</v>
      </c>
      <c r="T69" s="345">
        <v>26.34</v>
      </c>
      <c r="U69" s="345">
        <v>74.84</v>
      </c>
      <c r="V69" s="334"/>
      <c r="W69" s="334"/>
      <c r="X69" s="334"/>
      <c r="Y69" s="334"/>
      <c r="Z69" s="334"/>
      <c r="AA69" s="334"/>
      <c r="AB69" s="334"/>
      <c r="AC69" s="334"/>
      <c r="AD69" s="334"/>
      <c r="AE69" s="334"/>
      <c r="AF69" s="334"/>
      <c r="AG69" s="334"/>
      <c r="AH69" s="334"/>
      <c r="AI69" s="334"/>
      <c r="AJ69" s="334"/>
      <c r="AK69" s="334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4"/>
      <c r="AW69" s="334"/>
      <c r="AX69" s="334"/>
      <c r="AY69" s="334"/>
      <c r="AZ69" s="334"/>
      <c r="BA69" s="334"/>
      <c r="BB69" s="334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4"/>
      <c r="BS69" s="334"/>
      <c r="BT69" s="334"/>
      <c r="BU69" s="334"/>
      <c r="BV69" s="334"/>
      <c r="BW69" s="334"/>
      <c r="BX69" s="334"/>
      <c r="BY69" s="334"/>
      <c r="BZ69" s="334"/>
      <c r="CA69" s="334"/>
      <c r="CB69" s="334"/>
      <c r="CC69" s="334"/>
      <c r="CD69" s="334"/>
      <c r="CE69" s="334"/>
      <c r="CF69" s="334"/>
      <c r="CG69" s="334"/>
      <c r="CH69" s="334"/>
      <c r="CI69" s="334"/>
      <c r="CJ69" s="334"/>
      <c r="CK69" s="334"/>
      <c r="CL69" s="334"/>
      <c r="CM69" s="334"/>
      <c r="CN69" s="334"/>
      <c r="CO69" s="334"/>
      <c r="CP69" s="334"/>
      <c r="CQ69" s="334"/>
      <c r="CR69" s="334"/>
      <c r="CS69" s="334"/>
      <c r="CT69" s="334"/>
      <c r="CU69" s="334"/>
      <c r="CV69" s="334"/>
      <c r="CW69" s="334"/>
      <c r="CX69" s="334"/>
      <c r="CY69" s="334"/>
      <c r="CZ69" s="334"/>
      <c r="DA69" s="334"/>
      <c r="DB69" s="334"/>
      <c r="DC69" s="334"/>
      <c r="DD69" s="334"/>
      <c r="DE69" s="334"/>
      <c r="DF69" s="334"/>
      <c r="DG69" s="334"/>
      <c r="DH69" s="334"/>
      <c r="DI69" s="334"/>
      <c r="DJ69" s="334"/>
      <c r="DK69" s="334"/>
      <c r="DL69" s="334"/>
      <c r="DM69" s="334"/>
      <c r="DN69" s="334"/>
      <c r="DO69" s="334"/>
      <c r="DP69" s="334"/>
      <c r="DQ69" s="334"/>
      <c r="DR69" s="334"/>
      <c r="DS69" s="334"/>
      <c r="DT69" s="334"/>
      <c r="DU69" s="334"/>
      <c r="DV69" s="334"/>
      <c r="DW69" s="334"/>
      <c r="DX69" s="334"/>
      <c r="DY69" s="334"/>
      <c r="DZ69" s="334"/>
      <c r="EA69" s="334"/>
      <c r="EB69" s="334"/>
      <c r="EC69" s="334"/>
      <c r="ED69" s="334"/>
      <c r="EE69" s="334"/>
      <c r="EF69" s="334"/>
      <c r="EG69" s="334"/>
      <c r="EH69" s="334"/>
      <c r="EI69" s="334"/>
      <c r="EJ69" s="334"/>
      <c r="EK69" s="334"/>
      <c r="EL69" s="334"/>
      <c r="EM69" s="334"/>
      <c r="EN69" s="334"/>
      <c r="EO69" s="334"/>
      <c r="EP69" s="334"/>
      <c r="EQ69" s="334"/>
      <c r="ER69" s="334"/>
      <c r="ES69" s="334"/>
      <c r="ET69" s="334"/>
      <c r="EU69" s="334"/>
      <c r="EV69" s="334"/>
      <c r="EW69" s="334"/>
      <c r="EX69" s="334"/>
      <c r="EY69" s="334"/>
      <c r="EZ69" s="334"/>
      <c r="FA69" s="334"/>
      <c r="FB69" s="334"/>
      <c r="FC69" s="334"/>
      <c r="FD69" s="334"/>
      <c r="FE69" s="334"/>
      <c r="FF69" s="334"/>
      <c r="FG69" s="334"/>
      <c r="FH69" s="334"/>
      <c r="FI69" s="334"/>
      <c r="FJ69" s="334"/>
      <c r="FK69" s="334"/>
      <c r="FL69" s="334"/>
      <c r="FM69" s="334"/>
      <c r="FN69" s="334"/>
      <c r="FO69" s="334"/>
      <c r="FP69" s="334"/>
      <c r="FQ69" s="334"/>
      <c r="FR69" s="334"/>
      <c r="FS69" s="334"/>
      <c r="FT69" s="334"/>
      <c r="FU69" s="334"/>
      <c r="FV69" s="334"/>
      <c r="FW69" s="334"/>
      <c r="FX69" s="334"/>
      <c r="FY69" s="334"/>
      <c r="FZ69" s="334"/>
      <c r="GA69" s="334"/>
      <c r="GB69" s="334"/>
      <c r="GC69" s="334"/>
      <c r="GD69" s="334"/>
      <c r="GE69" s="334"/>
      <c r="GF69" s="334"/>
      <c r="GG69" s="334"/>
      <c r="GH69" s="334"/>
      <c r="GI69" s="334"/>
      <c r="GJ69" s="334"/>
      <c r="GK69" s="334"/>
      <c r="GL69" s="334"/>
      <c r="GM69" s="334"/>
      <c r="GN69" s="334"/>
      <c r="GO69" s="334"/>
      <c r="GP69" s="334"/>
      <c r="GQ69" s="334"/>
      <c r="GR69" s="334"/>
      <c r="GS69" s="334"/>
      <c r="GT69" s="334"/>
      <c r="GU69" s="334"/>
      <c r="GV69" s="334"/>
      <c r="GW69" s="334"/>
      <c r="GX69" s="334"/>
      <c r="GY69" s="334"/>
      <c r="GZ69" s="334"/>
      <c r="HA69" s="334"/>
      <c r="HB69" s="334"/>
      <c r="HC69" s="334"/>
      <c r="HD69" s="334"/>
      <c r="HE69" s="334"/>
      <c r="HF69" s="334"/>
      <c r="HG69" s="334"/>
      <c r="HH69" s="334"/>
      <c r="HI69" s="334"/>
      <c r="HJ69" s="334"/>
      <c r="HK69" s="334"/>
      <c r="HL69" s="334"/>
      <c r="HM69" s="334"/>
      <c r="HN69" s="334"/>
      <c r="HO69" s="334"/>
      <c r="HP69" s="334"/>
      <c r="HQ69" s="334"/>
      <c r="HR69" s="334"/>
      <c r="HS69" s="334"/>
      <c r="HT69" s="334"/>
      <c r="HU69" s="334"/>
      <c r="HV69" s="334"/>
      <c r="HW69" s="334"/>
      <c r="HX69" s="334"/>
      <c r="HY69" s="334"/>
      <c r="HZ69" s="334"/>
      <c r="IA69" s="334"/>
      <c r="IB69" s="334"/>
      <c r="IC69" s="334"/>
      <c r="ID69" s="334"/>
      <c r="IE69" s="334"/>
      <c r="IF69" s="334"/>
      <c r="IG69" s="334"/>
      <c r="IH69" s="334"/>
      <c r="II69" s="334"/>
      <c r="IJ69" s="334"/>
      <c r="IK69" s="334"/>
      <c r="IL69" s="334"/>
      <c r="IM69" s="334"/>
      <c r="IN69" s="334"/>
      <c r="IO69" s="334"/>
      <c r="IP69" s="334"/>
      <c r="IQ69" s="334"/>
      <c r="IR69" s="334"/>
    </row>
    <row r="70" spans="1:252" s="368" customFormat="1" x14ac:dyDescent="0.25">
      <c r="A70" s="366">
        <v>43715</v>
      </c>
      <c r="B70" s="345">
        <v>84.81</v>
      </c>
      <c r="C70" s="345">
        <v>28.48</v>
      </c>
      <c r="D70" s="345">
        <v>141.94</v>
      </c>
      <c r="E70" s="345">
        <v>76.56</v>
      </c>
      <c r="F70" s="345">
        <v>191.59</v>
      </c>
      <c r="G70" s="345">
        <v>16.87</v>
      </c>
      <c r="H70" s="345">
        <v>26.78</v>
      </c>
      <c r="I70" s="345">
        <v>89.35</v>
      </c>
      <c r="J70" s="345">
        <v>93.45</v>
      </c>
      <c r="K70" s="345">
        <v>273.74</v>
      </c>
      <c r="L70" s="345">
        <v>151.68</v>
      </c>
      <c r="M70" s="345">
        <v>81.5</v>
      </c>
      <c r="N70" s="345">
        <v>33.07</v>
      </c>
      <c r="O70" s="345">
        <v>12.69</v>
      </c>
      <c r="P70" s="345">
        <v>25.64</v>
      </c>
      <c r="Q70" s="345">
        <v>35.42</v>
      </c>
      <c r="R70" s="345">
        <v>33.44</v>
      </c>
      <c r="S70" s="345">
        <v>29.86</v>
      </c>
      <c r="T70" s="345">
        <v>26.34</v>
      </c>
      <c r="U70" s="345">
        <v>74.84</v>
      </c>
      <c r="V70" s="334"/>
      <c r="W70" s="334"/>
      <c r="X70" s="334"/>
      <c r="Y70" s="334"/>
      <c r="Z70" s="334"/>
      <c r="AA70" s="334"/>
      <c r="AB70" s="334"/>
      <c r="AC70" s="334"/>
      <c r="AD70" s="334"/>
      <c r="AE70" s="334"/>
      <c r="AF70" s="334"/>
      <c r="AG70" s="334"/>
      <c r="AH70" s="334"/>
      <c r="AI70" s="334"/>
      <c r="AJ70" s="334"/>
      <c r="AK70" s="334"/>
      <c r="AL70" s="334"/>
      <c r="AM70" s="334"/>
      <c r="AN70" s="334"/>
      <c r="AO70" s="334"/>
      <c r="AP70" s="334"/>
      <c r="AQ70" s="334"/>
      <c r="AR70" s="334"/>
      <c r="AS70" s="334"/>
      <c r="AT70" s="334"/>
      <c r="AU70" s="334"/>
      <c r="AV70" s="334"/>
      <c r="AW70" s="334"/>
      <c r="AX70" s="334"/>
      <c r="AY70" s="334"/>
      <c r="AZ70" s="334"/>
      <c r="BA70" s="334"/>
      <c r="BB70" s="334"/>
      <c r="BC70" s="334"/>
      <c r="BD70" s="334"/>
      <c r="BE70" s="334"/>
      <c r="BF70" s="334"/>
      <c r="BG70" s="334"/>
      <c r="BH70" s="334"/>
      <c r="BI70" s="334"/>
      <c r="BJ70" s="334"/>
      <c r="BK70" s="334"/>
      <c r="BL70" s="334"/>
      <c r="BM70" s="334"/>
      <c r="BN70" s="334"/>
      <c r="BO70" s="334"/>
      <c r="BP70" s="334"/>
      <c r="BQ70" s="334"/>
      <c r="BR70" s="334"/>
      <c r="BS70" s="334"/>
      <c r="BT70" s="334"/>
      <c r="BU70" s="334"/>
      <c r="BV70" s="334"/>
      <c r="BW70" s="334"/>
      <c r="BX70" s="334"/>
      <c r="BY70" s="334"/>
      <c r="BZ70" s="334"/>
      <c r="CA70" s="334"/>
      <c r="CB70" s="334"/>
      <c r="CC70" s="334"/>
      <c r="CD70" s="334"/>
      <c r="CE70" s="334"/>
      <c r="CF70" s="334"/>
      <c r="CG70" s="334"/>
      <c r="CH70" s="334"/>
      <c r="CI70" s="334"/>
      <c r="CJ70" s="334"/>
      <c r="CK70" s="334"/>
      <c r="CL70" s="334"/>
      <c r="CM70" s="334"/>
      <c r="CN70" s="334"/>
      <c r="CO70" s="334"/>
      <c r="CP70" s="334"/>
      <c r="CQ70" s="334"/>
      <c r="CR70" s="334"/>
      <c r="CS70" s="334"/>
      <c r="CT70" s="334"/>
      <c r="CU70" s="334"/>
      <c r="CV70" s="334"/>
      <c r="CW70" s="334"/>
      <c r="CX70" s="334"/>
      <c r="CY70" s="334"/>
      <c r="CZ70" s="334"/>
      <c r="DA70" s="334"/>
      <c r="DB70" s="334"/>
      <c r="DC70" s="334"/>
      <c r="DD70" s="334"/>
      <c r="DE70" s="334"/>
      <c r="DF70" s="334"/>
      <c r="DG70" s="334"/>
      <c r="DH70" s="334"/>
      <c r="DI70" s="334"/>
      <c r="DJ70" s="334"/>
      <c r="DK70" s="334"/>
      <c r="DL70" s="334"/>
      <c r="DM70" s="334"/>
      <c r="DN70" s="334"/>
      <c r="DO70" s="334"/>
      <c r="DP70" s="334"/>
      <c r="DQ70" s="334"/>
      <c r="DR70" s="334"/>
      <c r="DS70" s="334"/>
      <c r="DT70" s="334"/>
      <c r="DU70" s="334"/>
      <c r="DV70" s="334"/>
      <c r="DW70" s="334"/>
      <c r="DX70" s="334"/>
      <c r="DY70" s="334"/>
      <c r="DZ70" s="334"/>
      <c r="EA70" s="334"/>
      <c r="EB70" s="334"/>
      <c r="EC70" s="334"/>
      <c r="ED70" s="334"/>
      <c r="EE70" s="334"/>
      <c r="EF70" s="334"/>
      <c r="EG70" s="334"/>
      <c r="EH70" s="334"/>
      <c r="EI70" s="334"/>
      <c r="EJ70" s="334"/>
      <c r="EK70" s="334"/>
      <c r="EL70" s="334"/>
      <c r="EM70" s="334"/>
      <c r="EN70" s="334"/>
      <c r="EO70" s="334"/>
      <c r="EP70" s="334"/>
      <c r="EQ70" s="334"/>
      <c r="ER70" s="334"/>
      <c r="ES70" s="334"/>
      <c r="ET70" s="334"/>
      <c r="EU70" s="334"/>
      <c r="EV70" s="334"/>
      <c r="EW70" s="334"/>
      <c r="EX70" s="334"/>
      <c r="EY70" s="334"/>
      <c r="EZ70" s="334"/>
      <c r="FA70" s="334"/>
      <c r="FB70" s="334"/>
      <c r="FC70" s="334"/>
      <c r="FD70" s="334"/>
      <c r="FE70" s="334"/>
      <c r="FF70" s="334"/>
      <c r="FG70" s="334"/>
      <c r="FH70" s="334"/>
      <c r="FI70" s="334"/>
      <c r="FJ70" s="334"/>
      <c r="FK70" s="334"/>
      <c r="FL70" s="334"/>
      <c r="FM70" s="334"/>
      <c r="FN70" s="334"/>
      <c r="FO70" s="334"/>
      <c r="FP70" s="334"/>
      <c r="FQ70" s="334"/>
      <c r="FR70" s="334"/>
      <c r="FS70" s="334"/>
      <c r="FT70" s="334"/>
      <c r="FU70" s="334"/>
      <c r="FV70" s="334"/>
      <c r="FW70" s="334"/>
      <c r="FX70" s="334"/>
      <c r="FY70" s="334"/>
      <c r="FZ70" s="334"/>
      <c r="GA70" s="334"/>
      <c r="GB70" s="334"/>
      <c r="GC70" s="334"/>
      <c r="GD70" s="334"/>
      <c r="GE70" s="334"/>
      <c r="GF70" s="334"/>
      <c r="GG70" s="334"/>
      <c r="GH70" s="334"/>
      <c r="GI70" s="334"/>
      <c r="GJ70" s="334"/>
      <c r="GK70" s="334"/>
      <c r="GL70" s="334"/>
      <c r="GM70" s="334"/>
      <c r="GN70" s="334"/>
      <c r="GO70" s="334"/>
      <c r="GP70" s="334"/>
      <c r="GQ70" s="334"/>
      <c r="GR70" s="334"/>
      <c r="GS70" s="334"/>
      <c r="GT70" s="334"/>
      <c r="GU70" s="334"/>
      <c r="GV70" s="334"/>
      <c r="GW70" s="334"/>
      <c r="GX70" s="334"/>
      <c r="GY70" s="334"/>
      <c r="GZ70" s="334"/>
      <c r="HA70" s="334"/>
      <c r="HB70" s="334"/>
      <c r="HC70" s="334"/>
      <c r="HD70" s="334"/>
      <c r="HE70" s="334"/>
      <c r="HF70" s="334"/>
      <c r="HG70" s="334"/>
      <c r="HH70" s="334"/>
      <c r="HI70" s="334"/>
      <c r="HJ70" s="334"/>
      <c r="HK70" s="334"/>
      <c r="HL70" s="334"/>
      <c r="HM70" s="334"/>
      <c r="HN70" s="334"/>
      <c r="HO70" s="334"/>
      <c r="HP70" s="334"/>
      <c r="HQ70" s="334"/>
      <c r="HR70" s="334"/>
      <c r="HS70" s="334"/>
      <c r="HT70" s="334"/>
      <c r="HU70" s="334"/>
      <c r="HV70" s="334"/>
      <c r="HW70" s="334"/>
      <c r="HX70" s="334"/>
      <c r="HY70" s="334"/>
      <c r="HZ70" s="334"/>
      <c r="IA70" s="334"/>
      <c r="IB70" s="334"/>
      <c r="IC70" s="334"/>
      <c r="ID70" s="334"/>
      <c r="IE70" s="334"/>
      <c r="IF70" s="334"/>
      <c r="IG70" s="334"/>
      <c r="IH70" s="334"/>
      <c r="II70" s="334"/>
      <c r="IJ70" s="334"/>
      <c r="IK70" s="334"/>
      <c r="IL70" s="334"/>
      <c r="IM70" s="334"/>
      <c r="IN70" s="334"/>
      <c r="IO70" s="334"/>
      <c r="IP70" s="334"/>
      <c r="IQ70" s="334"/>
      <c r="IR70" s="334"/>
    </row>
    <row r="71" spans="1:252" s="368" customFormat="1" x14ac:dyDescent="0.25">
      <c r="A71" s="366">
        <v>43716</v>
      </c>
      <c r="B71" s="345">
        <v>84.81</v>
      </c>
      <c r="C71" s="345">
        <v>28.48</v>
      </c>
      <c r="D71" s="345">
        <v>141.94</v>
      </c>
      <c r="E71" s="345">
        <v>76.56</v>
      </c>
      <c r="F71" s="345">
        <v>191.59</v>
      </c>
      <c r="G71" s="345">
        <v>16.87</v>
      </c>
      <c r="H71" s="345">
        <v>26.78</v>
      </c>
      <c r="I71" s="345">
        <v>89.35</v>
      </c>
      <c r="J71" s="345">
        <v>93.45</v>
      </c>
      <c r="K71" s="345">
        <v>273.74</v>
      </c>
      <c r="L71" s="345">
        <v>151.68</v>
      </c>
      <c r="M71" s="345">
        <v>81.5</v>
      </c>
      <c r="N71" s="345">
        <v>33.07</v>
      </c>
      <c r="O71" s="345">
        <v>12.69</v>
      </c>
      <c r="P71" s="345">
        <v>25.64</v>
      </c>
      <c r="Q71" s="345">
        <v>35.42</v>
      </c>
      <c r="R71" s="345">
        <v>33.44</v>
      </c>
      <c r="S71" s="345">
        <v>29.86</v>
      </c>
      <c r="T71" s="345">
        <v>26.34</v>
      </c>
      <c r="U71" s="345">
        <v>74.84</v>
      </c>
      <c r="V71" s="334"/>
      <c r="W71" s="334"/>
      <c r="X71" s="334"/>
      <c r="Y71" s="334"/>
      <c r="Z71" s="334"/>
      <c r="AA71" s="334"/>
      <c r="AB71" s="334"/>
      <c r="AC71" s="334"/>
      <c r="AD71" s="334"/>
      <c r="AE71" s="334"/>
      <c r="AF71" s="334"/>
      <c r="AG71" s="334"/>
      <c r="AH71" s="334"/>
      <c r="AI71" s="334"/>
      <c r="AJ71" s="334"/>
      <c r="AK71" s="334"/>
      <c r="AL71" s="334"/>
      <c r="AM71" s="334"/>
      <c r="AN71" s="334"/>
      <c r="AO71" s="334"/>
      <c r="AP71" s="334"/>
      <c r="AQ71" s="334"/>
      <c r="AR71" s="334"/>
      <c r="AS71" s="334"/>
      <c r="AT71" s="334"/>
      <c r="AU71" s="334"/>
      <c r="AV71" s="334"/>
      <c r="AW71" s="334"/>
      <c r="AX71" s="334"/>
      <c r="AY71" s="334"/>
      <c r="AZ71" s="334"/>
      <c r="BA71" s="334"/>
      <c r="BB71" s="334"/>
      <c r="BC71" s="334"/>
      <c r="BD71" s="334"/>
      <c r="BE71" s="334"/>
      <c r="BF71" s="334"/>
      <c r="BG71" s="334"/>
      <c r="BH71" s="334"/>
      <c r="BI71" s="334"/>
      <c r="BJ71" s="334"/>
      <c r="BK71" s="334"/>
      <c r="BL71" s="334"/>
      <c r="BM71" s="334"/>
      <c r="BN71" s="334"/>
      <c r="BO71" s="334"/>
      <c r="BP71" s="334"/>
      <c r="BQ71" s="334"/>
      <c r="BR71" s="334"/>
      <c r="BS71" s="334"/>
      <c r="BT71" s="334"/>
      <c r="BU71" s="334"/>
      <c r="BV71" s="334"/>
      <c r="BW71" s="334"/>
      <c r="BX71" s="334"/>
      <c r="BY71" s="334"/>
      <c r="BZ71" s="334"/>
      <c r="CA71" s="334"/>
      <c r="CB71" s="334"/>
      <c r="CC71" s="334"/>
      <c r="CD71" s="334"/>
      <c r="CE71" s="334"/>
      <c r="CF71" s="334"/>
      <c r="CG71" s="334"/>
      <c r="CH71" s="334"/>
      <c r="CI71" s="334"/>
      <c r="CJ71" s="334"/>
      <c r="CK71" s="334"/>
      <c r="CL71" s="334"/>
      <c r="CM71" s="334"/>
      <c r="CN71" s="334"/>
      <c r="CO71" s="334"/>
      <c r="CP71" s="334"/>
      <c r="CQ71" s="334"/>
      <c r="CR71" s="334"/>
      <c r="CS71" s="334"/>
      <c r="CT71" s="334"/>
      <c r="CU71" s="334"/>
      <c r="CV71" s="334"/>
      <c r="CW71" s="334"/>
      <c r="CX71" s="334"/>
      <c r="CY71" s="334"/>
      <c r="CZ71" s="334"/>
      <c r="DA71" s="334"/>
      <c r="DB71" s="334"/>
      <c r="DC71" s="334"/>
      <c r="DD71" s="334"/>
      <c r="DE71" s="334"/>
      <c r="DF71" s="334"/>
      <c r="DG71" s="334"/>
      <c r="DH71" s="334"/>
      <c r="DI71" s="334"/>
      <c r="DJ71" s="334"/>
      <c r="DK71" s="334"/>
      <c r="DL71" s="334"/>
      <c r="DM71" s="334"/>
      <c r="DN71" s="334"/>
      <c r="DO71" s="334"/>
      <c r="DP71" s="334"/>
      <c r="DQ71" s="334"/>
      <c r="DR71" s="334"/>
      <c r="DS71" s="334"/>
      <c r="DT71" s="334"/>
      <c r="DU71" s="334"/>
      <c r="DV71" s="334"/>
      <c r="DW71" s="334"/>
      <c r="DX71" s="334"/>
      <c r="DY71" s="334"/>
      <c r="DZ71" s="334"/>
      <c r="EA71" s="334"/>
      <c r="EB71" s="334"/>
      <c r="EC71" s="334"/>
      <c r="ED71" s="334"/>
      <c r="EE71" s="334"/>
      <c r="EF71" s="334"/>
      <c r="EG71" s="334"/>
      <c r="EH71" s="334"/>
      <c r="EI71" s="334"/>
      <c r="EJ71" s="334"/>
      <c r="EK71" s="334"/>
      <c r="EL71" s="334"/>
      <c r="EM71" s="334"/>
      <c r="EN71" s="334"/>
      <c r="EO71" s="334"/>
      <c r="EP71" s="334"/>
      <c r="EQ71" s="334"/>
      <c r="ER71" s="334"/>
      <c r="ES71" s="334"/>
      <c r="ET71" s="334"/>
      <c r="EU71" s="334"/>
      <c r="EV71" s="334"/>
      <c r="EW71" s="334"/>
      <c r="EX71" s="334"/>
      <c r="EY71" s="334"/>
      <c r="EZ71" s="334"/>
      <c r="FA71" s="334"/>
      <c r="FB71" s="334"/>
      <c r="FC71" s="334"/>
      <c r="FD71" s="334"/>
      <c r="FE71" s="334"/>
      <c r="FF71" s="334"/>
      <c r="FG71" s="334"/>
      <c r="FH71" s="334"/>
      <c r="FI71" s="334"/>
      <c r="FJ71" s="334"/>
      <c r="FK71" s="334"/>
      <c r="FL71" s="334"/>
      <c r="FM71" s="334"/>
      <c r="FN71" s="334"/>
      <c r="FO71" s="334"/>
      <c r="FP71" s="334"/>
      <c r="FQ71" s="334"/>
      <c r="FR71" s="334"/>
      <c r="FS71" s="334"/>
      <c r="FT71" s="334"/>
      <c r="FU71" s="334"/>
      <c r="FV71" s="334"/>
      <c r="FW71" s="334"/>
      <c r="FX71" s="334"/>
      <c r="FY71" s="334"/>
      <c r="FZ71" s="334"/>
      <c r="GA71" s="334"/>
      <c r="GB71" s="334"/>
      <c r="GC71" s="334"/>
      <c r="GD71" s="334"/>
      <c r="GE71" s="334"/>
      <c r="GF71" s="334"/>
      <c r="GG71" s="334"/>
      <c r="GH71" s="334"/>
      <c r="GI71" s="334"/>
      <c r="GJ71" s="334"/>
      <c r="GK71" s="334"/>
      <c r="GL71" s="334"/>
      <c r="GM71" s="334"/>
      <c r="GN71" s="334"/>
      <c r="GO71" s="334"/>
      <c r="GP71" s="334"/>
      <c r="GQ71" s="334"/>
      <c r="GR71" s="334"/>
      <c r="GS71" s="334"/>
      <c r="GT71" s="334"/>
      <c r="GU71" s="334"/>
      <c r="GV71" s="334"/>
      <c r="GW71" s="334"/>
      <c r="GX71" s="334"/>
      <c r="GY71" s="334"/>
      <c r="GZ71" s="334"/>
      <c r="HA71" s="334"/>
      <c r="HB71" s="334"/>
      <c r="HC71" s="334"/>
      <c r="HD71" s="334"/>
      <c r="HE71" s="334"/>
      <c r="HF71" s="334"/>
      <c r="HG71" s="334"/>
      <c r="HH71" s="334"/>
      <c r="HI71" s="334"/>
      <c r="HJ71" s="334"/>
      <c r="HK71" s="334"/>
      <c r="HL71" s="334"/>
      <c r="HM71" s="334"/>
      <c r="HN71" s="334"/>
      <c r="HO71" s="334"/>
      <c r="HP71" s="334"/>
      <c r="HQ71" s="334"/>
      <c r="HR71" s="334"/>
      <c r="HS71" s="334"/>
      <c r="HT71" s="334"/>
      <c r="HU71" s="334"/>
      <c r="HV71" s="334"/>
      <c r="HW71" s="334"/>
      <c r="HX71" s="334"/>
      <c r="HY71" s="334"/>
      <c r="HZ71" s="334"/>
      <c r="IA71" s="334"/>
      <c r="IB71" s="334"/>
      <c r="IC71" s="334"/>
      <c r="ID71" s="334"/>
      <c r="IE71" s="334"/>
      <c r="IF71" s="334"/>
      <c r="IG71" s="334"/>
      <c r="IH71" s="334"/>
      <c r="II71" s="334"/>
      <c r="IJ71" s="334"/>
      <c r="IK71" s="334"/>
      <c r="IL71" s="334"/>
      <c r="IM71" s="334"/>
      <c r="IN71" s="334"/>
      <c r="IO71" s="334"/>
      <c r="IP71" s="334"/>
      <c r="IQ71" s="334"/>
      <c r="IR71" s="334"/>
    </row>
    <row r="72" spans="1:252" s="368" customFormat="1" x14ac:dyDescent="0.25">
      <c r="A72" s="366">
        <v>43717</v>
      </c>
      <c r="B72" s="345">
        <v>84.42</v>
      </c>
      <c r="C72" s="345">
        <v>27.73</v>
      </c>
      <c r="D72" s="345">
        <v>141.38999999999999</v>
      </c>
      <c r="E72" s="345">
        <v>77.73</v>
      </c>
      <c r="F72" s="345">
        <v>191.19</v>
      </c>
      <c r="G72" s="345">
        <v>16.829999999999998</v>
      </c>
      <c r="H72" s="345">
        <v>26.73</v>
      </c>
      <c r="I72" s="345">
        <v>87.78</v>
      </c>
      <c r="J72" s="345">
        <v>93</v>
      </c>
      <c r="K72" s="345">
        <v>273.81</v>
      </c>
      <c r="L72" s="345">
        <v>151.77000000000001</v>
      </c>
      <c r="M72" s="345">
        <v>80.89</v>
      </c>
      <c r="N72" s="345">
        <v>33.06</v>
      </c>
      <c r="O72" s="345">
        <v>12.65</v>
      </c>
      <c r="P72" s="345">
        <v>25.6</v>
      </c>
      <c r="Q72" s="345">
        <v>35.24</v>
      </c>
      <c r="R72" s="345">
        <v>33.369999999999997</v>
      </c>
      <c r="S72" s="345">
        <v>29.25</v>
      </c>
      <c r="T72" s="345">
        <v>26.21</v>
      </c>
      <c r="U72" s="345">
        <v>74.959999999999994</v>
      </c>
      <c r="V72" s="334"/>
      <c r="W72" s="334"/>
      <c r="X72" s="334"/>
      <c r="Y72" s="334"/>
      <c r="Z72" s="334"/>
      <c r="AA72" s="334"/>
      <c r="AB72" s="334"/>
      <c r="AC72" s="334"/>
      <c r="AD72" s="334"/>
      <c r="AE72" s="334"/>
      <c r="AF72" s="334"/>
      <c r="AG72" s="334"/>
      <c r="AH72" s="334"/>
      <c r="AI72" s="334"/>
      <c r="AJ72" s="334"/>
      <c r="AK72" s="334"/>
      <c r="AL72" s="334"/>
      <c r="AM72" s="334"/>
      <c r="AN72" s="334"/>
      <c r="AO72" s="334"/>
      <c r="AP72" s="334"/>
      <c r="AQ72" s="334"/>
      <c r="AR72" s="334"/>
      <c r="AS72" s="334"/>
      <c r="AT72" s="334"/>
      <c r="AU72" s="334"/>
      <c r="AV72" s="334"/>
      <c r="AW72" s="334"/>
      <c r="AX72" s="334"/>
      <c r="AY72" s="334"/>
      <c r="AZ72" s="334"/>
      <c r="BA72" s="334"/>
      <c r="BB72" s="334"/>
      <c r="BC72" s="334"/>
      <c r="BD72" s="334"/>
      <c r="BE72" s="334"/>
      <c r="BF72" s="334"/>
      <c r="BG72" s="334"/>
      <c r="BH72" s="334"/>
      <c r="BI72" s="334"/>
      <c r="BJ72" s="334"/>
      <c r="BK72" s="334"/>
      <c r="BL72" s="334"/>
      <c r="BM72" s="334"/>
      <c r="BN72" s="334"/>
      <c r="BO72" s="334"/>
      <c r="BP72" s="334"/>
      <c r="BQ72" s="334"/>
      <c r="BR72" s="334"/>
      <c r="BS72" s="334"/>
      <c r="BT72" s="334"/>
      <c r="BU72" s="334"/>
      <c r="BV72" s="334"/>
      <c r="BW72" s="334"/>
      <c r="BX72" s="334"/>
      <c r="BY72" s="334"/>
      <c r="BZ72" s="334"/>
      <c r="CA72" s="334"/>
      <c r="CB72" s="334"/>
      <c r="CC72" s="334"/>
      <c r="CD72" s="334"/>
      <c r="CE72" s="334"/>
      <c r="CF72" s="334"/>
      <c r="CG72" s="334"/>
      <c r="CH72" s="334"/>
      <c r="CI72" s="334"/>
      <c r="CJ72" s="334"/>
      <c r="CK72" s="334"/>
      <c r="CL72" s="334"/>
      <c r="CM72" s="334"/>
      <c r="CN72" s="334"/>
      <c r="CO72" s="334"/>
      <c r="CP72" s="334"/>
      <c r="CQ72" s="334"/>
      <c r="CR72" s="334"/>
      <c r="CS72" s="334"/>
      <c r="CT72" s="334"/>
      <c r="CU72" s="334"/>
      <c r="CV72" s="334"/>
      <c r="CW72" s="334"/>
      <c r="CX72" s="334"/>
      <c r="CY72" s="334"/>
      <c r="CZ72" s="334"/>
      <c r="DA72" s="334"/>
      <c r="DB72" s="334"/>
      <c r="DC72" s="334"/>
      <c r="DD72" s="334"/>
      <c r="DE72" s="334"/>
      <c r="DF72" s="334"/>
      <c r="DG72" s="334"/>
      <c r="DH72" s="334"/>
      <c r="DI72" s="334"/>
      <c r="DJ72" s="334"/>
      <c r="DK72" s="334"/>
      <c r="DL72" s="334"/>
      <c r="DM72" s="334"/>
      <c r="DN72" s="334"/>
      <c r="DO72" s="334"/>
      <c r="DP72" s="334"/>
      <c r="DQ72" s="334"/>
      <c r="DR72" s="334"/>
      <c r="DS72" s="334"/>
      <c r="DT72" s="334"/>
      <c r="DU72" s="334"/>
      <c r="DV72" s="334"/>
      <c r="DW72" s="334"/>
      <c r="DX72" s="334"/>
      <c r="DY72" s="334"/>
      <c r="DZ72" s="334"/>
      <c r="EA72" s="334"/>
      <c r="EB72" s="334"/>
      <c r="EC72" s="334"/>
      <c r="ED72" s="334"/>
      <c r="EE72" s="334"/>
      <c r="EF72" s="334"/>
      <c r="EG72" s="334"/>
      <c r="EH72" s="334"/>
      <c r="EI72" s="334"/>
      <c r="EJ72" s="334"/>
      <c r="EK72" s="334"/>
      <c r="EL72" s="334"/>
      <c r="EM72" s="334"/>
      <c r="EN72" s="334"/>
      <c r="EO72" s="334"/>
      <c r="EP72" s="334"/>
      <c r="EQ72" s="334"/>
      <c r="ER72" s="334"/>
      <c r="ES72" s="334"/>
      <c r="ET72" s="334"/>
      <c r="EU72" s="334"/>
      <c r="EV72" s="334"/>
      <c r="EW72" s="334"/>
      <c r="EX72" s="334"/>
      <c r="EY72" s="334"/>
      <c r="EZ72" s="334"/>
      <c r="FA72" s="334"/>
      <c r="FB72" s="334"/>
      <c r="FC72" s="334"/>
      <c r="FD72" s="334"/>
      <c r="FE72" s="334"/>
      <c r="FF72" s="334"/>
      <c r="FG72" s="334"/>
      <c r="FH72" s="334"/>
      <c r="FI72" s="334"/>
      <c r="FJ72" s="334"/>
      <c r="FK72" s="334"/>
      <c r="FL72" s="334"/>
      <c r="FM72" s="334"/>
      <c r="FN72" s="334"/>
      <c r="FO72" s="334"/>
      <c r="FP72" s="334"/>
      <c r="FQ72" s="334"/>
      <c r="FR72" s="334"/>
      <c r="FS72" s="334"/>
      <c r="FT72" s="334"/>
      <c r="FU72" s="334"/>
      <c r="FV72" s="334"/>
      <c r="FW72" s="334"/>
      <c r="FX72" s="334"/>
      <c r="FY72" s="334"/>
      <c r="FZ72" s="334"/>
      <c r="GA72" s="334"/>
      <c r="GB72" s="334"/>
      <c r="GC72" s="334"/>
      <c r="GD72" s="334"/>
      <c r="GE72" s="334"/>
      <c r="GF72" s="334"/>
      <c r="GG72" s="334"/>
      <c r="GH72" s="334"/>
      <c r="GI72" s="334"/>
      <c r="GJ72" s="334"/>
      <c r="GK72" s="334"/>
      <c r="GL72" s="334"/>
      <c r="GM72" s="334"/>
      <c r="GN72" s="334"/>
      <c r="GO72" s="334"/>
      <c r="GP72" s="334"/>
      <c r="GQ72" s="334"/>
      <c r="GR72" s="334"/>
      <c r="GS72" s="334"/>
      <c r="GT72" s="334"/>
      <c r="GU72" s="334"/>
      <c r="GV72" s="334"/>
      <c r="GW72" s="334"/>
      <c r="GX72" s="334"/>
      <c r="GY72" s="334"/>
      <c r="GZ72" s="334"/>
      <c r="HA72" s="334"/>
      <c r="HB72" s="334"/>
      <c r="HC72" s="334"/>
      <c r="HD72" s="334"/>
      <c r="HE72" s="334"/>
      <c r="HF72" s="334"/>
      <c r="HG72" s="334"/>
      <c r="HH72" s="334"/>
      <c r="HI72" s="334"/>
      <c r="HJ72" s="334"/>
      <c r="HK72" s="334"/>
      <c r="HL72" s="334"/>
      <c r="HM72" s="334"/>
      <c r="HN72" s="334"/>
      <c r="HO72" s="334"/>
      <c r="HP72" s="334"/>
      <c r="HQ72" s="334"/>
      <c r="HR72" s="334"/>
      <c r="HS72" s="334"/>
      <c r="HT72" s="334"/>
      <c r="HU72" s="334"/>
      <c r="HV72" s="334"/>
      <c r="HW72" s="334"/>
      <c r="HX72" s="334"/>
      <c r="HY72" s="334"/>
      <c r="HZ72" s="334"/>
      <c r="IA72" s="334"/>
      <c r="IB72" s="334"/>
      <c r="IC72" s="334"/>
      <c r="ID72" s="334"/>
      <c r="IE72" s="334"/>
      <c r="IF72" s="334"/>
      <c r="IG72" s="334"/>
      <c r="IH72" s="334"/>
      <c r="II72" s="334"/>
      <c r="IJ72" s="334"/>
      <c r="IK72" s="334"/>
      <c r="IL72" s="334"/>
      <c r="IM72" s="334"/>
      <c r="IN72" s="334"/>
      <c r="IO72" s="334"/>
      <c r="IP72" s="334"/>
      <c r="IQ72" s="334"/>
      <c r="IR72" s="334"/>
    </row>
    <row r="73" spans="1:252" s="368" customFormat="1" x14ac:dyDescent="0.25">
      <c r="A73" s="366">
        <v>43718</v>
      </c>
      <c r="B73" s="345">
        <v>83.99</v>
      </c>
      <c r="C73" s="345">
        <v>27.51</v>
      </c>
      <c r="D73" s="345">
        <v>140.18</v>
      </c>
      <c r="E73" s="345">
        <v>78.7</v>
      </c>
      <c r="F73" s="345">
        <v>190.64</v>
      </c>
      <c r="G73" s="345">
        <v>16.850000000000001</v>
      </c>
      <c r="H73" s="345">
        <v>26.76</v>
      </c>
      <c r="I73" s="345">
        <v>86.31</v>
      </c>
      <c r="J73" s="345">
        <v>92.04</v>
      </c>
      <c r="K73" s="345">
        <v>273.87</v>
      </c>
      <c r="L73" s="345">
        <v>151.91999999999999</v>
      </c>
      <c r="M73" s="345">
        <v>80.48</v>
      </c>
      <c r="N73" s="345">
        <v>33.03</v>
      </c>
      <c r="O73" s="345">
        <v>12.53</v>
      </c>
      <c r="P73" s="345">
        <v>25.59</v>
      </c>
      <c r="Q73" s="345">
        <v>35.1</v>
      </c>
      <c r="R73" s="345">
        <v>33.47</v>
      </c>
      <c r="S73" s="345">
        <v>28.96</v>
      </c>
      <c r="T73" s="345">
        <v>26.07</v>
      </c>
      <c r="U73" s="345">
        <v>75.010000000000005</v>
      </c>
      <c r="V73" s="334"/>
      <c r="W73" s="334"/>
      <c r="X73" s="334"/>
      <c r="Y73" s="334"/>
      <c r="Z73" s="334"/>
      <c r="AA73" s="334"/>
      <c r="AB73" s="334"/>
      <c r="AC73" s="334"/>
      <c r="AD73" s="334"/>
      <c r="AE73" s="334"/>
      <c r="AF73" s="334"/>
      <c r="AG73" s="334"/>
      <c r="AH73" s="334"/>
      <c r="AI73" s="334"/>
      <c r="AJ73" s="334"/>
      <c r="AK73" s="334"/>
      <c r="AL73" s="334"/>
      <c r="AM73" s="334"/>
      <c r="AN73" s="334"/>
      <c r="AO73" s="334"/>
      <c r="AP73" s="334"/>
      <c r="AQ73" s="334"/>
      <c r="AR73" s="334"/>
      <c r="AS73" s="334"/>
      <c r="AT73" s="334"/>
      <c r="AU73" s="334"/>
      <c r="AV73" s="334"/>
      <c r="AW73" s="334"/>
      <c r="AX73" s="334"/>
      <c r="AY73" s="334"/>
      <c r="AZ73" s="334"/>
      <c r="BA73" s="334"/>
      <c r="BB73" s="334"/>
      <c r="BC73" s="334"/>
      <c r="BD73" s="334"/>
      <c r="BE73" s="334"/>
      <c r="BF73" s="334"/>
      <c r="BG73" s="334"/>
      <c r="BH73" s="334"/>
      <c r="BI73" s="334"/>
      <c r="BJ73" s="334"/>
      <c r="BK73" s="334"/>
      <c r="BL73" s="334"/>
      <c r="BM73" s="334"/>
      <c r="BN73" s="334"/>
      <c r="BO73" s="334"/>
      <c r="BP73" s="334"/>
      <c r="BQ73" s="334"/>
      <c r="BR73" s="334"/>
      <c r="BS73" s="334"/>
      <c r="BT73" s="334"/>
      <c r="BU73" s="334"/>
      <c r="BV73" s="334"/>
      <c r="BW73" s="334"/>
      <c r="BX73" s="334"/>
      <c r="BY73" s="334"/>
      <c r="BZ73" s="334"/>
      <c r="CA73" s="334"/>
      <c r="CB73" s="334"/>
      <c r="CC73" s="334"/>
      <c r="CD73" s="334"/>
      <c r="CE73" s="334"/>
      <c r="CF73" s="334"/>
      <c r="CG73" s="334"/>
      <c r="CH73" s="334"/>
      <c r="CI73" s="334"/>
      <c r="CJ73" s="334"/>
      <c r="CK73" s="334"/>
      <c r="CL73" s="334"/>
      <c r="CM73" s="334"/>
      <c r="CN73" s="334"/>
      <c r="CO73" s="334"/>
      <c r="CP73" s="334"/>
      <c r="CQ73" s="334"/>
      <c r="CR73" s="334"/>
      <c r="CS73" s="334"/>
      <c r="CT73" s="334"/>
      <c r="CU73" s="334"/>
      <c r="CV73" s="334"/>
      <c r="CW73" s="334"/>
      <c r="CX73" s="334"/>
      <c r="CY73" s="334"/>
      <c r="CZ73" s="334"/>
      <c r="DA73" s="334"/>
      <c r="DB73" s="334"/>
      <c r="DC73" s="334"/>
      <c r="DD73" s="334"/>
      <c r="DE73" s="334"/>
      <c r="DF73" s="334"/>
      <c r="DG73" s="334"/>
      <c r="DH73" s="334"/>
      <c r="DI73" s="334"/>
      <c r="DJ73" s="334"/>
      <c r="DK73" s="334"/>
      <c r="DL73" s="334"/>
      <c r="DM73" s="334"/>
      <c r="DN73" s="334"/>
      <c r="DO73" s="334"/>
      <c r="DP73" s="334"/>
      <c r="DQ73" s="334"/>
      <c r="DR73" s="334"/>
      <c r="DS73" s="334"/>
      <c r="DT73" s="334"/>
      <c r="DU73" s="334"/>
      <c r="DV73" s="334"/>
      <c r="DW73" s="334"/>
      <c r="DX73" s="334"/>
      <c r="DY73" s="334"/>
      <c r="DZ73" s="334"/>
      <c r="EA73" s="334"/>
      <c r="EB73" s="334"/>
      <c r="EC73" s="334"/>
      <c r="ED73" s="334"/>
      <c r="EE73" s="334"/>
      <c r="EF73" s="334"/>
      <c r="EG73" s="334"/>
      <c r="EH73" s="334"/>
      <c r="EI73" s="334"/>
      <c r="EJ73" s="334"/>
      <c r="EK73" s="334"/>
      <c r="EL73" s="334"/>
      <c r="EM73" s="334"/>
      <c r="EN73" s="334"/>
      <c r="EO73" s="334"/>
      <c r="EP73" s="334"/>
      <c r="EQ73" s="334"/>
      <c r="ER73" s="334"/>
      <c r="ES73" s="334"/>
      <c r="ET73" s="334"/>
      <c r="EU73" s="334"/>
      <c r="EV73" s="334"/>
      <c r="EW73" s="334"/>
      <c r="EX73" s="334"/>
      <c r="EY73" s="334"/>
      <c r="EZ73" s="334"/>
      <c r="FA73" s="334"/>
      <c r="FB73" s="334"/>
      <c r="FC73" s="334"/>
      <c r="FD73" s="334"/>
      <c r="FE73" s="334"/>
      <c r="FF73" s="334"/>
      <c r="FG73" s="334"/>
      <c r="FH73" s="334"/>
      <c r="FI73" s="334"/>
      <c r="FJ73" s="334"/>
      <c r="FK73" s="334"/>
      <c r="FL73" s="334"/>
      <c r="FM73" s="334"/>
      <c r="FN73" s="334"/>
      <c r="FO73" s="334"/>
      <c r="FP73" s="334"/>
      <c r="FQ73" s="334"/>
      <c r="FR73" s="334"/>
      <c r="FS73" s="334"/>
      <c r="FT73" s="334"/>
      <c r="FU73" s="334"/>
      <c r="FV73" s="334"/>
      <c r="FW73" s="334"/>
      <c r="FX73" s="334"/>
      <c r="FY73" s="334"/>
      <c r="FZ73" s="334"/>
      <c r="GA73" s="334"/>
      <c r="GB73" s="334"/>
      <c r="GC73" s="334"/>
      <c r="GD73" s="334"/>
      <c r="GE73" s="334"/>
      <c r="GF73" s="334"/>
      <c r="GG73" s="334"/>
      <c r="GH73" s="334"/>
      <c r="GI73" s="334"/>
      <c r="GJ73" s="334"/>
      <c r="GK73" s="334"/>
      <c r="GL73" s="334"/>
      <c r="GM73" s="334"/>
      <c r="GN73" s="334"/>
      <c r="GO73" s="334"/>
      <c r="GP73" s="334"/>
      <c r="GQ73" s="334"/>
      <c r="GR73" s="334"/>
      <c r="GS73" s="334"/>
      <c r="GT73" s="334"/>
      <c r="GU73" s="334"/>
      <c r="GV73" s="334"/>
      <c r="GW73" s="334"/>
      <c r="GX73" s="334"/>
      <c r="GY73" s="334"/>
      <c r="GZ73" s="334"/>
      <c r="HA73" s="334"/>
      <c r="HB73" s="334"/>
      <c r="HC73" s="334"/>
      <c r="HD73" s="334"/>
      <c r="HE73" s="334"/>
      <c r="HF73" s="334"/>
      <c r="HG73" s="334"/>
      <c r="HH73" s="334"/>
      <c r="HI73" s="334"/>
      <c r="HJ73" s="334"/>
      <c r="HK73" s="334"/>
      <c r="HL73" s="334"/>
      <c r="HM73" s="334"/>
      <c r="HN73" s="334"/>
      <c r="HO73" s="334"/>
      <c r="HP73" s="334"/>
      <c r="HQ73" s="334"/>
      <c r="HR73" s="334"/>
      <c r="HS73" s="334"/>
      <c r="HT73" s="334"/>
      <c r="HU73" s="334"/>
      <c r="HV73" s="334"/>
      <c r="HW73" s="334"/>
      <c r="HX73" s="334"/>
      <c r="HY73" s="334"/>
      <c r="HZ73" s="334"/>
      <c r="IA73" s="334"/>
      <c r="IB73" s="334"/>
      <c r="IC73" s="334"/>
      <c r="ID73" s="334"/>
      <c r="IE73" s="334"/>
      <c r="IF73" s="334"/>
      <c r="IG73" s="334"/>
      <c r="IH73" s="334"/>
      <c r="II73" s="334"/>
      <c r="IJ73" s="334"/>
      <c r="IK73" s="334"/>
      <c r="IL73" s="334"/>
      <c r="IM73" s="334"/>
      <c r="IN73" s="334"/>
      <c r="IO73" s="334"/>
      <c r="IP73" s="334"/>
      <c r="IQ73" s="334"/>
      <c r="IR73" s="334"/>
    </row>
    <row r="74" spans="1:252" s="368" customFormat="1" x14ac:dyDescent="0.25">
      <c r="A74" s="366">
        <v>43719</v>
      </c>
      <c r="B74" s="345">
        <v>83.94</v>
      </c>
      <c r="C74" s="345">
        <v>27.72</v>
      </c>
      <c r="D74" s="345">
        <v>141.03</v>
      </c>
      <c r="E74" s="345">
        <v>80.27</v>
      </c>
      <c r="F74" s="345">
        <v>192.43</v>
      </c>
      <c r="G74" s="345">
        <v>16.95</v>
      </c>
      <c r="H74" s="345">
        <v>26.84</v>
      </c>
      <c r="I74" s="345">
        <v>86.14</v>
      </c>
      <c r="J74" s="345">
        <v>92.14</v>
      </c>
      <c r="K74" s="345">
        <v>275.83999999999997</v>
      </c>
      <c r="L74" s="345">
        <v>153.16</v>
      </c>
      <c r="M74" s="345">
        <v>81.319999999999993</v>
      </c>
      <c r="N74" s="345">
        <v>33.29</v>
      </c>
      <c r="O74" s="345">
        <v>12.62</v>
      </c>
      <c r="P74" s="345">
        <v>25.78</v>
      </c>
      <c r="Q74" s="345">
        <v>35.119999999999997</v>
      </c>
      <c r="R74" s="345">
        <v>33.590000000000003</v>
      </c>
      <c r="S74" s="345">
        <v>29.13</v>
      </c>
      <c r="T74" s="345">
        <v>26.08</v>
      </c>
      <c r="U74" s="345">
        <v>74.75</v>
      </c>
      <c r="V74" s="334"/>
      <c r="W74" s="334"/>
      <c r="X74" s="334"/>
      <c r="Y74" s="334"/>
      <c r="Z74" s="334"/>
      <c r="AA74" s="334"/>
      <c r="AB74" s="334"/>
      <c r="AC74" s="334"/>
      <c r="AD74" s="334"/>
      <c r="AE74" s="334"/>
      <c r="AF74" s="334"/>
      <c r="AG74" s="334"/>
      <c r="AH74" s="334"/>
      <c r="AI74" s="334"/>
      <c r="AJ74" s="334"/>
      <c r="AK74" s="334"/>
      <c r="AL74" s="334"/>
      <c r="AM74" s="334"/>
      <c r="AN74" s="334"/>
      <c r="AO74" s="334"/>
      <c r="AP74" s="334"/>
      <c r="AQ74" s="334"/>
      <c r="AR74" s="334"/>
      <c r="AS74" s="334"/>
      <c r="AT74" s="334"/>
      <c r="AU74" s="334"/>
      <c r="AV74" s="334"/>
      <c r="AW74" s="334"/>
      <c r="AX74" s="334"/>
      <c r="AY74" s="334"/>
      <c r="AZ74" s="334"/>
      <c r="BA74" s="334"/>
      <c r="BB74" s="334"/>
      <c r="BC74" s="334"/>
      <c r="BD74" s="334"/>
      <c r="BE74" s="334"/>
      <c r="BF74" s="334"/>
      <c r="BG74" s="334"/>
      <c r="BH74" s="334"/>
      <c r="BI74" s="334"/>
      <c r="BJ74" s="334"/>
      <c r="BK74" s="334"/>
      <c r="BL74" s="334"/>
      <c r="BM74" s="334"/>
      <c r="BN74" s="334"/>
      <c r="BO74" s="334"/>
      <c r="BP74" s="334"/>
      <c r="BQ74" s="334"/>
      <c r="BR74" s="334"/>
      <c r="BS74" s="334"/>
      <c r="BT74" s="334"/>
      <c r="BU74" s="334"/>
      <c r="BV74" s="334"/>
      <c r="BW74" s="334"/>
      <c r="BX74" s="334"/>
      <c r="BY74" s="334"/>
      <c r="BZ74" s="334"/>
      <c r="CA74" s="334"/>
      <c r="CB74" s="334"/>
      <c r="CC74" s="334"/>
      <c r="CD74" s="334"/>
      <c r="CE74" s="334"/>
      <c r="CF74" s="334"/>
      <c r="CG74" s="334"/>
      <c r="CH74" s="334"/>
      <c r="CI74" s="334"/>
      <c r="CJ74" s="334"/>
      <c r="CK74" s="334"/>
      <c r="CL74" s="334"/>
      <c r="CM74" s="334"/>
      <c r="CN74" s="334"/>
      <c r="CO74" s="334"/>
      <c r="CP74" s="334"/>
      <c r="CQ74" s="334"/>
      <c r="CR74" s="334"/>
      <c r="CS74" s="334"/>
      <c r="CT74" s="334"/>
      <c r="CU74" s="334"/>
      <c r="CV74" s="334"/>
      <c r="CW74" s="334"/>
      <c r="CX74" s="334"/>
      <c r="CY74" s="334"/>
      <c r="CZ74" s="334"/>
      <c r="DA74" s="334"/>
      <c r="DB74" s="334"/>
      <c r="DC74" s="334"/>
      <c r="DD74" s="334"/>
      <c r="DE74" s="334"/>
      <c r="DF74" s="334"/>
      <c r="DG74" s="334"/>
      <c r="DH74" s="334"/>
      <c r="DI74" s="334"/>
      <c r="DJ74" s="334"/>
      <c r="DK74" s="334"/>
      <c r="DL74" s="334"/>
      <c r="DM74" s="334"/>
      <c r="DN74" s="334"/>
      <c r="DO74" s="334"/>
      <c r="DP74" s="334"/>
      <c r="DQ74" s="334"/>
      <c r="DR74" s="334"/>
      <c r="DS74" s="334"/>
      <c r="DT74" s="334"/>
      <c r="DU74" s="334"/>
      <c r="DV74" s="334"/>
      <c r="DW74" s="334"/>
      <c r="DX74" s="334"/>
      <c r="DY74" s="334"/>
      <c r="DZ74" s="334"/>
      <c r="EA74" s="334"/>
      <c r="EB74" s="334"/>
      <c r="EC74" s="334"/>
      <c r="ED74" s="334"/>
      <c r="EE74" s="334"/>
      <c r="EF74" s="334"/>
      <c r="EG74" s="334"/>
      <c r="EH74" s="334"/>
      <c r="EI74" s="334"/>
      <c r="EJ74" s="334"/>
      <c r="EK74" s="334"/>
      <c r="EL74" s="334"/>
      <c r="EM74" s="334"/>
      <c r="EN74" s="334"/>
      <c r="EO74" s="334"/>
      <c r="EP74" s="334"/>
      <c r="EQ74" s="334"/>
      <c r="ER74" s="334"/>
      <c r="ES74" s="334"/>
      <c r="ET74" s="334"/>
      <c r="EU74" s="334"/>
      <c r="EV74" s="334"/>
      <c r="EW74" s="334"/>
      <c r="EX74" s="334"/>
      <c r="EY74" s="334"/>
      <c r="EZ74" s="334"/>
      <c r="FA74" s="334"/>
      <c r="FB74" s="334"/>
      <c r="FC74" s="334"/>
      <c r="FD74" s="334"/>
      <c r="FE74" s="334"/>
      <c r="FF74" s="334"/>
      <c r="FG74" s="334"/>
      <c r="FH74" s="334"/>
      <c r="FI74" s="334"/>
      <c r="FJ74" s="334"/>
      <c r="FK74" s="334"/>
      <c r="FL74" s="334"/>
      <c r="FM74" s="334"/>
      <c r="FN74" s="334"/>
      <c r="FO74" s="334"/>
      <c r="FP74" s="334"/>
      <c r="FQ74" s="334"/>
      <c r="FR74" s="334"/>
      <c r="FS74" s="334"/>
      <c r="FT74" s="334"/>
      <c r="FU74" s="334"/>
      <c r="FV74" s="334"/>
      <c r="FW74" s="334"/>
      <c r="FX74" s="334"/>
      <c r="FY74" s="334"/>
      <c r="FZ74" s="334"/>
      <c r="GA74" s="334"/>
      <c r="GB74" s="334"/>
      <c r="GC74" s="334"/>
      <c r="GD74" s="334"/>
      <c r="GE74" s="334"/>
      <c r="GF74" s="334"/>
      <c r="GG74" s="334"/>
      <c r="GH74" s="334"/>
      <c r="GI74" s="334"/>
      <c r="GJ74" s="334"/>
      <c r="GK74" s="334"/>
      <c r="GL74" s="334"/>
      <c r="GM74" s="334"/>
      <c r="GN74" s="334"/>
      <c r="GO74" s="334"/>
      <c r="GP74" s="334"/>
      <c r="GQ74" s="334"/>
      <c r="GR74" s="334"/>
      <c r="GS74" s="334"/>
      <c r="GT74" s="334"/>
      <c r="GU74" s="334"/>
      <c r="GV74" s="334"/>
      <c r="GW74" s="334"/>
      <c r="GX74" s="334"/>
      <c r="GY74" s="334"/>
      <c r="GZ74" s="334"/>
      <c r="HA74" s="334"/>
      <c r="HB74" s="334"/>
      <c r="HC74" s="334"/>
      <c r="HD74" s="334"/>
      <c r="HE74" s="334"/>
      <c r="HF74" s="334"/>
      <c r="HG74" s="334"/>
      <c r="HH74" s="334"/>
      <c r="HI74" s="334"/>
      <c r="HJ74" s="334"/>
      <c r="HK74" s="334"/>
      <c r="HL74" s="334"/>
      <c r="HM74" s="334"/>
      <c r="HN74" s="334"/>
      <c r="HO74" s="334"/>
      <c r="HP74" s="334"/>
      <c r="HQ74" s="334"/>
      <c r="HR74" s="334"/>
      <c r="HS74" s="334"/>
      <c r="HT74" s="334"/>
      <c r="HU74" s="334"/>
      <c r="HV74" s="334"/>
      <c r="HW74" s="334"/>
      <c r="HX74" s="334"/>
      <c r="HY74" s="334"/>
      <c r="HZ74" s="334"/>
      <c r="IA74" s="334"/>
      <c r="IB74" s="334"/>
      <c r="IC74" s="334"/>
      <c r="ID74" s="334"/>
      <c r="IE74" s="334"/>
      <c r="IF74" s="334"/>
      <c r="IG74" s="334"/>
      <c r="IH74" s="334"/>
      <c r="II74" s="334"/>
      <c r="IJ74" s="334"/>
      <c r="IK74" s="334"/>
      <c r="IL74" s="334"/>
      <c r="IM74" s="334"/>
      <c r="IN74" s="334"/>
      <c r="IO74" s="334"/>
      <c r="IP74" s="334"/>
      <c r="IQ74" s="334"/>
      <c r="IR74" s="334"/>
    </row>
    <row r="75" spans="1:252" s="368" customFormat="1" x14ac:dyDescent="0.25">
      <c r="A75" s="366">
        <v>43720</v>
      </c>
      <c r="B75" s="345">
        <v>83.78</v>
      </c>
      <c r="C75" s="345">
        <v>27.27</v>
      </c>
      <c r="D75" s="345">
        <v>141.32</v>
      </c>
      <c r="E75" s="345">
        <v>80.27</v>
      </c>
      <c r="F75" s="345">
        <v>193.23</v>
      </c>
      <c r="G75" s="345">
        <v>16.920000000000002</v>
      </c>
      <c r="H75" s="345">
        <v>26.76</v>
      </c>
      <c r="I75" s="345">
        <v>85.59</v>
      </c>
      <c r="J75" s="345">
        <v>92.63</v>
      </c>
      <c r="K75" s="345">
        <v>276.64999999999998</v>
      </c>
      <c r="L75" s="345">
        <v>153.62</v>
      </c>
      <c r="M75" s="345">
        <v>81.760000000000005</v>
      </c>
      <c r="N75" s="345">
        <v>33.409999999999997</v>
      </c>
      <c r="O75" s="345">
        <v>12.63</v>
      </c>
      <c r="P75" s="345">
        <v>25.89</v>
      </c>
      <c r="Q75" s="345">
        <v>35.090000000000003</v>
      </c>
      <c r="R75" s="345">
        <v>33.74</v>
      </c>
      <c r="S75" s="345">
        <v>28.7</v>
      </c>
      <c r="T75" s="345">
        <v>26.01</v>
      </c>
      <c r="U75" s="345">
        <v>74.61</v>
      </c>
      <c r="V75" s="334"/>
      <c r="W75" s="334"/>
      <c r="X75" s="334"/>
      <c r="Y75" s="334"/>
      <c r="Z75" s="334"/>
      <c r="AA75" s="334"/>
      <c r="AB75" s="334"/>
      <c r="AC75" s="334"/>
      <c r="AD75" s="334"/>
      <c r="AE75" s="334"/>
      <c r="AF75" s="334"/>
      <c r="AG75" s="334"/>
      <c r="AH75" s="334"/>
      <c r="AI75" s="334"/>
      <c r="AJ75" s="334"/>
      <c r="AK75" s="334"/>
      <c r="AL75" s="334"/>
      <c r="AM75" s="334"/>
      <c r="AN75" s="334"/>
      <c r="AO75" s="334"/>
      <c r="AP75" s="334"/>
      <c r="AQ75" s="334"/>
      <c r="AR75" s="334"/>
      <c r="AS75" s="334"/>
      <c r="AT75" s="334"/>
      <c r="AU75" s="334"/>
      <c r="AV75" s="334"/>
      <c r="AW75" s="334"/>
      <c r="AX75" s="334"/>
      <c r="AY75" s="334"/>
      <c r="AZ75" s="334"/>
      <c r="BA75" s="334"/>
      <c r="BB75" s="334"/>
      <c r="BC75" s="334"/>
      <c r="BD75" s="334"/>
      <c r="BE75" s="334"/>
      <c r="BF75" s="334"/>
      <c r="BG75" s="334"/>
      <c r="BH75" s="334"/>
      <c r="BI75" s="334"/>
      <c r="BJ75" s="334"/>
      <c r="BK75" s="334"/>
      <c r="BL75" s="334"/>
      <c r="BM75" s="334"/>
      <c r="BN75" s="334"/>
      <c r="BO75" s="334"/>
      <c r="BP75" s="334"/>
      <c r="BQ75" s="334"/>
      <c r="BR75" s="334"/>
      <c r="BS75" s="334"/>
      <c r="BT75" s="334"/>
      <c r="BU75" s="334"/>
      <c r="BV75" s="334"/>
      <c r="BW75" s="334"/>
      <c r="BX75" s="334"/>
      <c r="BY75" s="334"/>
      <c r="BZ75" s="334"/>
      <c r="CA75" s="334"/>
      <c r="CB75" s="334"/>
      <c r="CC75" s="334"/>
      <c r="CD75" s="334"/>
      <c r="CE75" s="334"/>
      <c r="CF75" s="334"/>
      <c r="CG75" s="334"/>
      <c r="CH75" s="334"/>
      <c r="CI75" s="334"/>
      <c r="CJ75" s="334"/>
      <c r="CK75" s="334"/>
      <c r="CL75" s="334"/>
      <c r="CM75" s="334"/>
      <c r="CN75" s="334"/>
      <c r="CO75" s="334"/>
      <c r="CP75" s="334"/>
      <c r="CQ75" s="334"/>
      <c r="CR75" s="334"/>
      <c r="CS75" s="334"/>
      <c r="CT75" s="334"/>
      <c r="CU75" s="334"/>
      <c r="CV75" s="334"/>
      <c r="CW75" s="334"/>
      <c r="CX75" s="334"/>
      <c r="CY75" s="334"/>
      <c r="CZ75" s="334"/>
      <c r="DA75" s="334"/>
      <c r="DB75" s="334"/>
      <c r="DC75" s="334"/>
      <c r="DD75" s="334"/>
      <c r="DE75" s="334"/>
      <c r="DF75" s="334"/>
      <c r="DG75" s="334"/>
      <c r="DH75" s="334"/>
      <c r="DI75" s="334"/>
      <c r="DJ75" s="334"/>
      <c r="DK75" s="334"/>
      <c r="DL75" s="334"/>
      <c r="DM75" s="334"/>
      <c r="DN75" s="334"/>
      <c r="DO75" s="334"/>
      <c r="DP75" s="334"/>
      <c r="DQ75" s="334"/>
      <c r="DR75" s="334"/>
      <c r="DS75" s="334"/>
      <c r="DT75" s="334"/>
      <c r="DU75" s="334"/>
      <c r="DV75" s="334"/>
      <c r="DW75" s="334"/>
      <c r="DX75" s="334"/>
      <c r="DY75" s="334"/>
      <c r="DZ75" s="334"/>
      <c r="EA75" s="334"/>
      <c r="EB75" s="334"/>
      <c r="EC75" s="334"/>
      <c r="ED75" s="334"/>
      <c r="EE75" s="334"/>
      <c r="EF75" s="334"/>
      <c r="EG75" s="334"/>
      <c r="EH75" s="334"/>
      <c r="EI75" s="334"/>
      <c r="EJ75" s="334"/>
      <c r="EK75" s="334"/>
      <c r="EL75" s="334"/>
      <c r="EM75" s="334"/>
      <c r="EN75" s="334"/>
      <c r="EO75" s="334"/>
      <c r="EP75" s="334"/>
      <c r="EQ75" s="334"/>
      <c r="ER75" s="334"/>
      <c r="ES75" s="334"/>
      <c r="ET75" s="334"/>
      <c r="EU75" s="334"/>
      <c r="EV75" s="334"/>
      <c r="EW75" s="334"/>
      <c r="EX75" s="334"/>
      <c r="EY75" s="334"/>
      <c r="EZ75" s="334"/>
      <c r="FA75" s="334"/>
      <c r="FB75" s="334"/>
      <c r="FC75" s="334"/>
      <c r="FD75" s="334"/>
      <c r="FE75" s="334"/>
      <c r="FF75" s="334"/>
      <c r="FG75" s="334"/>
      <c r="FH75" s="334"/>
      <c r="FI75" s="334"/>
      <c r="FJ75" s="334"/>
      <c r="FK75" s="334"/>
      <c r="FL75" s="334"/>
      <c r="FM75" s="334"/>
      <c r="FN75" s="334"/>
      <c r="FO75" s="334"/>
      <c r="FP75" s="334"/>
      <c r="FQ75" s="334"/>
      <c r="FR75" s="334"/>
      <c r="FS75" s="334"/>
      <c r="FT75" s="334"/>
      <c r="FU75" s="334"/>
      <c r="FV75" s="334"/>
      <c r="FW75" s="334"/>
      <c r="FX75" s="334"/>
      <c r="FY75" s="334"/>
      <c r="FZ75" s="334"/>
      <c r="GA75" s="334"/>
      <c r="GB75" s="334"/>
      <c r="GC75" s="334"/>
      <c r="GD75" s="334"/>
      <c r="GE75" s="334"/>
      <c r="GF75" s="334"/>
      <c r="GG75" s="334"/>
      <c r="GH75" s="334"/>
      <c r="GI75" s="334"/>
      <c r="GJ75" s="334"/>
      <c r="GK75" s="334"/>
      <c r="GL75" s="334"/>
      <c r="GM75" s="334"/>
      <c r="GN75" s="334"/>
      <c r="GO75" s="334"/>
      <c r="GP75" s="334"/>
      <c r="GQ75" s="334"/>
      <c r="GR75" s="334"/>
      <c r="GS75" s="334"/>
      <c r="GT75" s="334"/>
      <c r="GU75" s="334"/>
      <c r="GV75" s="334"/>
      <c r="GW75" s="334"/>
      <c r="GX75" s="334"/>
      <c r="GY75" s="334"/>
      <c r="GZ75" s="334"/>
      <c r="HA75" s="334"/>
      <c r="HB75" s="334"/>
      <c r="HC75" s="334"/>
      <c r="HD75" s="334"/>
      <c r="HE75" s="334"/>
      <c r="HF75" s="334"/>
      <c r="HG75" s="334"/>
      <c r="HH75" s="334"/>
      <c r="HI75" s="334"/>
      <c r="HJ75" s="334"/>
      <c r="HK75" s="334"/>
      <c r="HL75" s="334"/>
      <c r="HM75" s="334"/>
      <c r="HN75" s="334"/>
      <c r="HO75" s="334"/>
      <c r="HP75" s="334"/>
      <c r="HQ75" s="334"/>
      <c r="HR75" s="334"/>
      <c r="HS75" s="334"/>
      <c r="HT75" s="334"/>
      <c r="HU75" s="334"/>
      <c r="HV75" s="334"/>
      <c r="HW75" s="334"/>
      <c r="HX75" s="334"/>
      <c r="HY75" s="334"/>
      <c r="HZ75" s="334"/>
      <c r="IA75" s="334"/>
      <c r="IB75" s="334"/>
      <c r="IC75" s="334"/>
      <c r="ID75" s="334"/>
      <c r="IE75" s="334"/>
      <c r="IF75" s="334"/>
      <c r="IG75" s="334"/>
      <c r="IH75" s="334"/>
      <c r="II75" s="334"/>
      <c r="IJ75" s="334"/>
      <c r="IK75" s="334"/>
      <c r="IL75" s="334"/>
      <c r="IM75" s="334"/>
      <c r="IN75" s="334"/>
      <c r="IO75" s="334"/>
      <c r="IP75" s="334"/>
      <c r="IQ75" s="334"/>
      <c r="IR75" s="334"/>
    </row>
    <row r="76" spans="1:252" s="368" customFormat="1" x14ac:dyDescent="0.25">
      <c r="A76" s="366">
        <v>43721</v>
      </c>
      <c r="B76" s="345">
        <v>83.3</v>
      </c>
      <c r="C76" s="345">
        <v>26.64</v>
      </c>
      <c r="D76" s="345">
        <v>140.15</v>
      </c>
      <c r="E76" s="345">
        <v>80.400000000000006</v>
      </c>
      <c r="F76" s="345">
        <v>192.54</v>
      </c>
      <c r="G76" s="345">
        <v>16.309999999999999</v>
      </c>
      <c r="H76" s="345">
        <v>26.72</v>
      </c>
      <c r="I76" s="345">
        <v>83.83</v>
      </c>
      <c r="J76" s="345">
        <v>91.64</v>
      </c>
      <c r="K76" s="345">
        <v>276.58</v>
      </c>
      <c r="L76" s="345">
        <v>153.47</v>
      </c>
      <c r="M76" s="345">
        <v>81.16</v>
      </c>
      <c r="N76" s="345">
        <v>33.380000000000003</v>
      </c>
      <c r="O76" s="345">
        <v>12.53</v>
      </c>
      <c r="P76" s="345">
        <v>25.96</v>
      </c>
      <c r="Q76" s="345">
        <v>35.119999999999997</v>
      </c>
      <c r="R76" s="345">
        <v>33.83</v>
      </c>
      <c r="S76" s="345">
        <v>28.17</v>
      </c>
      <c r="T76" s="345">
        <v>25.94</v>
      </c>
      <c r="U76" s="345">
        <v>74.3</v>
      </c>
      <c r="V76" s="334"/>
      <c r="W76" s="334"/>
      <c r="X76" s="334"/>
      <c r="Y76" s="334"/>
      <c r="Z76" s="334"/>
      <c r="AA76" s="334"/>
      <c r="AB76" s="334"/>
      <c r="AC76" s="334"/>
      <c r="AD76" s="334"/>
      <c r="AE76" s="334"/>
      <c r="AF76" s="334"/>
      <c r="AG76" s="334"/>
      <c r="AH76" s="334"/>
      <c r="AI76" s="334"/>
      <c r="AJ76" s="334"/>
      <c r="AK76" s="334"/>
      <c r="AL76" s="334"/>
      <c r="AM76" s="334"/>
      <c r="AN76" s="334"/>
      <c r="AO76" s="334"/>
      <c r="AP76" s="334"/>
      <c r="AQ76" s="334"/>
      <c r="AR76" s="334"/>
      <c r="AS76" s="334"/>
      <c r="AT76" s="334"/>
      <c r="AU76" s="334"/>
      <c r="AV76" s="334"/>
      <c r="AW76" s="334"/>
      <c r="AX76" s="334"/>
      <c r="AY76" s="334"/>
      <c r="AZ76" s="334"/>
      <c r="BA76" s="334"/>
      <c r="BB76" s="334"/>
      <c r="BC76" s="334"/>
      <c r="BD76" s="334"/>
      <c r="BE76" s="334"/>
      <c r="BF76" s="334"/>
      <c r="BG76" s="334"/>
      <c r="BH76" s="334"/>
      <c r="BI76" s="334"/>
      <c r="BJ76" s="334"/>
      <c r="BK76" s="334"/>
      <c r="BL76" s="334"/>
      <c r="BM76" s="334"/>
      <c r="BN76" s="334"/>
      <c r="BO76" s="334"/>
      <c r="BP76" s="334"/>
      <c r="BQ76" s="334"/>
      <c r="BR76" s="334"/>
      <c r="BS76" s="334"/>
      <c r="BT76" s="334"/>
      <c r="BU76" s="334"/>
      <c r="BV76" s="334"/>
      <c r="BW76" s="334"/>
      <c r="BX76" s="334"/>
      <c r="BY76" s="334"/>
      <c r="BZ76" s="334"/>
      <c r="CA76" s="334"/>
      <c r="CB76" s="334"/>
      <c r="CC76" s="334"/>
      <c r="CD76" s="334"/>
      <c r="CE76" s="334"/>
      <c r="CF76" s="334"/>
      <c r="CG76" s="334"/>
      <c r="CH76" s="334"/>
      <c r="CI76" s="334"/>
      <c r="CJ76" s="334"/>
      <c r="CK76" s="334"/>
      <c r="CL76" s="334"/>
      <c r="CM76" s="334"/>
      <c r="CN76" s="334"/>
      <c r="CO76" s="334"/>
      <c r="CP76" s="334"/>
      <c r="CQ76" s="334"/>
      <c r="CR76" s="334"/>
      <c r="CS76" s="334"/>
      <c r="CT76" s="334"/>
      <c r="CU76" s="334"/>
      <c r="CV76" s="334"/>
      <c r="CW76" s="334"/>
      <c r="CX76" s="334"/>
      <c r="CY76" s="334"/>
      <c r="CZ76" s="334"/>
      <c r="DA76" s="334"/>
      <c r="DB76" s="334"/>
      <c r="DC76" s="334"/>
      <c r="DD76" s="334"/>
      <c r="DE76" s="334"/>
      <c r="DF76" s="334"/>
      <c r="DG76" s="334"/>
      <c r="DH76" s="334"/>
      <c r="DI76" s="334"/>
      <c r="DJ76" s="334"/>
      <c r="DK76" s="334"/>
      <c r="DL76" s="334"/>
      <c r="DM76" s="334"/>
      <c r="DN76" s="334"/>
      <c r="DO76" s="334"/>
      <c r="DP76" s="334"/>
      <c r="DQ76" s="334"/>
      <c r="DR76" s="334"/>
      <c r="DS76" s="334"/>
      <c r="DT76" s="334"/>
      <c r="DU76" s="334"/>
      <c r="DV76" s="334"/>
      <c r="DW76" s="334"/>
      <c r="DX76" s="334"/>
      <c r="DY76" s="334"/>
      <c r="DZ76" s="334"/>
      <c r="EA76" s="334"/>
      <c r="EB76" s="334"/>
      <c r="EC76" s="334"/>
      <c r="ED76" s="334"/>
      <c r="EE76" s="334"/>
      <c r="EF76" s="334"/>
      <c r="EG76" s="334"/>
      <c r="EH76" s="334"/>
      <c r="EI76" s="334"/>
      <c r="EJ76" s="334"/>
      <c r="EK76" s="334"/>
      <c r="EL76" s="334"/>
      <c r="EM76" s="334"/>
      <c r="EN76" s="334"/>
      <c r="EO76" s="334"/>
      <c r="EP76" s="334"/>
      <c r="EQ76" s="334"/>
      <c r="ER76" s="334"/>
      <c r="ES76" s="334"/>
      <c r="ET76" s="334"/>
      <c r="EU76" s="334"/>
      <c r="EV76" s="334"/>
      <c r="EW76" s="334"/>
      <c r="EX76" s="334"/>
      <c r="EY76" s="334"/>
      <c r="EZ76" s="334"/>
      <c r="FA76" s="334"/>
      <c r="FB76" s="334"/>
      <c r="FC76" s="334"/>
      <c r="FD76" s="334"/>
      <c r="FE76" s="334"/>
      <c r="FF76" s="334"/>
      <c r="FG76" s="334"/>
      <c r="FH76" s="334"/>
      <c r="FI76" s="334"/>
      <c r="FJ76" s="334"/>
      <c r="FK76" s="334"/>
      <c r="FL76" s="334"/>
      <c r="FM76" s="334"/>
      <c r="FN76" s="334"/>
      <c r="FO76" s="334"/>
      <c r="FP76" s="334"/>
      <c r="FQ76" s="334"/>
      <c r="FR76" s="334"/>
      <c r="FS76" s="334"/>
      <c r="FT76" s="334"/>
      <c r="FU76" s="334"/>
      <c r="FV76" s="334"/>
      <c r="FW76" s="334"/>
      <c r="FX76" s="334"/>
      <c r="FY76" s="334"/>
      <c r="FZ76" s="334"/>
      <c r="GA76" s="334"/>
      <c r="GB76" s="334"/>
      <c r="GC76" s="334"/>
      <c r="GD76" s="334"/>
      <c r="GE76" s="334"/>
      <c r="GF76" s="334"/>
      <c r="GG76" s="334"/>
      <c r="GH76" s="334"/>
      <c r="GI76" s="334"/>
      <c r="GJ76" s="334"/>
      <c r="GK76" s="334"/>
      <c r="GL76" s="334"/>
      <c r="GM76" s="334"/>
      <c r="GN76" s="334"/>
      <c r="GO76" s="334"/>
      <c r="GP76" s="334"/>
      <c r="GQ76" s="334"/>
      <c r="GR76" s="334"/>
      <c r="GS76" s="334"/>
      <c r="GT76" s="334"/>
      <c r="GU76" s="334"/>
      <c r="GV76" s="334"/>
      <c r="GW76" s="334"/>
      <c r="GX76" s="334"/>
      <c r="GY76" s="334"/>
      <c r="GZ76" s="334"/>
      <c r="HA76" s="334"/>
      <c r="HB76" s="334"/>
      <c r="HC76" s="334"/>
      <c r="HD76" s="334"/>
      <c r="HE76" s="334"/>
      <c r="HF76" s="334"/>
      <c r="HG76" s="334"/>
      <c r="HH76" s="334"/>
      <c r="HI76" s="334"/>
      <c r="HJ76" s="334"/>
      <c r="HK76" s="334"/>
      <c r="HL76" s="334"/>
      <c r="HM76" s="334"/>
      <c r="HN76" s="334"/>
      <c r="HO76" s="334"/>
      <c r="HP76" s="334"/>
      <c r="HQ76" s="334"/>
      <c r="HR76" s="334"/>
      <c r="HS76" s="334"/>
      <c r="HT76" s="334"/>
      <c r="HU76" s="334"/>
      <c r="HV76" s="334"/>
      <c r="HW76" s="334"/>
      <c r="HX76" s="334"/>
      <c r="HY76" s="334"/>
      <c r="HZ76" s="334"/>
      <c r="IA76" s="334"/>
      <c r="IB76" s="334"/>
      <c r="IC76" s="334"/>
      <c r="ID76" s="334"/>
      <c r="IE76" s="334"/>
      <c r="IF76" s="334"/>
      <c r="IG76" s="334"/>
      <c r="IH76" s="334"/>
      <c r="II76" s="334"/>
      <c r="IJ76" s="334"/>
      <c r="IK76" s="334"/>
      <c r="IL76" s="334"/>
      <c r="IM76" s="334"/>
      <c r="IN76" s="334"/>
      <c r="IO76" s="334"/>
      <c r="IP76" s="334"/>
      <c r="IQ76" s="334"/>
      <c r="IR76" s="334"/>
    </row>
    <row r="77" spans="1:252" s="368" customFormat="1" x14ac:dyDescent="0.25">
      <c r="A77" s="366">
        <v>43722</v>
      </c>
      <c r="B77" s="345">
        <v>83.3</v>
      </c>
      <c r="C77" s="345">
        <v>26.64</v>
      </c>
      <c r="D77" s="345">
        <v>140.15</v>
      </c>
      <c r="E77" s="345">
        <v>80.400000000000006</v>
      </c>
      <c r="F77" s="345">
        <v>192.54</v>
      </c>
      <c r="G77" s="345">
        <v>16.309999999999999</v>
      </c>
      <c r="H77" s="345">
        <v>26.72</v>
      </c>
      <c r="I77" s="345">
        <v>83.83</v>
      </c>
      <c r="J77" s="345">
        <v>91.64</v>
      </c>
      <c r="K77" s="345">
        <v>276.58</v>
      </c>
      <c r="L77" s="345">
        <v>153.47</v>
      </c>
      <c r="M77" s="345">
        <v>81.16</v>
      </c>
      <c r="N77" s="345">
        <v>33.380000000000003</v>
      </c>
      <c r="O77" s="345">
        <v>12.53</v>
      </c>
      <c r="P77" s="345">
        <v>25.96</v>
      </c>
      <c r="Q77" s="345">
        <v>35.119999999999997</v>
      </c>
      <c r="R77" s="345">
        <v>33.83</v>
      </c>
      <c r="S77" s="345">
        <v>28.17</v>
      </c>
      <c r="T77" s="345">
        <v>25.94</v>
      </c>
      <c r="U77" s="345">
        <v>74.3</v>
      </c>
      <c r="V77" s="334"/>
      <c r="W77" s="334"/>
      <c r="X77" s="334"/>
      <c r="Y77" s="334"/>
      <c r="Z77" s="334"/>
      <c r="AA77" s="334"/>
      <c r="AB77" s="334"/>
      <c r="AC77" s="334"/>
      <c r="AD77" s="334"/>
      <c r="AE77" s="334"/>
      <c r="AF77" s="334"/>
      <c r="AG77" s="334"/>
      <c r="AH77" s="334"/>
      <c r="AI77" s="334"/>
      <c r="AJ77" s="334"/>
      <c r="AK77" s="334"/>
      <c r="AL77" s="334"/>
      <c r="AM77" s="334"/>
      <c r="AN77" s="334"/>
      <c r="AO77" s="334"/>
      <c r="AP77" s="334"/>
      <c r="AQ77" s="334"/>
      <c r="AR77" s="334"/>
      <c r="AS77" s="334"/>
      <c r="AT77" s="334"/>
      <c r="AU77" s="334"/>
      <c r="AV77" s="334"/>
      <c r="AW77" s="334"/>
      <c r="AX77" s="334"/>
      <c r="AY77" s="334"/>
      <c r="AZ77" s="334"/>
      <c r="BA77" s="334"/>
      <c r="BB77" s="334"/>
      <c r="BC77" s="334"/>
      <c r="BD77" s="334"/>
      <c r="BE77" s="334"/>
      <c r="BF77" s="334"/>
      <c r="BG77" s="334"/>
      <c r="BH77" s="334"/>
      <c r="BI77" s="334"/>
      <c r="BJ77" s="334"/>
      <c r="BK77" s="334"/>
      <c r="BL77" s="334"/>
      <c r="BM77" s="334"/>
      <c r="BN77" s="334"/>
      <c r="BO77" s="334"/>
      <c r="BP77" s="334"/>
      <c r="BQ77" s="334"/>
      <c r="BR77" s="334"/>
      <c r="BS77" s="334"/>
      <c r="BT77" s="334"/>
      <c r="BU77" s="334"/>
      <c r="BV77" s="334"/>
      <c r="BW77" s="334"/>
      <c r="BX77" s="334"/>
      <c r="BY77" s="334"/>
      <c r="BZ77" s="334"/>
      <c r="CA77" s="334"/>
      <c r="CB77" s="334"/>
      <c r="CC77" s="334"/>
      <c r="CD77" s="334"/>
      <c r="CE77" s="334"/>
      <c r="CF77" s="334"/>
      <c r="CG77" s="334"/>
      <c r="CH77" s="334"/>
      <c r="CI77" s="334"/>
      <c r="CJ77" s="334"/>
      <c r="CK77" s="334"/>
      <c r="CL77" s="334"/>
      <c r="CM77" s="334"/>
      <c r="CN77" s="334"/>
      <c r="CO77" s="334"/>
      <c r="CP77" s="334"/>
      <c r="CQ77" s="334"/>
      <c r="CR77" s="334"/>
      <c r="CS77" s="334"/>
      <c r="CT77" s="334"/>
      <c r="CU77" s="334"/>
      <c r="CV77" s="334"/>
      <c r="CW77" s="334"/>
      <c r="CX77" s="334"/>
      <c r="CY77" s="334"/>
      <c r="CZ77" s="334"/>
      <c r="DA77" s="334"/>
      <c r="DB77" s="334"/>
      <c r="DC77" s="334"/>
      <c r="DD77" s="334"/>
      <c r="DE77" s="334"/>
      <c r="DF77" s="334"/>
      <c r="DG77" s="334"/>
      <c r="DH77" s="334"/>
      <c r="DI77" s="334"/>
      <c r="DJ77" s="334"/>
      <c r="DK77" s="334"/>
      <c r="DL77" s="334"/>
      <c r="DM77" s="334"/>
      <c r="DN77" s="334"/>
      <c r="DO77" s="334"/>
      <c r="DP77" s="334"/>
      <c r="DQ77" s="334"/>
      <c r="DR77" s="334"/>
      <c r="DS77" s="334"/>
      <c r="DT77" s="334"/>
      <c r="DU77" s="334"/>
      <c r="DV77" s="334"/>
      <c r="DW77" s="334"/>
      <c r="DX77" s="334"/>
      <c r="DY77" s="334"/>
      <c r="DZ77" s="334"/>
      <c r="EA77" s="334"/>
      <c r="EB77" s="334"/>
      <c r="EC77" s="334"/>
      <c r="ED77" s="334"/>
      <c r="EE77" s="334"/>
      <c r="EF77" s="334"/>
      <c r="EG77" s="334"/>
      <c r="EH77" s="334"/>
      <c r="EI77" s="334"/>
      <c r="EJ77" s="334"/>
      <c r="EK77" s="334"/>
      <c r="EL77" s="334"/>
      <c r="EM77" s="334"/>
      <c r="EN77" s="334"/>
      <c r="EO77" s="334"/>
      <c r="EP77" s="334"/>
      <c r="EQ77" s="334"/>
      <c r="ER77" s="334"/>
      <c r="ES77" s="334"/>
      <c r="ET77" s="334"/>
      <c r="EU77" s="334"/>
      <c r="EV77" s="334"/>
      <c r="EW77" s="334"/>
      <c r="EX77" s="334"/>
      <c r="EY77" s="334"/>
      <c r="EZ77" s="334"/>
      <c r="FA77" s="334"/>
      <c r="FB77" s="334"/>
      <c r="FC77" s="334"/>
      <c r="FD77" s="334"/>
      <c r="FE77" s="334"/>
      <c r="FF77" s="334"/>
      <c r="FG77" s="334"/>
      <c r="FH77" s="334"/>
      <c r="FI77" s="334"/>
      <c r="FJ77" s="334"/>
      <c r="FK77" s="334"/>
      <c r="FL77" s="334"/>
      <c r="FM77" s="334"/>
      <c r="FN77" s="334"/>
      <c r="FO77" s="334"/>
      <c r="FP77" s="334"/>
      <c r="FQ77" s="334"/>
      <c r="FR77" s="334"/>
      <c r="FS77" s="334"/>
      <c r="FT77" s="334"/>
      <c r="FU77" s="334"/>
      <c r="FV77" s="334"/>
      <c r="FW77" s="334"/>
      <c r="FX77" s="334"/>
      <c r="FY77" s="334"/>
      <c r="FZ77" s="334"/>
      <c r="GA77" s="334"/>
      <c r="GB77" s="334"/>
      <c r="GC77" s="334"/>
      <c r="GD77" s="334"/>
      <c r="GE77" s="334"/>
      <c r="GF77" s="334"/>
      <c r="GG77" s="334"/>
      <c r="GH77" s="334"/>
      <c r="GI77" s="334"/>
      <c r="GJ77" s="334"/>
      <c r="GK77" s="334"/>
      <c r="GL77" s="334"/>
      <c r="GM77" s="334"/>
      <c r="GN77" s="334"/>
      <c r="GO77" s="334"/>
      <c r="GP77" s="334"/>
      <c r="GQ77" s="334"/>
      <c r="GR77" s="334"/>
      <c r="GS77" s="334"/>
      <c r="GT77" s="334"/>
      <c r="GU77" s="334"/>
      <c r="GV77" s="334"/>
      <c r="GW77" s="334"/>
      <c r="GX77" s="334"/>
      <c r="GY77" s="334"/>
      <c r="GZ77" s="334"/>
      <c r="HA77" s="334"/>
      <c r="HB77" s="334"/>
      <c r="HC77" s="334"/>
      <c r="HD77" s="334"/>
      <c r="HE77" s="334"/>
      <c r="HF77" s="334"/>
      <c r="HG77" s="334"/>
      <c r="HH77" s="334"/>
      <c r="HI77" s="334"/>
      <c r="HJ77" s="334"/>
      <c r="HK77" s="334"/>
      <c r="HL77" s="334"/>
      <c r="HM77" s="334"/>
      <c r="HN77" s="334"/>
      <c r="HO77" s="334"/>
      <c r="HP77" s="334"/>
      <c r="HQ77" s="334"/>
      <c r="HR77" s="334"/>
      <c r="HS77" s="334"/>
      <c r="HT77" s="334"/>
      <c r="HU77" s="334"/>
      <c r="HV77" s="334"/>
      <c r="HW77" s="334"/>
      <c r="HX77" s="334"/>
      <c r="HY77" s="334"/>
      <c r="HZ77" s="334"/>
      <c r="IA77" s="334"/>
      <c r="IB77" s="334"/>
      <c r="IC77" s="334"/>
      <c r="ID77" s="334"/>
      <c r="IE77" s="334"/>
      <c r="IF77" s="334"/>
      <c r="IG77" s="334"/>
      <c r="IH77" s="334"/>
      <c r="II77" s="334"/>
      <c r="IJ77" s="334"/>
      <c r="IK77" s="334"/>
      <c r="IL77" s="334"/>
      <c r="IM77" s="334"/>
      <c r="IN77" s="334"/>
      <c r="IO77" s="334"/>
      <c r="IP77" s="334"/>
      <c r="IQ77" s="334"/>
      <c r="IR77" s="334"/>
    </row>
    <row r="78" spans="1:252" s="368" customFormat="1" x14ac:dyDescent="0.25">
      <c r="A78" s="366">
        <v>43723</v>
      </c>
      <c r="B78" s="345">
        <v>83.3</v>
      </c>
      <c r="C78" s="345">
        <v>26.64</v>
      </c>
      <c r="D78" s="345">
        <v>140.15</v>
      </c>
      <c r="E78" s="345">
        <v>80.400000000000006</v>
      </c>
      <c r="F78" s="345">
        <v>192.54</v>
      </c>
      <c r="G78" s="345">
        <v>16.309999999999999</v>
      </c>
      <c r="H78" s="345">
        <v>26.72</v>
      </c>
      <c r="I78" s="345">
        <v>83.83</v>
      </c>
      <c r="J78" s="345">
        <v>91.64</v>
      </c>
      <c r="K78" s="345">
        <v>276.58</v>
      </c>
      <c r="L78" s="345">
        <v>153.47</v>
      </c>
      <c r="M78" s="345">
        <v>81.16</v>
      </c>
      <c r="N78" s="345">
        <v>33.380000000000003</v>
      </c>
      <c r="O78" s="345">
        <v>12.53</v>
      </c>
      <c r="P78" s="345">
        <v>25.96</v>
      </c>
      <c r="Q78" s="345">
        <v>35.119999999999997</v>
      </c>
      <c r="R78" s="345">
        <v>33.83</v>
      </c>
      <c r="S78" s="345">
        <v>28.17</v>
      </c>
      <c r="T78" s="345">
        <v>25.94</v>
      </c>
      <c r="U78" s="345">
        <v>74.3</v>
      </c>
      <c r="V78" s="334"/>
      <c r="W78" s="334"/>
      <c r="X78" s="334"/>
      <c r="Y78" s="334"/>
      <c r="Z78" s="334"/>
      <c r="AA78" s="334"/>
      <c r="AB78" s="334"/>
      <c r="AC78" s="334"/>
      <c r="AD78" s="334"/>
      <c r="AE78" s="334"/>
      <c r="AF78" s="334"/>
      <c r="AG78" s="334"/>
      <c r="AH78" s="334"/>
      <c r="AI78" s="334"/>
      <c r="AJ78" s="334"/>
      <c r="AK78" s="334"/>
      <c r="AL78" s="334"/>
      <c r="AM78" s="334"/>
      <c r="AN78" s="334"/>
      <c r="AO78" s="334"/>
      <c r="AP78" s="334"/>
      <c r="AQ78" s="334"/>
      <c r="AR78" s="334"/>
      <c r="AS78" s="334"/>
      <c r="AT78" s="334"/>
      <c r="AU78" s="334"/>
      <c r="AV78" s="334"/>
      <c r="AW78" s="334"/>
      <c r="AX78" s="334"/>
      <c r="AY78" s="334"/>
      <c r="AZ78" s="334"/>
      <c r="BA78" s="334"/>
      <c r="BB78" s="334"/>
      <c r="BC78" s="334"/>
      <c r="BD78" s="334"/>
      <c r="BE78" s="334"/>
      <c r="BF78" s="334"/>
      <c r="BG78" s="334"/>
      <c r="BH78" s="334"/>
      <c r="BI78" s="334"/>
      <c r="BJ78" s="334"/>
      <c r="BK78" s="334"/>
      <c r="BL78" s="334"/>
      <c r="BM78" s="334"/>
      <c r="BN78" s="334"/>
      <c r="BO78" s="334"/>
      <c r="BP78" s="334"/>
      <c r="BQ78" s="334"/>
      <c r="BR78" s="334"/>
      <c r="BS78" s="334"/>
      <c r="BT78" s="334"/>
      <c r="BU78" s="334"/>
      <c r="BV78" s="334"/>
      <c r="BW78" s="334"/>
      <c r="BX78" s="334"/>
      <c r="BY78" s="334"/>
      <c r="BZ78" s="334"/>
      <c r="CA78" s="334"/>
      <c r="CB78" s="334"/>
      <c r="CC78" s="334"/>
      <c r="CD78" s="334"/>
      <c r="CE78" s="334"/>
      <c r="CF78" s="334"/>
      <c r="CG78" s="334"/>
      <c r="CH78" s="334"/>
      <c r="CI78" s="334"/>
      <c r="CJ78" s="334"/>
      <c r="CK78" s="334"/>
      <c r="CL78" s="334"/>
      <c r="CM78" s="334"/>
      <c r="CN78" s="334"/>
      <c r="CO78" s="334"/>
      <c r="CP78" s="334"/>
      <c r="CQ78" s="334"/>
      <c r="CR78" s="334"/>
      <c r="CS78" s="334"/>
      <c r="CT78" s="334"/>
      <c r="CU78" s="334"/>
      <c r="CV78" s="334"/>
      <c r="CW78" s="334"/>
      <c r="CX78" s="334"/>
      <c r="CY78" s="334"/>
      <c r="CZ78" s="334"/>
      <c r="DA78" s="334"/>
      <c r="DB78" s="334"/>
      <c r="DC78" s="334"/>
      <c r="DD78" s="334"/>
      <c r="DE78" s="334"/>
      <c r="DF78" s="334"/>
      <c r="DG78" s="334"/>
      <c r="DH78" s="334"/>
      <c r="DI78" s="334"/>
      <c r="DJ78" s="334"/>
      <c r="DK78" s="334"/>
      <c r="DL78" s="334"/>
      <c r="DM78" s="334"/>
      <c r="DN78" s="334"/>
      <c r="DO78" s="334"/>
      <c r="DP78" s="334"/>
      <c r="DQ78" s="334"/>
      <c r="DR78" s="334"/>
      <c r="DS78" s="334"/>
      <c r="DT78" s="334"/>
      <c r="DU78" s="334"/>
      <c r="DV78" s="334"/>
      <c r="DW78" s="334"/>
      <c r="DX78" s="334"/>
      <c r="DY78" s="334"/>
      <c r="DZ78" s="334"/>
      <c r="EA78" s="334"/>
      <c r="EB78" s="334"/>
      <c r="EC78" s="334"/>
      <c r="ED78" s="334"/>
      <c r="EE78" s="334"/>
      <c r="EF78" s="334"/>
      <c r="EG78" s="334"/>
      <c r="EH78" s="334"/>
      <c r="EI78" s="334"/>
      <c r="EJ78" s="334"/>
      <c r="EK78" s="334"/>
      <c r="EL78" s="334"/>
      <c r="EM78" s="334"/>
      <c r="EN78" s="334"/>
      <c r="EO78" s="334"/>
      <c r="EP78" s="334"/>
      <c r="EQ78" s="334"/>
      <c r="ER78" s="334"/>
      <c r="ES78" s="334"/>
      <c r="ET78" s="334"/>
      <c r="EU78" s="334"/>
      <c r="EV78" s="334"/>
      <c r="EW78" s="334"/>
      <c r="EX78" s="334"/>
      <c r="EY78" s="334"/>
      <c r="EZ78" s="334"/>
      <c r="FA78" s="334"/>
      <c r="FB78" s="334"/>
      <c r="FC78" s="334"/>
      <c r="FD78" s="334"/>
      <c r="FE78" s="334"/>
      <c r="FF78" s="334"/>
      <c r="FG78" s="334"/>
      <c r="FH78" s="334"/>
      <c r="FI78" s="334"/>
      <c r="FJ78" s="334"/>
      <c r="FK78" s="334"/>
      <c r="FL78" s="334"/>
      <c r="FM78" s="334"/>
      <c r="FN78" s="334"/>
      <c r="FO78" s="334"/>
      <c r="FP78" s="334"/>
      <c r="FQ78" s="334"/>
      <c r="FR78" s="334"/>
      <c r="FS78" s="334"/>
      <c r="FT78" s="334"/>
      <c r="FU78" s="334"/>
      <c r="FV78" s="334"/>
      <c r="FW78" s="334"/>
      <c r="FX78" s="334"/>
      <c r="FY78" s="334"/>
      <c r="FZ78" s="334"/>
      <c r="GA78" s="334"/>
      <c r="GB78" s="334"/>
      <c r="GC78" s="334"/>
      <c r="GD78" s="334"/>
      <c r="GE78" s="334"/>
      <c r="GF78" s="334"/>
      <c r="GG78" s="334"/>
      <c r="GH78" s="334"/>
      <c r="GI78" s="334"/>
      <c r="GJ78" s="334"/>
      <c r="GK78" s="334"/>
      <c r="GL78" s="334"/>
      <c r="GM78" s="334"/>
      <c r="GN78" s="334"/>
      <c r="GO78" s="334"/>
      <c r="GP78" s="334"/>
      <c r="GQ78" s="334"/>
      <c r="GR78" s="334"/>
      <c r="GS78" s="334"/>
      <c r="GT78" s="334"/>
      <c r="GU78" s="334"/>
      <c r="GV78" s="334"/>
      <c r="GW78" s="334"/>
      <c r="GX78" s="334"/>
      <c r="GY78" s="334"/>
      <c r="GZ78" s="334"/>
      <c r="HA78" s="334"/>
      <c r="HB78" s="334"/>
      <c r="HC78" s="334"/>
      <c r="HD78" s="334"/>
      <c r="HE78" s="334"/>
      <c r="HF78" s="334"/>
      <c r="HG78" s="334"/>
      <c r="HH78" s="334"/>
      <c r="HI78" s="334"/>
      <c r="HJ78" s="334"/>
      <c r="HK78" s="334"/>
      <c r="HL78" s="334"/>
      <c r="HM78" s="334"/>
      <c r="HN78" s="334"/>
      <c r="HO78" s="334"/>
      <c r="HP78" s="334"/>
      <c r="HQ78" s="334"/>
      <c r="HR78" s="334"/>
      <c r="HS78" s="334"/>
      <c r="HT78" s="334"/>
      <c r="HU78" s="334"/>
      <c r="HV78" s="334"/>
      <c r="HW78" s="334"/>
      <c r="HX78" s="334"/>
      <c r="HY78" s="334"/>
      <c r="HZ78" s="334"/>
      <c r="IA78" s="334"/>
      <c r="IB78" s="334"/>
      <c r="IC78" s="334"/>
      <c r="ID78" s="334"/>
      <c r="IE78" s="334"/>
      <c r="IF78" s="334"/>
      <c r="IG78" s="334"/>
      <c r="IH78" s="334"/>
      <c r="II78" s="334"/>
      <c r="IJ78" s="334"/>
      <c r="IK78" s="334"/>
      <c r="IL78" s="334"/>
      <c r="IM78" s="334"/>
      <c r="IN78" s="334"/>
      <c r="IO78" s="334"/>
      <c r="IP78" s="334"/>
      <c r="IQ78" s="334"/>
      <c r="IR78" s="334"/>
    </row>
    <row r="79" spans="1:252" s="368" customFormat="1" x14ac:dyDescent="0.25">
      <c r="A79" s="366">
        <v>43724</v>
      </c>
      <c r="B79" s="345">
        <v>83.52</v>
      </c>
      <c r="C79" s="345">
        <v>27.29</v>
      </c>
      <c r="D79" s="345">
        <v>141.32</v>
      </c>
      <c r="E79" s="345">
        <v>80.67</v>
      </c>
      <c r="F79" s="345">
        <v>191.68</v>
      </c>
      <c r="G79" s="345">
        <v>16.739999999999998</v>
      </c>
      <c r="H79" s="345">
        <v>26.84</v>
      </c>
      <c r="I79" s="345">
        <v>84.84</v>
      </c>
      <c r="J79" s="345">
        <v>92.44</v>
      </c>
      <c r="K79" s="345">
        <v>275.67</v>
      </c>
      <c r="L79" s="345">
        <v>152.46</v>
      </c>
      <c r="M79" s="345">
        <v>80.959999999999994</v>
      </c>
      <c r="N79" s="345">
        <v>33.299999999999997</v>
      </c>
      <c r="O79" s="345">
        <v>12.65</v>
      </c>
      <c r="P79" s="345">
        <v>25.89</v>
      </c>
      <c r="Q79" s="345">
        <v>35.51</v>
      </c>
      <c r="R79" s="345">
        <v>33.93</v>
      </c>
      <c r="S79" s="345">
        <v>28.49</v>
      </c>
      <c r="T79" s="345">
        <v>25.98</v>
      </c>
      <c r="U79" s="345">
        <v>74.488100000000003</v>
      </c>
      <c r="V79" s="334"/>
      <c r="W79" s="334"/>
      <c r="X79" s="334"/>
      <c r="Y79" s="334"/>
      <c r="Z79" s="334"/>
      <c r="AA79" s="334"/>
      <c r="AB79" s="334"/>
      <c r="AC79" s="334"/>
      <c r="AD79" s="334"/>
      <c r="AE79" s="334"/>
      <c r="AF79" s="334"/>
      <c r="AG79" s="334"/>
      <c r="AH79" s="334"/>
      <c r="AI79" s="334"/>
      <c r="AJ79" s="334"/>
      <c r="AK79" s="334"/>
      <c r="AL79" s="334"/>
      <c r="AM79" s="334"/>
      <c r="AN79" s="334"/>
      <c r="AO79" s="334"/>
      <c r="AP79" s="334"/>
      <c r="AQ79" s="334"/>
      <c r="AR79" s="334"/>
      <c r="AS79" s="334"/>
      <c r="AT79" s="334"/>
      <c r="AU79" s="334"/>
      <c r="AV79" s="334"/>
      <c r="AW79" s="334"/>
      <c r="AX79" s="334"/>
      <c r="AY79" s="334"/>
      <c r="AZ79" s="334"/>
      <c r="BA79" s="334"/>
      <c r="BB79" s="334"/>
      <c r="BC79" s="334"/>
      <c r="BD79" s="334"/>
      <c r="BE79" s="334"/>
      <c r="BF79" s="334"/>
      <c r="BG79" s="334"/>
      <c r="BH79" s="334"/>
      <c r="BI79" s="334"/>
      <c r="BJ79" s="334"/>
      <c r="BK79" s="334"/>
      <c r="BL79" s="334"/>
      <c r="BM79" s="334"/>
      <c r="BN79" s="334"/>
      <c r="BO79" s="334"/>
      <c r="BP79" s="334"/>
      <c r="BQ79" s="334"/>
      <c r="BR79" s="334"/>
      <c r="BS79" s="334"/>
      <c r="BT79" s="334"/>
      <c r="BU79" s="334"/>
      <c r="BV79" s="334"/>
      <c r="BW79" s="334"/>
      <c r="BX79" s="334"/>
      <c r="BY79" s="334"/>
      <c r="BZ79" s="334"/>
      <c r="CA79" s="334"/>
      <c r="CB79" s="334"/>
      <c r="CC79" s="334"/>
      <c r="CD79" s="334"/>
      <c r="CE79" s="334"/>
      <c r="CF79" s="334"/>
      <c r="CG79" s="334"/>
      <c r="CH79" s="334"/>
      <c r="CI79" s="334"/>
      <c r="CJ79" s="334"/>
      <c r="CK79" s="334"/>
      <c r="CL79" s="334"/>
      <c r="CM79" s="334"/>
      <c r="CN79" s="334"/>
      <c r="CO79" s="334"/>
      <c r="CP79" s="334"/>
      <c r="CQ79" s="334"/>
      <c r="CR79" s="334"/>
      <c r="CS79" s="334"/>
      <c r="CT79" s="334"/>
      <c r="CU79" s="334"/>
      <c r="CV79" s="334"/>
      <c r="CW79" s="334"/>
      <c r="CX79" s="334"/>
      <c r="CY79" s="334"/>
      <c r="CZ79" s="334"/>
      <c r="DA79" s="334"/>
      <c r="DB79" s="334"/>
      <c r="DC79" s="334"/>
      <c r="DD79" s="334"/>
      <c r="DE79" s="334"/>
      <c r="DF79" s="334"/>
      <c r="DG79" s="334"/>
      <c r="DH79" s="334"/>
      <c r="DI79" s="334"/>
      <c r="DJ79" s="334"/>
      <c r="DK79" s="334"/>
      <c r="DL79" s="334"/>
      <c r="DM79" s="334"/>
      <c r="DN79" s="334"/>
      <c r="DO79" s="334"/>
      <c r="DP79" s="334"/>
      <c r="DQ79" s="334"/>
      <c r="DR79" s="334"/>
      <c r="DS79" s="334"/>
      <c r="DT79" s="334"/>
      <c r="DU79" s="334"/>
      <c r="DV79" s="334"/>
      <c r="DW79" s="334"/>
      <c r="DX79" s="334"/>
      <c r="DY79" s="334"/>
      <c r="DZ79" s="334"/>
      <c r="EA79" s="334"/>
      <c r="EB79" s="334"/>
      <c r="EC79" s="334"/>
      <c r="ED79" s="334"/>
      <c r="EE79" s="334"/>
      <c r="EF79" s="334"/>
      <c r="EG79" s="334"/>
      <c r="EH79" s="334"/>
      <c r="EI79" s="334"/>
      <c r="EJ79" s="334"/>
      <c r="EK79" s="334"/>
      <c r="EL79" s="334"/>
      <c r="EM79" s="334"/>
      <c r="EN79" s="334"/>
      <c r="EO79" s="334"/>
      <c r="EP79" s="334"/>
      <c r="EQ79" s="334"/>
      <c r="ER79" s="334"/>
      <c r="ES79" s="334"/>
      <c r="ET79" s="334"/>
      <c r="EU79" s="334"/>
      <c r="EV79" s="334"/>
      <c r="EW79" s="334"/>
      <c r="EX79" s="334"/>
      <c r="EY79" s="334"/>
      <c r="EZ79" s="334"/>
      <c r="FA79" s="334"/>
      <c r="FB79" s="334"/>
      <c r="FC79" s="334"/>
      <c r="FD79" s="334"/>
      <c r="FE79" s="334"/>
      <c r="FF79" s="334"/>
      <c r="FG79" s="334"/>
      <c r="FH79" s="334"/>
      <c r="FI79" s="334"/>
      <c r="FJ79" s="334"/>
      <c r="FK79" s="334"/>
      <c r="FL79" s="334"/>
      <c r="FM79" s="334"/>
      <c r="FN79" s="334"/>
      <c r="FO79" s="334"/>
      <c r="FP79" s="334"/>
      <c r="FQ79" s="334"/>
      <c r="FR79" s="334"/>
      <c r="FS79" s="334"/>
      <c r="FT79" s="334"/>
      <c r="FU79" s="334"/>
      <c r="FV79" s="334"/>
      <c r="FW79" s="334"/>
      <c r="FX79" s="334"/>
      <c r="FY79" s="334"/>
      <c r="FZ79" s="334"/>
      <c r="GA79" s="334"/>
      <c r="GB79" s="334"/>
      <c r="GC79" s="334"/>
      <c r="GD79" s="334"/>
      <c r="GE79" s="334"/>
      <c r="GF79" s="334"/>
      <c r="GG79" s="334"/>
      <c r="GH79" s="334"/>
      <c r="GI79" s="334"/>
      <c r="GJ79" s="334"/>
      <c r="GK79" s="334"/>
      <c r="GL79" s="334"/>
      <c r="GM79" s="334"/>
      <c r="GN79" s="334"/>
      <c r="GO79" s="334"/>
      <c r="GP79" s="334"/>
      <c r="GQ79" s="334"/>
      <c r="GR79" s="334"/>
      <c r="GS79" s="334"/>
      <c r="GT79" s="334"/>
      <c r="GU79" s="334"/>
      <c r="GV79" s="334"/>
      <c r="GW79" s="334"/>
      <c r="GX79" s="334"/>
      <c r="GY79" s="334"/>
      <c r="GZ79" s="334"/>
      <c r="HA79" s="334"/>
      <c r="HB79" s="334"/>
      <c r="HC79" s="334"/>
      <c r="HD79" s="334"/>
      <c r="HE79" s="334"/>
      <c r="HF79" s="334"/>
      <c r="HG79" s="334"/>
      <c r="HH79" s="334"/>
      <c r="HI79" s="334"/>
      <c r="HJ79" s="334"/>
      <c r="HK79" s="334"/>
      <c r="HL79" s="334"/>
      <c r="HM79" s="334"/>
      <c r="HN79" s="334"/>
      <c r="HO79" s="334"/>
      <c r="HP79" s="334"/>
      <c r="HQ79" s="334"/>
      <c r="HR79" s="334"/>
      <c r="HS79" s="334"/>
      <c r="HT79" s="334"/>
      <c r="HU79" s="334"/>
      <c r="HV79" s="334"/>
      <c r="HW79" s="334"/>
      <c r="HX79" s="334"/>
      <c r="HY79" s="334"/>
      <c r="HZ79" s="334"/>
      <c r="IA79" s="334"/>
      <c r="IB79" s="334"/>
      <c r="IC79" s="334"/>
      <c r="ID79" s="334"/>
      <c r="IE79" s="334"/>
      <c r="IF79" s="334"/>
      <c r="IG79" s="334"/>
      <c r="IH79" s="334"/>
      <c r="II79" s="334"/>
      <c r="IJ79" s="334"/>
      <c r="IK79" s="334"/>
      <c r="IL79" s="334"/>
      <c r="IM79" s="334"/>
      <c r="IN79" s="334"/>
      <c r="IO79" s="334"/>
      <c r="IP79" s="334"/>
      <c r="IQ79" s="334"/>
      <c r="IR79" s="334"/>
    </row>
    <row r="80" spans="1:252" s="368" customFormat="1" x14ac:dyDescent="0.25">
      <c r="A80" s="366">
        <v>43725</v>
      </c>
      <c r="B80" s="345">
        <v>83.71</v>
      </c>
      <c r="C80" s="345">
        <v>28.12</v>
      </c>
      <c r="D80" s="345">
        <v>141.6</v>
      </c>
      <c r="E80" s="345">
        <v>80.489999999999995</v>
      </c>
      <c r="F80" s="345">
        <v>192.6</v>
      </c>
      <c r="G80" s="345">
        <v>16.86</v>
      </c>
      <c r="H80" s="345">
        <v>26.72</v>
      </c>
      <c r="I80" s="345">
        <v>85.3</v>
      </c>
      <c r="J80" s="345">
        <v>93.44</v>
      </c>
      <c r="K80" s="345">
        <v>276.42</v>
      </c>
      <c r="L80" s="345">
        <v>152.83000000000001</v>
      </c>
      <c r="M80" s="345">
        <v>81.290000000000006</v>
      </c>
      <c r="N80" s="345">
        <v>33.369999999999997</v>
      </c>
      <c r="O80" s="345">
        <v>12.67</v>
      </c>
      <c r="P80" s="345">
        <v>25.98</v>
      </c>
      <c r="Q80" s="345">
        <v>35.83</v>
      </c>
      <c r="R80" s="345">
        <v>34.119999999999997</v>
      </c>
      <c r="S80" s="345">
        <v>29.43</v>
      </c>
      <c r="T80" s="345">
        <v>26.06</v>
      </c>
      <c r="U80" s="345">
        <v>74.489999999999995</v>
      </c>
      <c r="V80" s="334"/>
      <c r="W80" s="334"/>
      <c r="X80" s="334"/>
      <c r="Y80" s="334"/>
      <c r="Z80" s="334"/>
      <c r="AA80" s="334"/>
      <c r="AB80" s="334"/>
      <c r="AC80" s="334"/>
      <c r="AD80" s="334"/>
      <c r="AE80" s="334"/>
      <c r="AF80" s="334"/>
      <c r="AG80" s="334"/>
      <c r="AH80" s="334"/>
      <c r="AI80" s="334"/>
      <c r="AJ80" s="334"/>
      <c r="AK80" s="334"/>
      <c r="AL80" s="334"/>
      <c r="AM80" s="334"/>
      <c r="AN80" s="334"/>
      <c r="AO80" s="334"/>
      <c r="AP80" s="334"/>
      <c r="AQ80" s="334"/>
      <c r="AR80" s="334"/>
      <c r="AS80" s="334"/>
      <c r="AT80" s="334"/>
      <c r="AU80" s="334"/>
      <c r="AV80" s="334"/>
      <c r="AW80" s="334"/>
      <c r="AX80" s="334"/>
      <c r="AY80" s="334"/>
      <c r="AZ80" s="334"/>
      <c r="BA80" s="334"/>
      <c r="BB80" s="334"/>
      <c r="BC80" s="334"/>
      <c r="BD80" s="334"/>
      <c r="BE80" s="334"/>
      <c r="BF80" s="334"/>
      <c r="BG80" s="334"/>
      <c r="BH80" s="334"/>
      <c r="BI80" s="334"/>
      <c r="BJ80" s="334"/>
      <c r="BK80" s="334"/>
      <c r="BL80" s="334"/>
      <c r="BM80" s="334"/>
      <c r="BN80" s="334"/>
      <c r="BO80" s="334"/>
      <c r="BP80" s="334"/>
      <c r="BQ80" s="334"/>
      <c r="BR80" s="334"/>
      <c r="BS80" s="334"/>
      <c r="BT80" s="334"/>
      <c r="BU80" s="334"/>
      <c r="BV80" s="334"/>
      <c r="BW80" s="334"/>
      <c r="BX80" s="334"/>
      <c r="BY80" s="334"/>
      <c r="BZ80" s="334"/>
      <c r="CA80" s="334"/>
      <c r="CB80" s="334"/>
      <c r="CC80" s="334"/>
      <c r="CD80" s="334"/>
      <c r="CE80" s="334"/>
      <c r="CF80" s="334"/>
      <c r="CG80" s="334"/>
      <c r="CH80" s="334"/>
      <c r="CI80" s="334"/>
      <c r="CJ80" s="334"/>
      <c r="CK80" s="334"/>
      <c r="CL80" s="334"/>
      <c r="CM80" s="334"/>
      <c r="CN80" s="334"/>
      <c r="CO80" s="334"/>
      <c r="CP80" s="334"/>
      <c r="CQ80" s="334"/>
      <c r="CR80" s="334"/>
      <c r="CS80" s="334"/>
      <c r="CT80" s="334"/>
      <c r="CU80" s="334"/>
      <c r="CV80" s="334"/>
      <c r="CW80" s="334"/>
      <c r="CX80" s="334"/>
      <c r="CY80" s="334"/>
      <c r="CZ80" s="334"/>
      <c r="DA80" s="334"/>
      <c r="DB80" s="334"/>
      <c r="DC80" s="334"/>
      <c r="DD80" s="334"/>
      <c r="DE80" s="334"/>
      <c r="DF80" s="334"/>
      <c r="DG80" s="334"/>
      <c r="DH80" s="334"/>
      <c r="DI80" s="334"/>
      <c r="DJ80" s="334"/>
      <c r="DK80" s="334"/>
      <c r="DL80" s="334"/>
      <c r="DM80" s="334"/>
      <c r="DN80" s="334"/>
      <c r="DO80" s="334"/>
      <c r="DP80" s="334"/>
      <c r="DQ80" s="334"/>
      <c r="DR80" s="334"/>
      <c r="DS80" s="334"/>
      <c r="DT80" s="334"/>
      <c r="DU80" s="334"/>
      <c r="DV80" s="334"/>
      <c r="DW80" s="334"/>
      <c r="DX80" s="334"/>
      <c r="DY80" s="334"/>
      <c r="DZ80" s="334"/>
      <c r="EA80" s="334"/>
      <c r="EB80" s="334"/>
      <c r="EC80" s="334"/>
      <c r="ED80" s="334"/>
      <c r="EE80" s="334"/>
      <c r="EF80" s="334"/>
      <c r="EG80" s="334"/>
      <c r="EH80" s="334"/>
      <c r="EI80" s="334"/>
      <c r="EJ80" s="334"/>
      <c r="EK80" s="334"/>
      <c r="EL80" s="334"/>
      <c r="EM80" s="334"/>
      <c r="EN80" s="334"/>
      <c r="EO80" s="334"/>
      <c r="EP80" s="334"/>
      <c r="EQ80" s="334"/>
      <c r="ER80" s="334"/>
      <c r="ES80" s="334"/>
      <c r="ET80" s="334"/>
      <c r="EU80" s="334"/>
      <c r="EV80" s="334"/>
      <c r="EW80" s="334"/>
      <c r="EX80" s="334"/>
      <c r="EY80" s="334"/>
      <c r="EZ80" s="334"/>
      <c r="FA80" s="334"/>
      <c r="FB80" s="334"/>
      <c r="FC80" s="334"/>
      <c r="FD80" s="334"/>
      <c r="FE80" s="334"/>
      <c r="FF80" s="334"/>
      <c r="FG80" s="334"/>
      <c r="FH80" s="334"/>
      <c r="FI80" s="334"/>
      <c r="FJ80" s="334"/>
      <c r="FK80" s="334"/>
      <c r="FL80" s="334"/>
      <c r="FM80" s="334"/>
      <c r="FN80" s="334"/>
      <c r="FO80" s="334"/>
      <c r="FP80" s="334"/>
      <c r="FQ80" s="334"/>
      <c r="FR80" s="334"/>
      <c r="FS80" s="334"/>
      <c r="FT80" s="334"/>
      <c r="FU80" s="334"/>
      <c r="FV80" s="334"/>
      <c r="FW80" s="334"/>
      <c r="FX80" s="334"/>
      <c r="FY80" s="334"/>
      <c r="FZ80" s="334"/>
      <c r="GA80" s="334"/>
      <c r="GB80" s="334"/>
      <c r="GC80" s="334"/>
      <c r="GD80" s="334"/>
      <c r="GE80" s="334"/>
      <c r="GF80" s="334"/>
      <c r="GG80" s="334"/>
      <c r="GH80" s="334"/>
      <c r="GI80" s="334"/>
      <c r="GJ80" s="334"/>
      <c r="GK80" s="334"/>
      <c r="GL80" s="334"/>
      <c r="GM80" s="334"/>
      <c r="GN80" s="334"/>
      <c r="GO80" s="334"/>
      <c r="GP80" s="334"/>
      <c r="GQ80" s="334"/>
      <c r="GR80" s="334"/>
      <c r="GS80" s="334"/>
      <c r="GT80" s="334"/>
      <c r="GU80" s="334"/>
      <c r="GV80" s="334"/>
      <c r="GW80" s="334"/>
      <c r="GX80" s="334"/>
      <c r="GY80" s="334"/>
      <c r="GZ80" s="334"/>
      <c r="HA80" s="334"/>
      <c r="HB80" s="334"/>
      <c r="HC80" s="334"/>
      <c r="HD80" s="334"/>
      <c r="HE80" s="334"/>
      <c r="HF80" s="334"/>
      <c r="HG80" s="334"/>
      <c r="HH80" s="334"/>
      <c r="HI80" s="334"/>
      <c r="HJ80" s="334"/>
      <c r="HK80" s="334"/>
      <c r="HL80" s="334"/>
      <c r="HM80" s="334"/>
      <c r="HN80" s="334"/>
      <c r="HO80" s="334"/>
      <c r="HP80" s="334"/>
      <c r="HQ80" s="334"/>
      <c r="HR80" s="334"/>
      <c r="HS80" s="334"/>
      <c r="HT80" s="334"/>
      <c r="HU80" s="334"/>
      <c r="HV80" s="334"/>
      <c r="HW80" s="334"/>
      <c r="HX80" s="334"/>
      <c r="HY80" s="334"/>
      <c r="HZ80" s="334"/>
      <c r="IA80" s="334"/>
      <c r="IB80" s="334"/>
      <c r="IC80" s="334"/>
      <c r="ID80" s="334"/>
      <c r="IE80" s="334"/>
      <c r="IF80" s="334"/>
      <c r="IG80" s="334"/>
      <c r="IH80" s="334"/>
      <c r="II80" s="334"/>
      <c r="IJ80" s="334"/>
      <c r="IK80" s="334"/>
      <c r="IL80" s="334"/>
      <c r="IM80" s="334"/>
      <c r="IN80" s="334"/>
      <c r="IO80" s="334"/>
      <c r="IP80" s="334"/>
      <c r="IQ80" s="334"/>
      <c r="IR80" s="334"/>
    </row>
    <row r="81" spans="1:252" s="368" customFormat="1" x14ac:dyDescent="0.25">
      <c r="A81" s="366">
        <v>43726</v>
      </c>
      <c r="B81" s="345">
        <v>83.77</v>
      </c>
      <c r="C81" s="345">
        <v>27.62</v>
      </c>
      <c r="D81" s="345">
        <v>140.71</v>
      </c>
      <c r="E81" s="345">
        <v>80.05</v>
      </c>
      <c r="F81" s="345">
        <v>192.52</v>
      </c>
      <c r="G81" s="345">
        <v>16.55</v>
      </c>
      <c r="H81" s="345">
        <v>26.82</v>
      </c>
      <c r="I81" s="345">
        <v>85.69</v>
      </c>
      <c r="J81" s="345">
        <v>93.12</v>
      </c>
      <c r="K81" s="345">
        <v>276.58999999999997</v>
      </c>
      <c r="L81" s="345">
        <v>152.81</v>
      </c>
      <c r="M81" s="345">
        <v>81.28</v>
      </c>
      <c r="N81" s="345">
        <v>33.380000000000003</v>
      </c>
      <c r="O81" s="345">
        <v>12.58</v>
      </c>
      <c r="P81" s="345">
        <v>26</v>
      </c>
      <c r="Q81" s="345">
        <v>35.93</v>
      </c>
      <c r="R81" s="345">
        <v>34.049999999999997</v>
      </c>
      <c r="S81" s="345">
        <v>29</v>
      </c>
      <c r="T81" s="345">
        <v>26.11</v>
      </c>
      <c r="U81" s="345">
        <v>74.27</v>
      </c>
      <c r="V81" s="334"/>
      <c r="W81" s="334"/>
      <c r="X81" s="334"/>
      <c r="Y81" s="334"/>
      <c r="Z81" s="334"/>
      <c r="AA81" s="334"/>
      <c r="AB81" s="334"/>
      <c r="AC81" s="334"/>
      <c r="AD81" s="334"/>
      <c r="AE81" s="334"/>
      <c r="AF81" s="334"/>
      <c r="AG81" s="334"/>
      <c r="AH81" s="334"/>
      <c r="AI81" s="334"/>
      <c r="AJ81" s="334"/>
      <c r="AK81" s="334"/>
      <c r="AL81" s="334"/>
      <c r="AM81" s="334"/>
      <c r="AN81" s="334"/>
      <c r="AO81" s="334"/>
      <c r="AP81" s="334"/>
      <c r="AQ81" s="334"/>
      <c r="AR81" s="334"/>
      <c r="AS81" s="334"/>
      <c r="AT81" s="334"/>
      <c r="AU81" s="334"/>
      <c r="AV81" s="334"/>
      <c r="AW81" s="334"/>
      <c r="AX81" s="334"/>
      <c r="AY81" s="334"/>
      <c r="AZ81" s="334"/>
      <c r="BA81" s="334"/>
      <c r="BB81" s="334"/>
      <c r="BC81" s="334"/>
      <c r="BD81" s="334"/>
      <c r="BE81" s="334"/>
      <c r="BF81" s="334"/>
      <c r="BG81" s="334"/>
      <c r="BH81" s="334"/>
      <c r="BI81" s="334"/>
      <c r="BJ81" s="334"/>
      <c r="BK81" s="334"/>
      <c r="BL81" s="334"/>
      <c r="BM81" s="334"/>
      <c r="BN81" s="334"/>
      <c r="BO81" s="334"/>
      <c r="BP81" s="334"/>
      <c r="BQ81" s="334"/>
      <c r="BR81" s="334"/>
      <c r="BS81" s="334"/>
      <c r="BT81" s="334"/>
      <c r="BU81" s="334"/>
      <c r="BV81" s="334"/>
      <c r="BW81" s="334"/>
      <c r="BX81" s="334"/>
      <c r="BY81" s="334"/>
      <c r="BZ81" s="334"/>
      <c r="CA81" s="334"/>
      <c r="CB81" s="334"/>
      <c r="CC81" s="334"/>
      <c r="CD81" s="334"/>
      <c r="CE81" s="334"/>
      <c r="CF81" s="334"/>
      <c r="CG81" s="334"/>
      <c r="CH81" s="334"/>
      <c r="CI81" s="334"/>
      <c r="CJ81" s="334"/>
      <c r="CK81" s="334"/>
      <c r="CL81" s="334"/>
      <c r="CM81" s="334"/>
      <c r="CN81" s="334"/>
      <c r="CO81" s="334"/>
      <c r="CP81" s="334"/>
      <c r="CQ81" s="334"/>
      <c r="CR81" s="334"/>
      <c r="CS81" s="334"/>
      <c r="CT81" s="334"/>
      <c r="CU81" s="334"/>
      <c r="CV81" s="334"/>
      <c r="CW81" s="334"/>
      <c r="CX81" s="334"/>
      <c r="CY81" s="334"/>
      <c r="CZ81" s="334"/>
      <c r="DA81" s="334"/>
      <c r="DB81" s="334"/>
      <c r="DC81" s="334"/>
      <c r="DD81" s="334"/>
      <c r="DE81" s="334"/>
      <c r="DF81" s="334"/>
      <c r="DG81" s="334"/>
      <c r="DH81" s="334"/>
      <c r="DI81" s="334"/>
      <c r="DJ81" s="334"/>
      <c r="DK81" s="334"/>
      <c r="DL81" s="334"/>
      <c r="DM81" s="334"/>
      <c r="DN81" s="334"/>
      <c r="DO81" s="334"/>
      <c r="DP81" s="334"/>
      <c r="DQ81" s="334"/>
      <c r="DR81" s="334"/>
      <c r="DS81" s="334"/>
      <c r="DT81" s="334"/>
      <c r="DU81" s="334"/>
      <c r="DV81" s="334"/>
      <c r="DW81" s="334"/>
      <c r="DX81" s="334"/>
      <c r="DY81" s="334"/>
      <c r="DZ81" s="334"/>
      <c r="EA81" s="334"/>
      <c r="EB81" s="334"/>
      <c r="EC81" s="334"/>
      <c r="ED81" s="334"/>
      <c r="EE81" s="334"/>
      <c r="EF81" s="334"/>
      <c r="EG81" s="334"/>
      <c r="EH81" s="334"/>
      <c r="EI81" s="334"/>
      <c r="EJ81" s="334"/>
      <c r="EK81" s="334"/>
      <c r="EL81" s="334"/>
      <c r="EM81" s="334"/>
      <c r="EN81" s="334"/>
      <c r="EO81" s="334"/>
      <c r="EP81" s="334"/>
      <c r="EQ81" s="334"/>
      <c r="ER81" s="334"/>
      <c r="ES81" s="334"/>
      <c r="ET81" s="334"/>
      <c r="EU81" s="334"/>
      <c r="EV81" s="334"/>
      <c r="EW81" s="334"/>
      <c r="EX81" s="334"/>
      <c r="EY81" s="334"/>
      <c r="EZ81" s="334"/>
      <c r="FA81" s="334"/>
      <c r="FB81" s="334"/>
      <c r="FC81" s="334"/>
      <c r="FD81" s="334"/>
      <c r="FE81" s="334"/>
      <c r="FF81" s="334"/>
      <c r="FG81" s="334"/>
      <c r="FH81" s="334"/>
      <c r="FI81" s="334"/>
      <c r="FJ81" s="334"/>
      <c r="FK81" s="334"/>
      <c r="FL81" s="334"/>
      <c r="FM81" s="334"/>
      <c r="FN81" s="334"/>
      <c r="FO81" s="334"/>
      <c r="FP81" s="334"/>
      <c r="FQ81" s="334"/>
      <c r="FR81" s="334"/>
      <c r="FS81" s="334"/>
      <c r="FT81" s="334"/>
      <c r="FU81" s="334"/>
      <c r="FV81" s="334"/>
      <c r="FW81" s="334"/>
      <c r="FX81" s="334"/>
      <c r="FY81" s="334"/>
      <c r="FZ81" s="334"/>
      <c r="GA81" s="334"/>
      <c r="GB81" s="334"/>
      <c r="GC81" s="334"/>
      <c r="GD81" s="334"/>
      <c r="GE81" s="334"/>
      <c r="GF81" s="334"/>
      <c r="GG81" s="334"/>
      <c r="GH81" s="334"/>
      <c r="GI81" s="334"/>
      <c r="GJ81" s="334"/>
      <c r="GK81" s="334"/>
      <c r="GL81" s="334"/>
      <c r="GM81" s="334"/>
      <c r="GN81" s="334"/>
      <c r="GO81" s="334"/>
      <c r="GP81" s="334"/>
      <c r="GQ81" s="334"/>
      <c r="GR81" s="334"/>
      <c r="GS81" s="334"/>
      <c r="GT81" s="334"/>
      <c r="GU81" s="334"/>
      <c r="GV81" s="334"/>
      <c r="GW81" s="334"/>
      <c r="GX81" s="334"/>
      <c r="GY81" s="334"/>
      <c r="GZ81" s="334"/>
      <c r="HA81" s="334"/>
      <c r="HB81" s="334"/>
      <c r="HC81" s="334"/>
      <c r="HD81" s="334"/>
      <c r="HE81" s="334"/>
      <c r="HF81" s="334"/>
      <c r="HG81" s="334"/>
      <c r="HH81" s="334"/>
      <c r="HI81" s="334"/>
      <c r="HJ81" s="334"/>
      <c r="HK81" s="334"/>
      <c r="HL81" s="334"/>
      <c r="HM81" s="334"/>
      <c r="HN81" s="334"/>
      <c r="HO81" s="334"/>
      <c r="HP81" s="334"/>
      <c r="HQ81" s="334"/>
      <c r="HR81" s="334"/>
      <c r="HS81" s="334"/>
      <c r="HT81" s="334"/>
      <c r="HU81" s="334"/>
      <c r="HV81" s="334"/>
      <c r="HW81" s="334"/>
      <c r="HX81" s="334"/>
      <c r="HY81" s="334"/>
      <c r="HZ81" s="334"/>
      <c r="IA81" s="334"/>
      <c r="IB81" s="334"/>
      <c r="IC81" s="334"/>
      <c r="ID81" s="334"/>
      <c r="IE81" s="334"/>
      <c r="IF81" s="334"/>
      <c r="IG81" s="334"/>
      <c r="IH81" s="334"/>
      <c r="II81" s="334"/>
      <c r="IJ81" s="334"/>
      <c r="IK81" s="334"/>
      <c r="IL81" s="334"/>
      <c r="IM81" s="334"/>
      <c r="IN81" s="334"/>
      <c r="IO81" s="334"/>
      <c r="IP81" s="334"/>
      <c r="IQ81" s="334"/>
      <c r="IR81" s="334"/>
    </row>
    <row r="82" spans="1:252" s="368" customFormat="1" x14ac:dyDescent="0.25">
      <c r="A82" s="366">
        <v>43727</v>
      </c>
      <c r="B82" s="345">
        <v>83.89</v>
      </c>
      <c r="C82" s="345">
        <v>28.1</v>
      </c>
      <c r="D82" s="345">
        <v>141.28</v>
      </c>
      <c r="E82" s="345">
        <v>79.53</v>
      </c>
      <c r="F82" s="345">
        <v>192.84</v>
      </c>
      <c r="G82" s="345">
        <v>16.62</v>
      </c>
      <c r="H82" s="345">
        <v>26.76</v>
      </c>
      <c r="I82" s="345">
        <v>85.91</v>
      </c>
      <c r="J82" s="345">
        <v>93.45</v>
      </c>
      <c r="K82" s="345">
        <v>276.52999999999997</v>
      </c>
      <c r="L82" s="345">
        <v>152.71</v>
      </c>
      <c r="M82" s="345">
        <v>81.459999999999994</v>
      </c>
      <c r="N82" s="345">
        <v>33.369999999999997</v>
      </c>
      <c r="O82" s="345">
        <v>12.6</v>
      </c>
      <c r="P82" s="345">
        <v>26.02</v>
      </c>
      <c r="Q82" s="345">
        <v>36.049999999999997</v>
      </c>
      <c r="R82" s="345">
        <v>34.19</v>
      </c>
      <c r="S82" s="345">
        <v>29.34</v>
      </c>
      <c r="T82" s="345">
        <v>26.16</v>
      </c>
      <c r="U82" s="345">
        <v>74.400000000000006</v>
      </c>
      <c r="V82" s="334"/>
      <c r="W82" s="334"/>
      <c r="X82" s="334"/>
      <c r="Y82" s="334"/>
      <c r="Z82" s="334"/>
      <c r="AA82" s="334"/>
      <c r="AB82" s="334"/>
      <c r="AC82" s="334"/>
      <c r="AD82" s="334"/>
      <c r="AE82" s="334"/>
      <c r="AF82" s="334"/>
      <c r="AG82" s="334"/>
      <c r="AH82" s="334"/>
      <c r="AI82" s="334"/>
      <c r="AJ82" s="334"/>
      <c r="AK82" s="334"/>
      <c r="AL82" s="334"/>
      <c r="AM82" s="334"/>
      <c r="AN82" s="334"/>
      <c r="AO82" s="334"/>
      <c r="AP82" s="334"/>
      <c r="AQ82" s="334"/>
      <c r="AR82" s="334"/>
      <c r="AS82" s="334"/>
      <c r="AT82" s="334"/>
      <c r="AU82" s="334"/>
      <c r="AV82" s="334"/>
      <c r="AW82" s="334"/>
      <c r="AX82" s="334"/>
      <c r="AY82" s="334"/>
      <c r="AZ82" s="334"/>
      <c r="BA82" s="334"/>
      <c r="BB82" s="334"/>
      <c r="BC82" s="334"/>
      <c r="BD82" s="334"/>
      <c r="BE82" s="334"/>
      <c r="BF82" s="334"/>
      <c r="BG82" s="334"/>
      <c r="BH82" s="334"/>
      <c r="BI82" s="334"/>
      <c r="BJ82" s="334"/>
      <c r="BK82" s="334"/>
      <c r="BL82" s="334"/>
      <c r="BM82" s="334"/>
      <c r="BN82" s="334"/>
      <c r="BO82" s="334"/>
      <c r="BP82" s="334"/>
      <c r="BQ82" s="334"/>
      <c r="BR82" s="334"/>
      <c r="BS82" s="334"/>
      <c r="BT82" s="334"/>
      <c r="BU82" s="334"/>
      <c r="BV82" s="334"/>
      <c r="BW82" s="334"/>
      <c r="BX82" s="334"/>
      <c r="BY82" s="334"/>
      <c r="BZ82" s="334"/>
      <c r="CA82" s="334"/>
      <c r="CB82" s="334"/>
      <c r="CC82" s="334"/>
      <c r="CD82" s="334"/>
      <c r="CE82" s="334"/>
      <c r="CF82" s="334"/>
      <c r="CG82" s="334"/>
      <c r="CH82" s="334"/>
      <c r="CI82" s="334"/>
      <c r="CJ82" s="334"/>
      <c r="CK82" s="334"/>
      <c r="CL82" s="334"/>
      <c r="CM82" s="334"/>
      <c r="CN82" s="334"/>
      <c r="CO82" s="334"/>
      <c r="CP82" s="334"/>
      <c r="CQ82" s="334"/>
      <c r="CR82" s="334"/>
      <c r="CS82" s="334"/>
      <c r="CT82" s="334"/>
      <c r="CU82" s="334"/>
      <c r="CV82" s="334"/>
      <c r="CW82" s="334"/>
      <c r="CX82" s="334"/>
      <c r="CY82" s="334"/>
      <c r="CZ82" s="334"/>
      <c r="DA82" s="334"/>
      <c r="DB82" s="334"/>
      <c r="DC82" s="334"/>
      <c r="DD82" s="334"/>
      <c r="DE82" s="334"/>
      <c r="DF82" s="334"/>
      <c r="DG82" s="334"/>
      <c r="DH82" s="334"/>
      <c r="DI82" s="334"/>
      <c r="DJ82" s="334"/>
      <c r="DK82" s="334"/>
      <c r="DL82" s="334"/>
      <c r="DM82" s="334"/>
      <c r="DN82" s="334"/>
      <c r="DO82" s="334"/>
      <c r="DP82" s="334"/>
      <c r="DQ82" s="334"/>
      <c r="DR82" s="334"/>
      <c r="DS82" s="334"/>
      <c r="DT82" s="334"/>
      <c r="DU82" s="334"/>
      <c r="DV82" s="334"/>
      <c r="DW82" s="334"/>
      <c r="DX82" s="334"/>
      <c r="DY82" s="334"/>
      <c r="DZ82" s="334"/>
      <c r="EA82" s="334"/>
      <c r="EB82" s="334"/>
      <c r="EC82" s="334"/>
      <c r="ED82" s="334"/>
      <c r="EE82" s="334"/>
      <c r="EF82" s="334"/>
      <c r="EG82" s="334"/>
      <c r="EH82" s="334"/>
      <c r="EI82" s="334"/>
      <c r="EJ82" s="334"/>
      <c r="EK82" s="334"/>
      <c r="EL82" s="334"/>
      <c r="EM82" s="334"/>
      <c r="EN82" s="334"/>
      <c r="EO82" s="334"/>
      <c r="EP82" s="334"/>
      <c r="EQ82" s="334"/>
      <c r="ER82" s="334"/>
      <c r="ES82" s="334"/>
      <c r="ET82" s="334"/>
      <c r="EU82" s="334"/>
      <c r="EV82" s="334"/>
      <c r="EW82" s="334"/>
      <c r="EX82" s="334"/>
      <c r="EY82" s="334"/>
      <c r="EZ82" s="334"/>
      <c r="FA82" s="334"/>
      <c r="FB82" s="334"/>
      <c r="FC82" s="334"/>
      <c r="FD82" s="334"/>
      <c r="FE82" s="334"/>
      <c r="FF82" s="334"/>
      <c r="FG82" s="334"/>
      <c r="FH82" s="334"/>
      <c r="FI82" s="334"/>
      <c r="FJ82" s="334"/>
      <c r="FK82" s="334"/>
      <c r="FL82" s="334"/>
      <c r="FM82" s="334"/>
      <c r="FN82" s="334"/>
      <c r="FO82" s="334"/>
      <c r="FP82" s="334"/>
      <c r="FQ82" s="334"/>
      <c r="FR82" s="334"/>
      <c r="FS82" s="334"/>
      <c r="FT82" s="334"/>
      <c r="FU82" s="334"/>
      <c r="FV82" s="334"/>
      <c r="FW82" s="334"/>
      <c r="FX82" s="334"/>
      <c r="FY82" s="334"/>
      <c r="FZ82" s="334"/>
      <c r="GA82" s="334"/>
      <c r="GB82" s="334"/>
      <c r="GC82" s="334"/>
      <c r="GD82" s="334"/>
      <c r="GE82" s="334"/>
      <c r="GF82" s="334"/>
      <c r="GG82" s="334"/>
      <c r="GH82" s="334"/>
      <c r="GI82" s="334"/>
      <c r="GJ82" s="334"/>
      <c r="GK82" s="334"/>
      <c r="GL82" s="334"/>
      <c r="GM82" s="334"/>
      <c r="GN82" s="334"/>
      <c r="GO82" s="334"/>
      <c r="GP82" s="334"/>
      <c r="GQ82" s="334"/>
      <c r="GR82" s="334"/>
      <c r="GS82" s="334"/>
      <c r="GT82" s="334"/>
      <c r="GU82" s="334"/>
      <c r="GV82" s="334"/>
      <c r="GW82" s="334"/>
      <c r="GX82" s="334"/>
      <c r="GY82" s="334"/>
      <c r="GZ82" s="334"/>
      <c r="HA82" s="334"/>
      <c r="HB82" s="334"/>
      <c r="HC82" s="334"/>
      <c r="HD82" s="334"/>
      <c r="HE82" s="334"/>
      <c r="HF82" s="334"/>
      <c r="HG82" s="334"/>
      <c r="HH82" s="334"/>
      <c r="HI82" s="334"/>
      <c r="HJ82" s="334"/>
      <c r="HK82" s="334"/>
      <c r="HL82" s="334"/>
      <c r="HM82" s="334"/>
      <c r="HN82" s="334"/>
      <c r="HO82" s="334"/>
      <c r="HP82" s="334"/>
      <c r="HQ82" s="334"/>
      <c r="HR82" s="334"/>
      <c r="HS82" s="334"/>
      <c r="HT82" s="334"/>
      <c r="HU82" s="334"/>
      <c r="HV82" s="334"/>
      <c r="HW82" s="334"/>
      <c r="HX82" s="334"/>
      <c r="HY82" s="334"/>
      <c r="HZ82" s="334"/>
      <c r="IA82" s="334"/>
      <c r="IB82" s="334"/>
      <c r="IC82" s="334"/>
      <c r="ID82" s="334"/>
      <c r="IE82" s="334"/>
      <c r="IF82" s="334"/>
      <c r="IG82" s="334"/>
      <c r="IH82" s="334"/>
      <c r="II82" s="334"/>
      <c r="IJ82" s="334"/>
      <c r="IK82" s="334"/>
      <c r="IL82" s="334"/>
      <c r="IM82" s="334"/>
      <c r="IN82" s="334"/>
      <c r="IO82" s="334"/>
      <c r="IP82" s="334"/>
      <c r="IQ82" s="334"/>
      <c r="IR82" s="334"/>
    </row>
    <row r="83" spans="1:252" s="368" customFormat="1" x14ac:dyDescent="0.25">
      <c r="A83" s="366">
        <v>43728</v>
      </c>
      <c r="B83" s="345">
        <v>84.19</v>
      </c>
      <c r="C83" s="345">
        <v>28.69</v>
      </c>
      <c r="D83" s="345">
        <v>142.94999999999999</v>
      </c>
      <c r="E83" s="345">
        <v>79.260000000000005</v>
      </c>
      <c r="F83" s="345">
        <v>190.8</v>
      </c>
      <c r="G83" s="345">
        <v>16.8</v>
      </c>
      <c r="H83" s="345">
        <v>26.83</v>
      </c>
      <c r="I83" s="345">
        <v>87</v>
      </c>
      <c r="J83" s="345">
        <v>93.45</v>
      </c>
      <c r="K83" s="345">
        <v>275.05</v>
      </c>
      <c r="L83" s="345">
        <v>152.04</v>
      </c>
      <c r="M83" s="345">
        <v>80.260000000000005</v>
      </c>
      <c r="N83" s="345">
        <v>33.22</v>
      </c>
      <c r="O83" s="345">
        <v>12.77</v>
      </c>
      <c r="P83" s="345">
        <v>26.01</v>
      </c>
      <c r="Q83" s="345">
        <v>36.35</v>
      </c>
      <c r="R83" s="345">
        <v>34.24</v>
      </c>
      <c r="S83" s="345">
        <v>29.81</v>
      </c>
      <c r="T83" s="345">
        <v>26.25</v>
      </c>
      <c r="U83" s="345">
        <v>74.319999999999993</v>
      </c>
      <c r="V83" s="334"/>
      <c r="W83" s="334"/>
      <c r="X83" s="334"/>
      <c r="Y83" s="334"/>
      <c r="Z83" s="334"/>
      <c r="AA83" s="334"/>
      <c r="AB83" s="334"/>
      <c r="AC83" s="334"/>
      <c r="AD83" s="334"/>
      <c r="AE83" s="334"/>
      <c r="AF83" s="334"/>
      <c r="AG83" s="334"/>
      <c r="AH83" s="334"/>
      <c r="AI83" s="334"/>
      <c r="AJ83" s="334"/>
      <c r="AK83" s="334"/>
      <c r="AL83" s="334"/>
      <c r="AM83" s="334"/>
      <c r="AN83" s="334"/>
      <c r="AO83" s="334"/>
      <c r="AP83" s="334"/>
      <c r="AQ83" s="334"/>
      <c r="AR83" s="334"/>
      <c r="AS83" s="334"/>
      <c r="AT83" s="334"/>
      <c r="AU83" s="334"/>
      <c r="AV83" s="334"/>
      <c r="AW83" s="334"/>
      <c r="AX83" s="334"/>
      <c r="AY83" s="334"/>
      <c r="AZ83" s="334"/>
      <c r="BA83" s="334"/>
      <c r="BB83" s="334"/>
      <c r="BC83" s="334"/>
      <c r="BD83" s="334"/>
      <c r="BE83" s="334"/>
      <c r="BF83" s="334"/>
      <c r="BG83" s="334"/>
      <c r="BH83" s="334"/>
      <c r="BI83" s="334"/>
      <c r="BJ83" s="334"/>
      <c r="BK83" s="334"/>
      <c r="BL83" s="334"/>
      <c r="BM83" s="334"/>
      <c r="BN83" s="334"/>
      <c r="BO83" s="334"/>
      <c r="BP83" s="334"/>
      <c r="BQ83" s="334"/>
      <c r="BR83" s="334"/>
      <c r="BS83" s="334"/>
      <c r="BT83" s="334"/>
      <c r="BU83" s="334"/>
      <c r="BV83" s="334"/>
      <c r="BW83" s="334"/>
      <c r="BX83" s="334"/>
      <c r="BY83" s="334"/>
      <c r="BZ83" s="334"/>
      <c r="CA83" s="334"/>
      <c r="CB83" s="334"/>
      <c r="CC83" s="334"/>
      <c r="CD83" s="334"/>
      <c r="CE83" s="334"/>
      <c r="CF83" s="334"/>
      <c r="CG83" s="334"/>
      <c r="CH83" s="334"/>
      <c r="CI83" s="334"/>
      <c r="CJ83" s="334"/>
      <c r="CK83" s="334"/>
      <c r="CL83" s="334"/>
      <c r="CM83" s="334"/>
      <c r="CN83" s="334"/>
      <c r="CO83" s="334"/>
      <c r="CP83" s="334"/>
      <c r="CQ83" s="334"/>
      <c r="CR83" s="334"/>
      <c r="CS83" s="334"/>
      <c r="CT83" s="334"/>
      <c r="CU83" s="334"/>
      <c r="CV83" s="334"/>
      <c r="CW83" s="334"/>
      <c r="CX83" s="334"/>
      <c r="CY83" s="334"/>
      <c r="CZ83" s="334"/>
      <c r="DA83" s="334"/>
      <c r="DB83" s="334"/>
      <c r="DC83" s="334"/>
      <c r="DD83" s="334"/>
      <c r="DE83" s="334"/>
      <c r="DF83" s="334"/>
      <c r="DG83" s="334"/>
      <c r="DH83" s="334"/>
      <c r="DI83" s="334"/>
      <c r="DJ83" s="334"/>
      <c r="DK83" s="334"/>
      <c r="DL83" s="334"/>
      <c r="DM83" s="334"/>
      <c r="DN83" s="334"/>
      <c r="DO83" s="334"/>
      <c r="DP83" s="334"/>
      <c r="DQ83" s="334"/>
      <c r="DR83" s="334"/>
      <c r="DS83" s="334"/>
      <c r="DT83" s="334"/>
      <c r="DU83" s="334"/>
      <c r="DV83" s="334"/>
      <c r="DW83" s="334"/>
      <c r="DX83" s="334"/>
      <c r="DY83" s="334"/>
      <c r="DZ83" s="334"/>
      <c r="EA83" s="334"/>
      <c r="EB83" s="334"/>
      <c r="EC83" s="334"/>
      <c r="ED83" s="334"/>
      <c r="EE83" s="334"/>
      <c r="EF83" s="334"/>
      <c r="EG83" s="334"/>
      <c r="EH83" s="334"/>
      <c r="EI83" s="334"/>
      <c r="EJ83" s="334"/>
      <c r="EK83" s="334"/>
      <c r="EL83" s="334"/>
      <c r="EM83" s="334"/>
      <c r="EN83" s="334"/>
      <c r="EO83" s="334"/>
      <c r="EP83" s="334"/>
      <c r="EQ83" s="334"/>
      <c r="ER83" s="334"/>
      <c r="ES83" s="334"/>
      <c r="ET83" s="334"/>
      <c r="EU83" s="334"/>
      <c r="EV83" s="334"/>
      <c r="EW83" s="334"/>
      <c r="EX83" s="334"/>
      <c r="EY83" s="334"/>
      <c r="EZ83" s="334"/>
      <c r="FA83" s="334"/>
      <c r="FB83" s="334"/>
      <c r="FC83" s="334"/>
      <c r="FD83" s="334"/>
      <c r="FE83" s="334"/>
      <c r="FF83" s="334"/>
      <c r="FG83" s="334"/>
      <c r="FH83" s="334"/>
      <c r="FI83" s="334"/>
      <c r="FJ83" s="334"/>
      <c r="FK83" s="334"/>
      <c r="FL83" s="334"/>
      <c r="FM83" s="334"/>
      <c r="FN83" s="334"/>
      <c r="FO83" s="334"/>
      <c r="FP83" s="334"/>
      <c r="FQ83" s="334"/>
      <c r="FR83" s="334"/>
      <c r="FS83" s="334"/>
      <c r="FT83" s="334"/>
      <c r="FU83" s="334"/>
      <c r="FV83" s="334"/>
      <c r="FW83" s="334"/>
      <c r="FX83" s="334"/>
      <c r="FY83" s="334"/>
      <c r="FZ83" s="334"/>
      <c r="GA83" s="334"/>
      <c r="GB83" s="334"/>
      <c r="GC83" s="334"/>
      <c r="GD83" s="334"/>
      <c r="GE83" s="334"/>
      <c r="GF83" s="334"/>
      <c r="GG83" s="334"/>
      <c r="GH83" s="334"/>
      <c r="GI83" s="334"/>
      <c r="GJ83" s="334"/>
      <c r="GK83" s="334"/>
      <c r="GL83" s="334"/>
      <c r="GM83" s="334"/>
      <c r="GN83" s="334"/>
      <c r="GO83" s="334"/>
      <c r="GP83" s="334"/>
      <c r="GQ83" s="334"/>
      <c r="GR83" s="334"/>
      <c r="GS83" s="334"/>
      <c r="GT83" s="334"/>
      <c r="GU83" s="334"/>
      <c r="GV83" s="334"/>
      <c r="GW83" s="334"/>
      <c r="GX83" s="334"/>
      <c r="GY83" s="334"/>
      <c r="GZ83" s="334"/>
      <c r="HA83" s="334"/>
      <c r="HB83" s="334"/>
      <c r="HC83" s="334"/>
      <c r="HD83" s="334"/>
      <c r="HE83" s="334"/>
      <c r="HF83" s="334"/>
      <c r="HG83" s="334"/>
      <c r="HH83" s="334"/>
      <c r="HI83" s="334"/>
      <c r="HJ83" s="334"/>
      <c r="HK83" s="334"/>
      <c r="HL83" s="334"/>
      <c r="HM83" s="334"/>
      <c r="HN83" s="334"/>
      <c r="HO83" s="334"/>
      <c r="HP83" s="334"/>
      <c r="HQ83" s="334"/>
      <c r="HR83" s="334"/>
      <c r="HS83" s="334"/>
      <c r="HT83" s="334"/>
      <c r="HU83" s="334"/>
      <c r="HV83" s="334"/>
      <c r="HW83" s="334"/>
      <c r="HX83" s="334"/>
      <c r="HY83" s="334"/>
      <c r="HZ83" s="334"/>
      <c r="IA83" s="334"/>
      <c r="IB83" s="334"/>
      <c r="IC83" s="334"/>
      <c r="ID83" s="334"/>
      <c r="IE83" s="334"/>
      <c r="IF83" s="334"/>
      <c r="IG83" s="334"/>
      <c r="IH83" s="334"/>
      <c r="II83" s="334"/>
      <c r="IJ83" s="334"/>
      <c r="IK83" s="334"/>
      <c r="IL83" s="334"/>
      <c r="IM83" s="334"/>
      <c r="IN83" s="334"/>
      <c r="IO83" s="334"/>
      <c r="IP83" s="334"/>
      <c r="IQ83" s="334"/>
      <c r="IR83" s="334"/>
    </row>
    <row r="84" spans="1:252" s="368" customFormat="1" x14ac:dyDescent="0.25">
      <c r="A84" s="366">
        <v>43729</v>
      </c>
      <c r="B84" s="345">
        <v>84.19</v>
      </c>
      <c r="C84" s="345">
        <v>28.69</v>
      </c>
      <c r="D84" s="345">
        <v>142.94999999999999</v>
      </c>
      <c r="E84" s="345">
        <v>79.260000000000005</v>
      </c>
      <c r="F84" s="345">
        <v>190.8</v>
      </c>
      <c r="G84" s="345">
        <v>16.8</v>
      </c>
      <c r="H84" s="345">
        <v>26.83</v>
      </c>
      <c r="I84" s="345">
        <v>87</v>
      </c>
      <c r="J84" s="345">
        <v>93.45</v>
      </c>
      <c r="K84" s="345">
        <v>275.05</v>
      </c>
      <c r="L84" s="345">
        <v>152.04</v>
      </c>
      <c r="M84" s="345">
        <v>80.260000000000005</v>
      </c>
      <c r="N84" s="345">
        <v>33.22</v>
      </c>
      <c r="O84" s="345">
        <v>12.77</v>
      </c>
      <c r="P84" s="345">
        <v>26.01</v>
      </c>
      <c r="Q84" s="345">
        <v>36.35</v>
      </c>
      <c r="R84" s="345">
        <v>34.24</v>
      </c>
      <c r="S84" s="345">
        <v>29.81</v>
      </c>
      <c r="T84" s="345">
        <v>26.25</v>
      </c>
      <c r="U84" s="345">
        <v>74.319999999999993</v>
      </c>
      <c r="V84" s="334"/>
      <c r="W84" s="334"/>
      <c r="X84" s="334"/>
      <c r="Y84" s="334"/>
      <c r="Z84" s="334"/>
      <c r="AA84" s="334"/>
      <c r="AB84" s="334"/>
      <c r="AC84" s="334"/>
      <c r="AD84" s="334"/>
      <c r="AE84" s="334"/>
      <c r="AF84" s="334"/>
      <c r="AG84" s="334"/>
      <c r="AH84" s="334"/>
      <c r="AI84" s="334"/>
      <c r="AJ84" s="334"/>
      <c r="AK84" s="334"/>
      <c r="AL84" s="334"/>
      <c r="AM84" s="334"/>
      <c r="AN84" s="334"/>
      <c r="AO84" s="334"/>
      <c r="AP84" s="334"/>
      <c r="AQ84" s="334"/>
      <c r="AR84" s="334"/>
      <c r="AS84" s="334"/>
      <c r="AT84" s="334"/>
      <c r="AU84" s="334"/>
      <c r="AV84" s="334"/>
      <c r="AW84" s="334"/>
      <c r="AX84" s="334"/>
      <c r="AY84" s="334"/>
      <c r="AZ84" s="334"/>
      <c r="BA84" s="334"/>
      <c r="BB84" s="334"/>
      <c r="BC84" s="334"/>
      <c r="BD84" s="334"/>
      <c r="BE84" s="334"/>
      <c r="BF84" s="334"/>
      <c r="BG84" s="334"/>
      <c r="BH84" s="334"/>
      <c r="BI84" s="334"/>
      <c r="BJ84" s="334"/>
      <c r="BK84" s="334"/>
      <c r="BL84" s="334"/>
      <c r="BM84" s="334"/>
      <c r="BN84" s="334"/>
      <c r="BO84" s="334"/>
      <c r="BP84" s="334"/>
      <c r="BQ84" s="334"/>
      <c r="BR84" s="334"/>
      <c r="BS84" s="334"/>
      <c r="BT84" s="334"/>
      <c r="BU84" s="334"/>
      <c r="BV84" s="334"/>
      <c r="BW84" s="334"/>
      <c r="BX84" s="334"/>
      <c r="BY84" s="334"/>
      <c r="BZ84" s="334"/>
      <c r="CA84" s="334"/>
      <c r="CB84" s="334"/>
      <c r="CC84" s="334"/>
      <c r="CD84" s="334"/>
      <c r="CE84" s="334"/>
      <c r="CF84" s="334"/>
      <c r="CG84" s="334"/>
      <c r="CH84" s="334"/>
      <c r="CI84" s="334"/>
      <c r="CJ84" s="334"/>
      <c r="CK84" s="334"/>
      <c r="CL84" s="334"/>
      <c r="CM84" s="334"/>
      <c r="CN84" s="334"/>
      <c r="CO84" s="334"/>
      <c r="CP84" s="334"/>
      <c r="CQ84" s="334"/>
      <c r="CR84" s="334"/>
      <c r="CS84" s="334"/>
      <c r="CT84" s="334"/>
      <c r="CU84" s="334"/>
      <c r="CV84" s="334"/>
      <c r="CW84" s="334"/>
      <c r="CX84" s="334"/>
      <c r="CY84" s="334"/>
      <c r="CZ84" s="334"/>
      <c r="DA84" s="334"/>
      <c r="DB84" s="334"/>
      <c r="DC84" s="334"/>
      <c r="DD84" s="334"/>
      <c r="DE84" s="334"/>
      <c r="DF84" s="334"/>
      <c r="DG84" s="334"/>
      <c r="DH84" s="334"/>
      <c r="DI84" s="334"/>
      <c r="DJ84" s="334"/>
      <c r="DK84" s="334"/>
      <c r="DL84" s="334"/>
      <c r="DM84" s="334"/>
      <c r="DN84" s="334"/>
      <c r="DO84" s="334"/>
      <c r="DP84" s="334"/>
      <c r="DQ84" s="334"/>
      <c r="DR84" s="334"/>
      <c r="DS84" s="334"/>
      <c r="DT84" s="334"/>
      <c r="DU84" s="334"/>
      <c r="DV84" s="334"/>
      <c r="DW84" s="334"/>
      <c r="DX84" s="334"/>
      <c r="DY84" s="334"/>
      <c r="DZ84" s="334"/>
      <c r="EA84" s="334"/>
      <c r="EB84" s="334"/>
      <c r="EC84" s="334"/>
      <c r="ED84" s="334"/>
      <c r="EE84" s="334"/>
      <c r="EF84" s="334"/>
      <c r="EG84" s="334"/>
      <c r="EH84" s="334"/>
      <c r="EI84" s="334"/>
      <c r="EJ84" s="334"/>
      <c r="EK84" s="334"/>
      <c r="EL84" s="334"/>
      <c r="EM84" s="334"/>
      <c r="EN84" s="334"/>
      <c r="EO84" s="334"/>
      <c r="EP84" s="334"/>
      <c r="EQ84" s="334"/>
      <c r="ER84" s="334"/>
      <c r="ES84" s="334"/>
      <c r="ET84" s="334"/>
      <c r="EU84" s="334"/>
      <c r="EV84" s="334"/>
      <c r="EW84" s="334"/>
      <c r="EX84" s="334"/>
      <c r="EY84" s="334"/>
      <c r="EZ84" s="334"/>
      <c r="FA84" s="334"/>
      <c r="FB84" s="334"/>
      <c r="FC84" s="334"/>
      <c r="FD84" s="334"/>
      <c r="FE84" s="334"/>
      <c r="FF84" s="334"/>
      <c r="FG84" s="334"/>
      <c r="FH84" s="334"/>
      <c r="FI84" s="334"/>
      <c r="FJ84" s="334"/>
      <c r="FK84" s="334"/>
      <c r="FL84" s="334"/>
      <c r="FM84" s="334"/>
      <c r="FN84" s="334"/>
      <c r="FO84" s="334"/>
      <c r="FP84" s="334"/>
      <c r="FQ84" s="334"/>
      <c r="FR84" s="334"/>
      <c r="FS84" s="334"/>
      <c r="FT84" s="334"/>
      <c r="FU84" s="334"/>
      <c r="FV84" s="334"/>
      <c r="FW84" s="334"/>
      <c r="FX84" s="334"/>
      <c r="FY84" s="334"/>
      <c r="FZ84" s="334"/>
      <c r="GA84" s="334"/>
      <c r="GB84" s="334"/>
      <c r="GC84" s="334"/>
      <c r="GD84" s="334"/>
      <c r="GE84" s="334"/>
      <c r="GF84" s="334"/>
      <c r="GG84" s="334"/>
      <c r="GH84" s="334"/>
      <c r="GI84" s="334"/>
      <c r="GJ84" s="334"/>
      <c r="GK84" s="334"/>
      <c r="GL84" s="334"/>
      <c r="GM84" s="334"/>
      <c r="GN84" s="334"/>
      <c r="GO84" s="334"/>
      <c r="GP84" s="334"/>
      <c r="GQ84" s="334"/>
      <c r="GR84" s="334"/>
      <c r="GS84" s="334"/>
      <c r="GT84" s="334"/>
      <c r="GU84" s="334"/>
      <c r="GV84" s="334"/>
      <c r="GW84" s="334"/>
      <c r="GX84" s="334"/>
      <c r="GY84" s="334"/>
      <c r="GZ84" s="334"/>
      <c r="HA84" s="334"/>
      <c r="HB84" s="334"/>
      <c r="HC84" s="334"/>
      <c r="HD84" s="334"/>
      <c r="HE84" s="334"/>
      <c r="HF84" s="334"/>
      <c r="HG84" s="334"/>
      <c r="HH84" s="334"/>
      <c r="HI84" s="334"/>
      <c r="HJ84" s="334"/>
      <c r="HK84" s="334"/>
      <c r="HL84" s="334"/>
      <c r="HM84" s="334"/>
      <c r="HN84" s="334"/>
      <c r="HO84" s="334"/>
      <c r="HP84" s="334"/>
      <c r="HQ84" s="334"/>
      <c r="HR84" s="334"/>
      <c r="HS84" s="334"/>
      <c r="HT84" s="334"/>
      <c r="HU84" s="334"/>
      <c r="HV84" s="334"/>
      <c r="HW84" s="334"/>
      <c r="HX84" s="334"/>
      <c r="HY84" s="334"/>
      <c r="HZ84" s="334"/>
      <c r="IA84" s="334"/>
      <c r="IB84" s="334"/>
      <c r="IC84" s="334"/>
      <c r="ID84" s="334"/>
      <c r="IE84" s="334"/>
      <c r="IF84" s="334"/>
      <c r="IG84" s="334"/>
      <c r="IH84" s="334"/>
      <c r="II84" s="334"/>
      <c r="IJ84" s="334"/>
      <c r="IK84" s="334"/>
      <c r="IL84" s="334"/>
      <c r="IM84" s="334"/>
      <c r="IN84" s="334"/>
      <c r="IO84" s="334"/>
      <c r="IP84" s="334"/>
      <c r="IQ84" s="334"/>
      <c r="IR84" s="334"/>
    </row>
    <row r="85" spans="1:252" s="368" customFormat="1" x14ac:dyDescent="0.25">
      <c r="A85" s="366">
        <v>43730</v>
      </c>
      <c r="B85" s="345">
        <v>84.19</v>
      </c>
      <c r="C85" s="345">
        <v>28.69</v>
      </c>
      <c r="D85" s="345">
        <v>142.94999999999999</v>
      </c>
      <c r="E85" s="345">
        <v>79.260000000000005</v>
      </c>
      <c r="F85" s="345">
        <v>190.8</v>
      </c>
      <c r="G85" s="345">
        <v>16.8</v>
      </c>
      <c r="H85" s="345">
        <v>26.83</v>
      </c>
      <c r="I85" s="345">
        <v>87</v>
      </c>
      <c r="J85" s="345">
        <v>93.45</v>
      </c>
      <c r="K85" s="345">
        <v>275.05</v>
      </c>
      <c r="L85" s="345">
        <v>152.04</v>
      </c>
      <c r="M85" s="345">
        <v>80.260000000000005</v>
      </c>
      <c r="N85" s="345">
        <v>33.22</v>
      </c>
      <c r="O85" s="345">
        <v>12.77</v>
      </c>
      <c r="P85" s="345">
        <v>26.01</v>
      </c>
      <c r="Q85" s="345">
        <v>36.35</v>
      </c>
      <c r="R85" s="345">
        <v>34.24</v>
      </c>
      <c r="S85" s="345">
        <v>29.81</v>
      </c>
      <c r="T85" s="345">
        <v>26.25</v>
      </c>
      <c r="U85" s="345">
        <v>74.319999999999993</v>
      </c>
      <c r="V85" s="334"/>
      <c r="W85" s="334"/>
      <c r="X85" s="334"/>
      <c r="Y85" s="334"/>
      <c r="Z85" s="334"/>
      <c r="AA85" s="334"/>
      <c r="AB85" s="334"/>
      <c r="AC85" s="334"/>
      <c r="AD85" s="334"/>
      <c r="AE85" s="334"/>
      <c r="AF85" s="334"/>
      <c r="AG85" s="334"/>
      <c r="AH85" s="334"/>
      <c r="AI85" s="334"/>
      <c r="AJ85" s="334"/>
      <c r="AK85" s="334"/>
      <c r="AL85" s="334"/>
      <c r="AM85" s="334"/>
      <c r="AN85" s="334"/>
      <c r="AO85" s="334"/>
      <c r="AP85" s="334"/>
      <c r="AQ85" s="334"/>
      <c r="AR85" s="334"/>
      <c r="AS85" s="334"/>
      <c r="AT85" s="334"/>
      <c r="AU85" s="334"/>
      <c r="AV85" s="334"/>
      <c r="AW85" s="334"/>
      <c r="AX85" s="334"/>
      <c r="AY85" s="334"/>
      <c r="AZ85" s="334"/>
      <c r="BA85" s="334"/>
      <c r="BB85" s="334"/>
      <c r="BC85" s="334"/>
      <c r="BD85" s="334"/>
      <c r="BE85" s="334"/>
      <c r="BF85" s="334"/>
      <c r="BG85" s="334"/>
      <c r="BH85" s="334"/>
      <c r="BI85" s="334"/>
      <c r="BJ85" s="334"/>
      <c r="BK85" s="334"/>
      <c r="BL85" s="334"/>
      <c r="BM85" s="334"/>
      <c r="BN85" s="334"/>
      <c r="BO85" s="334"/>
      <c r="BP85" s="334"/>
      <c r="BQ85" s="334"/>
      <c r="BR85" s="334"/>
      <c r="BS85" s="334"/>
      <c r="BT85" s="334"/>
      <c r="BU85" s="334"/>
      <c r="BV85" s="334"/>
      <c r="BW85" s="334"/>
      <c r="BX85" s="334"/>
      <c r="BY85" s="334"/>
      <c r="BZ85" s="334"/>
      <c r="CA85" s="334"/>
      <c r="CB85" s="334"/>
      <c r="CC85" s="334"/>
      <c r="CD85" s="334"/>
      <c r="CE85" s="334"/>
      <c r="CF85" s="334"/>
      <c r="CG85" s="334"/>
      <c r="CH85" s="334"/>
      <c r="CI85" s="334"/>
      <c r="CJ85" s="334"/>
      <c r="CK85" s="334"/>
      <c r="CL85" s="334"/>
      <c r="CM85" s="334"/>
      <c r="CN85" s="334"/>
      <c r="CO85" s="334"/>
      <c r="CP85" s="334"/>
      <c r="CQ85" s="334"/>
      <c r="CR85" s="334"/>
      <c r="CS85" s="334"/>
      <c r="CT85" s="334"/>
      <c r="CU85" s="334"/>
      <c r="CV85" s="334"/>
      <c r="CW85" s="334"/>
      <c r="CX85" s="334"/>
      <c r="CY85" s="334"/>
      <c r="CZ85" s="334"/>
      <c r="DA85" s="334"/>
      <c r="DB85" s="334"/>
      <c r="DC85" s="334"/>
      <c r="DD85" s="334"/>
      <c r="DE85" s="334"/>
      <c r="DF85" s="334"/>
      <c r="DG85" s="334"/>
      <c r="DH85" s="334"/>
      <c r="DI85" s="334"/>
      <c r="DJ85" s="334"/>
      <c r="DK85" s="334"/>
      <c r="DL85" s="334"/>
      <c r="DM85" s="334"/>
      <c r="DN85" s="334"/>
      <c r="DO85" s="334"/>
      <c r="DP85" s="334"/>
      <c r="DQ85" s="334"/>
      <c r="DR85" s="334"/>
      <c r="DS85" s="334"/>
      <c r="DT85" s="334"/>
      <c r="DU85" s="334"/>
      <c r="DV85" s="334"/>
      <c r="DW85" s="334"/>
      <c r="DX85" s="334"/>
      <c r="DY85" s="334"/>
      <c r="DZ85" s="334"/>
      <c r="EA85" s="334"/>
      <c r="EB85" s="334"/>
      <c r="EC85" s="334"/>
      <c r="ED85" s="334"/>
      <c r="EE85" s="334"/>
      <c r="EF85" s="334"/>
      <c r="EG85" s="334"/>
      <c r="EH85" s="334"/>
      <c r="EI85" s="334"/>
      <c r="EJ85" s="334"/>
      <c r="EK85" s="334"/>
      <c r="EL85" s="334"/>
      <c r="EM85" s="334"/>
      <c r="EN85" s="334"/>
      <c r="EO85" s="334"/>
      <c r="EP85" s="334"/>
      <c r="EQ85" s="334"/>
      <c r="ER85" s="334"/>
      <c r="ES85" s="334"/>
      <c r="ET85" s="334"/>
      <c r="EU85" s="334"/>
      <c r="EV85" s="334"/>
      <c r="EW85" s="334"/>
      <c r="EX85" s="334"/>
      <c r="EY85" s="334"/>
      <c r="EZ85" s="334"/>
      <c r="FA85" s="334"/>
      <c r="FB85" s="334"/>
      <c r="FC85" s="334"/>
      <c r="FD85" s="334"/>
      <c r="FE85" s="334"/>
      <c r="FF85" s="334"/>
      <c r="FG85" s="334"/>
      <c r="FH85" s="334"/>
      <c r="FI85" s="334"/>
      <c r="FJ85" s="334"/>
      <c r="FK85" s="334"/>
      <c r="FL85" s="334"/>
      <c r="FM85" s="334"/>
      <c r="FN85" s="334"/>
      <c r="FO85" s="334"/>
      <c r="FP85" s="334"/>
      <c r="FQ85" s="334"/>
      <c r="FR85" s="334"/>
      <c r="FS85" s="334"/>
      <c r="FT85" s="334"/>
      <c r="FU85" s="334"/>
      <c r="FV85" s="334"/>
      <c r="FW85" s="334"/>
      <c r="FX85" s="334"/>
      <c r="FY85" s="334"/>
      <c r="FZ85" s="334"/>
      <c r="GA85" s="334"/>
      <c r="GB85" s="334"/>
      <c r="GC85" s="334"/>
      <c r="GD85" s="334"/>
      <c r="GE85" s="334"/>
      <c r="GF85" s="334"/>
      <c r="GG85" s="334"/>
      <c r="GH85" s="334"/>
      <c r="GI85" s="334"/>
      <c r="GJ85" s="334"/>
      <c r="GK85" s="334"/>
      <c r="GL85" s="334"/>
      <c r="GM85" s="334"/>
      <c r="GN85" s="334"/>
      <c r="GO85" s="334"/>
      <c r="GP85" s="334"/>
      <c r="GQ85" s="334"/>
      <c r="GR85" s="334"/>
      <c r="GS85" s="334"/>
      <c r="GT85" s="334"/>
      <c r="GU85" s="334"/>
      <c r="GV85" s="334"/>
      <c r="GW85" s="334"/>
      <c r="GX85" s="334"/>
      <c r="GY85" s="334"/>
      <c r="GZ85" s="334"/>
      <c r="HA85" s="334"/>
      <c r="HB85" s="334"/>
      <c r="HC85" s="334"/>
      <c r="HD85" s="334"/>
      <c r="HE85" s="334"/>
      <c r="HF85" s="334"/>
      <c r="HG85" s="334"/>
      <c r="HH85" s="334"/>
      <c r="HI85" s="334"/>
      <c r="HJ85" s="334"/>
      <c r="HK85" s="334"/>
      <c r="HL85" s="334"/>
      <c r="HM85" s="334"/>
      <c r="HN85" s="334"/>
      <c r="HO85" s="334"/>
      <c r="HP85" s="334"/>
      <c r="HQ85" s="334"/>
      <c r="HR85" s="334"/>
      <c r="HS85" s="334"/>
      <c r="HT85" s="334"/>
      <c r="HU85" s="334"/>
      <c r="HV85" s="334"/>
      <c r="HW85" s="334"/>
      <c r="HX85" s="334"/>
      <c r="HY85" s="334"/>
      <c r="HZ85" s="334"/>
      <c r="IA85" s="334"/>
      <c r="IB85" s="334"/>
      <c r="IC85" s="334"/>
      <c r="ID85" s="334"/>
      <c r="IE85" s="334"/>
      <c r="IF85" s="334"/>
      <c r="IG85" s="334"/>
      <c r="IH85" s="334"/>
      <c r="II85" s="334"/>
      <c r="IJ85" s="334"/>
      <c r="IK85" s="334"/>
      <c r="IL85" s="334"/>
      <c r="IM85" s="334"/>
      <c r="IN85" s="334"/>
      <c r="IO85" s="334"/>
      <c r="IP85" s="334"/>
      <c r="IQ85" s="334"/>
      <c r="IR85" s="334"/>
    </row>
    <row r="86" spans="1:252" s="368" customFormat="1" x14ac:dyDescent="0.25">
      <c r="A86" s="366">
        <v>43731</v>
      </c>
      <c r="B86" s="345">
        <v>84.25</v>
      </c>
      <c r="C86" s="345">
        <v>29.16</v>
      </c>
      <c r="D86" s="345">
        <v>143.75</v>
      </c>
      <c r="E86" s="345">
        <v>79.319999999999993</v>
      </c>
      <c r="F86" s="345">
        <v>190.5</v>
      </c>
      <c r="G86" s="345">
        <v>17.510000000000002</v>
      </c>
      <c r="H86" s="345">
        <v>26.87</v>
      </c>
      <c r="I86" s="345">
        <v>87.02</v>
      </c>
      <c r="J86" s="345">
        <v>93.6</v>
      </c>
      <c r="K86" s="345">
        <v>275.24</v>
      </c>
      <c r="L86" s="345">
        <v>152.12</v>
      </c>
      <c r="M86" s="345">
        <v>80.510000000000005</v>
      </c>
      <c r="N86" s="345">
        <v>33.049999999999997</v>
      </c>
      <c r="O86" s="345">
        <v>12.82</v>
      </c>
      <c r="P86" s="345">
        <v>25.98</v>
      </c>
      <c r="Q86" s="345">
        <v>36.29</v>
      </c>
      <c r="R86" s="345">
        <v>34.18</v>
      </c>
      <c r="S86" s="345">
        <v>30.2</v>
      </c>
      <c r="T86" s="345">
        <v>26.285</v>
      </c>
      <c r="U86" s="345">
        <v>74.44</v>
      </c>
      <c r="V86" s="334"/>
      <c r="W86" s="334"/>
      <c r="X86" s="334"/>
      <c r="Y86" s="334"/>
      <c r="Z86" s="334"/>
      <c r="AA86" s="334"/>
      <c r="AB86" s="334"/>
      <c r="AC86" s="334"/>
      <c r="AD86" s="334"/>
      <c r="AE86" s="334"/>
      <c r="AF86" s="334"/>
      <c r="AG86" s="334"/>
      <c r="AH86" s="334"/>
      <c r="AI86" s="334"/>
      <c r="AJ86" s="334"/>
      <c r="AK86" s="334"/>
      <c r="AL86" s="334"/>
      <c r="AM86" s="334"/>
      <c r="AN86" s="334"/>
      <c r="AO86" s="334"/>
      <c r="AP86" s="334"/>
      <c r="AQ86" s="334"/>
      <c r="AR86" s="334"/>
      <c r="AS86" s="334"/>
      <c r="AT86" s="334"/>
      <c r="AU86" s="334"/>
      <c r="AV86" s="334"/>
      <c r="AW86" s="334"/>
      <c r="AX86" s="334"/>
      <c r="AY86" s="334"/>
      <c r="AZ86" s="334"/>
      <c r="BA86" s="334"/>
      <c r="BB86" s="334"/>
      <c r="BC86" s="334"/>
      <c r="BD86" s="334"/>
      <c r="BE86" s="334"/>
      <c r="BF86" s="334"/>
      <c r="BG86" s="334"/>
      <c r="BH86" s="334"/>
      <c r="BI86" s="334"/>
      <c r="BJ86" s="334"/>
      <c r="BK86" s="334"/>
      <c r="BL86" s="334"/>
      <c r="BM86" s="334"/>
      <c r="BN86" s="334"/>
      <c r="BO86" s="334"/>
      <c r="BP86" s="334"/>
      <c r="BQ86" s="334"/>
      <c r="BR86" s="334"/>
      <c r="BS86" s="334"/>
      <c r="BT86" s="334"/>
      <c r="BU86" s="334"/>
      <c r="BV86" s="334"/>
      <c r="BW86" s="334"/>
      <c r="BX86" s="334"/>
      <c r="BY86" s="334"/>
      <c r="BZ86" s="334"/>
      <c r="CA86" s="334"/>
      <c r="CB86" s="334"/>
      <c r="CC86" s="334"/>
      <c r="CD86" s="334"/>
      <c r="CE86" s="334"/>
      <c r="CF86" s="334"/>
      <c r="CG86" s="334"/>
      <c r="CH86" s="334"/>
      <c r="CI86" s="334"/>
      <c r="CJ86" s="334"/>
      <c r="CK86" s="334"/>
      <c r="CL86" s="334"/>
      <c r="CM86" s="334"/>
      <c r="CN86" s="334"/>
      <c r="CO86" s="334"/>
      <c r="CP86" s="334"/>
      <c r="CQ86" s="334"/>
      <c r="CR86" s="334"/>
      <c r="CS86" s="334"/>
      <c r="CT86" s="334"/>
      <c r="CU86" s="334"/>
      <c r="CV86" s="334"/>
      <c r="CW86" s="334"/>
      <c r="CX86" s="334"/>
      <c r="CY86" s="334"/>
      <c r="CZ86" s="334"/>
      <c r="DA86" s="334"/>
      <c r="DB86" s="334"/>
      <c r="DC86" s="334"/>
      <c r="DD86" s="334"/>
      <c r="DE86" s="334"/>
      <c r="DF86" s="334"/>
      <c r="DG86" s="334"/>
      <c r="DH86" s="334"/>
      <c r="DI86" s="334"/>
      <c r="DJ86" s="334"/>
      <c r="DK86" s="334"/>
      <c r="DL86" s="334"/>
      <c r="DM86" s="334"/>
      <c r="DN86" s="334"/>
      <c r="DO86" s="334"/>
      <c r="DP86" s="334"/>
      <c r="DQ86" s="334"/>
      <c r="DR86" s="334"/>
      <c r="DS86" s="334"/>
      <c r="DT86" s="334"/>
      <c r="DU86" s="334"/>
      <c r="DV86" s="334"/>
      <c r="DW86" s="334"/>
      <c r="DX86" s="334"/>
      <c r="DY86" s="334"/>
      <c r="DZ86" s="334"/>
      <c r="EA86" s="334"/>
      <c r="EB86" s="334"/>
      <c r="EC86" s="334"/>
      <c r="ED86" s="334"/>
      <c r="EE86" s="334"/>
      <c r="EF86" s="334"/>
      <c r="EG86" s="334"/>
      <c r="EH86" s="334"/>
      <c r="EI86" s="334"/>
      <c r="EJ86" s="334"/>
      <c r="EK86" s="334"/>
      <c r="EL86" s="334"/>
      <c r="EM86" s="334"/>
      <c r="EN86" s="334"/>
      <c r="EO86" s="334"/>
      <c r="EP86" s="334"/>
      <c r="EQ86" s="334"/>
      <c r="ER86" s="334"/>
      <c r="ES86" s="334"/>
      <c r="ET86" s="334"/>
      <c r="EU86" s="334"/>
      <c r="EV86" s="334"/>
      <c r="EW86" s="334"/>
      <c r="EX86" s="334"/>
      <c r="EY86" s="334"/>
      <c r="EZ86" s="334"/>
      <c r="FA86" s="334"/>
      <c r="FB86" s="334"/>
      <c r="FC86" s="334"/>
      <c r="FD86" s="334"/>
      <c r="FE86" s="334"/>
      <c r="FF86" s="334"/>
      <c r="FG86" s="334"/>
      <c r="FH86" s="334"/>
      <c r="FI86" s="334"/>
      <c r="FJ86" s="334"/>
      <c r="FK86" s="334"/>
      <c r="FL86" s="334"/>
      <c r="FM86" s="334"/>
      <c r="FN86" s="334"/>
      <c r="FO86" s="334"/>
      <c r="FP86" s="334"/>
      <c r="FQ86" s="334"/>
      <c r="FR86" s="334"/>
      <c r="FS86" s="334"/>
      <c r="FT86" s="334"/>
      <c r="FU86" s="334"/>
      <c r="FV86" s="334"/>
      <c r="FW86" s="334"/>
      <c r="FX86" s="334"/>
      <c r="FY86" s="334"/>
      <c r="FZ86" s="334"/>
      <c r="GA86" s="334"/>
      <c r="GB86" s="334"/>
      <c r="GC86" s="334"/>
      <c r="GD86" s="334"/>
      <c r="GE86" s="334"/>
      <c r="GF86" s="334"/>
      <c r="GG86" s="334"/>
      <c r="GH86" s="334"/>
      <c r="GI86" s="334"/>
      <c r="GJ86" s="334"/>
      <c r="GK86" s="334"/>
      <c r="GL86" s="334"/>
      <c r="GM86" s="334"/>
      <c r="GN86" s="334"/>
      <c r="GO86" s="334"/>
      <c r="GP86" s="334"/>
      <c r="GQ86" s="334"/>
      <c r="GR86" s="334"/>
      <c r="GS86" s="334"/>
      <c r="GT86" s="334"/>
      <c r="GU86" s="334"/>
      <c r="GV86" s="334"/>
      <c r="GW86" s="334"/>
      <c r="GX86" s="334"/>
      <c r="GY86" s="334"/>
      <c r="GZ86" s="334"/>
      <c r="HA86" s="334"/>
      <c r="HB86" s="334"/>
      <c r="HC86" s="334"/>
      <c r="HD86" s="334"/>
      <c r="HE86" s="334"/>
      <c r="HF86" s="334"/>
      <c r="HG86" s="334"/>
      <c r="HH86" s="334"/>
      <c r="HI86" s="334"/>
      <c r="HJ86" s="334"/>
      <c r="HK86" s="334"/>
      <c r="HL86" s="334"/>
      <c r="HM86" s="334"/>
      <c r="HN86" s="334"/>
      <c r="HO86" s="334"/>
      <c r="HP86" s="334"/>
      <c r="HQ86" s="334"/>
      <c r="HR86" s="334"/>
      <c r="HS86" s="334"/>
      <c r="HT86" s="334"/>
      <c r="HU86" s="334"/>
      <c r="HV86" s="334"/>
      <c r="HW86" s="334"/>
      <c r="HX86" s="334"/>
      <c r="HY86" s="334"/>
      <c r="HZ86" s="334"/>
      <c r="IA86" s="334"/>
      <c r="IB86" s="334"/>
      <c r="IC86" s="334"/>
      <c r="ID86" s="334"/>
      <c r="IE86" s="334"/>
      <c r="IF86" s="334"/>
      <c r="IG86" s="334"/>
      <c r="IH86" s="334"/>
      <c r="II86" s="334"/>
      <c r="IJ86" s="334"/>
      <c r="IK86" s="334"/>
      <c r="IL86" s="334"/>
      <c r="IM86" s="334"/>
      <c r="IN86" s="334"/>
      <c r="IO86" s="334"/>
      <c r="IP86" s="334"/>
      <c r="IQ86" s="334"/>
      <c r="IR86" s="334"/>
    </row>
    <row r="87" spans="1:252" s="368" customFormat="1" x14ac:dyDescent="0.25">
      <c r="A87" s="366">
        <v>43732</v>
      </c>
      <c r="B87" s="345">
        <v>84.54</v>
      </c>
      <c r="C87" s="345">
        <v>29.49</v>
      </c>
      <c r="D87" s="345">
        <v>144.51</v>
      </c>
      <c r="E87" s="345">
        <v>78.040000000000006</v>
      </c>
      <c r="F87" s="345">
        <v>187.97</v>
      </c>
      <c r="G87" s="345">
        <v>17.440000000000001</v>
      </c>
      <c r="H87" s="345">
        <v>26.77</v>
      </c>
      <c r="I87" s="345">
        <v>88.05</v>
      </c>
      <c r="J87" s="345">
        <v>92.65</v>
      </c>
      <c r="K87" s="345">
        <v>272.95999999999998</v>
      </c>
      <c r="L87" s="345">
        <v>150.71</v>
      </c>
      <c r="M87" s="345">
        <v>79.73</v>
      </c>
      <c r="N87" s="345">
        <v>32.97</v>
      </c>
      <c r="O87" s="345">
        <v>12.9</v>
      </c>
      <c r="P87" s="345">
        <v>25.84</v>
      </c>
      <c r="Q87" s="345">
        <v>36.369999999999997</v>
      </c>
      <c r="R87" s="345">
        <v>34.020000000000003</v>
      </c>
      <c r="S87" s="345">
        <v>30.42</v>
      </c>
      <c r="T87" s="345">
        <v>26.39</v>
      </c>
      <c r="U87" s="345">
        <v>74.53</v>
      </c>
      <c r="V87" s="334"/>
      <c r="W87" s="334"/>
      <c r="X87" s="334"/>
      <c r="Y87" s="334"/>
      <c r="Z87" s="334"/>
      <c r="AA87" s="334"/>
      <c r="AB87" s="334"/>
      <c r="AC87" s="334"/>
      <c r="AD87" s="334"/>
      <c r="AE87" s="334"/>
      <c r="AF87" s="334"/>
      <c r="AG87" s="334"/>
      <c r="AH87" s="334"/>
      <c r="AI87" s="334"/>
      <c r="AJ87" s="334"/>
      <c r="AK87" s="334"/>
      <c r="AL87" s="334"/>
      <c r="AM87" s="334"/>
      <c r="AN87" s="334"/>
      <c r="AO87" s="334"/>
      <c r="AP87" s="334"/>
      <c r="AQ87" s="334"/>
      <c r="AR87" s="334"/>
      <c r="AS87" s="334"/>
      <c r="AT87" s="334"/>
      <c r="AU87" s="334"/>
      <c r="AV87" s="334"/>
      <c r="AW87" s="334"/>
      <c r="AX87" s="334"/>
      <c r="AY87" s="334"/>
      <c r="AZ87" s="334"/>
      <c r="BA87" s="334"/>
      <c r="BB87" s="334"/>
      <c r="BC87" s="334"/>
      <c r="BD87" s="334"/>
      <c r="BE87" s="334"/>
      <c r="BF87" s="334"/>
      <c r="BG87" s="334"/>
      <c r="BH87" s="334"/>
      <c r="BI87" s="334"/>
      <c r="BJ87" s="334"/>
      <c r="BK87" s="334"/>
      <c r="BL87" s="334"/>
      <c r="BM87" s="334"/>
      <c r="BN87" s="334"/>
      <c r="BO87" s="334"/>
      <c r="BP87" s="334"/>
      <c r="BQ87" s="334"/>
      <c r="BR87" s="334"/>
      <c r="BS87" s="334"/>
      <c r="BT87" s="334"/>
      <c r="BU87" s="334"/>
      <c r="BV87" s="334"/>
      <c r="BW87" s="334"/>
      <c r="BX87" s="334"/>
      <c r="BY87" s="334"/>
      <c r="BZ87" s="334"/>
      <c r="CA87" s="334"/>
      <c r="CB87" s="334"/>
      <c r="CC87" s="334"/>
      <c r="CD87" s="334"/>
      <c r="CE87" s="334"/>
      <c r="CF87" s="334"/>
      <c r="CG87" s="334"/>
      <c r="CH87" s="334"/>
      <c r="CI87" s="334"/>
      <c r="CJ87" s="334"/>
      <c r="CK87" s="334"/>
      <c r="CL87" s="334"/>
      <c r="CM87" s="334"/>
      <c r="CN87" s="334"/>
      <c r="CO87" s="334"/>
      <c r="CP87" s="334"/>
      <c r="CQ87" s="334"/>
      <c r="CR87" s="334"/>
      <c r="CS87" s="334"/>
      <c r="CT87" s="334"/>
      <c r="CU87" s="334"/>
      <c r="CV87" s="334"/>
      <c r="CW87" s="334"/>
      <c r="CX87" s="334"/>
      <c r="CY87" s="334"/>
      <c r="CZ87" s="334"/>
      <c r="DA87" s="334"/>
      <c r="DB87" s="334"/>
      <c r="DC87" s="334"/>
      <c r="DD87" s="334"/>
      <c r="DE87" s="334"/>
      <c r="DF87" s="334"/>
      <c r="DG87" s="334"/>
      <c r="DH87" s="334"/>
      <c r="DI87" s="334"/>
      <c r="DJ87" s="334"/>
      <c r="DK87" s="334"/>
      <c r="DL87" s="334"/>
      <c r="DM87" s="334"/>
      <c r="DN87" s="334"/>
      <c r="DO87" s="334"/>
      <c r="DP87" s="334"/>
      <c r="DQ87" s="334"/>
      <c r="DR87" s="334"/>
      <c r="DS87" s="334"/>
      <c r="DT87" s="334"/>
      <c r="DU87" s="334"/>
      <c r="DV87" s="334"/>
      <c r="DW87" s="334"/>
      <c r="DX87" s="334"/>
      <c r="DY87" s="334"/>
      <c r="DZ87" s="334"/>
      <c r="EA87" s="334"/>
      <c r="EB87" s="334"/>
      <c r="EC87" s="334"/>
      <c r="ED87" s="334"/>
      <c r="EE87" s="334"/>
      <c r="EF87" s="334"/>
      <c r="EG87" s="334"/>
      <c r="EH87" s="334"/>
      <c r="EI87" s="334"/>
      <c r="EJ87" s="334"/>
      <c r="EK87" s="334"/>
      <c r="EL87" s="334"/>
      <c r="EM87" s="334"/>
      <c r="EN87" s="334"/>
      <c r="EO87" s="334"/>
      <c r="EP87" s="334"/>
      <c r="EQ87" s="334"/>
      <c r="ER87" s="334"/>
      <c r="ES87" s="334"/>
      <c r="ET87" s="334"/>
      <c r="EU87" s="334"/>
      <c r="EV87" s="334"/>
      <c r="EW87" s="334"/>
      <c r="EX87" s="334"/>
      <c r="EY87" s="334"/>
      <c r="EZ87" s="334"/>
      <c r="FA87" s="334"/>
      <c r="FB87" s="334"/>
      <c r="FC87" s="334"/>
      <c r="FD87" s="334"/>
      <c r="FE87" s="334"/>
      <c r="FF87" s="334"/>
      <c r="FG87" s="334"/>
      <c r="FH87" s="334"/>
      <c r="FI87" s="334"/>
      <c r="FJ87" s="334"/>
      <c r="FK87" s="334"/>
      <c r="FL87" s="334"/>
      <c r="FM87" s="334"/>
      <c r="FN87" s="334"/>
      <c r="FO87" s="334"/>
      <c r="FP87" s="334"/>
      <c r="FQ87" s="334"/>
      <c r="FR87" s="334"/>
      <c r="FS87" s="334"/>
      <c r="FT87" s="334"/>
      <c r="FU87" s="334"/>
      <c r="FV87" s="334"/>
      <c r="FW87" s="334"/>
      <c r="FX87" s="334"/>
      <c r="FY87" s="334"/>
      <c r="FZ87" s="334"/>
      <c r="GA87" s="334"/>
      <c r="GB87" s="334"/>
      <c r="GC87" s="334"/>
      <c r="GD87" s="334"/>
      <c r="GE87" s="334"/>
      <c r="GF87" s="334"/>
      <c r="GG87" s="334"/>
      <c r="GH87" s="334"/>
      <c r="GI87" s="334"/>
      <c r="GJ87" s="334"/>
      <c r="GK87" s="334"/>
      <c r="GL87" s="334"/>
      <c r="GM87" s="334"/>
      <c r="GN87" s="334"/>
      <c r="GO87" s="334"/>
      <c r="GP87" s="334"/>
      <c r="GQ87" s="334"/>
      <c r="GR87" s="334"/>
      <c r="GS87" s="334"/>
      <c r="GT87" s="334"/>
      <c r="GU87" s="334"/>
      <c r="GV87" s="334"/>
      <c r="GW87" s="334"/>
      <c r="GX87" s="334"/>
      <c r="GY87" s="334"/>
      <c r="GZ87" s="334"/>
      <c r="HA87" s="334"/>
      <c r="HB87" s="334"/>
      <c r="HC87" s="334"/>
      <c r="HD87" s="334"/>
      <c r="HE87" s="334"/>
      <c r="HF87" s="334"/>
      <c r="HG87" s="334"/>
      <c r="HH87" s="334"/>
      <c r="HI87" s="334"/>
      <c r="HJ87" s="334"/>
      <c r="HK87" s="334"/>
      <c r="HL87" s="334"/>
      <c r="HM87" s="334"/>
      <c r="HN87" s="334"/>
      <c r="HO87" s="334"/>
      <c r="HP87" s="334"/>
      <c r="HQ87" s="334"/>
      <c r="HR87" s="334"/>
      <c r="HS87" s="334"/>
      <c r="HT87" s="334"/>
      <c r="HU87" s="334"/>
      <c r="HV87" s="334"/>
      <c r="HW87" s="334"/>
      <c r="HX87" s="334"/>
      <c r="HY87" s="334"/>
      <c r="HZ87" s="334"/>
      <c r="IA87" s="334"/>
      <c r="IB87" s="334"/>
      <c r="IC87" s="334"/>
      <c r="ID87" s="334"/>
      <c r="IE87" s="334"/>
      <c r="IF87" s="334"/>
      <c r="IG87" s="334"/>
      <c r="IH87" s="334"/>
      <c r="II87" s="334"/>
      <c r="IJ87" s="334"/>
      <c r="IK87" s="334"/>
      <c r="IL87" s="334"/>
      <c r="IM87" s="334"/>
      <c r="IN87" s="334"/>
      <c r="IO87" s="334"/>
      <c r="IP87" s="334"/>
      <c r="IQ87" s="334"/>
      <c r="IR87" s="334"/>
    </row>
    <row r="88" spans="1:252" s="368" customFormat="1" x14ac:dyDescent="0.25">
      <c r="A88" s="366">
        <v>43733</v>
      </c>
      <c r="B88" s="345">
        <v>84.14</v>
      </c>
      <c r="C88" s="345">
        <v>28.43</v>
      </c>
      <c r="D88" s="345">
        <v>141.83000000000001</v>
      </c>
      <c r="E88" s="345">
        <v>79.08</v>
      </c>
      <c r="F88" s="345">
        <v>190.08</v>
      </c>
      <c r="G88" s="345">
        <v>16.71</v>
      </c>
      <c r="H88" s="345">
        <v>26.98</v>
      </c>
      <c r="I88" s="345">
        <v>86.82</v>
      </c>
      <c r="J88" s="345">
        <v>92.83</v>
      </c>
      <c r="K88" s="345">
        <v>274.63</v>
      </c>
      <c r="L88" s="345">
        <v>151.66</v>
      </c>
      <c r="M88" s="345">
        <v>80.680000000000007</v>
      </c>
      <c r="N88" s="345">
        <v>33.130000000000003</v>
      </c>
      <c r="O88" s="345">
        <v>12.66</v>
      </c>
      <c r="P88" s="345">
        <v>25.87</v>
      </c>
      <c r="Q88" s="345">
        <v>36.5</v>
      </c>
      <c r="R88" s="345">
        <v>34.01</v>
      </c>
      <c r="S88" s="345">
        <v>29.63</v>
      </c>
      <c r="T88" s="345">
        <v>26.23</v>
      </c>
      <c r="U88" s="345">
        <v>74.407799999999995</v>
      </c>
      <c r="V88" s="334"/>
      <c r="W88" s="334"/>
      <c r="X88" s="334"/>
      <c r="Y88" s="334"/>
      <c r="Z88" s="334"/>
      <c r="AA88" s="334"/>
      <c r="AB88" s="334"/>
      <c r="AC88" s="334"/>
      <c r="AD88" s="334"/>
      <c r="AE88" s="334"/>
      <c r="AF88" s="334"/>
      <c r="AG88" s="334"/>
      <c r="AH88" s="334"/>
      <c r="AI88" s="334"/>
      <c r="AJ88" s="334"/>
      <c r="AK88" s="334"/>
      <c r="AL88" s="334"/>
      <c r="AM88" s="334"/>
      <c r="AN88" s="334"/>
      <c r="AO88" s="334"/>
      <c r="AP88" s="334"/>
      <c r="AQ88" s="334"/>
      <c r="AR88" s="334"/>
      <c r="AS88" s="334"/>
      <c r="AT88" s="334"/>
      <c r="AU88" s="334"/>
      <c r="AV88" s="334"/>
      <c r="AW88" s="334"/>
      <c r="AX88" s="334"/>
      <c r="AY88" s="334"/>
      <c r="AZ88" s="334"/>
      <c r="BA88" s="334"/>
      <c r="BB88" s="334"/>
      <c r="BC88" s="334"/>
      <c r="BD88" s="334"/>
      <c r="BE88" s="334"/>
      <c r="BF88" s="334"/>
      <c r="BG88" s="334"/>
      <c r="BH88" s="334"/>
      <c r="BI88" s="334"/>
      <c r="BJ88" s="334"/>
      <c r="BK88" s="334"/>
      <c r="BL88" s="334"/>
      <c r="BM88" s="334"/>
      <c r="BN88" s="334"/>
      <c r="BO88" s="334"/>
      <c r="BP88" s="334"/>
      <c r="BQ88" s="334"/>
      <c r="BR88" s="334"/>
      <c r="BS88" s="334"/>
      <c r="BT88" s="334"/>
      <c r="BU88" s="334"/>
      <c r="BV88" s="334"/>
      <c r="BW88" s="334"/>
      <c r="BX88" s="334"/>
      <c r="BY88" s="334"/>
      <c r="BZ88" s="334"/>
      <c r="CA88" s="334"/>
      <c r="CB88" s="334"/>
      <c r="CC88" s="334"/>
      <c r="CD88" s="334"/>
      <c r="CE88" s="334"/>
      <c r="CF88" s="334"/>
      <c r="CG88" s="334"/>
      <c r="CH88" s="334"/>
      <c r="CI88" s="334"/>
      <c r="CJ88" s="334"/>
      <c r="CK88" s="334"/>
      <c r="CL88" s="334"/>
      <c r="CM88" s="334"/>
      <c r="CN88" s="334"/>
      <c r="CO88" s="334"/>
      <c r="CP88" s="334"/>
      <c r="CQ88" s="334"/>
      <c r="CR88" s="334"/>
      <c r="CS88" s="334"/>
      <c r="CT88" s="334"/>
      <c r="CU88" s="334"/>
      <c r="CV88" s="334"/>
      <c r="CW88" s="334"/>
      <c r="CX88" s="334"/>
      <c r="CY88" s="334"/>
      <c r="CZ88" s="334"/>
      <c r="DA88" s="334"/>
      <c r="DB88" s="334"/>
      <c r="DC88" s="334"/>
      <c r="DD88" s="334"/>
      <c r="DE88" s="334"/>
      <c r="DF88" s="334"/>
      <c r="DG88" s="334"/>
      <c r="DH88" s="334"/>
      <c r="DI88" s="334"/>
      <c r="DJ88" s="334"/>
      <c r="DK88" s="334"/>
      <c r="DL88" s="334"/>
      <c r="DM88" s="334"/>
      <c r="DN88" s="334"/>
      <c r="DO88" s="334"/>
      <c r="DP88" s="334"/>
      <c r="DQ88" s="334"/>
      <c r="DR88" s="334"/>
      <c r="DS88" s="334"/>
      <c r="DT88" s="334"/>
      <c r="DU88" s="334"/>
      <c r="DV88" s="334"/>
      <c r="DW88" s="334"/>
      <c r="DX88" s="334"/>
      <c r="DY88" s="334"/>
      <c r="DZ88" s="334"/>
      <c r="EA88" s="334"/>
      <c r="EB88" s="334"/>
      <c r="EC88" s="334"/>
      <c r="ED88" s="334"/>
      <c r="EE88" s="334"/>
      <c r="EF88" s="334"/>
      <c r="EG88" s="334"/>
      <c r="EH88" s="334"/>
      <c r="EI88" s="334"/>
      <c r="EJ88" s="334"/>
      <c r="EK88" s="334"/>
      <c r="EL88" s="334"/>
      <c r="EM88" s="334"/>
      <c r="EN88" s="334"/>
      <c r="EO88" s="334"/>
      <c r="EP88" s="334"/>
      <c r="EQ88" s="334"/>
      <c r="ER88" s="334"/>
      <c r="ES88" s="334"/>
      <c r="ET88" s="334"/>
      <c r="EU88" s="334"/>
      <c r="EV88" s="334"/>
      <c r="EW88" s="334"/>
      <c r="EX88" s="334"/>
      <c r="EY88" s="334"/>
      <c r="EZ88" s="334"/>
      <c r="FA88" s="334"/>
      <c r="FB88" s="334"/>
      <c r="FC88" s="334"/>
      <c r="FD88" s="334"/>
      <c r="FE88" s="334"/>
      <c r="FF88" s="334"/>
      <c r="FG88" s="334"/>
      <c r="FH88" s="334"/>
      <c r="FI88" s="334"/>
      <c r="FJ88" s="334"/>
      <c r="FK88" s="334"/>
      <c r="FL88" s="334"/>
      <c r="FM88" s="334"/>
      <c r="FN88" s="334"/>
      <c r="FO88" s="334"/>
      <c r="FP88" s="334"/>
      <c r="FQ88" s="334"/>
      <c r="FR88" s="334"/>
      <c r="FS88" s="334"/>
      <c r="FT88" s="334"/>
      <c r="FU88" s="334"/>
      <c r="FV88" s="334"/>
      <c r="FW88" s="334"/>
      <c r="FX88" s="334"/>
      <c r="FY88" s="334"/>
      <c r="FZ88" s="334"/>
      <c r="GA88" s="334"/>
      <c r="GB88" s="334"/>
      <c r="GC88" s="334"/>
      <c r="GD88" s="334"/>
      <c r="GE88" s="334"/>
      <c r="GF88" s="334"/>
      <c r="GG88" s="334"/>
      <c r="GH88" s="334"/>
      <c r="GI88" s="334"/>
      <c r="GJ88" s="334"/>
      <c r="GK88" s="334"/>
      <c r="GL88" s="334"/>
      <c r="GM88" s="334"/>
      <c r="GN88" s="334"/>
      <c r="GO88" s="334"/>
      <c r="GP88" s="334"/>
      <c r="GQ88" s="334"/>
      <c r="GR88" s="334"/>
      <c r="GS88" s="334"/>
      <c r="GT88" s="334"/>
      <c r="GU88" s="334"/>
      <c r="GV88" s="334"/>
      <c r="GW88" s="334"/>
      <c r="GX88" s="334"/>
      <c r="GY88" s="334"/>
      <c r="GZ88" s="334"/>
      <c r="HA88" s="334"/>
      <c r="HB88" s="334"/>
      <c r="HC88" s="334"/>
      <c r="HD88" s="334"/>
      <c r="HE88" s="334"/>
      <c r="HF88" s="334"/>
      <c r="HG88" s="334"/>
      <c r="HH88" s="334"/>
      <c r="HI88" s="334"/>
      <c r="HJ88" s="334"/>
      <c r="HK88" s="334"/>
      <c r="HL88" s="334"/>
      <c r="HM88" s="334"/>
      <c r="HN88" s="334"/>
      <c r="HO88" s="334"/>
      <c r="HP88" s="334"/>
      <c r="HQ88" s="334"/>
      <c r="HR88" s="334"/>
      <c r="HS88" s="334"/>
      <c r="HT88" s="334"/>
      <c r="HU88" s="334"/>
      <c r="HV88" s="334"/>
      <c r="HW88" s="334"/>
      <c r="HX88" s="334"/>
      <c r="HY88" s="334"/>
      <c r="HZ88" s="334"/>
      <c r="IA88" s="334"/>
      <c r="IB88" s="334"/>
      <c r="IC88" s="334"/>
      <c r="ID88" s="334"/>
      <c r="IE88" s="334"/>
      <c r="IF88" s="334"/>
      <c r="IG88" s="334"/>
      <c r="IH88" s="334"/>
      <c r="II88" s="334"/>
      <c r="IJ88" s="334"/>
      <c r="IK88" s="334"/>
      <c r="IL88" s="334"/>
      <c r="IM88" s="334"/>
      <c r="IN88" s="334"/>
      <c r="IO88" s="334"/>
      <c r="IP88" s="334"/>
      <c r="IQ88" s="334"/>
      <c r="IR88" s="334"/>
    </row>
    <row r="89" spans="1:252" s="368" customFormat="1" x14ac:dyDescent="0.25">
      <c r="A89" s="366">
        <v>43734</v>
      </c>
      <c r="B89" s="345">
        <v>84.28</v>
      </c>
      <c r="C89" s="345">
        <v>28.11</v>
      </c>
      <c r="D89" s="345">
        <v>141.79</v>
      </c>
      <c r="E89" s="345">
        <v>78.260000000000005</v>
      </c>
      <c r="F89" s="345">
        <v>189.38</v>
      </c>
      <c r="G89" s="345">
        <v>16.670000000000002</v>
      </c>
      <c r="H89" s="345">
        <v>27.05</v>
      </c>
      <c r="I89" s="345">
        <v>87.3</v>
      </c>
      <c r="J89" s="345">
        <v>93.61</v>
      </c>
      <c r="K89" s="345">
        <v>272.79000000000002</v>
      </c>
      <c r="L89" s="345">
        <v>151.19999999999999</v>
      </c>
      <c r="M89" s="345">
        <v>80.77</v>
      </c>
      <c r="N89" s="345">
        <v>33.06</v>
      </c>
      <c r="O89" s="345">
        <v>12.65</v>
      </c>
      <c r="P89" s="345">
        <v>25.86</v>
      </c>
      <c r="Q89" s="345">
        <v>36.659999999999997</v>
      </c>
      <c r="R89" s="345">
        <v>34.01</v>
      </c>
      <c r="S89" s="345">
        <v>29.35</v>
      </c>
      <c r="T89" s="345">
        <v>26.25</v>
      </c>
      <c r="U89" s="345">
        <v>74.33</v>
      </c>
      <c r="V89" s="334"/>
      <c r="W89" s="334"/>
      <c r="X89" s="334"/>
      <c r="Y89" s="334"/>
      <c r="Z89" s="334"/>
      <c r="AA89" s="334"/>
      <c r="AB89" s="334"/>
      <c r="AC89" s="334"/>
      <c r="AD89" s="334"/>
      <c r="AE89" s="334"/>
      <c r="AF89" s="334"/>
      <c r="AG89" s="334"/>
      <c r="AH89" s="334"/>
      <c r="AI89" s="334"/>
      <c r="AJ89" s="334"/>
      <c r="AK89" s="334"/>
      <c r="AL89" s="334"/>
      <c r="AM89" s="334"/>
      <c r="AN89" s="334"/>
      <c r="AO89" s="334"/>
      <c r="AP89" s="334"/>
      <c r="AQ89" s="334"/>
      <c r="AR89" s="334"/>
      <c r="AS89" s="334"/>
      <c r="AT89" s="334"/>
      <c r="AU89" s="334"/>
      <c r="AV89" s="334"/>
      <c r="AW89" s="334"/>
      <c r="AX89" s="334"/>
      <c r="AY89" s="334"/>
      <c r="AZ89" s="334"/>
      <c r="BA89" s="334"/>
      <c r="BB89" s="334"/>
      <c r="BC89" s="334"/>
      <c r="BD89" s="334"/>
      <c r="BE89" s="334"/>
      <c r="BF89" s="334"/>
      <c r="BG89" s="334"/>
      <c r="BH89" s="334"/>
      <c r="BI89" s="334"/>
      <c r="BJ89" s="334"/>
      <c r="BK89" s="334"/>
      <c r="BL89" s="334"/>
      <c r="BM89" s="334"/>
      <c r="BN89" s="334"/>
      <c r="BO89" s="334"/>
      <c r="BP89" s="334"/>
      <c r="BQ89" s="334"/>
      <c r="BR89" s="334"/>
      <c r="BS89" s="334"/>
      <c r="BT89" s="334"/>
      <c r="BU89" s="334"/>
      <c r="BV89" s="334"/>
      <c r="BW89" s="334"/>
      <c r="BX89" s="334"/>
      <c r="BY89" s="334"/>
      <c r="BZ89" s="334"/>
      <c r="CA89" s="334"/>
      <c r="CB89" s="334"/>
      <c r="CC89" s="334"/>
      <c r="CD89" s="334"/>
      <c r="CE89" s="334"/>
      <c r="CF89" s="334"/>
      <c r="CG89" s="334"/>
      <c r="CH89" s="334"/>
      <c r="CI89" s="334"/>
      <c r="CJ89" s="334"/>
      <c r="CK89" s="334"/>
      <c r="CL89" s="334"/>
      <c r="CM89" s="334"/>
      <c r="CN89" s="334"/>
      <c r="CO89" s="334"/>
      <c r="CP89" s="334"/>
      <c r="CQ89" s="334"/>
      <c r="CR89" s="334"/>
      <c r="CS89" s="334"/>
      <c r="CT89" s="334"/>
      <c r="CU89" s="334"/>
      <c r="CV89" s="334"/>
      <c r="CW89" s="334"/>
      <c r="CX89" s="334"/>
      <c r="CY89" s="334"/>
      <c r="CZ89" s="334"/>
      <c r="DA89" s="334"/>
      <c r="DB89" s="334"/>
      <c r="DC89" s="334"/>
      <c r="DD89" s="334"/>
      <c r="DE89" s="334"/>
      <c r="DF89" s="334"/>
      <c r="DG89" s="334"/>
      <c r="DH89" s="334"/>
      <c r="DI89" s="334"/>
      <c r="DJ89" s="334"/>
      <c r="DK89" s="334"/>
      <c r="DL89" s="334"/>
      <c r="DM89" s="334"/>
      <c r="DN89" s="334"/>
      <c r="DO89" s="334"/>
      <c r="DP89" s="334"/>
      <c r="DQ89" s="334"/>
      <c r="DR89" s="334"/>
      <c r="DS89" s="334"/>
      <c r="DT89" s="334"/>
      <c r="DU89" s="334"/>
      <c r="DV89" s="334"/>
      <c r="DW89" s="334"/>
      <c r="DX89" s="334"/>
      <c r="DY89" s="334"/>
      <c r="DZ89" s="334"/>
      <c r="EA89" s="334"/>
      <c r="EB89" s="334"/>
      <c r="EC89" s="334"/>
      <c r="ED89" s="334"/>
      <c r="EE89" s="334"/>
      <c r="EF89" s="334"/>
      <c r="EG89" s="334"/>
      <c r="EH89" s="334"/>
      <c r="EI89" s="334"/>
      <c r="EJ89" s="334"/>
      <c r="EK89" s="334"/>
      <c r="EL89" s="334"/>
      <c r="EM89" s="334"/>
      <c r="EN89" s="334"/>
      <c r="EO89" s="334"/>
      <c r="EP89" s="334"/>
      <c r="EQ89" s="334"/>
      <c r="ER89" s="334"/>
      <c r="ES89" s="334"/>
      <c r="ET89" s="334"/>
      <c r="EU89" s="334"/>
      <c r="EV89" s="334"/>
      <c r="EW89" s="334"/>
      <c r="EX89" s="334"/>
      <c r="EY89" s="334"/>
      <c r="EZ89" s="334"/>
      <c r="FA89" s="334"/>
      <c r="FB89" s="334"/>
      <c r="FC89" s="334"/>
      <c r="FD89" s="334"/>
      <c r="FE89" s="334"/>
      <c r="FF89" s="334"/>
      <c r="FG89" s="334"/>
      <c r="FH89" s="334"/>
      <c r="FI89" s="334"/>
      <c r="FJ89" s="334"/>
      <c r="FK89" s="334"/>
      <c r="FL89" s="334"/>
      <c r="FM89" s="334"/>
      <c r="FN89" s="334"/>
      <c r="FO89" s="334"/>
      <c r="FP89" s="334"/>
      <c r="FQ89" s="334"/>
      <c r="FR89" s="334"/>
      <c r="FS89" s="334"/>
      <c r="FT89" s="334"/>
      <c r="FU89" s="334"/>
      <c r="FV89" s="334"/>
      <c r="FW89" s="334"/>
      <c r="FX89" s="334"/>
      <c r="FY89" s="334"/>
      <c r="FZ89" s="334"/>
      <c r="GA89" s="334"/>
      <c r="GB89" s="334"/>
      <c r="GC89" s="334"/>
      <c r="GD89" s="334"/>
      <c r="GE89" s="334"/>
      <c r="GF89" s="334"/>
      <c r="GG89" s="334"/>
      <c r="GH89" s="334"/>
      <c r="GI89" s="334"/>
      <c r="GJ89" s="334"/>
      <c r="GK89" s="334"/>
      <c r="GL89" s="334"/>
      <c r="GM89" s="334"/>
      <c r="GN89" s="334"/>
      <c r="GO89" s="334"/>
      <c r="GP89" s="334"/>
      <c r="GQ89" s="334"/>
      <c r="GR89" s="334"/>
      <c r="GS89" s="334"/>
      <c r="GT89" s="334"/>
      <c r="GU89" s="334"/>
      <c r="GV89" s="334"/>
      <c r="GW89" s="334"/>
      <c r="GX89" s="334"/>
      <c r="GY89" s="334"/>
      <c r="GZ89" s="334"/>
      <c r="HA89" s="334"/>
      <c r="HB89" s="334"/>
      <c r="HC89" s="334"/>
      <c r="HD89" s="334"/>
      <c r="HE89" s="334"/>
      <c r="HF89" s="334"/>
      <c r="HG89" s="334"/>
      <c r="HH89" s="334"/>
      <c r="HI89" s="334"/>
      <c r="HJ89" s="334"/>
      <c r="HK89" s="334"/>
      <c r="HL89" s="334"/>
      <c r="HM89" s="334"/>
      <c r="HN89" s="334"/>
      <c r="HO89" s="334"/>
      <c r="HP89" s="334"/>
      <c r="HQ89" s="334"/>
      <c r="HR89" s="334"/>
      <c r="HS89" s="334"/>
      <c r="HT89" s="334"/>
      <c r="HU89" s="334"/>
      <c r="HV89" s="334"/>
      <c r="HW89" s="334"/>
      <c r="HX89" s="334"/>
      <c r="HY89" s="334"/>
      <c r="HZ89" s="334"/>
      <c r="IA89" s="334"/>
      <c r="IB89" s="334"/>
      <c r="IC89" s="334"/>
      <c r="ID89" s="334"/>
      <c r="IE89" s="334"/>
      <c r="IF89" s="334"/>
      <c r="IG89" s="334"/>
      <c r="IH89" s="334"/>
      <c r="II89" s="334"/>
      <c r="IJ89" s="334"/>
      <c r="IK89" s="334"/>
      <c r="IL89" s="334"/>
      <c r="IM89" s="334"/>
      <c r="IN89" s="334"/>
      <c r="IO89" s="334"/>
      <c r="IP89" s="334"/>
      <c r="IQ89" s="334"/>
      <c r="IR89" s="334"/>
    </row>
    <row r="90" spans="1:252" s="368" customFormat="1" x14ac:dyDescent="0.25">
      <c r="A90" s="366">
        <v>43735</v>
      </c>
      <c r="B90" s="345">
        <v>84.37</v>
      </c>
      <c r="C90" s="345">
        <v>27.45</v>
      </c>
      <c r="D90" s="345">
        <v>141.06</v>
      </c>
      <c r="E90" s="345">
        <v>77.790000000000006</v>
      </c>
      <c r="F90" s="345">
        <v>187.03</v>
      </c>
      <c r="G90" s="345">
        <v>16.36</v>
      </c>
      <c r="H90" s="345">
        <v>27.01</v>
      </c>
      <c r="I90" s="345">
        <v>87.52</v>
      </c>
      <c r="J90" s="345">
        <v>93.09</v>
      </c>
      <c r="K90" s="345">
        <v>271.26</v>
      </c>
      <c r="L90" s="345">
        <v>150.30000000000001</v>
      </c>
      <c r="M90" s="345">
        <v>79.69</v>
      </c>
      <c r="N90" s="345">
        <v>32.869999999999997</v>
      </c>
      <c r="O90" s="345">
        <v>12.595000000000001</v>
      </c>
      <c r="P90" s="345">
        <v>25.72</v>
      </c>
      <c r="Q90" s="345">
        <v>36.44</v>
      </c>
      <c r="R90" s="345">
        <v>33.82</v>
      </c>
      <c r="S90" s="345">
        <v>28.4</v>
      </c>
      <c r="T90" s="345">
        <v>26.265000000000001</v>
      </c>
      <c r="U90" s="345">
        <v>74.53</v>
      </c>
      <c r="V90" s="334"/>
      <c r="W90" s="334"/>
      <c r="X90" s="334"/>
      <c r="Y90" s="334"/>
      <c r="Z90" s="334"/>
      <c r="AA90" s="334"/>
      <c r="AB90" s="334"/>
      <c r="AC90" s="334"/>
      <c r="AD90" s="334"/>
      <c r="AE90" s="334"/>
      <c r="AF90" s="334"/>
      <c r="AG90" s="334"/>
      <c r="AH90" s="334"/>
      <c r="AI90" s="334"/>
      <c r="AJ90" s="334"/>
      <c r="AK90" s="334"/>
      <c r="AL90" s="334"/>
      <c r="AM90" s="334"/>
      <c r="AN90" s="334"/>
      <c r="AO90" s="334"/>
      <c r="AP90" s="334"/>
      <c r="AQ90" s="334"/>
      <c r="AR90" s="334"/>
      <c r="AS90" s="334"/>
      <c r="AT90" s="334"/>
      <c r="AU90" s="334"/>
      <c r="AV90" s="334"/>
      <c r="AW90" s="334"/>
      <c r="AX90" s="334"/>
      <c r="AY90" s="334"/>
      <c r="AZ90" s="334"/>
      <c r="BA90" s="334"/>
      <c r="BB90" s="334"/>
      <c r="BC90" s="334"/>
      <c r="BD90" s="334"/>
      <c r="BE90" s="334"/>
      <c r="BF90" s="334"/>
      <c r="BG90" s="334"/>
      <c r="BH90" s="334"/>
      <c r="BI90" s="334"/>
      <c r="BJ90" s="334"/>
      <c r="BK90" s="334"/>
      <c r="BL90" s="334"/>
      <c r="BM90" s="334"/>
      <c r="BN90" s="334"/>
      <c r="BO90" s="334"/>
      <c r="BP90" s="334"/>
      <c r="BQ90" s="334"/>
      <c r="BR90" s="334"/>
      <c r="BS90" s="334"/>
      <c r="BT90" s="334"/>
      <c r="BU90" s="334"/>
      <c r="BV90" s="334"/>
      <c r="BW90" s="334"/>
      <c r="BX90" s="334"/>
      <c r="BY90" s="334"/>
      <c r="BZ90" s="334"/>
      <c r="CA90" s="334"/>
      <c r="CB90" s="334"/>
      <c r="CC90" s="334"/>
      <c r="CD90" s="334"/>
      <c r="CE90" s="334"/>
      <c r="CF90" s="334"/>
      <c r="CG90" s="334"/>
      <c r="CH90" s="334"/>
      <c r="CI90" s="334"/>
      <c r="CJ90" s="334"/>
      <c r="CK90" s="334"/>
      <c r="CL90" s="334"/>
      <c r="CM90" s="334"/>
      <c r="CN90" s="334"/>
      <c r="CO90" s="334"/>
      <c r="CP90" s="334"/>
      <c r="CQ90" s="334"/>
      <c r="CR90" s="334"/>
      <c r="CS90" s="334"/>
      <c r="CT90" s="334"/>
      <c r="CU90" s="334"/>
      <c r="CV90" s="334"/>
      <c r="CW90" s="334"/>
      <c r="CX90" s="334"/>
      <c r="CY90" s="334"/>
      <c r="CZ90" s="334"/>
      <c r="DA90" s="334"/>
      <c r="DB90" s="334"/>
      <c r="DC90" s="334"/>
      <c r="DD90" s="334"/>
      <c r="DE90" s="334"/>
      <c r="DF90" s="334"/>
      <c r="DG90" s="334"/>
      <c r="DH90" s="334"/>
      <c r="DI90" s="334"/>
      <c r="DJ90" s="334"/>
      <c r="DK90" s="334"/>
      <c r="DL90" s="334"/>
      <c r="DM90" s="334"/>
      <c r="DN90" s="334"/>
      <c r="DO90" s="334"/>
      <c r="DP90" s="334"/>
      <c r="DQ90" s="334"/>
      <c r="DR90" s="334"/>
      <c r="DS90" s="334"/>
      <c r="DT90" s="334"/>
      <c r="DU90" s="334"/>
      <c r="DV90" s="334"/>
      <c r="DW90" s="334"/>
      <c r="DX90" s="334"/>
      <c r="DY90" s="334"/>
      <c r="DZ90" s="334"/>
      <c r="EA90" s="334"/>
      <c r="EB90" s="334"/>
      <c r="EC90" s="334"/>
      <c r="ED90" s="334"/>
      <c r="EE90" s="334"/>
      <c r="EF90" s="334"/>
      <c r="EG90" s="334"/>
      <c r="EH90" s="334"/>
      <c r="EI90" s="334"/>
      <c r="EJ90" s="334"/>
      <c r="EK90" s="334"/>
      <c r="EL90" s="334"/>
      <c r="EM90" s="334"/>
      <c r="EN90" s="334"/>
      <c r="EO90" s="334"/>
      <c r="EP90" s="334"/>
      <c r="EQ90" s="334"/>
      <c r="ER90" s="334"/>
      <c r="ES90" s="334"/>
      <c r="ET90" s="334"/>
      <c r="EU90" s="334"/>
      <c r="EV90" s="334"/>
      <c r="EW90" s="334"/>
      <c r="EX90" s="334"/>
      <c r="EY90" s="334"/>
      <c r="EZ90" s="334"/>
      <c r="FA90" s="334"/>
      <c r="FB90" s="334"/>
      <c r="FC90" s="334"/>
      <c r="FD90" s="334"/>
      <c r="FE90" s="334"/>
      <c r="FF90" s="334"/>
      <c r="FG90" s="334"/>
      <c r="FH90" s="334"/>
      <c r="FI90" s="334"/>
      <c r="FJ90" s="334"/>
      <c r="FK90" s="334"/>
      <c r="FL90" s="334"/>
      <c r="FM90" s="334"/>
      <c r="FN90" s="334"/>
      <c r="FO90" s="334"/>
      <c r="FP90" s="334"/>
      <c r="FQ90" s="334"/>
      <c r="FR90" s="334"/>
      <c r="FS90" s="334"/>
      <c r="FT90" s="334"/>
      <c r="FU90" s="334"/>
      <c r="FV90" s="334"/>
      <c r="FW90" s="334"/>
      <c r="FX90" s="334"/>
      <c r="FY90" s="334"/>
      <c r="FZ90" s="334"/>
      <c r="GA90" s="334"/>
      <c r="GB90" s="334"/>
      <c r="GC90" s="334"/>
      <c r="GD90" s="334"/>
      <c r="GE90" s="334"/>
      <c r="GF90" s="334"/>
      <c r="GG90" s="334"/>
      <c r="GH90" s="334"/>
      <c r="GI90" s="334"/>
      <c r="GJ90" s="334"/>
      <c r="GK90" s="334"/>
      <c r="GL90" s="334"/>
      <c r="GM90" s="334"/>
      <c r="GN90" s="334"/>
      <c r="GO90" s="334"/>
      <c r="GP90" s="334"/>
      <c r="GQ90" s="334"/>
      <c r="GR90" s="334"/>
      <c r="GS90" s="334"/>
      <c r="GT90" s="334"/>
      <c r="GU90" s="334"/>
      <c r="GV90" s="334"/>
      <c r="GW90" s="334"/>
      <c r="GX90" s="334"/>
      <c r="GY90" s="334"/>
      <c r="GZ90" s="334"/>
      <c r="HA90" s="334"/>
      <c r="HB90" s="334"/>
      <c r="HC90" s="334"/>
      <c r="HD90" s="334"/>
      <c r="HE90" s="334"/>
      <c r="HF90" s="334"/>
      <c r="HG90" s="334"/>
      <c r="HH90" s="334"/>
      <c r="HI90" s="334"/>
      <c r="HJ90" s="334"/>
      <c r="HK90" s="334"/>
      <c r="HL90" s="334"/>
      <c r="HM90" s="334"/>
      <c r="HN90" s="334"/>
      <c r="HO90" s="334"/>
      <c r="HP90" s="334"/>
      <c r="HQ90" s="334"/>
      <c r="HR90" s="334"/>
      <c r="HS90" s="334"/>
      <c r="HT90" s="334"/>
      <c r="HU90" s="334"/>
      <c r="HV90" s="334"/>
      <c r="HW90" s="334"/>
      <c r="HX90" s="334"/>
      <c r="HY90" s="334"/>
      <c r="HZ90" s="334"/>
      <c r="IA90" s="334"/>
      <c r="IB90" s="334"/>
      <c r="IC90" s="334"/>
      <c r="ID90" s="334"/>
      <c r="IE90" s="334"/>
      <c r="IF90" s="334"/>
      <c r="IG90" s="334"/>
      <c r="IH90" s="334"/>
      <c r="II90" s="334"/>
      <c r="IJ90" s="334"/>
      <c r="IK90" s="334"/>
      <c r="IL90" s="334"/>
      <c r="IM90" s="334"/>
      <c r="IN90" s="334"/>
      <c r="IO90" s="334"/>
      <c r="IP90" s="334"/>
      <c r="IQ90" s="334"/>
      <c r="IR90" s="334"/>
    </row>
    <row r="91" spans="1:252" s="368" customFormat="1" x14ac:dyDescent="0.25">
      <c r="A91" s="366">
        <v>43736</v>
      </c>
      <c r="B91" s="345">
        <v>84.37</v>
      </c>
      <c r="C91" s="345">
        <v>27.45</v>
      </c>
      <c r="D91" s="345">
        <v>141.06</v>
      </c>
      <c r="E91" s="345">
        <v>77.790000000000006</v>
      </c>
      <c r="F91" s="345">
        <v>187.03</v>
      </c>
      <c r="G91" s="345">
        <v>16.36</v>
      </c>
      <c r="H91" s="345">
        <v>27.01</v>
      </c>
      <c r="I91" s="345">
        <v>87.52</v>
      </c>
      <c r="J91" s="345">
        <v>93.09</v>
      </c>
      <c r="K91" s="345">
        <v>271.26</v>
      </c>
      <c r="L91" s="345">
        <v>150.30000000000001</v>
      </c>
      <c r="M91" s="345">
        <v>79.69</v>
      </c>
      <c r="N91" s="345">
        <v>32.869999999999997</v>
      </c>
      <c r="O91" s="345">
        <v>12.595000000000001</v>
      </c>
      <c r="P91" s="345">
        <v>25.72</v>
      </c>
      <c r="Q91" s="345">
        <v>36.44</v>
      </c>
      <c r="R91" s="345">
        <v>33.82</v>
      </c>
      <c r="S91" s="345">
        <v>28.4</v>
      </c>
      <c r="T91" s="345">
        <v>26.265000000000001</v>
      </c>
      <c r="U91" s="345">
        <v>74.53</v>
      </c>
      <c r="V91" s="334"/>
      <c r="W91" s="334"/>
      <c r="X91" s="334"/>
      <c r="Y91" s="334"/>
      <c r="Z91" s="334"/>
      <c r="AA91" s="334"/>
      <c r="AB91" s="334"/>
      <c r="AC91" s="334"/>
      <c r="AD91" s="334"/>
      <c r="AE91" s="334"/>
      <c r="AF91" s="334"/>
      <c r="AG91" s="334"/>
      <c r="AH91" s="334"/>
      <c r="AI91" s="334"/>
      <c r="AJ91" s="334"/>
      <c r="AK91" s="334"/>
      <c r="AL91" s="334"/>
      <c r="AM91" s="334"/>
      <c r="AN91" s="334"/>
      <c r="AO91" s="334"/>
      <c r="AP91" s="334"/>
      <c r="AQ91" s="334"/>
      <c r="AR91" s="334"/>
      <c r="AS91" s="334"/>
      <c r="AT91" s="334"/>
      <c r="AU91" s="334"/>
      <c r="AV91" s="334"/>
      <c r="AW91" s="334"/>
      <c r="AX91" s="334"/>
      <c r="AY91" s="334"/>
      <c r="AZ91" s="334"/>
      <c r="BA91" s="334"/>
      <c r="BB91" s="334"/>
      <c r="BC91" s="334"/>
      <c r="BD91" s="334"/>
      <c r="BE91" s="334"/>
      <c r="BF91" s="334"/>
      <c r="BG91" s="334"/>
      <c r="BH91" s="334"/>
      <c r="BI91" s="334"/>
      <c r="BJ91" s="334"/>
      <c r="BK91" s="334"/>
      <c r="BL91" s="334"/>
      <c r="BM91" s="334"/>
      <c r="BN91" s="334"/>
      <c r="BO91" s="334"/>
      <c r="BP91" s="334"/>
      <c r="BQ91" s="334"/>
      <c r="BR91" s="334"/>
      <c r="BS91" s="334"/>
      <c r="BT91" s="334"/>
      <c r="BU91" s="334"/>
      <c r="BV91" s="334"/>
      <c r="BW91" s="334"/>
      <c r="BX91" s="334"/>
      <c r="BY91" s="334"/>
      <c r="BZ91" s="334"/>
      <c r="CA91" s="334"/>
      <c r="CB91" s="334"/>
      <c r="CC91" s="334"/>
      <c r="CD91" s="334"/>
      <c r="CE91" s="334"/>
      <c r="CF91" s="334"/>
      <c r="CG91" s="334"/>
      <c r="CH91" s="334"/>
      <c r="CI91" s="334"/>
      <c r="CJ91" s="334"/>
      <c r="CK91" s="334"/>
      <c r="CL91" s="334"/>
      <c r="CM91" s="334"/>
      <c r="CN91" s="334"/>
      <c r="CO91" s="334"/>
      <c r="CP91" s="334"/>
      <c r="CQ91" s="334"/>
      <c r="CR91" s="334"/>
      <c r="CS91" s="334"/>
      <c r="CT91" s="334"/>
      <c r="CU91" s="334"/>
      <c r="CV91" s="334"/>
      <c r="CW91" s="334"/>
      <c r="CX91" s="334"/>
      <c r="CY91" s="334"/>
      <c r="CZ91" s="334"/>
      <c r="DA91" s="334"/>
      <c r="DB91" s="334"/>
      <c r="DC91" s="334"/>
      <c r="DD91" s="334"/>
      <c r="DE91" s="334"/>
      <c r="DF91" s="334"/>
      <c r="DG91" s="334"/>
      <c r="DH91" s="334"/>
      <c r="DI91" s="334"/>
      <c r="DJ91" s="334"/>
      <c r="DK91" s="334"/>
      <c r="DL91" s="334"/>
      <c r="DM91" s="334"/>
      <c r="DN91" s="334"/>
      <c r="DO91" s="334"/>
      <c r="DP91" s="334"/>
      <c r="DQ91" s="334"/>
      <c r="DR91" s="334"/>
      <c r="DS91" s="334"/>
      <c r="DT91" s="334"/>
      <c r="DU91" s="334"/>
      <c r="DV91" s="334"/>
      <c r="DW91" s="334"/>
      <c r="DX91" s="334"/>
      <c r="DY91" s="334"/>
      <c r="DZ91" s="334"/>
      <c r="EA91" s="334"/>
      <c r="EB91" s="334"/>
      <c r="EC91" s="334"/>
      <c r="ED91" s="334"/>
      <c r="EE91" s="334"/>
      <c r="EF91" s="334"/>
      <c r="EG91" s="334"/>
      <c r="EH91" s="334"/>
      <c r="EI91" s="334"/>
      <c r="EJ91" s="334"/>
      <c r="EK91" s="334"/>
      <c r="EL91" s="334"/>
      <c r="EM91" s="334"/>
      <c r="EN91" s="334"/>
      <c r="EO91" s="334"/>
      <c r="EP91" s="334"/>
      <c r="EQ91" s="334"/>
      <c r="ER91" s="334"/>
      <c r="ES91" s="334"/>
      <c r="ET91" s="334"/>
      <c r="EU91" s="334"/>
      <c r="EV91" s="334"/>
      <c r="EW91" s="334"/>
      <c r="EX91" s="334"/>
      <c r="EY91" s="334"/>
      <c r="EZ91" s="334"/>
      <c r="FA91" s="334"/>
      <c r="FB91" s="334"/>
      <c r="FC91" s="334"/>
      <c r="FD91" s="334"/>
      <c r="FE91" s="334"/>
      <c r="FF91" s="334"/>
      <c r="FG91" s="334"/>
      <c r="FH91" s="334"/>
      <c r="FI91" s="334"/>
      <c r="FJ91" s="334"/>
      <c r="FK91" s="334"/>
      <c r="FL91" s="334"/>
      <c r="FM91" s="334"/>
      <c r="FN91" s="334"/>
      <c r="FO91" s="334"/>
      <c r="FP91" s="334"/>
      <c r="FQ91" s="334"/>
      <c r="FR91" s="334"/>
      <c r="FS91" s="334"/>
      <c r="FT91" s="334"/>
      <c r="FU91" s="334"/>
      <c r="FV91" s="334"/>
      <c r="FW91" s="334"/>
      <c r="FX91" s="334"/>
      <c r="FY91" s="334"/>
      <c r="FZ91" s="334"/>
      <c r="GA91" s="334"/>
      <c r="GB91" s="334"/>
      <c r="GC91" s="334"/>
      <c r="GD91" s="334"/>
      <c r="GE91" s="334"/>
      <c r="GF91" s="334"/>
      <c r="GG91" s="334"/>
      <c r="GH91" s="334"/>
      <c r="GI91" s="334"/>
      <c r="GJ91" s="334"/>
      <c r="GK91" s="334"/>
      <c r="GL91" s="334"/>
      <c r="GM91" s="334"/>
      <c r="GN91" s="334"/>
      <c r="GO91" s="334"/>
      <c r="GP91" s="334"/>
      <c r="GQ91" s="334"/>
      <c r="GR91" s="334"/>
      <c r="GS91" s="334"/>
      <c r="GT91" s="334"/>
      <c r="GU91" s="334"/>
      <c r="GV91" s="334"/>
      <c r="GW91" s="334"/>
      <c r="GX91" s="334"/>
      <c r="GY91" s="334"/>
      <c r="GZ91" s="334"/>
      <c r="HA91" s="334"/>
      <c r="HB91" s="334"/>
      <c r="HC91" s="334"/>
      <c r="HD91" s="334"/>
      <c r="HE91" s="334"/>
      <c r="HF91" s="334"/>
      <c r="HG91" s="334"/>
      <c r="HH91" s="334"/>
      <c r="HI91" s="334"/>
      <c r="HJ91" s="334"/>
      <c r="HK91" s="334"/>
      <c r="HL91" s="334"/>
      <c r="HM91" s="334"/>
      <c r="HN91" s="334"/>
      <c r="HO91" s="334"/>
      <c r="HP91" s="334"/>
      <c r="HQ91" s="334"/>
      <c r="HR91" s="334"/>
      <c r="HS91" s="334"/>
      <c r="HT91" s="334"/>
      <c r="HU91" s="334"/>
      <c r="HV91" s="334"/>
      <c r="HW91" s="334"/>
      <c r="HX91" s="334"/>
      <c r="HY91" s="334"/>
      <c r="HZ91" s="334"/>
      <c r="IA91" s="334"/>
      <c r="IB91" s="334"/>
      <c r="IC91" s="334"/>
      <c r="ID91" s="334"/>
      <c r="IE91" s="334"/>
      <c r="IF91" s="334"/>
      <c r="IG91" s="334"/>
      <c r="IH91" s="334"/>
      <c r="II91" s="334"/>
      <c r="IJ91" s="334"/>
      <c r="IK91" s="334"/>
      <c r="IL91" s="334"/>
      <c r="IM91" s="334"/>
      <c r="IN91" s="334"/>
      <c r="IO91" s="334"/>
      <c r="IP91" s="334"/>
      <c r="IQ91" s="334"/>
      <c r="IR91" s="334"/>
    </row>
    <row r="92" spans="1:252" s="368" customFormat="1" x14ac:dyDescent="0.25">
      <c r="A92" s="366">
        <v>43737</v>
      </c>
      <c r="B92" s="345">
        <v>84.37</v>
      </c>
      <c r="C92" s="345">
        <v>27.45</v>
      </c>
      <c r="D92" s="345">
        <v>141.06</v>
      </c>
      <c r="E92" s="345">
        <v>77.790000000000006</v>
      </c>
      <c r="F92" s="345">
        <v>187.03</v>
      </c>
      <c r="G92" s="345">
        <v>16.36</v>
      </c>
      <c r="H92" s="345">
        <v>27.01</v>
      </c>
      <c r="I92" s="345">
        <v>87.52</v>
      </c>
      <c r="J92" s="345">
        <v>93.09</v>
      </c>
      <c r="K92" s="345">
        <v>271.26</v>
      </c>
      <c r="L92" s="345">
        <v>150.30000000000001</v>
      </c>
      <c r="M92" s="345">
        <v>79.69</v>
      </c>
      <c r="N92" s="345">
        <v>32.869999999999997</v>
      </c>
      <c r="O92" s="345">
        <v>12.595000000000001</v>
      </c>
      <c r="P92" s="345">
        <v>25.72</v>
      </c>
      <c r="Q92" s="345">
        <v>36.44</v>
      </c>
      <c r="R92" s="345">
        <v>33.82</v>
      </c>
      <c r="S92" s="345">
        <v>28.4</v>
      </c>
      <c r="T92" s="345">
        <v>26.265000000000001</v>
      </c>
      <c r="U92" s="345">
        <v>74.53</v>
      </c>
      <c r="V92" s="334"/>
      <c r="W92" s="334"/>
      <c r="X92" s="334"/>
      <c r="Y92" s="334"/>
      <c r="Z92" s="334"/>
      <c r="AA92" s="334"/>
      <c r="AB92" s="334"/>
      <c r="AC92" s="334"/>
      <c r="AD92" s="334"/>
      <c r="AE92" s="334"/>
      <c r="AF92" s="334"/>
      <c r="AG92" s="334"/>
      <c r="AH92" s="334"/>
      <c r="AI92" s="334"/>
      <c r="AJ92" s="334"/>
      <c r="AK92" s="334"/>
      <c r="AL92" s="334"/>
      <c r="AM92" s="334"/>
      <c r="AN92" s="334"/>
      <c r="AO92" s="334"/>
      <c r="AP92" s="334"/>
      <c r="AQ92" s="334"/>
      <c r="AR92" s="334"/>
      <c r="AS92" s="334"/>
      <c r="AT92" s="334"/>
      <c r="AU92" s="334"/>
      <c r="AV92" s="334"/>
      <c r="AW92" s="334"/>
      <c r="AX92" s="334"/>
      <c r="AY92" s="334"/>
      <c r="AZ92" s="334"/>
      <c r="BA92" s="334"/>
      <c r="BB92" s="334"/>
      <c r="BC92" s="334"/>
      <c r="BD92" s="334"/>
      <c r="BE92" s="334"/>
      <c r="BF92" s="334"/>
      <c r="BG92" s="334"/>
      <c r="BH92" s="334"/>
      <c r="BI92" s="334"/>
      <c r="BJ92" s="334"/>
      <c r="BK92" s="334"/>
      <c r="BL92" s="334"/>
      <c r="BM92" s="334"/>
      <c r="BN92" s="334"/>
      <c r="BO92" s="334"/>
      <c r="BP92" s="334"/>
      <c r="BQ92" s="334"/>
      <c r="BR92" s="334"/>
      <c r="BS92" s="334"/>
      <c r="BT92" s="334"/>
      <c r="BU92" s="334"/>
      <c r="BV92" s="334"/>
      <c r="BW92" s="334"/>
      <c r="BX92" s="334"/>
      <c r="BY92" s="334"/>
      <c r="BZ92" s="334"/>
      <c r="CA92" s="334"/>
      <c r="CB92" s="334"/>
      <c r="CC92" s="334"/>
      <c r="CD92" s="334"/>
      <c r="CE92" s="334"/>
      <c r="CF92" s="334"/>
      <c r="CG92" s="334"/>
      <c r="CH92" s="334"/>
      <c r="CI92" s="334"/>
      <c r="CJ92" s="334"/>
      <c r="CK92" s="334"/>
      <c r="CL92" s="334"/>
      <c r="CM92" s="334"/>
      <c r="CN92" s="334"/>
      <c r="CO92" s="334"/>
      <c r="CP92" s="334"/>
      <c r="CQ92" s="334"/>
      <c r="CR92" s="334"/>
      <c r="CS92" s="334"/>
      <c r="CT92" s="334"/>
      <c r="CU92" s="334"/>
      <c r="CV92" s="334"/>
      <c r="CW92" s="334"/>
      <c r="CX92" s="334"/>
      <c r="CY92" s="334"/>
      <c r="CZ92" s="334"/>
      <c r="DA92" s="334"/>
      <c r="DB92" s="334"/>
      <c r="DC92" s="334"/>
      <c r="DD92" s="334"/>
      <c r="DE92" s="334"/>
      <c r="DF92" s="334"/>
      <c r="DG92" s="334"/>
      <c r="DH92" s="334"/>
      <c r="DI92" s="334"/>
      <c r="DJ92" s="334"/>
      <c r="DK92" s="334"/>
      <c r="DL92" s="334"/>
      <c r="DM92" s="334"/>
      <c r="DN92" s="334"/>
      <c r="DO92" s="334"/>
      <c r="DP92" s="334"/>
      <c r="DQ92" s="334"/>
      <c r="DR92" s="334"/>
      <c r="DS92" s="334"/>
      <c r="DT92" s="334"/>
      <c r="DU92" s="334"/>
      <c r="DV92" s="334"/>
      <c r="DW92" s="334"/>
      <c r="DX92" s="334"/>
      <c r="DY92" s="334"/>
      <c r="DZ92" s="334"/>
      <c r="EA92" s="334"/>
      <c r="EB92" s="334"/>
      <c r="EC92" s="334"/>
      <c r="ED92" s="334"/>
      <c r="EE92" s="334"/>
      <c r="EF92" s="334"/>
      <c r="EG92" s="334"/>
      <c r="EH92" s="334"/>
      <c r="EI92" s="334"/>
      <c r="EJ92" s="334"/>
      <c r="EK92" s="334"/>
      <c r="EL92" s="334"/>
      <c r="EM92" s="334"/>
      <c r="EN92" s="334"/>
      <c r="EO92" s="334"/>
      <c r="EP92" s="334"/>
      <c r="EQ92" s="334"/>
      <c r="ER92" s="334"/>
      <c r="ES92" s="334"/>
      <c r="ET92" s="334"/>
      <c r="EU92" s="334"/>
      <c r="EV92" s="334"/>
      <c r="EW92" s="334"/>
      <c r="EX92" s="334"/>
      <c r="EY92" s="334"/>
      <c r="EZ92" s="334"/>
      <c r="FA92" s="334"/>
      <c r="FB92" s="334"/>
      <c r="FC92" s="334"/>
      <c r="FD92" s="334"/>
      <c r="FE92" s="334"/>
      <c r="FF92" s="334"/>
      <c r="FG92" s="334"/>
      <c r="FH92" s="334"/>
      <c r="FI92" s="334"/>
      <c r="FJ92" s="334"/>
      <c r="FK92" s="334"/>
      <c r="FL92" s="334"/>
      <c r="FM92" s="334"/>
      <c r="FN92" s="334"/>
      <c r="FO92" s="334"/>
      <c r="FP92" s="334"/>
      <c r="FQ92" s="334"/>
      <c r="FR92" s="334"/>
      <c r="FS92" s="334"/>
      <c r="FT92" s="334"/>
      <c r="FU92" s="334"/>
      <c r="FV92" s="334"/>
      <c r="FW92" s="334"/>
      <c r="FX92" s="334"/>
      <c r="FY92" s="334"/>
      <c r="FZ92" s="334"/>
      <c r="GA92" s="334"/>
      <c r="GB92" s="334"/>
      <c r="GC92" s="334"/>
      <c r="GD92" s="334"/>
      <c r="GE92" s="334"/>
      <c r="GF92" s="334"/>
      <c r="GG92" s="334"/>
      <c r="GH92" s="334"/>
      <c r="GI92" s="334"/>
      <c r="GJ92" s="334"/>
      <c r="GK92" s="334"/>
      <c r="GL92" s="334"/>
      <c r="GM92" s="334"/>
      <c r="GN92" s="334"/>
      <c r="GO92" s="334"/>
      <c r="GP92" s="334"/>
      <c r="GQ92" s="334"/>
      <c r="GR92" s="334"/>
      <c r="GS92" s="334"/>
      <c r="GT92" s="334"/>
      <c r="GU92" s="334"/>
      <c r="GV92" s="334"/>
      <c r="GW92" s="334"/>
      <c r="GX92" s="334"/>
      <c r="GY92" s="334"/>
      <c r="GZ92" s="334"/>
      <c r="HA92" s="334"/>
      <c r="HB92" s="334"/>
      <c r="HC92" s="334"/>
      <c r="HD92" s="334"/>
      <c r="HE92" s="334"/>
      <c r="HF92" s="334"/>
      <c r="HG92" s="334"/>
      <c r="HH92" s="334"/>
      <c r="HI92" s="334"/>
      <c r="HJ92" s="334"/>
      <c r="HK92" s="334"/>
      <c r="HL92" s="334"/>
      <c r="HM92" s="334"/>
      <c r="HN92" s="334"/>
      <c r="HO92" s="334"/>
      <c r="HP92" s="334"/>
      <c r="HQ92" s="334"/>
      <c r="HR92" s="334"/>
      <c r="HS92" s="334"/>
      <c r="HT92" s="334"/>
      <c r="HU92" s="334"/>
      <c r="HV92" s="334"/>
      <c r="HW92" s="334"/>
      <c r="HX92" s="334"/>
      <c r="HY92" s="334"/>
      <c r="HZ92" s="334"/>
      <c r="IA92" s="334"/>
      <c r="IB92" s="334"/>
      <c r="IC92" s="334"/>
      <c r="ID92" s="334"/>
      <c r="IE92" s="334"/>
      <c r="IF92" s="334"/>
      <c r="IG92" s="334"/>
      <c r="IH92" s="334"/>
      <c r="II92" s="334"/>
      <c r="IJ92" s="334"/>
      <c r="IK92" s="334"/>
      <c r="IL92" s="334"/>
      <c r="IM92" s="334"/>
      <c r="IN92" s="334"/>
      <c r="IO92" s="334"/>
      <c r="IP92" s="334"/>
      <c r="IQ92" s="334"/>
      <c r="IR92" s="334"/>
    </row>
    <row r="93" spans="1:252" s="368" customFormat="1" x14ac:dyDescent="0.25">
      <c r="A93" s="366">
        <v>43738</v>
      </c>
      <c r="B93" s="345">
        <v>84.43</v>
      </c>
      <c r="C93" s="345">
        <v>26.71</v>
      </c>
      <c r="D93" s="345">
        <v>138.87</v>
      </c>
      <c r="E93" s="345">
        <v>77.84</v>
      </c>
      <c r="F93" s="345">
        <v>188.81</v>
      </c>
      <c r="G93" s="345">
        <v>15.92</v>
      </c>
      <c r="H93" s="345">
        <v>27.1</v>
      </c>
      <c r="I93" s="345">
        <v>87.74</v>
      </c>
      <c r="J93" s="345">
        <v>93.25</v>
      </c>
      <c r="K93" s="345">
        <v>272.60000000000002</v>
      </c>
      <c r="L93" s="345">
        <v>151</v>
      </c>
      <c r="M93" s="345">
        <v>80.53</v>
      </c>
      <c r="N93" s="345">
        <v>33.049999999999997</v>
      </c>
      <c r="O93" s="345">
        <v>12.41</v>
      </c>
      <c r="P93" s="345">
        <v>25.63</v>
      </c>
      <c r="Q93" s="345">
        <v>36.4</v>
      </c>
      <c r="R93" s="345">
        <v>33.57</v>
      </c>
      <c r="S93" s="345">
        <v>27.65</v>
      </c>
      <c r="T93" s="345">
        <v>26.21</v>
      </c>
      <c r="U93" s="345">
        <v>74.510000000000005</v>
      </c>
      <c r="V93" s="334"/>
      <c r="W93" s="334"/>
      <c r="X93" s="334"/>
      <c r="Y93" s="334"/>
      <c r="Z93" s="334"/>
      <c r="AA93" s="334"/>
      <c r="AB93" s="334"/>
      <c r="AC93" s="334"/>
      <c r="AD93" s="334"/>
      <c r="AE93" s="334"/>
      <c r="AF93" s="334"/>
      <c r="AG93" s="334"/>
      <c r="AH93" s="334"/>
      <c r="AI93" s="334"/>
      <c r="AJ93" s="334"/>
      <c r="AK93" s="334"/>
      <c r="AL93" s="334"/>
      <c r="AM93" s="334"/>
      <c r="AN93" s="334"/>
      <c r="AO93" s="334"/>
      <c r="AP93" s="334"/>
      <c r="AQ93" s="334"/>
      <c r="AR93" s="334"/>
      <c r="AS93" s="334"/>
      <c r="AT93" s="334"/>
      <c r="AU93" s="334"/>
      <c r="AV93" s="334"/>
      <c r="AW93" s="334"/>
      <c r="AX93" s="334"/>
      <c r="AY93" s="334"/>
      <c r="AZ93" s="334"/>
      <c r="BA93" s="334"/>
      <c r="BB93" s="334"/>
      <c r="BC93" s="334"/>
      <c r="BD93" s="334"/>
      <c r="BE93" s="334"/>
      <c r="BF93" s="334"/>
      <c r="BG93" s="334"/>
      <c r="BH93" s="334"/>
      <c r="BI93" s="334"/>
      <c r="BJ93" s="334"/>
      <c r="BK93" s="334"/>
      <c r="BL93" s="334"/>
      <c r="BM93" s="334"/>
      <c r="BN93" s="334"/>
      <c r="BO93" s="334"/>
      <c r="BP93" s="334"/>
      <c r="BQ93" s="334"/>
      <c r="BR93" s="334"/>
      <c r="BS93" s="334"/>
      <c r="BT93" s="334"/>
      <c r="BU93" s="334"/>
      <c r="BV93" s="334"/>
      <c r="BW93" s="334"/>
      <c r="BX93" s="334"/>
      <c r="BY93" s="334"/>
      <c r="BZ93" s="334"/>
      <c r="CA93" s="334"/>
      <c r="CB93" s="334"/>
      <c r="CC93" s="334"/>
      <c r="CD93" s="334"/>
      <c r="CE93" s="334"/>
      <c r="CF93" s="334"/>
      <c r="CG93" s="334"/>
      <c r="CH93" s="334"/>
      <c r="CI93" s="334"/>
      <c r="CJ93" s="334"/>
      <c r="CK93" s="334"/>
      <c r="CL93" s="334"/>
      <c r="CM93" s="334"/>
      <c r="CN93" s="334"/>
      <c r="CO93" s="334"/>
      <c r="CP93" s="334"/>
      <c r="CQ93" s="334"/>
      <c r="CR93" s="334"/>
      <c r="CS93" s="334"/>
      <c r="CT93" s="334"/>
      <c r="CU93" s="334"/>
      <c r="CV93" s="334"/>
      <c r="CW93" s="334"/>
      <c r="CX93" s="334"/>
      <c r="CY93" s="334"/>
      <c r="CZ93" s="334"/>
      <c r="DA93" s="334"/>
      <c r="DB93" s="334"/>
      <c r="DC93" s="334"/>
      <c r="DD93" s="334"/>
      <c r="DE93" s="334"/>
      <c r="DF93" s="334"/>
      <c r="DG93" s="334"/>
      <c r="DH93" s="334"/>
      <c r="DI93" s="334"/>
      <c r="DJ93" s="334"/>
      <c r="DK93" s="334"/>
      <c r="DL93" s="334"/>
      <c r="DM93" s="334"/>
      <c r="DN93" s="334"/>
      <c r="DO93" s="334"/>
      <c r="DP93" s="334"/>
      <c r="DQ93" s="334"/>
      <c r="DR93" s="334"/>
      <c r="DS93" s="334"/>
      <c r="DT93" s="334"/>
      <c r="DU93" s="334"/>
      <c r="DV93" s="334"/>
      <c r="DW93" s="334"/>
      <c r="DX93" s="334"/>
      <c r="DY93" s="334"/>
      <c r="DZ93" s="334"/>
      <c r="EA93" s="334"/>
      <c r="EB93" s="334"/>
      <c r="EC93" s="334"/>
      <c r="ED93" s="334"/>
      <c r="EE93" s="334"/>
      <c r="EF93" s="334"/>
      <c r="EG93" s="334"/>
      <c r="EH93" s="334"/>
      <c r="EI93" s="334"/>
      <c r="EJ93" s="334"/>
      <c r="EK93" s="334"/>
      <c r="EL93" s="334"/>
      <c r="EM93" s="334"/>
      <c r="EN93" s="334"/>
      <c r="EO93" s="334"/>
      <c r="EP93" s="334"/>
      <c r="EQ93" s="334"/>
      <c r="ER93" s="334"/>
      <c r="ES93" s="334"/>
      <c r="ET93" s="334"/>
      <c r="EU93" s="334"/>
      <c r="EV93" s="334"/>
      <c r="EW93" s="334"/>
      <c r="EX93" s="334"/>
      <c r="EY93" s="334"/>
      <c r="EZ93" s="334"/>
      <c r="FA93" s="334"/>
      <c r="FB93" s="334"/>
      <c r="FC93" s="334"/>
      <c r="FD93" s="334"/>
      <c r="FE93" s="334"/>
      <c r="FF93" s="334"/>
      <c r="FG93" s="334"/>
      <c r="FH93" s="334"/>
      <c r="FI93" s="334"/>
      <c r="FJ93" s="334"/>
      <c r="FK93" s="334"/>
      <c r="FL93" s="334"/>
      <c r="FM93" s="334"/>
      <c r="FN93" s="334"/>
      <c r="FO93" s="334"/>
      <c r="FP93" s="334"/>
      <c r="FQ93" s="334"/>
      <c r="FR93" s="334"/>
      <c r="FS93" s="334"/>
      <c r="FT93" s="334"/>
      <c r="FU93" s="334"/>
      <c r="FV93" s="334"/>
      <c r="FW93" s="334"/>
      <c r="FX93" s="334"/>
      <c r="FY93" s="334"/>
      <c r="FZ93" s="334"/>
      <c r="GA93" s="334"/>
      <c r="GB93" s="334"/>
      <c r="GC93" s="334"/>
      <c r="GD93" s="334"/>
      <c r="GE93" s="334"/>
      <c r="GF93" s="334"/>
      <c r="GG93" s="334"/>
      <c r="GH93" s="334"/>
      <c r="GI93" s="334"/>
      <c r="GJ93" s="334"/>
      <c r="GK93" s="334"/>
      <c r="GL93" s="334"/>
      <c r="GM93" s="334"/>
      <c r="GN93" s="334"/>
      <c r="GO93" s="334"/>
      <c r="GP93" s="334"/>
      <c r="GQ93" s="334"/>
      <c r="GR93" s="334"/>
      <c r="GS93" s="334"/>
      <c r="GT93" s="334"/>
      <c r="GU93" s="334"/>
      <c r="GV93" s="334"/>
      <c r="GW93" s="334"/>
      <c r="GX93" s="334"/>
      <c r="GY93" s="334"/>
      <c r="GZ93" s="334"/>
      <c r="HA93" s="334"/>
      <c r="HB93" s="334"/>
      <c r="HC93" s="334"/>
      <c r="HD93" s="334"/>
      <c r="HE93" s="334"/>
      <c r="HF93" s="334"/>
      <c r="HG93" s="334"/>
      <c r="HH93" s="334"/>
      <c r="HI93" s="334"/>
      <c r="HJ93" s="334"/>
      <c r="HK93" s="334"/>
      <c r="HL93" s="334"/>
      <c r="HM93" s="334"/>
      <c r="HN93" s="334"/>
      <c r="HO93" s="334"/>
      <c r="HP93" s="334"/>
      <c r="HQ93" s="334"/>
      <c r="HR93" s="334"/>
      <c r="HS93" s="334"/>
      <c r="HT93" s="334"/>
      <c r="HU93" s="334"/>
      <c r="HV93" s="334"/>
      <c r="HW93" s="334"/>
      <c r="HX93" s="334"/>
      <c r="HY93" s="334"/>
      <c r="HZ93" s="334"/>
      <c r="IA93" s="334"/>
      <c r="IB93" s="334"/>
      <c r="IC93" s="334"/>
      <c r="ID93" s="334"/>
      <c r="IE93" s="334"/>
      <c r="IF93" s="334"/>
      <c r="IG93" s="334"/>
      <c r="IH93" s="334"/>
      <c r="II93" s="334"/>
      <c r="IJ93" s="334"/>
      <c r="IK93" s="334"/>
      <c r="IL93" s="334"/>
      <c r="IM93" s="334"/>
      <c r="IN93" s="334"/>
      <c r="IO93" s="334"/>
      <c r="IP93" s="334"/>
      <c r="IQ93" s="334"/>
      <c r="IR93" s="334"/>
    </row>
    <row r="94" spans="1:252" x14ac:dyDescent="0.25">
      <c r="A94" s="366">
        <v>43739</v>
      </c>
      <c r="B94" s="345">
        <v>84.33</v>
      </c>
      <c r="C94" s="345">
        <v>26.92</v>
      </c>
      <c r="D94" s="345">
        <v>139.63</v>
      </c>
      <c r="E94" s="345">
        <v>76.31</v>
      </c>
      <c r="F94" s="345">
        <v>187.27</v>
      </c>
      <c r="G94" s="345">
        <v>16.149999999999999</v>
      </c>
      <c r="H94" s="345">
        <v>27.01</v>
      </c>
      <c r="I94" s="345">
        <v>87.79</v>
      </c>
      <c r="J94" s="345">
        <v>92.37</v>
      </c>
      <c r="K94" s="345">
        <v>269.32</v>
      </c>
      <c r="L94" s="345">
        <v>149.03</v>
      </c>
      <c r="M94" s="345">
        <v>79.78</v>
      </c>
      <c r="N94" s="345">
        <v>32.65</v>
      </c>
      <c r="O94" s="345">
        <v>12.47</v>
      </c>
      <c r="P94" s="345">
        <v>25.39</v>
      </c>
      <c r="Q94" s="345">
        <v>35.99</v>
      </c>
      <c r="R94" s="345">
        <v>33.119999999999997</v>
      </c>
      <c r="S94" s="345">
        <v>27.83</v>
      </c>
      <c r="T94" s="345">
        <v>26.27</v>
      </c>
      <c r="U94" s="345">
        <v>74.58</v>
      </c>
    </row>
    <row r="95" spans="1:252" x14ac:dyDescent="0.25">
      <c r="A95" s="366">
        <v>43740</v>
      </c>
      <c r="B95" s="345">
        <v>84.52</v>
      </c>
      <c r="C95" s="345">
        <v>27.41</v>
      </c>
      <c r="D95" s="345">
        <v>141.26</v>
      </c>
      <c r="E95" s="345">
        <v>75.55</v>
      </c>
      <c r="F95" s="345">
        <v>184.05</v>
      </c>
      <c r="G95" s="345">
        <v>16.43</v>
      </c>
      <c r="H95" s="345">
        <v>26.99</v>
      </c>
      <c r="I95" s="345">
        <v>88.06</v>
      </c>
      <c r="J95" s="345">
        <v>91.98</v>
      </c>
      <c r="K95" s="345">
        <v>264.57</v>
      </c>
      <c r="L95" s="345">
        <v>146.61000000000001</v>
      </c>
      <c r="M95" s="345">
        <v>78.28</v>
      </c>
      <c r="N95" s="345">
        <v>32.06</v>
      </c>
      <c r="O95" s="345">
        <v>12.61</v>
      </c>
      <c r="P95" s="345">
        <v>25.22</v>
      </c>
      <c r="Q95" s="345">
        <v>35.85</v>
      </c>
      <c r="R95" s="345">
        <v>32.799999999999997</v>
      </c>
      <c r="S95" s="345">
        <v>28.27</v>
      </c>
      <c r="T95" s="345">
        <v>26.31</v>
      </c>
      <c r="U95" s="345">
        <v>74.069999999999993</v>
      </c>
    </row>
    <row r="96" spans="1:252" x14ac:dyDescent="0.25">
      <c r="A96" s="366">
        <v>43741</v>
      </c>
      <c r="B96" s="345">
        <v>84.8</v>
      </c>
      <c r="C96" s="345">
        <v>27.25</v>
      </c>
      <c r="D96" s="345">
        <v>141.9</v>
      </c>
      <c r="E96" s="345">
        <v>75.66</v>
      </c>
      <c r="F96" s="345">
        <v>186.07</v>
      </c>
      <c r="G96" s="345">
        <v>16.43</v>
      </c>
      <c r="H96" s="345">
        <v>26.98</v>
      </c>
      <c r="I96" s="345">
        <v>88.83</v>
      </c>
      <c r="J96" s="345">
        <v>92.87</v>
      </c>
      <c r="K96" s="345">
        <v>266.67</v>
      </c>
      <c r="L96" s="345">
        <v>147.80000000000001</v>
      </c>
      <c r="M96" s="345">
        <v>79.239999999999995</v>
      </c>
      <c r="N96" s="345">
        <v>32.32</v>
      </c>
      <c r="O96" s="345">
        <v>12.67</v>
      </c>
      <c r="P96" s="345">
        <v>25.39</v>
      </c>
      <c r="Q96" s="345">
        <v>36.31</v>
      </c>
      <c r="R96" s="345">
        <v>32.92</v>
      </c>
      <c r="S96" s="345">
        <v>28.22</v>
      </c>
      <c r="T96" s="345">
        <v>26.44</v>
      </c>
      <c r="U96" s="345">
        <v>73.963899999999995</v>
      </c>
    </row>
    <row r="97" spans="1:252" x14ac:dyDescent="0.25">
      <c r="A97" s="366">
        <v>43742</v>
      </c>
      <c r="B97" s="345">
        <v>84.94</v>
      </c>
      <c r="C97" s="345">
        <v>27.87</v>
      </c>
      <c r="D97" s="345">
        <v>141.9</v>
      </c>
      <c r="E97" s="345">
        <v>76.400000000000006</v>
      </c>
      <c r="F97" s="345">
        <v>188.81</v>
      </c>
      <c r="G97" s="345">
        <v>16.41</v>
      </c>
      <c r="H97" s="345">
        <v>26.96</v>
      </c>
      <c r="I97" s="345">
        <v>89.48</v>
      </c>
      <c r="J97" s="345">
        <v>93.43</v>
      </c>
      <c r="K97" s="345">
        <v>270.37</v>
      </c>
      <c r="L97" s="345">
        <v>149.72999999999999</v>
      </c>
      <c r="M97" s="345">
        <v>80.55</v>
      </c>
      <c r="N97" s="345">
        <v>32.770000000000003</v>
      </c>
      <c r="O97" s="345">
        <v>12.675000000000001</v>
      </c>
      <c r="P97" s="345">
        <v>25.57</v>
      </c>
      <c r="Q97" s="345">
        <v>36.56</v>
      </c>
      <c r="R97" s="345">
        <v>33.1</v>
      </c>
      <c r="S97" s="345">
        <v>28.67</v>
      </c>
      <c r="T97" s="345">
        <v>26.49</v>
      </c>
      <c r="U97" s="345">
        <v>74.11</v>
      </c>
    </row>
    <row r="98" spans="1:252" s="368" customFormat="1" x14ac:dyDescent="0.25">
      <c r="A98" s="366">
        <v>43743</v>
      </c>
      <c r="B98" s="345">
        <v>84.94</v>
      </c>
      <c r="C98" s="345">
        <v>27.87</v>
      </c>
      <c r="D98" s="345">
        <v>141.9</v>
      </c>
      <c r="E98" s="345">
        <v>76.400000000000006</v>
      </c>
      <c r="F98" s="345">
        <v>188.81</v>
      </c>
      <c r="G98" s="345">
        <v>16.41</v>
      </c>
      <c r="H98" s="345">
        <v>26.96</v>
      </c>
      <c r="I98" s="345">
        <v>89.48</v>
      </c>
      <c r="J98" s="345">
        <v>93.43</v>
      </c>
      <c r="K98" s="345">
        <v>270.37</v>
      </c>
      <c r="L98" s="345">
        <v>149.72999999999999</v>
      </c>
      <c r="M98" s="345">
        <v>80.55</v>
      </c>
      <c r="N98" s="345">
        <v>32.770000000000003</v>
      </c>
      <c r="O98" s="345">
        <v>12.675000000000001</v>
      </c>
      <c r="P98" s="345">
        <v>25.57</v>
      </c>
      <c r="Q98" s="345">
        <v>36.56</v>
      </c>
      <c r="R98" s="345">
        <v>33.1</v>
      </c>
      <c r="S98" s="345">
        <v>28.67</v>
      </c>
      <c r="T98" s="345">
        <v>26.49</v>
      </c>
      <c r="U98" s="345">
        <v>74.11</v>
      </c>
      <c r="V98" s="334"/>
      <c r="W98" s="334"/>
      <c r="X98" s="334"/>
      <c r="Y98" s="334"/>
      <c r="Z98" s="334"/>
      <c r="AA98" s="334"/>
      <c r="AB98" s="334"/>
      <c r="AC98" s="334"/>
      <c r="AD98" s="334"/>
      <c r="AE98" s="334"/>
      <c r="AF98" s="334"/>
      <c r="AG98" s="334"/>
      <c r="AH98" s="334"/>
      <c r="AI98" s="334"/>
      <c r="AJ98" s="334"/>
      <c r="AK98" s="334"/>
      <c r="AL98" s="334"/>
      <c r="AM98" s="334"/>
      <c r="AN98" s="334"/>
      <c r="AO98" s="334"/>
      <c r="AP98" s="334"/>
      <c r="AQ98" s="334"/>
      <c r="AR98" s="334"/>
      <c r="AS98" s="334"/>
      <c r="AT98" s="334"/>
      <c r="AU98" s="334"/>
      <c r="AV98" s="334"/>
      <c r="AW98" s="334"/>
      <c r="AX98" s="334"/>
      <c r="AY98" s="334"/>
      <c r="AZ98" s="334"/>
      <c r="BA98" s="334"/>
      <c r="BB98" s="334"/>
      <c r="BC98" s="334"/>
      <c r="BD98" s="334"/>
      <c r="BE98" s="334"/>
      <c r="BF98" s="334"/>
      <c r="BG98" s="334"/>
      <c r="BH98" s="334"/>
      <c r="BI98" s="334"/>
      <c r="BJ98" s="334"/>
      <c r="BK98" s="334"/>
      <c r="BL98" s="334"/>
      <c r="BM98" s="334"/>
      <c r="BN98" s="334"/>
      <c r="BO98" s="334"/>
      <c r="BP98" s="334"/>
      <c r="BQ98" s="334"/>
      <c r="BR98" s="334"/>
      <c r="BS98" s="334"/>
      <c r="BT98" s="334"/>
      <c r="BU98" s="334"/>
      <c r="BV98" s="334"/>
      <c r="BW98" s="334"/>
      <c r="BX98" s="334"/>
      <c r="BY98" s="334"/>
      <c r="BZ98" s="334"/>
      <c r="CA98" s="334"/>
      <c r="CB98" s="334"/>
      <c r="CC98" s="334"/>
      <c r="CD98" s="334"/>
      <c r="CE98" s="334"/>
      <c r="CF98" s="334"/>
      <c r="CG98" s="334"/>
      <c r="CH98" s="334"/>
      <c r="CI98" s="334"/>
      <c r="CJ98" s="334"/>
      <c r="CK98" s="334"/>
      <c r="CL98" s="334"/>
      <c r="CM98" s="334"/>
      <c r="CN98" s="334"/>
      <c r="CO98" s="334"/>
      <c r="CP98" s="334"/>
      <c r="CQ98" s="334"/>
      <c r="CR98" s="334"/>
      <c r="CS98" s="334"/>
      <c r="CT98" s="334"/>
      <c r="CU98" s="334"/>
      <c r="CV98" s="334"/>
      <c r="CW98" s="334"/>
      <c r="CX98" s="334"/>
      <c r="CY98" s="334"/>
      <c r="CZ98" s="334"/>
      <c r="DA98" s="334"/>
      <c r="DB98" s="334"/>
      <c r="DC98" s="334"/>
      <c r="DD98" s="334"/>
      <c r="DE98" s="334"/>
      <c r="DF98" s="334"/>
      <c r="DG98" s="334"/>
      <c r="DH98" s="334"/>
      <c r="DI98" s="334"/>
      <c r="DJ98" s="334"/>
      <c r="DK98" s="334"/>
      <c r="DL98" s="334"/>
      <c r="DM98" s="334"/>
      <c r="DN98" s="334"/>
      <c r="DO98" s="334"/>
      <c r="DP98" s="334"/>
      <c r="DQ98" s="334"/>
      <c r="DR98" s="334"/>
      <c r="DS98" s="334"/>
      <c r="DT98" s="334"/>
      <c r="DU98" s="334"/>
      <c r="DV98" s="334"/>
      <c r="DW98" s="334"/>
      <c r="DX98" s="334"/>
      <c r="DY98" s="334"/>
      <c r="DZ98" s="334"/>
      <c r="EA98" s="334"/>
      <c r="EB98" s="334"/>
      <c r="EC98" s="334"/>
      <c r="ED98" s="334"/>
      <c r="EE98" s="334"/>
      <c r="EF98" s="334"/>
      <c r="EG98" s="334"/>
      <c r="EH98" s="334"/>
      <c r="EI98" s="334"/>
      <c r="EJ98" s="334"/>
      <c r="EK98" s="334"/>
      <c r="EL98" s="334"/>
      <c r="EM98" s="334"/>
      <c r="EN98" s="334"/>
      <c r="EO98" s="334"/>
      <c r="EP98" s="334"/>
      <c r="EQ98" s="334"/>
      <c r="ER98" s="334"/>
      <c r="ES98" s="334"/>
      <c r="ET98" s="334"/>
      <c r="EU98" s="334"/>
      <c r="EV98" s="334"/>
      <c r="EW98" s="334"/>
      <c r="EX98" s="334"/>
      <c r="EY98" s="334"/>
      <c r="EZ98" s="334"/>
      <c r="FA98" s="334"/>
      <c r="FB98" s="334"/>
      <c r="FC98" s="334"/>
      <c r="FD98" s="334"/>
      <c r="FE98" s="334"/>
      <c r="FF98" s="334"/>
      <c r="FG98" s="334"/>
      <c r="FH98" s="334"/>
      <c r="FI98" s="334"/>
      <c r="FJ98" s="334"/>
      <c r="FK98" s="334"/>
      <c r="FL98" s="334"/>
      <c r="FM98" s="334"/>
      <c r="FN98" s="334"/>
      <c r="FO98" s="334"/>
      <c r="FP98" s="334"/>
      <c r="FQ98" s="334"/>
      <c r="FR98" s="334"/>
      <c r="FS98" s="334"/>
      <c r="FT98" s="334"/>
      <c r="FU98" s="334"/>
      <c r="FV98" s="334"/>
      <c r="FW98" s="334"/>
      <c r="FX98" s="334"/>
      <c r="FY98" s="334"/>
      <c r="FZ98" s="334"/>
      <c r="GA98" s="334"/>
      <c r="GB98" s="334"/>
      <c r="GC98" s="334"/>
      <c r="GD98" s="334"/>
      <c r="GE98" s="334"/>
      <c r="GF98" s="334"/>
      <c r="GG98" s="334"/>
      <c r="GH98" s="334"/>
      <c r="GI98" s="334"/>
      <c r="GJ98" s="334"/>
      <c r="GK98" s="334"/>
      <c r="GL98" s="334"/>
      <c r="GM98" s="334"/>
      <c r="GN98" s="334"/>
      <c r="GO98" s="334"/>
      <c r="GP98" s="334"/>
      <c r="GQ98" s="334"/>
      <c r="GR98" s="334"/>
      <c r="GS98" s="334"/>
      <c r="GT98" s="334"/>
      <c r="GU98" s="334"/>
      <c r="GV98" s="334"/>
      <c r="GW98" s="334"/>
      <c r="GX98" s="334"/>
      <c r="GY98" s="334"/>
      <c r="GZ98" s="334"/>
      <c r="HA98" s="334"/>
      <c r="HB98" s="334"/>
      <c r="HC98" s="334"/>
      <c r="HD98" s="334"/>
      <c r="HE98" s="334"/>
      <c r="HF98" s="334"/>
      <c r="HG98" s="334"/>
      <c r="HH98" s="334"/>
      <c r="HI98" s="334"/>
      <c r="HJ98" s="334"/>
      <c r="HK98" s="334"/>
      <c r="HL98" s="334"/>
      <c r="HM98" s="334"/>
      <c r="HN98" s="334"/>
      <c r="HO98" s="334"/>
      <c r="HP98" s="334"/>
      <c r="HQ98" s="334"/>
      <c r="HR98" s="334"/>
      <c r="HS98" s="334"/>
      <c r="HT98" s="334"/>
      <c r="HU98" s="334"/>
      <c r="HV98" s="334"/>
      <c r="HW98" s="334"/>
      <c r="HX98" s="334"/>
      <c r="HY98" s="334"/>
      <c r="HZ98" s="334"/>
      <c r="IA98" s="334"/>
      <c r="IB98" s="334"/>
      <c r="IC98" s="334"/>
      <c r="ID98" s="334"/>
      <c r="IE98" s="334"/>
      <c r="IF98" s="334"/>
      <c r="IG98" s="334"/>
      <c r="IH98" s="334"/>
      <c r="II98" s="334"/>
      <c r="IJ98" s="334"/>
      <c r="IK98" s="334"/>
      <c r="IL98" s="334"/>
      <c r="IM98" s="334"/>
      <c r="IN98" s="334"/>
      <c r="IO98" s="334"/>
      <c r="IP98" s="334"/>
      <c r="IQ98" s="334"/>
      <c r="IR98" s="334"/>
    </row>
    <row r="99" spans="1:252" s="368" customFormat="1" x14ac:dyDescent="0.25">
      <c r="A99" s="366">
        <v>43744</v>
      </c>
      <c r="B99" s="345">
        <v>84.94</v>
      </c>
      <c r="C99" s="345">
        <v>27.87</v>
      </c>
      <c r="D99" s="345">
        <v>141.9</v>
      </c>
      <c r="E99" s="345">
        <v>76.400000000000006</v>
      </c>
      <c r="F99" s="345">
        <v>188.81</v>
      </c>
      <c r="G99" s="345">
        <v>16.41</v>
      </c>
      <c r="H99" s="345">
        <v>26.96</v>
      </c>
      <c r="I99" s="345">
        <v>89.48</v>
      </c>
      <c r="J99" s="345">
        <v>93.43</v>
      </c>
      <c r="K99" s="345">
        <v>270.37</v>
      </c>
      <c r="L99" s="345">
        <v>149.72999999999999</v>
      </c>
      <c r="M99" s="345">
        <v>80.55</v>
      </c>
      <c r="N99" s="345">
        <v>32.770000000000003</v>
      </c>
      <c r="O99" s="345">
        <v>12.675000000000001</v>
      </c>
      <c r="P99" s="345">
        <v>25.57</v>
      </c>
      <c r="Q99" s="345">
        <v>36.56</v>
      </c>
      <c r="R99" s="345">
        <v>33.1</v>
      </c>
      <c r="S99" s="345">
        <v>28.67</v>
      </c>
      <c r="T99" s="345">
        <v>26.49</v>
      </c>
      <c r="U99" s="345">
        <v>74.11</v>
      </c>
      <c r="V99" s="334"/>
      <c r="W99" s="334"/>
      <c r="X99" s="334"/>
      <c r="Y99" s="334"/>
      <c r="Z99" s="334"/>
      <c r="AA99" s="334"/>
      <c r="AB99" s="334"/>
      <c r="AC99" s="334"/>
      <c r="AD99" s="334"/>
      <c r="AE99" s="334"/>
      <c r="AF99" s="334"/>
      <c r="AG99" s="334"/>
      <c r="AH99" s="334"/>
      <c r="AI99" s="334"/>
      <c r="AJ99" s="334"/>
      <c r="AK99" s="334"/>
      <c r="AL99" s="334"/>
      <c r="AM99" s="334"/>
      <c r="AN99" s="334"/>
      <c r="AO99" s="334"/>
      <c r="AP99" s="334"/>
      <c r="AQ99" s="334"/>
      <c r="AR99" s="334"/>
      <c r="AS99" s="334"/>
      <c r="AT99" s="334"/>
      <c r="AU99" s="334"/>
      <c r="AV99" s="334"/>
      <c r="AW99" s="334"/>
      <c r="AX99" s="334"/>
      <c r="AY99" s="334"/>
      <c r="AZ99" s="334"/>
      <c r="BA99" s="334"/>
      <c r="BB99" s="334"/>
      <c r="BC99" s="334"/>
      <c r="BD99" s="334"/>
      <c r="BE99" s="334"/>
      <c r="BF99" s="334"/>
      <c r="BG99" s="334"/>
      <c r="BH99" s="334"/>
      <c r="BI99" s="334"/>
      <c r="BJ99" s="334"/>
      <c r="BK99" s="334"/>
      <c r="BL99" s="334"/>
      <c r="BM99" s="334"/>
      <c r="BN99" s="334"/>
      <c r="BO99" s="334"/>
      <c r="BP99" s="334"/>
      <c r="BQ99" s="334"/>
      <c r="BR99" s="334"/>
      <c r="BS99" s="334"/>
      <c r="BT99" s="334"/>
      <c r="BU99" s="334"/>
      <c r="BV99" s="334"/>
      <c r="BW99" s="334"/>
      <c r="BX99" s="334"/>
      <c r="BY99" s="334"/>
      <c r="BZ99" s="334"/>
      <c r="CA99" s="334"/>
      <c r="CB99" s="334"/>
      <c r="CC99" s="334"/>
      <c r="CD99" s="334"/>
      <c r="CE99" s="334"/>
      <c r="CF99" s="334"/>
      <c r="CG99" s="334"/>
      <c r="CH99" s="334"/>
      <c r="CI99" s="334"/>
      <c r="CJ99" s="334"/>
      <c r="CK99" s="334"/>
      <c r="CL99" s="334"/>
      <c r="CM99" s="334"/>
      <c r="CN99" s="334"/>
      <c r="CO99" s="334"/>
      <c r="CP99" s="334"/>
      <c r="CQ99" s="334"/>
      <c r="CR99" s="334"/>
      <c r="CS99" s="334"/>
      <c r="CT99" s="334"/>
      <c r="CU99" s="334"/>
      <c r="CV99" s="334"/>
      <c r="CW99" s="334"/>
      <c r="CX99" s="334"/>
      <c r="CY99" s="334"/>
      <c r="CZ99" s="334"/>
      <c r="DA99" s="334"/>
      <c r="DB99" s="334"/>
      <c r="DC99" s="334"/>
      <c r="DD99" s="334"/>
      <c r="DE99" s="334"/>
      <c r="DF99" s="334"/>
      <c r="DG99" s="334"/>
      <c r="DH99" s="334"/>
      <c r="DI99" s="334"/>
      <c r="DJ99" s="334"/>
      <c r="DK99" s="334"/>
      <c r="DL99" s="334"/>
      <c r="DM99" s="334"/>
      <c r="DN99" s="334"/>
      <c r="DO99" s="334"/>
      <c r="DP99" s="334"/>
      <c r="DQ99" s="334"/>
      <c r="DR99" s="334"/>
      <c r="DS99" s="334"/>
      <c r="DT99" s="334"/>
      <c r="DU99" s="334"/>
      <c r="DV99" s="334"/>
      <c r="DW99" s="334"/>
      <c r="DX99" s="334"/>
      <c r="DY99" s="334"/>
      <c r="DZ99" s="334"/>
      <c r="EA99" s="334"/>
      <c r="EB99" s="334"/>
      <c r="EC99" s="334"/>
      <c r="ED99" s="334"/>
      <c r="EE99" s="334"/>
      <c r="EF99" s="334"/>
      <c r="EG99" s="334"/>
      <c r="EH99" s="334"/>
      <c r="EI99" s="334"/>
      <c r="EJ99" s="334"/>
      <c r="EK99" s="334"/>
      <c r="EL99" s="334"/>
      <c r="EM99" s="334"/>
      <c r="EN99" s="334"/>
      <c r="EO99" s="334"/>
      <c r="EP99" s="334"/>
      <c r="EQ99" s="334"/>
      <c r="ER99" s="334"/>
      <c r="ES99" s="334"/>
      <c r="ET99" s="334"/>
      <c r="EU99" s="334"/>
      <c r="EV99" s="334"/>
      <c r="EW99" s="334"/>
      <c r="EX99" s="334"/>
      <c r="EY99" s="334"/>
      <c r="EZ99" s="334"/>
      <c r="FA99" s="334"/>
      <c r="FB99" s="334"/>
      <c r="FC99" s="334"/>
      <c r="FD99" s="334"/>
      <c r="FE99" s="334"/>
      <c r="FF99" s="334"/>
      <c r="FG99" s="334"/>
      <c r="FH99" s="334"/>
      <c r="FI99" s="334"/>
      <c r="FJ99" s="334"/>
      <c r="FK99" s="334"/>
      <c r="FL99" s="334"/>
      <c r="FM99" s="334"/>
      <c r="FN99" s="334"/>
      <c r="FO99" s="334"/>
      <c r="FP99" s="334"/>
      <c r="FQ99" s="334"/>
      <c r="FR99" s="334"/>
      <c r="FS99" s="334"/>
      <c r="FT99" s="334"/>
      <c r="FU99" s="334"/>
      <c r="FV99" s="334"/>
      <c r="FW99" s="334"/>
      <c r="FX99" s="334"/>
      <c r="FY99" s="334"/>
      <c r="FZ99" s="334"/>
      <c r="GA99" s="334"/>
      <c r="GB99" s="334"/>
      <c r="GC99" s="334"/>
      <c r="GD99" s="334"/>
      <c r="GE99" s="334"/>
      <c r="GF99" s="334"/>
      <c r="GG99" s="334"/>
      <c r="GH99" s="334"/>
      <c r="GI99" s="334"/>
      <c r="GJ99" s="334"/>
      <c r="GK99" s="334"/>
      <c r="GL99" s="334"/>
      <c r="GM99" s="334"/>
      <c r="GN99" s="334"/>
      <c r="GO99" s="334"/>
      <c r="GP99" s="334"/>
      <c r="GQ99" s="334"/>
      <c r="GR99" s="334"/>
      <c r="GS99" s="334"/>
      <c r="GT99" s="334"/>
      <c r="GU99" s="334"/>
      <c r="GV99" s="334"/>
      <c r="GW99" s="334"/>
      <c r="GX99" s="334"/>
      <c r="GY99" s="334"/>
      <c r="GZ99" s="334"/>
      <c r="HA99" s="334"/>
      <c r="HB99" s="334"/>
      <c r="HC99" s="334"/>
      <c r="HD99" s="334"/>
      <c r="HE99" s="334"/>
      <c r="HF99" s="334"/>
      <c r="HG99" s="334"/>
      <c r="HH99" s="334"/>
      <c r="HI99" s="334"/>
      <c r="HJ99" s="334"/>
      <c r="HK99" s="334"/>
      <c r="HL99" s="334"/>
      <c r="HM99" s="334"/>
      <c r="HN99" s="334"/>
      <c r="HO99" s="334"/>
      <c r="HP99" s="334"/>
      <c r="HQ99" s="334"/>
      <c r="HR99" s="334"/>
      <c r="HS99" s="334"/>
      <c r="HT99" s="334"/>
      <c r="HU99" s="334"/>
      <c r="HV99" s="334"/>
      <c r="HW99" s="334"/>
      <c r="HX99" s="334"/>
      <c r="HY99" s="334"/>
      <c r="HZ99" s="334"/>
      <c r="IA99" s="334"/>
      <c r="IB99" s="334"/>
      <c r="IC99" s="334"/>
      <c r="ID99" s="334"/>
      <c r="IE99" s="334"/>
      <c r="IF99" s="334"/>
      <c r="IG99" s="334"/>
      <c r="IH99" s="334"/>
      <c r="II99" s="334"/>
      <c r="IJ99" s="334"/>
      <c r="IK99" s="334"/>
      <c r="IL99" s="334"/>
      <c r="IM99" s="334"/>
      <c r="IN99" s="334"/>
      <c r="IO99" s="334"/>
      <c r="IP99" s="334"/>
      <c r="IQ99" s="334"/>
      <c r="IR99" s="334"/>
    </row>
    <row r="100" spans="1:252" x14ac:dyDescent="0.25">
      <c r="A100" s="366">
        <v>43745</v>
      </c>
      <c r="B100" s="345">
        <v>84.72</v>
      </c>
      <c r="C100" s="345">
        <v>27.58</v>
      </c>
      <c r="D100" s="345">
        <v>140.69</v>
      </c>
      <c r="E100" s="345">
        <v>76.34</v>
      </c>
      <c r="F100" s="345">
        <v>188.24</v>
      </c>
      <c r="G100" s="345">
        <v>16.3</v>
      </c>
      <c r="H100" s="345">
        <v>27.01</v>
      </c>
      <c r="I100" s="345">
        <v>88.78</v>
      </c>
      <c r="J100" s="345">
        <v>93.23</v>
      </c>
      <c r="K100" s="345">
        <v>269.20999999999998</v>
      </c>
      <c r="L100" s="345">
        <v>149.13999999999999</v>
      </c>
      <c r="M100" s="345">
        <v>80.209999999999994</v>
      </c>
      <c r="N100" s="345">
        <v>32.630000000000003</v>
      </c>
      <c r="O100" s="345">
        <v>12.56</v>
      </c>
      <c r="P100" s="345">
        <v>25.49</v>
      </c>
      <c r="Q100" s="345">
        <v>36.81</v>
      </c>
      <c r="R100" s="345">
        <v>33.049999999999997</v>
      </c>
      <c r="S100" s="345">
        <v>28.56</v>
      </c>
      <c r="T100" s="345">
        <v>26.35</v>
      </c>
      <c r="U100" s="345">
        <v>74.150000000000006</v>
      </c>
    </row>
    <row r="101" spans="1:252" x14ac:dyDescent="0.25">
      <c r="A101" s="366">
        <v>43746</v>
      </c>
      <c r="B101" s="345">
        <v>84.76</v>
      </c>
      <c r="C101" s="345">
        <v>28.36</v>
      </c>
      <c r="D101" s="345">
        <v>141.91999999999999</v>
      </c>
      <c r="E101" s="345">
        <v>75.05</v>
      </c>
      <c r="F101" s="345">
        <v>185.42</v>
      </c>
      <c r="G101" s="345">
        <v>16.61</v>
      </c>
      <c r="H101" s="345">
        <v>27.05</v>
      </c>
      <c r="I101" s="345">
        <v>88.98</v>
      </c>
      <c r="J101" s="345">
        <v>92.74</v>
      </c>
      <c r="K101" s="345">
        <v>265.02999999999997</v>
      </c>
      <c r="L101" s="345">
        <v>146.72999999999999</v>
      </c>
      <c r="M101" s="345">
        <v>78.739999999999995</v>
      </c>
      <c r="N101" s="345">
        <v>32.119999999999997</v>
      </c>
      <c r="O101" s="345">
        <v>12.66</v>
      </c>
      <c r="P101" s="345">
        <v>25.25</v>
      </c>
      <c r="Q101" s="345">
        <v>36.869999999999997</v>
      </c>
      <c r="R101" s="345">
        <v>32.770000000000003</v>
      </c>
      <c r="S101" s="345">
        <v>29.04</v>
      </c>
      <c r="T101" s="345">
        <v>26.37</v>
      </c>
      <c r="U101" s="345">
        <v>74.040000000000006</v>
      </c>
    </row>
    <row r="102" spans="1:252" x14ac:dyDescent="0.25">
      <c r="A102" s="366">
        <v>43747</v>
      </c>
      <c r="B102" s="345">
        <v>84.66</v>
      </c>
      <c r="C102" s="345">
        <v>28.05</v>
      </c>
      <c r="D102" s="345">
        <v>142.05000000000001</v>
      </c>
      <c r="E102" s="345">
        <v>75.290000000000006</v>
      </c>
      <c r="F102" s="345">
        <v>187.23</v>
      </c>
      <c r="G102" s="345">
        <v>16.600000000000001</v>
      </c>
      <c r="H102" s="345">
        <v>27.03</v>
      </c>
      <c r="I102" s="345">
        <v>88.44</v>
      </c>
      <c r="J102" s="345">
        <v>92.92</v>
      </c>
      <c r="K102" s="345">
        <v>267.5</v>
      </c>
      <c r="L102" s="345">
        <v>148.08000000000001</v>
      </c>
      <c r="M102" s="345">
        <v>79.91</v>
      </c>
      <c r="N102" s="345">
        <v>32.39</v>
      </c>
      <c r="O102" s="345">
        <v>12.66</v>
      </c>
      <c r="P102" s="345">
        <v>25.41</v>
      </c>
      <c r="Q102" s="345">
        <v>36.94</v>
      </c>
      <c r="R102" s="345">
        <v>32.96</v>
      </c>
      <c r="S102" s="345">
        <v>28.86</v>
      </c>
      <c r="T102" s="345">
        <v>26.29</v>
      </c>
      <c r="U102" s="345">
        <v>73.98</v>
      </c>
    </row>
    <row r="103" spans="1:252" x14ac:dyDescent="0.25">
      <c r="A103" s="366">
        <v>43748</v>
      </c>
      <c r="B103" s="345">
        <v>84.4</v>
      </c>
      <c r="C103" s="345">
        <v>28.05</v>
      </c>
      <c r="D103" s="345">
        <v>140.81</v>
      </c>
      <c r="E103" s="345">
        <v>75.47</v>
      </c>
      <c r="F103" s="345">
        <v>188.68</v>
      </c>
      <c r="G103" s="345">
        <v>16.37</v>
      </c>
      <c r="H103" s="345">
        <v>26.92</v>
      </c>
      <c r="I103" s="345">
        <v>87.22</v>
      </c>
      <c r="J103" s="345">
        <v>93.07</v>
      </c>
      <c r="K103" s="345">
        <v>269.32</v>
      </c>
      <c r="L103" s="345">
        <v>149.03</v>
      </c>
      <c r="M103" s="345">
        <v>80.459999999999994</v>
      </c>
      <c r="N103" s="345">
        <v>32.6</v>
      </c>
      <c r="O103" s="345">
        <v>12.59</v>
      </c>
      <c r="P103" s="345">
        <v>25.46</v>
      </c>
      <c r="Q103" s="345">
        <v>36.81</v>
      </c>
      <c r="R103" s="345">
        <v>33.06</v>
      </c>
      <c r="S103" s="345">
        <v>28.81</v>
      </c>
      <c r="T103" s="345">
        <v>26.15</v>
      </c>
      <c r="U103" s="345">
        <v>74.19</v>
      </c>
    </row>
    <row r="104" spans="1:252" x14ac:dyDescent="0.25">
      <c r="A104" s="366">
        <v>43749</v>
      </c>
      <c r="B104" s="345">
        <v>84.09</v>
      </c>
      <c r="C104" s="345">
        <v>26.97</v>
      </c>
      <c r="D104" s="345">
        <v>140.03</v>
      </c>
      <c r="E104" s="345">
        <v>76.849999999999994</v>
      </c>
      <c r="F104" s="345">
        <v>191.11</v>
      </c>
      <c r="G104" s="345">
        <v>16.37</v>
      </c>
      <c r="H104" s="345">
        <v>26.82</v>
      </c>
      <c r="I104" s="345">
        <v>86.19</v>
      </c>
      <c r="J104" s="345">
        <v>93.03</v>
      </c>
      <c r="K104" s="345">
        <v>272.13</v>
      </c>
      <c r="L104" s="345">
        <v>150.63</v>
      </c>
      <c r="M104" s="345">
        <v>81.569999999999993</v>
      </c>
      <c r="N104" s="345">
        <v>32.97</v>
      </c>
      <c r="O104" s="345">
        <v>12.5</v>
      </c>
      <c r="P104" s="345">
        <v>25.53</v>
      </c>
      <c r="Q104" s="345">
        <v>36.44</v>
      </c>
      <c r="R104" s="345">
        <v>33.090000000000003</v>
      </c>
      <c r="S104" s="345">
        <v>27.65</v>
      </c>
      <c r="T104" s="345">
        <v>25.97</v>
      </c>
      <c r="U104" s="345">
        <v>74.736000000000004</v>
      </c>
    </row>
    <row r="105" spans="1:252" s="368" customFormat="1" x14ac:dyDescent="0.25">
      <c r="A105" s="366">
        <v>43750</v>
      </c>
      <c r="B105" s="345">
        <v>84.09</v>
      </c>
      <c r="C105" s="345">
        <v>26.97</v>
      </c>
      <c r="D105" s="345">
        <v>140.03</v>
      </c>
      <c r="E105" s="345">
        <v>76.849999999999994</v>
      </c>
      <c r="F105" s="345">
        <v>191.11</v>
      </c>
      <c r="G105" s="345">
        <v>16.37</v>
      </c>
      <c r="H105" s="345">
        <v>26.82</v>
      </c>
      <c r="I105" s="345">
        <v>86.19</v>
      </c>
      <c r="J105" s="345">
        <v>93.03</v>
      </c>
      <c r="K105" s="345">
        <v>272.13</v>
      </c>
      <c r="L105" s="345">
        <v>150.63</v>
      </c>
      <c r="M105" s="345">
        <v>81.569999999999993</v>
      </c>
      <c r="N105" s="345">
        <v>32.97</v>
      </c>
      <c r="O105" s="345">
        <v>12.5</v>
      </c>
      <c r="P105" s="345">
        <v>25.53</v>
      </c>
      <c r="Q105" s="345">
        <v>36.44</v>
      </c>
      <c r="R105" s="345">
        <v>33.090000000000003</v>
      </c>
      <c r="S105" s="345">
        <v>27.65</v>
      </c>
      <c r="T105" s="345">
        <v>25.97</v>
      </c>
      <c r="U105" s="345">
        <v>74.736000000000004</v>
      </c>
      <c r="V105" s="334"/>
      <c r="W105" s="334"/>
      <c r="X105" s="334"/>
      <c r="Y105" s="334"/>
      <c r="Z105" s="334"/>
      <c r="AA105" s="334"/>
      <c r="AB105" s="334"/>
      <c r="AC105" s="334"/>
      <c r="AD105" s="334"/>
      <c r="AE105" s="334"/>
      <c r="AF105" s="334"/>
      <c r="AG105" s="334"/>
      <c r="AH105" s="334"/>
      <c r="AI105" s="334"/>
      <c r="AJ105" s="334"/>
      <c r="AK105" s="334"/>
      <c r="AL105" s="334"/>
      <c r="AM105" s="334"/>
      <c r="AN105" s="334"/>
      <c r="AO105" s="334"/>
      <c r="AP105" s="334"/>
      <c r="AQ105" s="334"/>
      <c r="AR105" s="334"/>
      <c r="AS105" s="334"/>
      <c r="AT105" s="334"/>
      <c r="AU105" s="334"/>
      <c r="AV105" s="334"/>
      <c r="AW105" s="334"/>
      <c r="AX105" s="334"/>
      <c r="AY105" s="334"/>
      <c r="AZ105" s="334"/>
      <c r="BA105" s="334"/>
      <c r="BB105" s="334"/>
      <c r="BC105" s="334"/>
      <c r="BD105" s="334"/>
      <c r="BE105" s="334"/>
      <c r="BF105" s="334"/>
      <c r="BG105" s="334"/>
      <c r="BH105" s="334"/>
      <c r="BI105" s="334"/>
      <c r="BJ105" s="334"/>
      <c r="BK105" s="334"/>
      <c r="BL105" s="334"/>
      <c r="BM105" s="334"/>
      <c r="BN105" s="334"/>
      <c r="BO105" s="334"/>
      <c r="BP105" s="334"/>
      <c r="BQ105" s="334"/>
      <c r="BR105" s="334"/>
      <c r="BS105" s="334"/>
      <c r="BT105" s="334"/>
      <c r="BU105" s="334"/>
      <c r="BV105" s="334"/>
      <c r="BW105" s="334"/>
      <c r="BX105" s="334"/>
      <c r="BY105" s="334"/>
      <c r="BZ105" s="334"/>
      <c r="CA105" s="334"/>
      <c r="CB105" s="334"/>
      <c r="CC105" s="334"/>
      <c r="CD105" s="334"/>
      <c r="CE105" s="334"/>
      <c r="CF105" s="334"/>
      <c r="CG105" s="334"/>
      <c r="CH105" s="334"/>
      <c r="CI105" s="334"/>
      <c r="CJ105" s="334"/>
      <c r="CK105" s="334"/>
      <c r="CL105" s="334"/>
      <c r="CM105" s="334"/>
      <c r="CN105" s="334"/>
      <c r="CO105" s="334"/>
      <c r="CP105" s="334"/>
      <c r="CQ105" s="334"/>
      <c r="CR105" s="334"/>
      <c r="CS105" s="334"/>
      <c r="CT105" s="334"/>
      <c r="CU105" s="334"/>
      <c r="CV105" s="334"/>
      <c r="CW105" s="334"/>
      <c r="CX105" s="334"/>
      <c r="CY105" s="334"/>
      <c r="CZ105" s="334"/>
      <c r="DA105" s="334"/>
      <c r="DB105" s="334"/>
      <c r="DC105" s="334"/>
      <c r="DD105" s="334"/>
      <c r="DE105" s="334"/>
      <c r="DF105" s="334"/>
      <c r="DG105" s="334"/>
      <c r="DH105" s="334"/>
      <c r="DI105" s="334"/>
      <c r="DJ105" s="334"/>
      <c r="DK105" s="334"/>
      <c r="DL105" s="334"/>
      <c r="DM105" s="334"/>
      <c r="DN105" s="334"/>
      <c r="DO105" s="334"/>
      <c r="DP105" s="334"/>
      <c r="DQ105" s="334"/>
      <c r="DR105" s="334"/>
      <c r="DS105" s="334"/>
      <c r="DT105" s="334"/>
      <c r="DU105" s="334"/>
      <c r="DV105" s="334"/>
      <c r="DW105" s="334"/>
      <c r="DX105" s="334"/>
      <c r="DY105" s="334"/>
      <c r="DZ105" s="334"/>
      <c r="EA105" s="334"/>
      <c r="EB105" s="334"/>
      <c r="EC105" s="334"/>
      <c r="ED105" s="334"/>
      <c r="EE105" s="334"/>
      <c r="EF105" s="334"/>
      <c r="EG105" s="334"/>
      <c r="EH105" s="334"/>
      <c r="EI105" s="334"/>
      <c r="EJ105" s="334"/>
      <c r="EK105" s="334"/>
      <c r="EL105" s="334"/>
      <c r="EM105" s="334"/>
      <c r="EN105" s="334"/>
      <c r="EO105" s="334"/>
      <c r="EP105" s="334"/>
      <c r="EQ105" s="334"/>
      <c r="ER105" s="334"/>
      <c r="ES105" s="334"/>
      <c r="ET105" s="334"/>
      <c r="EU105" s="334"/>
      <c r="EV105" s="334"/>
      <c r="EW105" s="334"/>
      <c r="EX105" s="334"/>
      <c r="EY105" s="334"/>
      <c r="EZ105" s="334"/>
      <c r="FA105" s="334"/>
      <c r="FB105" s="334"/>
      <c r="FC105" s="334"/>
      <c r="FD105" s="334"/>
      <c r="FE105" s="334"/>
      <c r="FF105" s="334"/>
      <c r="FG105" s="334"/>
      <c r="FH105" s="334"/>
      <c r="FI105" s="334"/>
      <c r="FJ105" s="334"/>
      <c r="FK105" s="334"/>
      <c r="FL105" s="334"/>
      <c r="FM105" s="334"/>
      <c r="FN105" s="334"/>
      <c r="FO105" s="334"/>
      <c r="FP105" s="334"/>
      <c r="FQ105" s="334"/>
      <c r="FR105" s="334"/>
      <c r="FS105" s="334"/>
      <c r="FT105" s="334"/>
      <c r="FU105" s="334"/>
      <c r="FV105" s="334"/>
      <c r="FW105" s="334"/>
      <c r="FX105" s="334"/>
      <c r="FY105" s="334"/>
      <c r="FZ105" s="334"/>
      <c r="GA105" s="334"/>
      <c r="GB105" s="334"/>
      <c r="GC105" s="334"/>
      <c r="GD105" s="334"/>
      <c r="GE105" s="334"/>
      <c r="GF105" s="334"/>
      <c r="GG105" s="334"/>
      <c r="GH105" s="334"/>
      <c r="GI105" s="334"/>
      <c r="GJ105" s="334"/>
      <c r="GK105" s="334"/>
      <c r="GL105" s="334"/>
      <c r="GM105" s="334"/>
      <c r="GN105" s="334"/>
      <c r="GO105" s="334"/>
      <c r="GP105" s="334"/>
      <c r="GQ105" s="334"/>
      <c r="GR105" s="334"/>
      <c r="GS105" s="334"/>
      <c r="GT105" s="334"/>
      <c r="GU105" s="334"/>
      <c r="GV105" s="334"/>
      <c r="GW105" s="334"/>
      <c r="GX105" s="334"/>
      <c r="GY105" s="334"/>
      <c r="GZ105" s="334"/>
      <c r="HA105" s="334"/>
      <c r="HB105" s="334"/>
      <c r="HC105" s="334"/>
      <c r="HD105" s="334"/>
      <c r="HE105" s="334"/>
      <c r="HF105" s="334"/>
      <c r="HG105" s="334"/>
      <c r="HH105" s="334"/>
      <c r="HI105" s="334"/>
      <c r="HJ105" s="334"/>
      <c r="HK105" s="334"/>
      <c r="HL105" s="334"/>
      <c r="HM105" s="334"/>
      <c r="HN105" s="334"/>
      <c r="HO105" s="334"/>
      <c r="HP105" s="334"/>
      <c r="HQ105" s="334"/>
      <c r="HR105" s="334"/>
      <c r="HS105" s="334"/>
      <c r="HT105" s="334"/>
      <c r="HU105" s="334"/>
      <c r="HV105" s="334"/>
      <c r="HW105" s="334"/>
      <c r="HX105" s="334"/>
      <c r="HY105" s="334"/>
      <c r="HZ105" s="334"/>
      <c r="IA105" s="334"/>
      <c r="IB105" s="334"/>
      <c r="IC105" s="334"/>
      <c r="ID105" s="334"/>
      <c r="IE105" s="334"/>
      <c r="IF105" s="334"/>
      <c r="IG105" s="334"/>
      <c r="IH105" s="334"/>
      <c r="II105" s="334"/>
      <c r="IJ105" s="334"/>
      <c r="IK105" s="334"/>
      <c r="IL105" s="334"/>
      <c r="IM105" s="334"/>
      <c r="IN105" s="334"/>
      <c r="IO105" s="334"/>
      <c r="IP105" s="334"/>
      <c r="IQ105" s="334"/>
      <c r="IR105" s="334"/>
    </row>
    <row r="106" spans="1:252" s="368" customFormat="1" x14ac:dyDescent="0.25">
      <c r="A106" s="366">
        <v>43751</v>
      </c>
      <c r="B106" s="345">
        <v>84.09</v>
      </c>
      <c r="C106" s="345">
        <v>26.97</v>
      </c>
      <c r="D106" s="345">
        <v>140.03</v>
      </c>
      <c r="E106" s="345">
        <v>76.849999999999994</v>
      </c>
      <c r="F106" s="345">
        <v>191.11</v>
      </c>
      <c r="G106" s="345">
        <v>16.37</v>
      </c>
      <c r="H106" s="345">
        <v>26.82</v>
      </c>
      <c r="I106" s="345">
        <v>86.19</v>
      </c>
      <c r="J106" s="345">
        <v>93.03</v>
      </c>
      <c r="K106" s="345">
        <v>272.13</v>
      </c>
      <c r="L106" s="345">
        <v>150.63</v>
      </c>
      <c r="M106" s="345">
        <v>81.569999999999993</v>
      </c>
      <c r="N106" s="345">
        <v>32.97</v>
      </c>
      <c r="O106" s="345">
        <v>12.5</v>
      </c>
      <c r="P106" s="345">
        <v>25.53</v>
      </c>
      <c r="Q106" s="345">
        <v>36.44</v>
      </c>
      <c r="R106" s="345">
        <v>33.090000000000003</v>
      </c>
      <c r="S106" s="345">
        <v>27.65</v>
      </c>
      <c r="T106" s="345">
        <v>25.97</v>
      </c>
      <c r="U106" s="345">
        <v>74.736000000000004</v>
      </c>
      <c r="V106" s="334"/>
      <c r="W106" s="334"/>
      <c r="X106" s="334"/>
      <c r="Y106" s="334"/>
      <c r="Z106" s="334"/>
      <c r="AA106" s="334"/>
      <c r="AB106" s="334"/>
      <c r="AC106" s="334"/>
      <c r="AD106" s="334"/>
      <c r="AE106" s="334"/>
      <c r="AF106" s="334"/>
      <c r="AG106" s="334"/>
      <c r="AH106" s="334"/>
      <c r="AI106" s="334"/>
      <c r="AJ106" s="334"/>
      <c r="AK106" s="334"/>
      <c r="AL106" s="334"/>
      <c r="AM106" s="334"/>
      <c r="AN106" s="334"/>
      <c r="AO106" s="334"/>
      <c r="AP106" s="334"/>
      <c r="AQ106" s="334"/>
      <c r="AR106" s="334"/>
      <c r="AS106" s="334"/>
      <c r="AT106" s="334"/>
      <c r="AU106" s="334"/>
      <c r="AV106" s="334"/>
      <c r="AW106" s="334"/>
      <c r="AX106" s="334"/>
      <c r="AY106" s="334"/>
      <c r="AZ106" s="334"/>
      <c r="BA106" s="334"/>
      <c r="BB106" s="334"/>
      <c r="BC106" s="334"/>
      <c r="BD106" s="334"/>
      <c r="BE106" s="334"/>
      <c r="BF106" s="334"/>
      <c r="BG106" s="334"/>
      <c r="BH106" s="334"/>
      <c r="BI106" s="334"/>
      <c r="BJ106" s="334"/>
      <c r="BK106" s="334"/>
      <c r="BL106" s="334"/>
      <c r="BM106" s="334"/>
      <c r="BN106" s="334"/>
      <c r="BO106" s="334"/>
      <c r="BP106" s="334"/>
      <c r="BQ106" s="334"/>
      <c r="BR106" s="334"/>
      <c r="BS106" s="334"/>
      <c r="BT106" s="334"/>
      <c r="BU106" s="334"/>
      <c r="BV106" s="334"/>
      <c r="BW106" s="334"/>
      <c r="BX106" s="334"/>
      <c r="BY106" s="334"/>
      <c r="BZ106" s="334"/>
      <c r="CA106" s="334"/>
      <c r="CB106" s="334"/>
      <c r="CC106" s="334"/>
      <c r="CD106" s="334"/>
      <c r="CE106" s="334"/>
      <c r="CF106" s="334"/>
      <c r="CG106" s="334"/>
      <c r="CH106" s="334"/>
      <c r="CI106" s="334"/>
      <c r="CJ106" s="334"/>
      <c r="CK106" s="334"/>
      <c r="CL106" s="334"/>
      <c r="CM106" s="334"/>
      <c r="CN106" s="334"/>
      <c r="CO106" s="334"/>
      <c r="CP106" s="334"/>
      <c r="CQ106" s="334"/>
      <c r="CR106" s="334"/>
      <c r="CS106" s="334"/>
      <c r="CT106" s="334"/>
      <c r="CU106" s="334"/>
      <c r="CV106" s="334"/>
      <c r="CW106" s="334"/>
      <c r="CX106" s="334"/>
      <c r="CY106" s="334"/>
      <c r="CZ106" s="334"/>
      <c r="DA106" s="334"/>
      <c r="DB106" s="334"/>
      <c r="DC106" s="334"/>
      <c r="DD106" s="334"/>
      <c r="DE106" s="334"/>
      <c r="DF106" s="334"/>
      <c r="DG106" s="334"/>
      <c r="DH106" s="334"/>
      <c r="DI106" s="334"/>
      <c r="DJ106" s="334"/>
      <c r="DK106" s="334"/>
      <c r="DL106" s="334"/>
      <c r="DM106" s="334"/>
      <c r="DN106" s="334"/>
      <c r="DO106" s="334"/>
      <c r="DP106" s="334"/>
      <c r="DQ106" s="334"/>
      <c r="DR106" s="334"/>
      <c r="DS106" s="334"/>
      <c r="DT106" s="334"/>
      <c r="DU106" s="334"/>
      <c r="DV106" s="334"/>
      <c r="DW106" s="334"/>
      <c r="DX106" s="334"/>
      <c r="DY106" s="334"/>
      <c r="DZ106" s="334"/>
      <c r="EA106" s="334"/>
      <c r="EB106" s="334"/>
      <c r="EC106" s="334"/>
      <c r="ED106" s="334"/>
      <c r="EE106" s="334"/>
      <c r="EF106" s="334"/>
      <c r="EG106" s="334"/>
      <c r="EH106" s="334"/>
      <c r="EI106" s="334"/>
      <c r="EJ106" s="334"/>
      <c r="EK106" s="334"/>
      <c r="EL106" s="334"/>
      <c r="EM106" s="334"/>
      <c r="EN106" s="334"/>
      <c r="EO106" s="334"/>
      <c r="EP106" s="334"/>
      <c r="EQ106" s="334"/>
      <c r="ER106" s="334"/>
      <c r="ES106" s="334"/>
      <c r="ET106" s="334"/>
      <c r="EU106" s="334"/>
      <c r="EV106" s="334"/>
      <c r="EW106" s="334"/>
      <c r="EX106" s="334"/>
      <c r="EY106" s="334"/>
      <c r="EZ106" s="334"/>
      <c r="FA106" s="334"/>
      <c r="FB106" s="334"/>
      <c r="FC106" s="334"/>
      <c r="FD106" s="334"/>
      <c r="FE106" s="334"/>
      <c r="FF106" s="334"/>
      <c r="FG106" s="334"/>
      <c r="FH106" s="334"/>
      <c r="FI106" s="334"/>
      <c r="FJ106" s="334"/>
      <c r="FK106" s="334"/>
      <c r="FL106" s="334"/>
      <c r="FM106" s="334"/>
      <c r="FN106" s="334"/>
      <c r="FO106" s="334"/>
      <c r="FP106" s="334"/>
      <c r="FQ106" s="334"/>
      <c r="FR106" s="334"/>
      <c r="FS106" s="334"/>
      <c r="FT106" s="334"/>
      <c r="FU106" s="334"/>
      <c r="FV106" s="334"/>
      <c r="FW106" s="334"/>
      <c r="FX106" s="334"/>
      <c r="FY106" s="334"/>
      <c r="FZ106" s="334"/>
      <c r="GA106" s="334"/>
      <c r="GB106" s="334"/>
      <c r="GC106" s="334"/>
      <c r="GD106" s="334"/>
      <c r="GE106" s="334"/>
      <c r="GF106" s="334"/>
      <c r="GG106" s="334"/>
      <c r="GH106" s="334"/>
      <c r="GI106" s="334"/>
      <c r="GJ106" s="334"/>
      <c r="GK106" s="334"/>
      <c r="GL106" s="334"/>
      <c r="GM106" s="334"/>
      <c r="GN106" s="334"/>
      <c r="GO106" s="334"/>
      <c r="GP106" s="334"/>
      <c r="GQ106" s="334"/>
      <c r="GR106" s="334"/>
      <c r="GS106" s="334"/>
      <c r="GT106" s="334"/>
      <c r="GU106" s="334"/>
      <c r="GV106" s="334"/>
      <c r="GW106" s="334"/>
      <c r="GX106" s="334"/>
      <c r="GY106" s="334"/>
      <c r="GZ106" s="334"/>
      <c r="HA106" s="334"/>
      <c r="HB106" s="334"/>
      <c r="HC106" s="334"/>
      <c r="HD106" s="334"/>
      <c r="HE106" s="334"/>
      <c r="HF106" s="334"/>
      <c r="HG106" s="334"/>
      <c r="HH106" s="334"/>
      <c r="HI106" s="334"/>
      <c r="HJ106" s="334"/>
      <c r="HK106" s="334"/>
      <c r="HL106" s="334"/>
      <c r="HM106" s="334"/>
      <c r="HN106" s="334"/>
      <c r="HO106" s="334"/>
      <c r="HP106" s="334"/>
      <c r="HQ106" s="334"/>
      <c r="HR106" s="334"/>
      <c r="HS106" s="334"/>
      <c r="HT106" s="334"/>
      <c r="HU106" s="334"/>
      <c r="HV106" s="334"/>
      <c r="HW106" s="334"/>
      <c r="HX106" s="334"/>
      <c r="HY106" s="334"/>
      <c r="HZ106" s="334"/>
      <c r="IA106" s="334"/>
      <c r="IB106" s="334"/>
      <c r="IC106" s="334"/>
      <c r="ID106" s="334"/>
      <c r="IE106" s="334"/>
      <c r="IF106" s="334"/>
      <c r="IG106" s="334"/>
      <c r="IH106" s="334"/>
      <c r="II106" s="334"/>
      <c r="IJ106" s="334"/>
      <c r="IK106" s="334"/>
      <c r="IL106" s="334"/>
      <c r="IM106" s="334"/>
      <c r="IN106" s="334"/>
      <c r="IO106" s="334"/>
      <c r="IP106" s="334"/>
      <c r="IQ106" s="334"/>
      <c r="IR106" s="334"/>
    </row>
    <row r="107" spans="1:252" x14ac:dyDescent="0.25">
      <c r="A107" s="366">
        <v>43752</v>
      </c>
      <c r="B107" s="345">
        <v>84.23</v>
      </c>
      <c r="C107" s="345">
        <v>27.07</v>
      </c>
      <c r="D107" s="345">
        <v>140.59</v>
      </c>
      <c r="E107" s="345">
        <v>76.650000000000006</v>
      </c>
      <c r="F107" s="345">
        <v>191.09</v>
      </c>
      <c r="G107" s="345">
        <v>16.489999999999998</v>
      </c>
      <c r="H107" s="345">
        <v>26.9</v>
      </c>
      <c r="I107" s="345">
        <v>86.67</v>
      </c>
      <c r="J107" s="345">
        <v>93.07</v>
      </c>
      <c r="K107" s="345">
        <v>271.88</v>
      </c>
      <c r="L107" s="345">
        <v>150.49</v>
      </c>
      <c r="M107" s="345">
        <v>81.52</v>
      </c>
      <c r="N107" s="345">
        <v>32.97</v>
      </c>
      <c r="O107" s="345">
        <v>12.5</v>
      </c>
      <c r="P107" s="345">
        <v>25.53</v>
      </c>
      <c r="Q107" s="345">
        <v>36.44</v>
      </c>
      <c r="R107" s="345">
        <v>33.090000000000003</v>
      </c>
      <c r="S107" s="345">
        <v>27.65</v>
      </c>
      <c r="T107" s="345">
        <v>25.97</v>
      </c>
      <c r="U107" s="345">
        <v>74.544399999999996</v>
      </c>
    </row>
    <row r="108" spans="1:252" x14ac:dyDescent="0.25">
      <c r="A108" s="366">
        <v>43753</v>
      </c>
      <c r="B108" s="345">
        <v>84.01</v>
      </c>
      <c r="C108" s="345">
        <v>26.19</v>
      </c>
      <c r="D108" s="345">
        <v>139.61000000000001</v>
      </c>
      <c r="E108" s="345">
        <v>77.489999999999995</v>
      </c>
      <c r="F108" s="345">
        <v>193.52</v>
      </c>
      <c r="G108" s="345">
        <v>16.27</v>
      </c>
      <c r="H108" s="345">
        <v>26.82</v>
      </c>
      <c r="I108" s="345">
        <v>85.71</v>
      </c>
      <c r="J108" s="345">
        <v>93.19</v>
      </c>
      <c r="K108" s="345">
        <v>274.51</v>
      </c>
      <c r="L108" s="345">
        <v>151.97</v>
      </c>
      <c r="M108" s="345">
        <v>82.42</v>
      </c>
      <c r="N108" s="345">
        <v>33.26</v>
      </c>
      <c r="O108" s="345">
        <v>12.44</v>
      </c>
      <c r="P108" s="345">
        <v>25.64</v>
      </c>
      <c r="Q108" s="345">
        <v>36.5</v>
      </c>
      <c r="R108" s="345">
        <v>33.1</v>
      </c>
      <c r="S108" s="345">
        <v>27.13</v>
      </c>
      <c r="T108" s="345">
        <v>25.93</v>
      </c>
      <c r="U108" s="345">
        <v>74.726200000000006</v>
      </c>
    </row>
    <row r="109" spans="1:252" x14ac:dyDescent="0.25">
      <c r="A109" s="366">
        <v>43754</v>
      </c>
      <c r="B109" s="345">
        <v>84.1</v>
      </c>
      <c r="C109" s="345">
        <v>26.71</v>
      </c>
      <c r="D109" s="345">
        <v>140.41</v>
      </c>
      <c r="E109" s="345">
        <v>77.69</v>
      </c>
      <c r="F109" s="345">
        <v>193.04</v>
      </c>
      <c r="G109" s="345">
        <v>16.260000000000002</v>
      </c>
      <c r="H109" s="345">
        <v>26.75</v>
      </c>
      <c r="I109" s="345">
        <v>85.81</v>
      </c>
      <c r="J109" s="345">
        <v>93.2</v>
      </c>
      <c r="K109" s="345">
        <v>274.08</v>
      </c>
      <c r="L109" s="345">
        <v>151.69</v>
      </c>
      <c r="M109" s="345">
        <v>81.849999999999994</v>
      </c>
      <c r="N109" s="345">
        <v>33.200000000000003</v>
      </c>
      <c r="O109" s="345">
        <v>12.54</v>
      </c>
      <c r="P109" s="345">
        <v>25.63</v>
      </c>
      <c r="Q109" s="345">
        <v>36.49</v>
      </c>
      <c r="R109" s="345">
        <v>33.090000000000003</v>
      </c>
      <c r="S109" s="345">
        <v>27.42</v>
      </c>
      <c r="T109" s="345">
        <v>25.96</v>
      </c>
      <c r="U109" s="345">
        <v>74.747799999999998</v>
      </c>
    </row>
    <row r="110" spans="1:252" x14ac:dyDescent="0.25">
      <c r="A110" s="366">
        <v>43755</v>
      </c>
      <c r="B110" s="345">
        <v>84.1</v>
      </c>
      <c r="C110" s="345">
        <v>27.08</v>
      </c>
      <c r="D110" s="345">
        <v>140.61000000000001</v>
      </c>
      <c r="E110" s="345">
        <v>78.569999999999993</v>
      </c>
      <c r="F110" s="345">
        <v>193.55</v>
      </c>
      <c r="G110" s="345">
        <v>16.399999999999999</v>
      </c>
      <c r="H110" s="345">
        <v>26.65</v>
      </c>
      <c r="I110" s="345">
        <v>85.67</v>
      </c>
      <c r="J110" s="345">
        <v>93.81</v>
      </c>
      <c r="K110" s="345">
        <v>274.82</v>
      </c>
      <c r="L110" s="345">
        <v>152.19</v>
      </c>
      <c r="M110" s="345">
        <v>81.69</v>
      </c>
      <c r="N110" s="345">
        <v>33.29</v>
      </c>
      <c r="O110" s="345">
        <v>12.55</v>
      </c>
      <c r="P110" s="345">
        <v>25.61</v>
      </c>
      <c r="Q110" s="345">
        <v>36.44</v>
      </c>
      <c r="R110" s="345">
        <v>33.090000000000003</v>
      </c>
      <c r="S110" s="345">
        <v>27.91</v>
      </c>
      <c r="T110" s="345">
        <v>25.94</v>
      </c>
      <c r="U110" s="345">
        <v>75.05</v>
      </c>
    </row>
    <row r="111" spans="1:252" x14ac:dyDescent="0.25">
      <c r="A111" s="366">
        <v>43756</v>
      </c>
      <c r="B111" s="345">
        <v>84.14</v>
      </c>
      <c r="C111" s="345">
        <v>27.12</v>
      </c>
      <c r="D111" s="345">
        <v>140.46</v>
      </c>
      <c r="E111" s="345">
        <v>78.08</v>
      </c>
      <c r="F111" s="345">
        <v>191.69</v>
      </c>
      <c r="G111" s="345">
        <v>16.41</v>
      </c>
      <c r="H111" s="345">
        <v>26.55</v>
      </c>
      <c r="I111" s="345">
        <v>85.63</v>
      </c>
      <c r="J111" s="345">
        <v>94.53</v>
      </c>
      <c r="K111" s="345">
        <v>273.69</v>
      </c>
      <c r="L111" s="345">
        <v>151.58000000000001</v>
      </c>
      <c r="M111" s="345">
        <v>80.91</v>
      </c>
      <c r="N111" s="345">
        <v>33.18</v>
      </c>
      <c r="O111" s="345">
        <v>12.54</v>
      </c>
      <c r="P111" s="345">
        <v>25.53</v>
      </c>
      <c r="Q111" s="345">
        <v>36.31</v>
      </c>
      <c r="R111" s="345">
        <v>33.01</v>
      </c>
      <c r="S111" s="345">
        <v>28</v>
      </c>
      <c r="T111" s="345">
        <v>26</v>
      </c>
      <c r="U111" s="345">
        <v>75.2</v>
      </c>
    </row>
    <row r="112" spans="1:252" s="368" customFormat="1" x14ac:dyDescent="0.25">
      <c r="A112" s="366">
        <v>43757</v>
      </c>
      <c r="B112" s="345">
        <v>84.14</v>
      </c>
      <c r="C112" s="345">
        <v>27.12</v>
      </c>
      <c r="D112" s="345">
        <v>140.46</v>
      </c>
      <c r="E112" s="345">
        <v>78.08</v>
      </c>
      <c r="F112" s="345">
        <v>191.69</v>
      </c>
      <c r="G112" s="345">
        <v>16.41</v>
      </c>
      <c r="H112" s="345">
        <v>26.55</v>
      </c>
      <c r="I112" s="345">
        <v>85.63</v>
      </c>
      <c r="J112" s="345">
        <v>94.53</v>
      </c>
      <c r="K112" s="345">
        <v>273.69</v>
      </c>
      <c r="L112" s="345">
        <v>151.58000000000001</v>
      </c>
      <c r="M112" s="345">
        <v>80.91</v>
      </c>
      <c r="N112" s="345">
        <v>33.18</v>
      </c>
      <c r="O112" s="345">
        <v>12.54</v>
      </c>
      <c r="P112" s="345">
        <v>25.53</v>
      </c>
      <c r="Q112" s="345">
        <v>36.31</v>
      </c>
      <c r="R112" s="345">
        <v>33.01</v>
      </c>
      <c r="S112" s="345">
        <v>28</v>
      </c>
      <c r="T112" s="345">
        <v>26</v>
      </c>
      <c r="U112" s="345">
        <v>75.2</v>
      </c>
      <c r="V112" s="334"/>
      <c r="W112" s="334"/>
      <c r="X112" s="334"/>
      <c r="Y112" s="334"/>
      <c r="Z112" s="334"/>
      <c r="AA112" s="334"/>
      <c r="AB112" s="334"/>
      <c r="AC112" s="334"/>
      <c r="AD112" s="334"/>
      <c r="AE112" s="334"/>
      <c r="AF112" s="334"/>
      <c r="AG112" s="334"/>
      <c r="AH112" s="334"/>
      <c r="AI112" s="334"/>
      <c r="AJ112" s="334"/>
      <c r="AK112" s="334"/>
      <c r="AL112" s="334"/>
      <c r="AM112" s="334"/>
      <c r="AN112" s="334"/>
      <c r="AO112" s="334"/>
      <c r="AP112" s="334"/>
      <c r="AQ112" s="334"/>
      <c r="AR112" s="334"/>
      <c r="AS112" s="334"/>
      <c r="AT112" s="334"/>
      <c r="AU112" s="334"/>
      <c r="AV112" s="334"/>
      <c r="AW112" s="334"/>
      <c r="AX112" s="334"/>
      <c r="AY112" s="334"/>
      <c r="AZ112" s="334"/>
      <c r="BA112" s="334"/>
      <c r="BB112" s="334"/>
      <c r="BC112" s="334"/>
      <c r="BD112" s="334"/>
      <c r="BE112" s="334"/>
      <c r="BF112" s="334"/>
      <c r="BG112" s="334"/>
      <c r="BH112" s="334"/>
      <c r="BI112" s="334"/>
      <c r="BJ112" s="334"/>
      <c r="BK112" s="334"/>
      <c r="BL112" s="334"/>
      <c r="BM112" s="334"/>
      <c r="BN112" s="334"/>
      <c r="BO112" s="334"/>
      <c r="BP112" s="334"/>
      <c r="BQ112" s="334"/>
      <c r="BR112" s="334"/>
      <c r="BS112" s="334"/>
      <c r="BT112" s="334"/>
      <c r="BU112" s="334"/>
      <c r="BV112" s="334"/>
      <c r="BW112" s="334"/>
      <c r="BX112" s="334"/>
      <c r="BY112" s="334"/>
      <c r="BZ112" s="334"/>
      <c r="CA112" s="334"/>
      <c r="CB112" s="334"/>
      <c r="CC112" s="334"/>
      <c r="CD112" s="334"/>
      <c r="CE112" s="334"/>
      <c r="CF112" s="334"/>
      <c r="CG112" s="334"/>
      <c r="CH112" s="334"/>
      <c r="CI112" s="334"/>
      <c r="CJ112" s="334"/>
      <c r="CK112" s="334"/>
      <c r="CL112" s="334"/>
      <c r="CM112" s="334"/>
      <c r="CN112" s="334"/>
      <c r="CO112" s="334"/>
      <c r="CP112" s="334"/>
      <c r="CQ112" s="334"/>
      <c r="CR112" s="334"/>
      <c r="CS112" s="334"/>
      <c r="CT112" s="334"/>
      <c r="CU112" s="334"/>
      <c r="CV112" s="334"/>
      <c r="CW112" s="334"/>
      <c r="CX112" s="334"/>
      <c r="CY112" s="334"/>
      <c r="CZ112" s="334"/>
      <c r="DA112" s="334"/>
      <c r="DB112" s="334"/>
      <c r="DC112" s="334"/>
      <c r="DD112" s="334"/>
      <c r="DE112" s="334"/>
      <c r="DF112" s="334"/>
      <c r="DG112" s="334"/>
      <c r="DH112" s="334"/>
      <c r="DI112" s="334"/>
      <c r="DJ112" s="334"/>
      <c r="DK112" s="334"/>
      <c r="DL112" s="334"/>
      <c r="DM112" s="334"/>
      <c r="DN112" s="334"/>
      <c r="DO112" s="334"/>
      <c r="DP112" s="334"/>
      <c r="DQ112" s="334"/>
      <c r="DR112" s="334"/>
      <c r="DS112" s="334"/>
      <c r="DT112" s="334"/>
      <c r="DU112" s="334"/>
      <c r="DV112" s="334"/>
      <c r="DW112" s="334"/>
      <c r="DX112" s="334"/>
      <c r="DY112" s="334"/>
      <c r="DZ112" s="334"/>
      <c r="EA112" s="334"/>
      <c r="EB112" s="334"/>
      <c r="EC112" s="334"/>
      <c r="ED112" s="334"/>
      <c r="EE112" s="334"/>
      <c r="EF112" s="334"/>
      <c r="EG112" s="334"/>
      <c r="EH112" s="334"/>
      <c r="EI112" s="334"/>
      <c r="EJ112" s="334"/>
      <c r="EK112" s="334"/>
      <c r="EL112" s="334"/>
      <c r="EM112" s="334"/>
      <c r="EN112" s="334"/>
      <c r="EO112" s="334"/>
      <c r="EP112" s="334"/>
      <c r="EQ112" s="334"/>
      <c r="ER112" s="334"/>
      <c r="ES112" s="334"/>
      <c r="ET112" s="334"/>
      <c r="EU112" s="334"/>
      <c r="EV112" s="334"/>
      <c r="EW112" s="334"/>
      <c r="EX112" s="334"/>
      <c r="EY112" s="334"/>
      <c r="EZ112" s="334"/>
      <c r="FA112" s="334"/>
      <c r="FB112" s="334"/>
      <c r="FC112" s="334"/>
      <c r="FD112" s="334"/>
      <c r="FE112" s="334"/>
      <c r="FF112" s="334"/>
      <c r="FG112" s="334"/>
      <c r="FH112" s="334"/>
      <c r="FI112" s="334"/>
      <c r="FJ112" s="334"/>
      <c r="FK112" s="334"/>
      <c r="FL112" s="334"/>
      <c r="FM112" s="334"/>
      <c r="FN112" s="334"/>
      <c r="FO112" s="334"/>
      <c r="FP112" s="334"/>
      <c r="FQ112" s="334"/>
      <c r="FR112" s="334"/>
      <c r="FS112" s="334"/>
      <c r="FT112" s="334"/>
      <c r="FU112" s="334"/>
      <c r="FV112" s="334"/>
      <c r="FW112" s="334"/>
      <c r="FX112" s="334"/>
      <c r="FY112" s="334"/>
      <c r="FZ112" s="334"/>
      <c r="GA112" s="334"/>
      <c r="GB112" s="334"/>
      <c r="GC112" s="334"/>
      <c r="GD112" s="334"/>
      <c r="GE112" s="334"/>
      <c r="GF112" s="334"/>
      <c r="GG112" s="334"/>
      <c r="GH112" s="334"/>
      <c r="GI112" s="334"/>
      <c r="GJ112" s="334"/>
      <c r="GK112" s="334"/>
      <c r="GL112" s="334"/>
      <c r="GM112" s="334"/>
      <c r="GN112" s="334"/>
      <c r="GO112" s="334"/>
      <c r="GP112" s="334"/>
      <c r="GQ112" s="334"/>
      <c r="GR112" s="334"/>
      <c r="GS112" s="334"/>
      <c r="GT112" s="334"/>
      <c r="GU112" s="334"/>
      <c r="GV112" s="334"/>
      <c r="GW112" s="334"/>
      <c r="GX112" s="334"/>
      <c r="GY112" s="334"/>
      <c r="GZ112" s="334"/>
      <c r="HA112" s="334"/>
      <c r="HB112" s="334"/>
      <c r="HC112" s="334"/>
      <c r="HD112" s="334"/>
      <c r="HE112" s="334"/>
      <c r="HF112" s="334"/>
      <c r="HG112" s="334"/>
      <c r="HH112" s="334"/>
      <c r="HI112" s="334"/>
      <c r="HJ112" s="334"/>
      <c r="HK112" s="334"/>
      <c r="HL112" s="334"/>
      <c r="HM112" s="334"/>
      <c r="HN112" s="334"/>
      <c r="HO112" s="334"/>
      <c r="HP112" s="334"/>
      <c r="HQ112" s="334"/>
      <c r="HR112" s="334"/>
      <c r="HS112" s="334"/>
      <c r="HT112" s="334"/>
      <c r="HU112" s="334"/>
      <c r="HV112" s="334"/>
      <c r="HW112" s="334"/>
      <c r="HX112" s="334"/>
      <c r="HY112" s="334"/>
      <c r="HZ112" s="334"/>
      <c r="IA112" s="334"/>
      <c r="IB112" s="334"/>
      <c r="IC112" s="334"/>
      <c r="ID112" s="334"/>
      <c r="IE112" s="334"/>
      <c r="IF112" s="334"/>
      <c r="IG112" s="334"/>
      <c r="IH112" s="334"/>
      <c r="II112" s="334"/>
      <c r="IJ112" s="334"/>
      <c r="IK112" s="334"/>
      <c r="IL112" s="334"/>
      <c r="IM112" s="334"/>
      <c r="IN112" s="334"/>
      <c r="IO112" s="334"/>
      <c r="IP112" s="334"/>
      <c r="IQ112" s="334"/>
      <c r="IR112" s="334"/>
    </row>
    <row r="113" spans="1:252" s="368" customFormat="1" x14ac:dyDescent="0.25">
      <c r="A113" s="366">
        <v>43758</v>
      </c>
      <c r="B113" s="345">
        <v>84.14</v>
      </c>
      <c r="C113" s="345">
        <v>27.12</v>
      </c>
      <c r="D113" s="345">
        <v>140.46</v>
      </c>
      <c r="E113" s="345">
        <v>78.08</v>
      </c>
      <c r="F113" s="345">
        <v>191.69</v>
      </c>
      <c r="G113" s="345">
        <v>16.41</v>
      </c>
      <c r="H113" s="345">
        <v>26.55</v>
      </c>
      <c r="I113" s="345">
        <v>85.63</v>
      </c>
      <c r="J113" s="345">
        <v>94.53</v>
      </c>
      <c r="K113" s="345">
        <v>273.69</v>
      </c>
      <c r="L113" s="345">
        <v>151.58000000000001</v>
      </c>
      <c r="M113" s="345">
        <v>80.91</v>
      </c>
      <c r="N113" s="345">
        <v>33.18</v>
      </c>
      <c r="O113" s="345">
        <v>12.54</v>
      </c>
      <c r="P113" s="345">
        <v>25.53</v>
      </c>
      <c r="Q113" s="345">
        <v>36.31</v>
      </c>
      <c r="R113" s="345">
        <v>33.01</v>
      </c>
      <c r="S113" s="345">
        <v>28</v>
      </c>
      <c r="T113" s="345">
        <v>26</v>
      </c>
      <c r="U113" s="345">
        <v>75.2</v>
      </c>
      <c r="V113" s="334"/>
      <c r="W113" s="334"/>
      <c r="X113" s="334"/>
      <c r="Y113" s="334"/>
      <c r="Z113" s="334"/>
      <c r="AA113" s="334"/>
      <c r="AB113" s="334"/>
      <c r="AC113" s="334"/>
      <c r="AD113" s="334"/>
      <c r="AE113" s="334"/>
      <c r="AF113" s="334"/>
      <c r="AG113" s="334"/>
      <c r="AH113" s="334"/>
      <c r="AI113" s="334"/>
      <c r="AJ113" s="334"/>
      <c r="AK113" s="334"/>
      <c r="AL113" s="334"/>
      <c r="AM113" s="334"/>
      <c r="AN113" s="334"/>
      <c r="AO113" s="334"/>
      <c r="AP113" s="334"/>
      <c r="AQ113" s="334"/>
      <c r="AR113" s="334"/>
      <c r="AS113" s="334"/>
      <c r="AT113" s="334"/>
      <c r="AU113" s="334"/>
      <c r="AV113" s="334"/>
      <c r="AW113" s="334"/>
      <c r="AX113" s="334"/>
      <c r="AY113" s="334"/>
      <c r="AZ113" s="334"/>
      <c r="BA113" s="334"/>
      <c r="BB113" s="334"/>
      <c r="BC113" s="334"/>
      <c r="BD113" s="334"/>
      <c r="BE113" s="334"/>
      <c r="BF113" s="334"/>
      <c r="BG113" s="334"/>
      <c r="BH113" s="334"/>
      <c r="BI113" s="334"/>
      <c r="BJ113" s="334"/>
      <c r="BK113" s="334"/>
      <c r="BL113" s="334"/>
      <c r="BM113" s="334"/>
      <c r="BN113" s="334"/>
      <c r="BO113" s="334"/>
      <c r="BP113" s="334"/>
      <c r="BQ113" s="334"/>
      <c r="BR113" s="334"/>
      <c r="BS113" s="334"/>
      <c r="BT113" s="334"/>
      <c r="BU113" s="334"/>
      <c r="BV113" s="334"/>
      <c r="BW113" s="334"/>
      <c r="BX113" s="334"/>
      <c r="BY113" s="334"/>
      <c r="BZ113" s="334"/>
      <c r="CA113" s="334"/>
      <c r="CB113" s="334"/>
      <c r="CC113" s="334"/>
      <c r="CD113" s="334"/>
      <c r="CE113" s="334"/>
      <c r="CF113" s="334"/>
      <c r="CG113" s="334"/>
      <c r="CH113" s="334"/>
      <c r="CI113" s="334"/>
      <c r="CJ113" s="334"/>
      <c r="CK113" s="334"/>
      <c r="CL113" s="334"/>
      <c r="CM113" s="334"/>
      <c r="CN113" s="334"/>
      <c r="CO113" s="334"/>
      <c r="CP113" s="334"/>
      <c r="CQ113" s="334"/>
      <c r="CR113" s="334"/>
      <c r="CS113" s="334"/>
      <c r="CT113" s="334"/>
      <c r="CU113" s="334"/>
      <c r="CV113" s="334"/>
      <c r="CW113" s="334"/>
      <c r="CX113" s="334"/>
      <c r="CY113" s="334"/>
      <c r="CZ113" s="334"/>
      <c r="DA113" s="334"/>
      <c r="DB113" s="334"/>
      <c r="DC113" s="334"/>
      <c r="DD113" s="334"/>
      <c r="DE113" s="334"/>
      <c r="DF113" s="334"/>
      <c r="DG113" s="334"/>
      <c r="DH113" s="334"/>
      <c r="DI113" s="334"/>
      <c r="DJ113" s="334"/>
      <c r="DK113" s="334"/>
      <c r="DL113" s="334"/>
      <c r="DM113" s="334"/>
      <c r="DN113" s="334"/>
      <c r="DO113" s="334"/>
      <c r="DP113" s="334"/>
      <c r="DQ113" s="334"/>
      <c r="DR113" s="334"/>
      <c r="DS113" s="334"/>
      <c r="DT113" s="334"/>
      <c r="DU113" s="334"/>
      <c r="DV113" s="334"/>
      <c r="DW113" s="334"/>
      <c r="DX113" s="334"/>
      <c r="DY113" s="334"/>
      <c r="DZ113" s="334"/>
      <c r="EA113" s="334"/>
      <c r="EB113" s="334"/>
      <c r="EC113" s="334"/>
      <c r="ED113" s="334"/>
      <c r="EE113" s="334"/>
      <c r="EF113" s="334"/>
      <c r="EG113" s="334"/>
      <c r="EH113" s="334"/>
      <c r="EI113" s="334"/>
      <c r="EJ113" s="334"/>
      <c r="EK113" s="334"/>
      <c r="EL113" s="334"/>
      <c r="EM113" s="334"/>
      <c r="EN113" s="334"/>
      <c r="EO113" s="334"/>
      <c r="EP113" s="334"/>
      <c r="EQ113" s="334"/>
      <c r="ER113" s="334"/>
      <c r="ES113" s="334"/>
      <c r="ET113" s="334"/>
      <c r="EU113" s="334"/>
      <c r="EV113" s="334"/>
      <c r="EW113" s="334"/>
      <c r="EX113" s="334"/>
      <c r="EY113" s="334"/>
      <c r="EZ113" s="334"/>
      <c r="FA113" s="334"/>
      <c r="FB113" s="334"/>
      <c r="FC113" s="334"/>
      <c r="FD113" s="334"/>
      <c r="FE113" s="334"/>
      <c r="FF113" s="334"/>
      <c r="FG113" s="334"/>
      <c r="FH113" s="334"/>
      <c r="FI113" s="334"/>
      <c r="FJ113" s="334"/>
      <c r="FK113" s="334"/>
      <c r="FL113" s="334"/>
      <c r="FM113" s="334"/>
      <c r="FN113" s="334"/>
      <c r="FO113" s="334"/>
      <c r="FP113" s="334"/>
      <c r="FQ113" s="334"/>
      <c r="FR113" s="334"/>
      <c r="FS113" s="334"/>
      <c r="FT113" s="334"/>
      <c r="FU113" s="334"/>
      <c r="FV113" s="334"/>
      <c r="FW113" s="334"/>
      <c r="FX113" s="334"/>
      <c r="FY113" s="334"/>
      <c r="FZ113" s="334"/>
      <c r="GA113" s="334"/>
      <c r="GB113" s="334"/>
      <c r="GC113" s="334"/>
      <c r="GD113" s="334"/>
      <c r="GE113" s="334"/>
      <c r="GF113" s="334"/>
      <c r="GG113" s="334"/>
      <c r="GH113" s="334"/>
      <c r="GI113" s="334"/>
      <c r="GJ113" s="334"/>
      <c r="GK113" s="334"/>
      <c r="GL113" s="334"/>
      <c r="GM113" s="334"/>
      <c r="GN113" s="334"/>
      <c r="GO113" s="334"/>
      <c r="GP113" s="334"/>
      <c r="GQ113" s="334"/>
      <c r="GR113" s="334"/>
      <c r="GS113" s="334"/>
      <c r="GT113" s="334"/>
      <c r="GU113" s="334"/>
      <c r="GV113" s="334"/>
      <c r="GW113" s="334"/>
      <c r="GX113" s="334"/>
      <c r="GY113" s="334"/>
      <c r="GZ113" s="334"/>
      <c r="HA113" s="334"/>
      <c r="HB113" s="334"/>
      <c r="HC113" s="334"/>
      <c r="HD113" s="334"/>
      <c r="HE113" s="334"/>
      <c r="HF113" s="334"/>
      <c r="HG113" s="334"/>
      <c r="HH113" s="334"/>
      <c r="HI113" s="334"/>
      <c r="HJ113" s="334"/>
      <c r="HK113" s="334"/>
      <c r="HL113" s="334"/>
      <c r="HM113" s="334"/>
      <c r="HN113" s="334"/>
      <c r="HO113" s="334"/>
      <c r="HP113" s="334"/>
      <c r="HQ113" s="334"/>
      <c r="HR113" s="334"/>
      <c r="HS113" s="334"/>
      <c r="HT113" s="334"/>
      <c r="HU113" s="334"/>
      <c r="HV113" s="334"/>
      <c r="HW113" s="334"/>
      <c r="HX113" s="334"/>
      <c r="HY113" s="334"/>
      <c r="HZ113" s="334"/>
      <c r="IA113" s="334"/>
      <c r="IB113" s="334"/>
      <c r="IC113" s="334"/>
      <c r="ID113" s="334"/>
      <c r="IE113" s="334"/>
      <c r="IF113" s="334"/>
      <c r="IG113" s="334"/>
      <c r="IH113" s="334"/>
      <c r="II113" s="334"/>
      <c r="IJ113" s="334"/>
      <c r="IK113" s="334"/>
      <c r="IL113" s="334"/>
      <c r="IM113" s="334"/>
      <c r="IN113" s="334"/>
      <c r="IO113" s="334"/>
      <c r="IP113" s="334"/>
      <c r="IQ113" s="334"/>
      <c r="IR113" s="334"/>
    </row>
    <row r="114" spans="1:252" x14ac:dyDescent="0.25">
      <c r="A114" s="366">
        <v>43759</v>
      </c>
      <c r="B114" s="345">
        <v>83.94</v>
      </c>
      <c r="C114" s="345">
        <v>26.58</v>
      </c>
      <c r="D114" s="345">
        <v>139.79</v>
      </c>
      <c r="E114" s="345">
        <v>78.83</v>
      </c>
      <c r="F114" s="345">
        <v>193.39</v>
      </c>
      <c r="G114" s="345">
        <v>16.41</v>
      </c>
      <c r="H114" s="345">
        <v>26.57</v>
      </c>
      <c r="I114" s="345">
        <v>84.98</v>
      </c>
      <c r="J114" s="345">
        <v>95.25</v>
      </c>
      <c r="K114" s="345">
        <v>275.60000000000002</v>
      </c>
      <c r="L114" s="345">
        <v>152.57</v>
      </c>
      <c r="M114" s="345">
        <v>81.78</v>
      </c>
      <c r="N114" s="345">
        <v>33.380000000000003</v>
      </c>
      <c r="O114" s="345">
        <v>12.46</v>
      </c>
      <c r="P114" s="345">
        <v>25.58</v>
      </c>
      <c r="Q114" s="345">
        <v>36.299999999999997</v>
      </c>
      <c r="R114" s="345">
        <v>33.08</v>
      </c>
      <c r="S114" s="345">
        <v>27.32</v>
      </c>
      <c r="T114" s="345">
        <v>25.94</v>
      </c>
      <c r="U114" s="345">
        <v>75.45</v>
      </c>
    </row>
    <row r="115" spans="1:252" x14ac:dyDescent="0.25">
      <c r="A115" s="366">
        <v>43760</v>
      </c>
      <c r="B115" s="345">
        <v>84.09</v>
      </c>
      <c r="C115" s="345">
        <v>26.54</v>
      </c>
      <c r="D115" s="345">
        <v>140.19999999999999</v>
      </c>
      <c r="E115" s="345">
        <v>79.05</v>
      </c>
      <c r="F115" s="345">
        <v>191.85</v>
      </c>
      <c r="G115" s="345">
        <v>16.37</v>
      </c>
      <c r="H115" s="345">
        <v>26.63</v>
      </c>
      <c r="I115" s="345">
        <v>85.46</v>
      </c>
      <c r="J115" s="345">
        <v>94.97</v>
      </c>
      <c r="K115" s="345">
        <v>274.63</v>
      </c>
      <c r="L115" s="345">
        <v>152.11000000000001</v>
      </c>
      <c r="M115" s="345">
        <v>80.680000000000007</v>
      </c>
      <c r="N115" s="345">
        <v>33.28</v>
      </c>
      <c r="O115" s="345">
        <v>12.51</v>
      </c>
      <c r="P115" s="345">
        <v>25.58</v>
      </c>
      <c r="Q115" s="345">
        <v>36.28</v>
      </c>
      <c r="R115" s="345">
        <v>33.04</v>
      </c>
      <c r="S115" s="345">
        <v>27.26</v>
      </c>
      <c r="T115" s="345">
        <v>26.02</v>
      </c>
      <c r="U115" s="345">
        <v>75.358199999999997</v>
      </c>
    </row>
    <row r="116" spans="1:252" x14ac:dyDescent="0.25">
      <c r="A116" s="366">
        <v>43761</v>
      </c>
      <c r="B116" s="345">
        <v>84.13</v>
      </c>
      <c r="C116" s="345">
        <v>26.81</v>
      </c>
      <c r="D116" s="345">
        <v>140.53</v>
      </c>
      <c r="E116" s="345">
        <v>79.25</v>
      </c>
      <c r="F116" s="345">
        <v>192.22</v>
      </c>
      <c r="G116" s="345">
        <v>16.39</v>
      </c>
      <c r="H116" s="345">
        <v>26.62</v>
      </c>
      <c r="I116" s="345">
        <v>85.53</v>
      </c>
      <c r="J116" s="345">
        <v>95.18</v>
      </c>
      <c r="K116" s="345">
        <v>275.44</v>
      </c>
      <c r="L116" s="345">
        <v>152.41999999999999</v>
      </c>
      <c r="M116" s="345">
        <v>80.75</v>
      </c>
      <c r="N116" s="345">
        <v>33.35</v>
      </c>
      <c r="O116" s="345">
        <v>12.54</v>
      </c>
      <c r="P116" s="345">
        <v>25.58</v>
      </c>
      <c r="Q116" s="345">
        <v>35.89</v>
      </c>
      <c r="R116" s="345">
        <v>32.97</v>
      </c>
      <c r="S116" s="345">
        <v>27.48</v>
      </c>
      <c r="T116" s="345">
        <v>26.04</v>
      </c>
      <c r="U116" s="345">
        <v>75.459999999999994</v>
      </c>
    </row>
    <row r="117" spans="1:252" x14ac:dyDescent="0.25">
      <c r="A117" s="366">
        <v>43762</v>
      </c>
      <c r="B117" s="345">
        <v>84.14</v>
      </c>
      <c r="C117" s="345">
        <v>27.52</v>
      </c>
      <c r="D117" s="345">
        <v>141.53</v>
      </c>
      <c r="E117" s="345">
        <v>79.11</v>
      </c>
      <c r="F117" s="345">
        <v>194.09</v>
      </c>
      <c r="G117" s="345">
        <v>16.649999999999999</v>
      </c>
      <c r="H117" s="345">
        <v>26.7</v>
      </c>
      <c r="I117" s="345">
        <v>85.39</v>
      </c>
      <c r="J117" s="345">
        <v>94.94</v>
      </c>
      <c r="K117" s="345">
        <v>275.89</v>
      </c>
      <c r="L117" s="345">
        <v>152.84</v>
      </c>
      <c r="M117" s="345">
        <v>81.93</v>
      </c>
      <c r="N117" s="345">
        <v>33.42</v>
      </c>
      <c r="O117" s="345">
        <v>12.63</v>
      </c>
      <c r="P117" s="345">
        <v>25.62</v>
      </c>
      <c r="Q117" s="345">
        <v>35.770000000000003</v>
      </c>
      <c r="R117" s="345">
        <v>33.04</v>
      </c>
      <c r="S117" s="345">
        <v>28.27</v>
      </c>
      <c r="T117" s="345">
        <v>26.01</v>
      </c>
      <c r="U117" s="345">
        <v>75.494799999999998</v>
      </c>
    </row>
    <row r="118" spans="1:252" x14ac:dyDescent="0.25">
      <c r="A118" s="366">
        <v>43763</v>
      </c>
      <c r="B118" s="345">
        <v>84</v>
      </c>
      <c r="C118" s="345">
        <v>27.74</v>
      </c>
      <c r="D118" s="345">
        <v>141.86000000000001</v>
      </c>
      <c r="E118" s="345">
        <v>79.58</v>
      </c>
      <c r="F118" s="345">
        <v>195.64</v>
      </c>
      <c r="G118" s="345">
        <v>16.89</v>
      </c>
      <c r="H118" s="345">
        <v>26.73</v>
      </c>
      <c r="I118" s="345">
        <v>84.97</v>
      </c>
      <c r="J118" s="345">
        <v>94.13</v>
      </c>
      <c r="K118" s="345">
        <v>277.04000000000002</v>
      </c>
      <c r="L118" s="345">
        <v>153.44999999999999</v>
      </c>
      <c r="M118" s="345">
        <v>82.92</v>
      </c>
      <c r="N118" s="345">
        <v>33.56</v>
      </c>
      <c r="O118" s="345">
        <v>12.64</v>
      </c>
      <c r="P118" s="345">
        <v>25.66</v>
      </c>
      <c r="Q118" s="345">
        <v>35.700000000000003</v>
      </c>
      <c r="R118" s="345">
        <v>33.119999999999997</v>
      </c>
      <c r="S118" s="345">
        <v>28.54</v>
      </c>
      <c r="T118" s="345">
        <v>25.98</v>
      </c>
      <c r="U118" s="345">
        <v>75.5501</v>
      </c>
    </row>
    <row r="119" spans="1:252" s="368" customFormat="1" x14ac:dyDescent="0.25">
      <c r="A119" s="366">
        <v>43764</v>
      </c>
      <c r="B119" s="345">
        <v>84</v>
      </c>
      <c r="C119" s="345">
        <v>27.74</v>
      </c>
      <c r="D119" s="345">
        <v>141.86000000000001</v>
      </c>
      <c r="E119" s="345">
        <v>79.58</v>
      </c>
      <c r="F119" s="345">
        <v>195.64</v>
      </c>
      <c r="G119" s="345">
        <v>16.89</v>
      </c>
      <c r="H119" s="345">
        <v>26.73</v>
      </c>
      <c r="I119" s="345">
        <v>84.97</v>
      </c>
      <c r="J119" s="345">
        <v>94.13</v>
      </c>
      <c r="K119" s="345">
        <v>277.04000000000002</v>
      </c>
      <c r="L119" s="345">
        <v>153.44999999999999</v>
      </c>
      <c r="M119" s="345">
        <v>82.92</v>
      </c>
      <c r="N119" s="345">
        <v>33.56</v>
      </c>
      <c r="O119" s="345">
        <v>12.64</v>
      </c>
      <c r="P119" s="345">
        <v>25.66</v>
      </c>
      <c r="Q119" s="345">
        <v>35.700000000000003</v>
      </c>
      <c r="R119" s="345">
        <v>33.119999999999997</v>
      </c>
      <c r="S119" s="345">
        <v>28.54</v>
      </c>
      <c r="T119" s="345">
        <v>25.98</v>
      </c>
      <c r="U119" s="345">
        <v>75.5501</v>
      </c>
      <c r="V119" s="334"/>
      <c r="W119" s="334"/>
      <c r="X119" s="334"/>
      <c r="Y119" s="334"/>
      <c r="Z119" s="334"/>
      <c r="AA119" s="334"/>
      <c r="AB119" s="334"/>
      <c r="AC119" s="334"/>
      <c r="AD119" s="334"/>
      <c r="AE119" s="334"/>
      <c r="AF119" s="334"/>
      <c r="AG119" s="334"/>
      <c r="AH119" s="334"/>
      <c r="AI119" s="334"/>
      <c r="AJ119" s="334"/>
      <c r="AK119" s="334"/>
      <c r="AL119" s="334"/>
      <c r="AM119" s="334"/>
      <c r="AN119" s="334"/>
      <c r="AO119" s="334"/>
      <c r="AP119" s="334"/>
      <c r="AQ119" s="334"/>
      <c r="AR119" s="334"/>
      <c r="AS119" s="334"/>
      <c r="AT119" s="334"/>
      <c r="AU119" s="334"/>
      <c r="AV119" s="334"/>
      <c r="AW119" s="334"/>
      <c r="AX119" s="334"/>
      <c r="AY119" s="334"/>
      <c r="AZ119" s="334"/>
      <c r="BA119" s="334"/>
      <c r="BB119" s="334"/>
      <c r="BC119" s="334"/>
      <c r="BD119" s="334"/>
      <c r="BE119" s="334"/>
      <c r="BF119" s="334"/>
      <c r="BG119" s="334"/>
      <c r="BH119" s="334"/>
      <c r="BI119" s="334"/>
      <c r="BJ119" s="334"/>
      <c r="BK119" s="334"/>
      <c r="BL119" s="334"/>
      <c r="BM119" s="334"/>
      <c r="BN119" s="334"/>
      <c r="BO119" s="334"/>
      <c r="BP119" s="334"/>
      <c r="BQ119" s="334"/>
      <c r="BR119" s="334"/>
      <c r="BS119" s="334"/>
      <c r="BT119" s="334"/>
      <c r="BU119" s="334"/>
      <c r="BV119" s="334"/>
      <c r="BW119" s="334"/>
      <c r="BX119" s="334"/>
      <c r="BY119" s="334"/>
      <c r="BZ119" s="334"/>
      <c r="CA119" s="334"/>
      <c r="CB119" s="334"/>
      <c r="CC119" s="334"/>
      <c r="CD119" s="334"/>
      <c r="CE119" s="334"/>
      <c r="CF119" s="334"/>
      <c r="CG119" s="334"/>
      <c r="CH119" s="334"/>
      <c r="CI119" s="334"/>
      <c r="CJ119" s="334"/>
      <c r="CK119" s="334"/>
      <c r="CL119" s="334"/>
      <c r="CM119" s="334"/>
      <c r="CN119" s="334"/>
      <c r="CO119" s="334"/>
      <c r="CP119" s="334"/>
      <c r="CQ119" s="334"/>
      <c r="CR119" s="334"/>
      <c r="CS119" s="334"/>
      <c r="CT119" s="334"/>
      <c r="CU119" s="334"/>
      <c r="CV119" s="334"/>
      <c r="CW119" s="334"/>
      <c r="CX119" s="334"/>
      <c r="CY119" s="334"/>
      <c r="CZ119" s="334"/>
      <c r="DA119" s="334"/>
      <c r="DB119" s="334"/>
      <c r="DC119" s="334"/>
      <c r="DD119" s="334"/>
      <c r="DE119" s="334"/>
      <c r="DF119" s="334"/>
      <c r="DG119" s="334"/>
      <c r="DH119" s="334"/>
      <c r="DI119" s="334"/>
      <c r="DJ119" s="334"/>
      <c r="DK119" s="334"/>
      <c r="DL119" s="334"/>
      <c r="DM119" s="334"/>
      <c r="DN119" s="334"/>
      <c r="DO119" s="334"/>
      <c r="DP119" s="334"/>
      <c r="DQ119" s="334"/>
      <c r="DR119" s="334"/>
      <c r="DS119" s="334"/>
      <c r="DT119" s="334"/>
      <c r="DU119" s="334"/>
      <c r="DV119" s="334"/>
      <c r="DW119" s="334"/>
      <c r="DX119" s="334"/>
      <c r="DY119" s="334"/>
      <c r="DZ119" s="334"/>
      <c r="EA119" s="334"/>
      <c r="EB119" s="334"/>
      <c r="EC119" s="334"/>
      <c r="ED119" s="334"/>
      <c r="EE119" s="334"/>
      <c r="EF119" s="334"/>
      <c r="EG119" s="334"/>
      <c r="EH119" s="334"/>
      <c r="EI119" s="334"/>
      <c r="EJ119" s="334"/>
      <c r="EK119" s="334"/>
      <c r="EL119" s="334"/>
      <c r="EM119" s="334"/>
      <c r="EN119" s="334"/>
      <c r="EO119" s="334"/>
      <c r="EP119" s="334"/>
      <c r="EQ119" s="334"/>
      <c r="ER119" s="334"/>
      <c r="ES119" s="334"/>
      <c r="ET119" s="334"/>
      <c r="EU119" s="334"/>
      <c r="EV119" s="334"/>
      <c r="EW119" s="334"/>
      <c r="EX119" s="334"/>
      <c r="EY119" s="334"/>
      <c r="EZ119" s="334"/>
      <c r="FA119" s="334"/>
      <c r="FB119" s="334"/>
      <c r="FC119" s="334"/>
      <c r="FD119" s="334"/>
      <c r="FE119" s="334"/>
      <c r="FF119" s="334"/>
      <c r="FG119" s="334"/>
      <c r="FH119" s="334"/>
      <c r="FI119" s="334"/>
      <c r="FJ119" s="334"/>
      <c r="FK119" s="334"/>
      <c r="FL119" s="334"/>
      <c r="FM119" s="334"/>
      <c r="FN119" s="334"/>
      <c r="FO119" s="334"/>
      <c r="FP119" s="334"/>
      <c r="FQ119" s="334"/>
      <c r="FR119" s="334"/>
      <c r="FS119" s="334"/>
      <c r="FT119" s="334"/>
      <c r="FU119" s="334"/>
      <c r="FV119" s="334"/>
      <c r="FW119" s="334"/>
      <c r="FX119" s="334"/>
      <c r="FY119" s="334"/>
      <c r="FZ119" s="334"/>
      <c r="GA119" s="334"/>
      <c r="GB119" s="334"/>
      <c r="GC119" s="334"/>
      <c r="GD119" s="334"/>
      <c r="GE119" s="334"/>
      <c r="GF119" s="334"/>
      <c r="GG119" s="334"/>
      <c r="GH119" s="334"/>
      <c r="GI119" s="334"/>
      <c r="GJ119" s="334"/>
      <c r="GK119" s="334"/>
      <c r="GL119" s="334"/>
      <c r="GM119" s="334"/>
      <c r="GN119" s="334"/>
      <c r="GO119" s="334"/>
      <c r="GP119" s="334"/>
      <c r="GQ119" s="334"/>
      <c r="GR119" s="334"/>
      <c r="GS119" s="334"/>
      <c r="GT119" s="334"/>
      <c r="GU119" s="334"/>
      <c r="GV119" s="334"/>
      <c r="GW119" s="334"/>
      <c r="GX119" s="334"/>
      <c r="GY119" s="334"/>
      <c r="GZ119" s="334"/>
      <c r="HA119" s="334"/>
      <c r="HB119" s="334"/>
      <c r="HC119" s="334"/>
      <c r="HD119" s="334"/>
      <c r="HE119" s="334"/>
      <c r="HF119" s="334"/>
      <c r="HG119" s="334"/>
      <c r="HH119" s="334"/>
      <c r="HI119" s="334"/>
      <c r="HJ119" s="334"/>
      <c r="HK119" s="334"/>
      <c r="HL119" s="334"/>
      <c r="HM119" s="334"/>
      <c r="HN119" s="334"/>
      <c r="HO119" s="334"/>
      <c r="HP119" s="334"/>
      <c r="HQ119" s="334"/>
      <c r="HR119" s="334"/>
      <c r="HS119" s="334"/>
      <c r="HT119" s="334"/>
      <c r="HU119" s="334"/>
      <c r="HV119" s="334"/>
      <c r="HW119" s="334"/>
      <c r="HX119" s="334"/>
      <c r="HY119" s="334"/>
      <c r="HZ119" s="334"/>
      <c r="IA119" s="334"/>
      <c r="IB119" s="334"/>
      <c r="IC119" s="334"/>
      <c r="ID119" s="334"/>
      <c r="IE119" s="334"/>
      <c r="IF119" s="334"/>
      <c r="IG119" s="334"/>
      <c r="IH119" s="334"/>
      <c r="II119" s="334"/>
      <c r="IJ119" s="334"/>
      <c r="IK119" s="334"/>
      <c r="IL119" s="334"/>
      <c r="IM119" s="334"/>
      <c r="IN119" s="334"/>
      <c r="IO119" s="334"/>
      <c r="IP119" s="334"/>
      <c r="IQ119" s="334"/>
      <c r="IR119" s="334"/>
    </row>
    <row r="120" spans="1:252" s="368" customFormat="1" x14ac:dyDescent="0.25">
      <c r="A120" s="366">
        <v>43765</v>
      </c>
      <c r="B120" s="345">
        <v>84</v>
      </c>
      <c r="C120" s="345">
        <v>27.74</v>
      </c>
      <c r="D120" s="345">
        <v>141.86000000000001</v>
      </c>
      <c r="E120" s="345">
        <v>79.58</v>
      </c>
      <c r="F120" s="345">
        <v>195.64</v>
      </c>
      <c r="G120" s="345">
        <v>16.89</v>
      </c>
      <c r="H120" s="345">
        <v>26.73</v>
      </c>
      <c r="I120" s="345">
        <v>84.97</v>
      </c>
      <c r="J120" s="345">
        <v>94.13</v>
      </c>
      <c r="K120" s="345">
        <v>277.04000000000002</v>
      </c>
      <c r="L120" s="345">
        <v>153.44999999999999</v>
      </c>
      <c r="M120" s="345">
        <v>82.92</v>
      </c>
      <c r="N120" s="345">
        <v>33.56</v>
      </c>
      <c r="O120" s="345">
        <v>12.64</v>
      </c>
      <c r="P120" s="345">
        <v>25.66</v>
      </c>
      <c r="Q120" s="345">
        <v>35.700000000000003</v>
      </c>
      <c r="R120" s="345">
        <v>33.119999999999997</v>
      </c>
      <c r="S120" s="345">
        <v>28.54</v>
      </c>
      <c r="T120" s="345">
        <v>25.98</v>
      </c>
      <c r="U120" s="345">
        <v>75.5501</v>
      </c>
      <c r="V120" s="334"/>
      <c r="W120" s="334"/>
      <c r="X120" s="334"/>
      <c r="Y120" s="334"/>
      <c r="Z120" s="334"/>
      <c r="AA120" s="334"/>
      <c r="AB120" s="334"/>
      <c r="AC120" s="334"/>
      <c r="AD120" s="334"/>
      <c r="AE120" s="334"/>
      <c r="AF120" s="334"/>
      <c r="AG120" s="334"/>
      <c r="AH120" s="334"/>
      <c r="AI120" s="334"/>
      <c r="AJ120" s="334"/>
      <c r="AK120" s="334"/>
      <c r="AL120" s="334"/>
      <c r="AM120" s="334"/>
      <c r="AN120" s="334"/>
      <c r="AO120" s="334"/>
      <c r="AP120" s="334"/>
      <c r="AQ120" s="334"/>
      <c r="AR120" s="334"/>
      <c r="AS120" s="334"/>
      <c r="AT120" s="334"/>
      <c r="AU120" s="334"/>
      <c r="AV120" s="334"/>
      <c r="AW120" s="334"/>
      <c r="AX120" s="334"/>
      <c r="AY120" s="334"/>
      <c r="AZ120" s="334"/>
      <c r="BA120" s="334"/>
      <c r="BB120" s="334"/>
      <c r="BC120" s="334"/>
      <c r="BD120" s="334"/>
      <c r="BE120" s="334"/>
      <c r="BF120" s="334"/>
      <c r="BG120" s="334"/>
      <c r="BH120" s="334"/>
      <c r="BI120" s="334"/>
      <c r="BJ120" s="334"/>
      <c r="BK120" s="334"/>
      <c r="BL120" s="334"/>
      <c r="BM120" s="334"/>
      <c r="BN120" s="334"/>
      <c r="BO120" s="334"/>
      <c r="BP120" s="334"/>
      <c r="BQ120" s="334"/>
      <c r="BR120" s="334"/>
      <c r="BS120" s="334"/>
      <c r="BT120" s="334"/>
      <c r="BU120" s="334"/>
      <c r="BV120" s="334"/>
      <c r="BW120" s="334"/>
      <c r="BX120" s="334"/>
      <c r="BY120" s="334"/>
      <c r="BZ120" s="334"/>
      <c r="CA120" s="334"/>
      <c r="CB120" s="334"/>
      <c r="CC120" s="334"/>
      <c r="CD120" s="334"/>
      <c r="CE120" s="334"/>
      <c r="CF120" s="334"/>
      <c r="CG120" s="334"/>
      <c r="CH120" s="334"/>
      <c r="CI120" s="334"/>
      <c r="CJ120" s="334"/>
      <c r="CK120" s="334"/>
      <c r="CL120" s="334"/>
      <c r="CM120" s="334"/>
      <c r="CN120" s="334"/>
      <c r="CO120" s="334"/>
      <c r="CP120" s="334"/>
      <c r="CQ120" s="334"/>
      <c r="CR120" s="334"/>
      <c r="CS120" s="334"/>
      <c r="CT120" s="334"/>
      <c r="CU120" s="334"/>
      <c r="CV120" s="334"/>
      <c r="CW120" s="334"/>
      <c r="CX120" s="334"/>
      <c r="CY120" s="334"/>
      <c r="CZ120" s="334"/>
      <c r="DA120" s="334"/>
      <c r="DB120" s="334"/>
      <c r="DC120" s="334"/>
      <c r="DD120" s="334"/>
      <c r="DE120" s="334"/>
      <c r="DF120" s="334"/>
      <c r="DG120" s="334"/>
      <c r="DH120" s="334"/>
      <c r="DI120" s="334"/>
      <c r="DJ120" s="334"/>
      <c r="DK120" s="334"/>
      <c r="DL120" s="334"/>
      <c r="DM120" s="334"/>
      <c r="DN120" s="334"/>
      <c r="DO120" s="334"/>
      <c r="DP120" s="334"/>
      <c r="DQ120" s="334"/>
      <c r="DR120" s="334"/>
      <c r="DS120" s="334"/>
      <c r="DT120" s="334"/>
      <c r="DU120" s="334"/>
      <c r="DV120" s="334"/>
      <c r="DW120" s="334"/>
      <c r="DX120" s="334"/>
      <c r="DY120" s="334"/>
      <c r="DZ120" s="334"/>
      <c r="EA120" s="334"/>
      <c r="EB120" s="334"/>
      <c r="EC120" s="334"/>
      <c r="ED120" s="334"/>
      <c r="EE120" s="334"/>
      <c r="EF120" s="334"/>
      <c r="EG120" s="334"/>
      <c r="EH120" s="334"/>
      <c r="EI120" s="334"/>
      <c r="EJ120" s="334"/>
      <c r="EK120" s="334"/>
      <c r="EL120" s="334"/>
      <c r="EM120" s="334"/>
      <c r="EN120" s="334"/>
      <c r="EO120" s="334"/>
      <c r="EP120" s="334"/>
      <c r="EQ120" s="334"/>
      <c r="ER120" s="334"/>
      <c r="ES120" s="334"/>
      <c r="ET120" s="334"/>
      <c r="EU120" s="334"/>
      <c r="EV120" s="334"/>
      <c r="EW120" s="334"/>
      <c r="EX120" s="334"/>
      <c r="EY120" s="334"/>
      <c r="EZ120" s="334"/>
      <c r="FA120" s="334"/>
      <c r="FB120" s="334"/>
      <c r="FC120" s="334"/>
      <c r="FD120" s="334"/>
      <c r="FE120" s="334"/>
      <c r="FF120" s="334"/>
      <c r="FG120" s="334"/>
      <c r="FH120" s="334"/>
      <c r="FI120" s="334"/>
      <c r="FJ120" s="334"/>
      <c r="FK120" s="334"/>
      <c r="FL120" s="334"/>
      <c r="FM120" s="334"/>
      <c r="FN120" s="334"/>
      <c r="FO120" s="334"/>
      <c r="FP120" s="334"/>
      <c r="FQ120" s="334"/>
      <c r="FR120" s="334"/>
      <c r="FS120" s="334"/>
      <c r="FT120" s="334"/>
      <c r="FU120" s="334"/>
      <c r="FV120" s="334"/>
      <c r="FW120" s="334"/>
      <c r="FX120" s="334"/>
      <c r="FY120" s="334"/>
      <c r="FZ120" s="334"/>
      <c r="GA120" s="334"/>
      <c r="GB120" s="334"/>
      <c r="GC120" s="334"/>
      <c r="GD120" s="334"/>
      <c r="GE120" s="334"/>
      <c r="GF120" s="334"/>
      <c r="GG120" s="334"/>
      <c r="GH120" s="334"/>
      <c r="GI120" s="334"/>
      <c r="GJ120" s="334"/>
      <c r="GK120" s="334"/>
      <c r="GL120" s="334"/>
      <c r="GM120" s="334"/>
      <c r="GN120" s="334"/>
      <c r="GO120" s="334"/>
      <c r="GP120" s="334"/>
      <c r="GQ120" s="334"/>
      <c r="GR120" s="334"/>
      <c r="GS120" s="334"/>
      <c r="GT120" s="334"/>
      <c r="GU120" s="334"/>
      <c r="GV120" s="334"/>
      <c r="GW120" s="334"/>
      <c r="GX120" s="334"/>
      <c r="GY120" s="334"/>
      <c r="GZ120" s="334"/>
      <c r="HA120" s="334"/>
      <c r="HB120" s="334"/>
      <c r="HC120" s="334"/>
      <c r="HD120" s="334"/>
      <c r="HE120" s="334"/>
      <c r="HF120" s="334"/>
      <c r="HG120" s="334"/>
      <c r="HH120" s="334"/>
      <c r="HI120" s="334"/>
      <c r="HJ120" s="334"/>
      <c r="HK120" s="334"/>
      <c r="HL120" s="334"/>
      <c r="HM120" s="334"/>
      <c r="HN120" s="334"/>
      <c r="HO120" s="334"/>
      <c r="HP120" s="334"/>
      <c r="HQ120" s="334"/>
      <c r="HR120" s="334"/>
      <c r="HS120" s="334"/>
      <c r="HT120" s="334"/>
      <c r="HU120" s="334"/>
      <c r="HV120" s="334"/>
      <c r="HW120" s="334"/>
      <c r="HX120" s="334"/>
      <c r="HY120" s="334"/>
      <c r="HZ120" s="334"/>
      <c r="IA120" s="334"/>
      <c r="IB120" s="334"/>
      <c r="IC120" s="334"/>
      <c r="ID120" s="334"/>
      <c r="IE120" s="334"/>
      <c r="IF120" s="334"/>
      <c r="IG120" s="334"/>
      <c r="IH120" s="334"/>
      <c r="II120" s="334"/>
      <c r="IJ120" s="334"/>
      <c r="IK120" s="334"/>
      <c r="IL120" s="334"/>
      <c r="IM120" s="334"/>
      <c r="IN120" s="334"/>
      <c r="IO120" s="334"/>
      <c r="IP120" s="334"/>
      <c r="IQ120" s="334"/>
      <c r="IR120" s="334"/>
    </row>
    <row r="121" spans="1:252" x14ac:dyDescent="0.25">
      <c r="A121" s="366">
        <v>43766</v>
      </c>
      <c r="B121" s="345">
        <v>83.82</v>
      </c>
      <c r="C121" s="345">
        <v>27.06</v>
      </c>
      <c r="D121" s="345">
        <v>140.63999999999999</v>
      </c>
      <c r="E121" s="345">
        <v>80.319999999999993</v>
      </c>
      <c r="F121" s="345">
        <v>197.57</v>
      </c>
      <c r="G121" s="345">
        <v>16.68</v>
      </c>
      <c r="H121" s="345">
        <v>26.71</v>
      </c>
      <c r="I121" s="345">
        <v>84.25</v>
      </c>
      <c r="J121" s="345">
        <v>93.56</v>
      </c>
      <c r="K121" s="345">
        <v>278.64999999999998</v>
      </c>
      <c r="L121" s="345">
        <v>154.38</v>
      </c>
      <c r="M121" s="345">
        <v>83.97</v>
      </c>
      <c r="N121" s="345">
        <v>33.74</v>
      </c>
      <c r="O121" s="345">
        <v>12.55</v>
      </c>
      <c r="P121" s="345">
        <v>25.7</v>
      </c>
      <c r="Q121" s="345">
        <v>35.590000000000003</v>
      </c>
      <c r="R121" s="345">
        <v>33.090000000000003</v>
      </c>
      <c r="S121" s="345">
        <v>27.98</v>
      </c>
      <c r="T121" s="345">
        <v>25.78</v>
      </c>
      <c r="U121" s="345">
        <v>75.61</v>
      </c>
    </row>
    <row r="122" spans="1:252" x14ac:dyDescent="0.25">
      <c r="A122" s="366">
        <v>43767</v>
      </c>
      <c r="B122" s="345">
        <v>83.84</v>
      </c>
      <c r="C122" s="345">
        <v>27.21</v>
      </c>
      <c r="D122" s="345">
        <v>140.25</v>
      </c>
      <c r="E122" s="345">
        <v>80.64</v>
      </c>
      <c r="F122" s="345">
        <v>196.04</v>
      </c>
      <c r="G122" s="345">
        <v>16.649999999999999</v>
      </c>
      <c r="H122" s="345">
        <v>26.7</v>
      </c>
      <c r="I122" s="345">
        <v>84.33</v>
      </c>
      <c r="J122" s="345">
        <v>94.13</v>
      </c>
      <c r="K122" s="345">
        <v>278.47000000000003</v>
      </c>
      <c r="L122" s="345">
        <v>154.35</v>
      </c>
      <c r="M122" s="345">
        <v>83.21</v>
      </c>
      <c r="N122" s="345">
        <v>33.704999999999998</v>
      </c>
      <c r="O122" s="345">
        <v>12.49</v>
      </c>
      <c r="P122" s="345">
        <v>25.75</v>
      </c>
      <c r="Q122" s="345">
        <v>35.32</v>
      </c>
      <c r="R122" s="345">
        <v>33.14</v>
      </c>
      <c r="S122" s="345">
        <v>28.15</v>
      </c>
      <c r="T122" s="345">
        <v>25.84</v>
      </c>
      <c r="U122" s="345">
        <v>75.34</v>
      </c>
    </row>
    <row r="123" spans="1:252" x14ac:dyDescent="0.25">
      <c r="A123" s="366">
        <v>43768</v>
      </c>
      <c r="B123" s="345">
        <v>84.11</v>
      </c>
      <c r="C123" s="345">
        <v>27.45</v>
      </c>
      <c r="D123" s="345">
        <v>141.02000000000001</v>
      </c>
      <c r="E123" s="345">
        <v>80.209999999999994</v>
      </c>
      <c r="F123" s="345">
        <v>196.99</v>
      </c>
      <c r="G123" s="345">
        <v>16.73</v>
      </c>
      <c r="H123" s="345">
        <v>26.64</v>
      </c>
      <c r="I123" s="345">
        <v>85.47</v>
      </c>
      <c r="J123" s="345">
        <v>94.47</v>
      </c>
      <c r="K123" s="345">
        <v>279.45</v>
      </c>
      <c r="L123" s="345">
        <v>154.72</v>
      </c>
      <c r="M123" s="345">
        <v>83.72</v>
      </c>
      <c r="N123" s="345">
        <v>33.81</v>
      </c>
      <c r="O123" s="345">
        <v>12.56</v>
      </c>
      <c r="P123" s="345">
        <v>25.92</v>
      </c>
      <c r="Q123" s="345">
        <v>35.450000000000003</v>
      </c>
      <c r="R123" s="345">
        <v>33.299999999999997</v>
      </c>
      <c r="S123" s="345">
        <v>28.25</v>
      </c>
      <c r="T123" s="345">
        <v>26.08</v>
      </c>
      <c r="U123" s="345">
        <v>75.000100000000003</v>
      </c>
    </row>
    <row r="124" spans="1:252" x14ac:dyDescent="0.25">
      <c r="A124" s="366">
        <v>43769</v>
      </c>
      <c r="B124" s="345">
        <v>84.51</v>
      </c>
      <c r="C124" s="345">
        <v>28.15</v>
      </c>
      <c r="D124" s="345">
        <v>142.43</v>
      </c>
      <c r="E124" s="345">
        <v>79.42</v>
      </c>
      <c r="F124" s="345">
        <v>197.08</v>
      </c>
      <c r="G124" s="345">
        <v>16.920000000000002</v>
      </c>
      <c r="H124" s="345">
        <v>26.59</v>
      </c>
      <c r="I124" s="345">
        <v>86.61</v>
      </c>
      <c r="J124" s="345">
        <v>94.3</v>
      </c>
      <c r="K124" s="345">
        <v>278.55</v>
      </c>
      <c r="L124" s="345">
        <v>154.18</v>
      </c>
      <c r="M124" s="345">
        <v>83.67</v>
      </c>
      <c r="N124" s="345">
        <v>33.75</v>
      </c>
      <c r="O124" s="345">
        <v>12.7</v>
      </c>
      <c r="P124" s="345">
        <v>25.86</v>
      </c>
      <c r="Q124" s="345">
        <v>35.56</v>
      </c>
      <c r="R124" s="345">
        <v>33.25</v>
      </c>
      <c r="S124" s="345">
        <v>29.12</v>
      </c>
      <c r="T124" s="345">
        <v>26.12</v>
      </c>
      <c r="U124" s="345">
        <v>74.977199999999996</v>
      </c>
    </row>
    <row r="125" spans="1:252" x14ac:dyDescent="0.25">
      <c r="A125" s="366">
        <v>43770</v>
      </c>
      <c r="B125" s="345">
        <v>84.25</v>
      </c>
      <c r="C125" s="345">
        <v>28.01</v>
      </c>
      <c r="D125" s="345">
        <v>142.56</v>
      </c>
      <c r="E125" s="345">
        <v>80.650000000000006</v>
      </c>
      <c r="F125" s="345">
        <v>198.87</v>
      </c>
      <c r="G125" s="345">
        <v>16.920000000000002</v>
      </c>
      <c r="H125" s="345">
        <v>26.58</v>
      </c>
      <c r="I125" s="345">
        <v>86.16</v>
      </c>
      <c r="J125" s="345">
        <v>94.28</v>
      </c>
      <c r="K125" s="345">
        <v>281.2</v>
      </c>
      <c r="L125" s="345">
        <v>155.83000000000001</v>
      </c>
      <c r="M125" s="345">
        <v>84.67</v>
      </c>
      <c r="N125" s="345">
        <v>34.04</v>
      </c>
      <c r="O125" s="345">
        <v>12.71</v>
      </c>
      <c r="P125" s="345">
        <v>26.03</v>
      </c>
      <c r="Q125" s="345">
        <v>35.75</v>
      </c>
      <c r="R125" s="345">
        <v>33.5</v>
      </c>
      <c r="S125" s="345">
        <v>28.72</v>
      </c>
      <c r="T125" s="345">
        <v>26.07</v>
      </c>
      <c r="U125" s="345">
        <v>75.060299999999998</v>
      </c>
    </row>
    <row r="126" spans="1:252" s="368" customFormat="1" x14ac:dyDescent="0.25">
      <c r="A126" s="366">
        <v>43771</v>
      </c>
      <c r="B126" s="345">
        <v>84.25</v>
      </c>
      <c r="C126" s="345">
        <v>28.01</v>
      </c>
      <c r="D126" s="345">
        <v>142.56</v>
      </c>
      <c r="E126" s="345">
        <v>80.650000000000006</v>
      </c>
      <c r="F126" s="345">
        <v>198.87</v>
      </c>
      <c r="G126" s="345">
        <v>16.920000000000002</v>
      </c>
      <c r="H126" s="345">
        <v>26.58</v>
      </c>
      <c r="I126" s="345">
        <v>86.16</v>
      </c>
      <c r="J126" s="345">
        <v>94.28</v>
      </c>
      <c r="K126" s="345">
        <v>281.2</v>
      </c>
      <c r="L126" s="345">
        <v>155.83000000000001</v>
      </c>
      <c r="M126" s="345">
        <v>84.67</v>
      </c>
      <c r="N126" s="345">
        <v>34.04</v>
      </c>
      <c r="O126" s="345">
        <v>12.71</v>
      </c>
      <c r="P126" s="345">
        <v>26.03</v>
      </c>
      <c r="Q126" s="345">
        <v>35.75</v>
      </c>
      <c r="R126" s="345">
        <v>33.5</v>
      </c>
      <c r="S126" s="345">
        <v>28.72</v>
      </c>
      <c r="T126" s="345">
        <v>26.07</v>
      </c>
      <c r="U126" s="345">
        <v>75.060299999999998</v>
      </c>
      <c r="V126" s="334"/>
      <c r="W126" s="334"/>
      <c r="X126" s="334"/>
      <c r="Y126" s="334"/>
      <c r="Z126" s="334"/>
      <c r="AA126" s="334"/>
      <c r="AB126" s="334"/>
      <c r="AC126" s="334"/>
      <c r="AD126" s="334"/>
      <c r="AE126" s="334"/>
      <c r="AF126" s="334"/>
      <c r="AG126" s="334"/>
      <c r="AH126" s="334"/>
      <c r="AI126" s="334"/>
      <c r="AJ126" s="334"/>
      <c r="AK126" s="334"/>
      <c r="AL126" s="334"/>
      <c r="AM126" s="334"/>
      <c r="AN126" s="334"/>
      <c r="AO126" s="334"/>
      <c r="AP126" s="334"/>
      <c r="AQ126" s="334"/>
      <c r="AR126" s="334"/>
      <c r="AS126" s="334"/>
      <c r="AT126" s="334"/>
      <c r="AU126" s="334"/>
      <c r="AV126" s="334"/>
      <c r="AW126" s="334"/>
      <c r="AX126" s="334"/>
      <c r="AY126" s="334"/>
      <c r="AZ126" s="334"/>
      <c r="BA126" s="334"/>
      <c r="BB126" s="334"/>
      <c r="BC126" s="334"/>
      <c r="BD126" s="334"/>
      <c r="BE126" s="334"/>
      <c r="BF126" s="334"/>
      <c r="BG126" s="334"/>
      <c r="BH126" s="334"/>
      <c r="BI126" s="334"/>
      <c r="BJ126" s="334"/>
      <c r="BK126" s="334"/>
      <c r="BL126" s="334"/>
      <c r="BM126" s="334"/>
      <c r="BN126" s="334"/>
      <c r="BO126" s="334"/>
      <c r="BP126" s="334"/>
      <c r="BQ126" s="334"/>
      <c r="BR126" s="334"/>
      <c r="BS126" s="334"/>
      <c r="BT126" s="334"/>
      <c r="BU126" s="334"/>
      <c r="BV126" s="334"/>
      <c r="BW126" s="334"/>
      <c r="BX126" s="334"/>
      <c r="BY126" s="334"/>
      <c r="BZ126" s="334"/>
      <c r="CA126" s="334"/>
      <c r="CB126" s="334"/>
      <c r="CC126" s="334"/>
      <c r="CD126" s="334"/>
      <c r="CE126" s="334"/>
      <c r="CF126" s="334"/>
      <c r="CG126" s="334"/>
      <c r="CH126" s="334"/>
      <c r="CI126" s="334"/>
      <c r="CJ126" s="334"/>
      <c r="CK126" s="334"/>
      <c r="CL126" s="334"/>
      <c r="CM126" s="334"/>
      <c r="CN126" s="334"/>
      <c r="CO126" s="334"/>
      <c r="CP126" s="334"/>
      <c r="CQ126" s="334"/>
      <c r="CR126" s="334"/>
      <c r="CS126" s="334"/>
      <c r="CT126" s="334"/>
      <c r="CU126" s="334"/>
      <c r="CV126" s="334"/>
      <c r="CW126" s="334"/>
      <c r="CX126" s="334"/>
      <c r="CY126" s="334"/>
      <c r="CZ126" s="334"/>
      <c r="DA126" s="334"/>
      <c r="DB126" s="334"/>
      <c r="DC126" s="334"/>
      <c r="DD126" s="334"/>
      <c r="DE126" s="334"/>
      <c r="DF126" s="334"/>
      <c r="DG126" s="334"/>
      <c r="DH126" s="334"/>
      <c r="DI126" s="334"/>
      <c r="DJ126" s="334"/>
      <c r="DK126" s="334"/>
      <c r="DL126" s="334"/>
      <c r="DM126" s="334"/>
      <c r="DN126" s="334"/>
      <c r="DO126" s="334"/>
      <c r="DP126" s="334"/>
      <c r="DQ126" s="334"/>
      <c r="DR126" s="334"/>
      <c r="DS126" s="334"/>
      <c r="DT126" s="334"/>
      <c r="DU126" s="334"/>
      <c r="DV126" s="334"/>
      <c r="DW126" s="334"/>
      <c r="DX126" s="334"/>
      <c r="DY126" s="334"/>
      <c r="DZ126" s="334"/>
      <c r="EA126" s="334"/>
      <c r="EB126" s="334"/>
      <c r="EC126" s="334"/>
      <c r="ED126" s="334"/>
      <c r="EE126" s="334"/>
      <c r="EF126" s="334"/>
      <c r="EG126" s="334"/>
      <c r="EH126" s="334"/>
      <c r="EI126" s="334"/>
      <c r="EJ126" s="334"/>
      <c r="EK126" s="334"/>
      <c r="EL126" s="334"/>
      <c r="EM126" s="334"/>
      <c r="EN126" s="334"/>
      <c r="EO126" s="334"/>
      <c r="EP126" s="334"/>
      <c r="EQ126" s="334"/>
      <c r="ER126" s="334"/>
      <c r="ES126" s="334"/>
      <c r="ET126" s="334"/>
      <c r="EU126" s="334"/>
      <c r="EV126" s="334"/>
      <c r="EW126" s="334"/>
      <c r="EX126" s="334"/>
      <c r="EY126" s="334"/>
      <c r="EZ126" s="334"/>
      <c r="FA126" s="334"/>
      <c r="FB126" s="334"/>
      <c r="FC126" s="334"/>
      <c r="FD126" s="334"/>
      <c r="FE126" s="334"/>
      <c r="FF126" s="334"/>
      <c r="FG126" s="334"/>
      <c r="FH126" s="334"/>
      <c r="FI126" s="334"/>
      <c r="FJ126" s="334"/>
      <c r="FK126" s="334"/>
      <c r="FL126" s="334"/>
      <c r="FM126" s="334"/>
      <c r="FN126" s="334"/>
      <c r="FO126" s="334"/>
      <c r="FP126" s="334"/>
      <c r="FQ126" s="334"/>
      <c r="FR126" s="334"/>
      <c r="FS126" s="334"/>
      <c r="FT126" s="334"/>
      <c r="FU126" s="334"/>
      <c r="FV126" s="334"/>
      <c r="FW126" s="334"/>
      <c r="FX126" s="334"/>
      <c r="FY126" s="334"/>
      <c r="FZ126" s="334"/>
      <c r="GA126" s="334"/>
      <c r="GB126" s="334"/>
      <c r="GC126" s="334"/>
      <c r="GD126" s="334"/>
      <c r="GE126" s="334"/>
      <c r="GF126" s="334"/>
      <c r="GG126" s="334"/>
      <c r="GH126" s="334"/>
      <c r="GI126" s="334"/>
      <c r="GJ126" s="334"/>
      <c r="GK126" s="334"/>
      <c r="GL126" s="334"/>
      <c r="GM126" s="334"/>
      <c r="GN126" s="334"/>
      <c r="GO126" s="334"/>
      <c r="GP126" s="334"/>
      <c r="GQ126" s="334"/>
      <c r="GR126" s="334"/>
      <c r="GS126" s="334"/>
      <c r="GT126" s="334"/>
      <c r="GU126" s="334"/>
      <c r="GV126" s="334"/>
      <c r="GW126" s="334"/>
      <c r="GX126" s="334"/>
      <c r="GY126" s="334"/>
      <c r="GZ126" s="334"/>
      <c r="HA126" s="334"/>
      <c r="HB126" s="334"/>
      <c r="HC126" s="334"/>
      <c r="HD126" s="334"/>
      <c r="HE126" s="334"/>
      <c r="HF126" s="334"/>
      <c r="HG126" s="334"/>
      <c r="HH126" s="334"/>
      <c r="HI126" s="334"/>
      <c r="HJ126" s="334"/>
      <c r="HK126" s="334"/>
      <c r="HL126" s="334"/>
      <c r="HM126" s="334"/>
      <c r="HN126" s="334"/>
      <c r="HO126" s="334"/>
      <c r="HP126" s="334"/>
      <c r="HQ126" s="334"/>
      <c r="HR126" s="334"/>
      <c r="HS126" s="334"/>
      <c r="HT126" s="334"/>
      <c r="HU126" s="334"/>
      <c r="HV126" s="334"/>
      <c r="HW126" s="334"/>
      <c r="HX126" s="334"/>
      <c r="HY126" s="334"/>
      <c r="HZ126" s="334"/>
      <c r="IA126" s="334"/>
      <c r="IB126" s="334"/>
      <c r="IC126" s="334"/>
      <c r="ID126" s="334"/>
      <c r="IE126" s="334"/>
      <c r="IF126" s="334"/>
      <c r="IG126" s="334"/>
      <c r="IH126" s="334"/>
      <c r="II126" s="334"/>
      <c r="IJ126" s="334"/>
      <c r="IK126" s="334"/>
      <c r="IL126" s="334"/>
      <c r="IM126" s="334"/>
      <c r="IN126" s="334"/>
      <c r="IO126" s="334"/>
      <c r="IP126" s="334"/>
      <c r="IQ126" s="334"/>
      <c r="IR126" s="334"/>
    </row>
    <row r="127" spans="1:252" s="368" customFormat="1" x14ac:dyDescent="0.25">
      <c r="A127" s="366">
        <v>43772</v>
      </c>
      <c r="B127" s="345">
        <v>84.25</v>
      </c>
      <c r="C127" s="345">
        <v>28.01</v>
      </c>
      <c r="D127" s="345">
        <v>142.56</v>
      </c>
      <c r="E127" s="345">
        <v>80.650000000000006</v>
      </c>
      <c r="F127" s="345">
        <v>198.87</v>
      </c>
      <c r="G127" s="345">
        <v>16.920000000000002</v>
      </c>
      <c r="H127" s="345">
        <v>26.58</v>
      </c>
      <c r="I127" s="345">
        <v>86.16</v>
      </c>
      <c r="J127" s="345">
        <v>94.28</v>
      </c>
      <c r="K127" s="345">
        <v>281.2</v>
      </c>
      <c r="L127" s="345">
        <v>155.83000000000001</v>
      </c>
      <c r="M127" s="345">
        <v>84.67</v>
      </c>
      <c r="N127" s="345">
        <v>34.04</v>
      </c>
      <c r="O127" s="345">
        <v>12.71</v>
      </c>
      <c r="P127" s="345">
        <v>26.03</v>
      </c>
      <c r="Q127" s="345">
        <v>35.75</v>
      </c>
      <c r="R127" s="345">
        <v>33.5</v>
      </c>
      <c r="S127" s="345">
        <v>28.72</v>
      </c>
      <c r="T127" s="345">
        <v>26.07</v>
      </c>
      <c r="U127" s="345">
        <v>75.060299999999998</v>
      </c>
      <c r="V127" s="334"/>
      <c r="W127" s="334"/>
      <c r="X127" s="334"/>
      <c r="Y127" s="334"/>
      <c r="Z127" s="334"/>
      <c r="AA127" s="334"/>
      <c r="AB127" s="334"/>
      <c r="AC127" s="334"/>
      <c r="AD127" s="334"/>
      <c r="AE127" s="334"/>
      <c r="AF127" s="334"/>
      <c r="AG127" s="334"/>
      <c r="AH127" s="334"/>
      <c r="AI127" s="334"/>
      <c r="AJ127" s="334"/>
      <c r="AK127" s="334"/>
      <c r="AL127" s="334"/>
      <c r="AM127" s="334"/>
      <c r="AN127" s="334"/>
      <c r="AO127" s="334"/>
      <c r="AP127" s="334"/>
      <c r="AQ127" s="334"/>
      <c r="AR127" s="334"/>
      <c r="AS127" s="334"/>
      <c r="AT127" s="334"/>
      <c r="AU127" s="334"/>
      <c r="AV127" s="334"/>
      <c r="AW127" s="334"/>
      <c r="AX127" s="334"/>
      <c r="AY127" s="334"/>
      <c r="AZ127" s="334"/>
      <c r="BA127" s="334"/>
      <c r="BB127" s="334"/>
      <c r="BC127" s="334"/>
      <c r="BD127" s="334"/>
      <c r="BE127" s="334"/>
      <c r="BF127" s="334"/>
      <c r="BG127" s="334"/>
      <c r="BH127" s="334"/>
      <c r="BI127" s="334"/>
      <c r="BJ127" s="334"/>
      <c r="BK127" s="334"/>
      <c r="BL127" s="334"/>
      <c r="BM127" s="334"/>
      <c r="BN127" s="334"/>
      <c r="BO127" s="334"/>
      <c r="BP127" s="334"/>
      <c r="BQ127" s="334"/>
      <c r="BR127" s="334"/>
      <c r="BS127" s="334"/>
      <c r="BT127" s="334"/>
      <c r="BU127" s="334"/>
      <c r="BV127" s="334"/>
      <c r="BW127" s="334"/>
      <c r="BX127" s="334"/>
      <c r="BY127" s="334"/>
      <c r="BZ127" s="334"/>
      <c r="CA127" s="334"/>
      <c r="CB127" s="334"/>
      <c r="CC127" s="334"/>
      <c r="CD127" s="334"/>
      <c r="CE127" s="334"/>
      <c r="CF127" s="334"/>
      <c r="CG127" s="334"/>
      <c r="CH127" s="334"/>
      <c r="CI127" s="334"/>
      <c r="CJ127" s="334"/>
      <c r="CK127" s="334"/>
      <c r="CL127" s="334"/>
      <c r="CM127" s="334"/>
      <c r="CN127" s="334"/>
      <c r="CO127" s="334"/>
      <c r="CP127" s="334"/>
      <c r="CQ127" s="334"/>
      <c r="CR127" s="334"/>
      <c r="CS127" s="334"/>
      <c r="CT127" s="334"/>
      <c r="CU127" s="334"/>
      <c r="CV127" s="334"/>
      <c r="CW127" s="334"/>
      <c r="CX127" s="334"/>
      <c r="CY127" s="334"/>
      <c r="CZ127" s="334"/>
      <c r="DA127" s="334"/>
      <c r="DB127" s="334"/>
      <c r="DC127" s="334"/>
      <c r="DD127" s="334"/>
      <c r="DE127" s="334"/>
      <c r="DF127" s="334"/>
      <c r="DG127" s="334"/>
      <c r="DH127" s="334"/>
      <c r="DI127" s="334"/>
      <c r="DJ127" s="334"/>
      <c r="DK127" s="334"/>
      <c r="DL127" s="334"/>
      <c r="DM127" s="334"/>
      <c r="DN127" s="334"/>
      <c r="DO127" s="334"/>
      <c r="DP127" s="334"/>
      <c r="DQ127" s="334"/>
      <c r="DR127" s="334"/>
      <c r="DS127" s="334"/>
      <c r="DT127" s="334"/>
      <c r="DU127" s="334"/>
      <c r="DV127" s="334"/>
      <c r="DW127" s="334"/>
      <c r="DX127" s="334"/>
      <c r="DY127" s="334"/>
      <c r="DZ127" s="334"/>
      <c r="EA127" s="334"/>
      <c r="EB127" s="334"/>
      <c r="EC127" s="334"/>
      <c r="ED127" s="334"/>
      <c r="EE127" s="334"/>
      <c r="EF127" s="334"/>
      <c r="EG127" s="334"/>
      <c r="EH127" s="334"/>
      <c r="EI127" s="334"/>
      <c r="EJ127" s="334"/>
      <c r="EK127" s="334"/>
      <c r="EL127" s="334"/>
      <c r="EM127" s="334"/>
      <c r="EN127" s="334"/>
      <c r="EO127" s="334"/>
      <c r="EP127" s="334"/>
      <c r="EQ127" s="334"/>
      <c r="ER127" s="334"/>
      <c r="ES127" s="334"/>
      <c r="ET127" s="334"/>
      <c r="EU127" s="334"/>
      <c r="EV127" s="334"/>
      <c r="EW127" s="334"/>
      <c r="EX127" s="334"/>
      <c r="EY127" s="334"/>
      <c r="EZ127" s="334"/>
      <c r="FA127" s="334"/>
      <c r="FB127" s="334"/>
      <c r="FC127" s="334"/>
      <c r="FD127" s="334"/>
      <c r="FE127" s="334"/>
      <c r="FF127" s="334"/>
      <c r="FG127" s="334"/>
      <c r="FH127" s="334"/>
      <c r="FI127" s="334"/>
      <c r="FJ127" s="334"/>
      <c r="FK127" s="334"/>
      <c r="FL127" s="334"/>
      <c r="FM127" s="334"/>
      <c r="FN127" s="334"/>
      <c r="FO127" s="334"/>
      <c r="FP127" s="334"/>
      <c r="FQ127" s="334"/>
      <c r="FR127" s="334"/>
      <c r="FS127" s="334"/>
      <c r="FT127" s="334"/>
      <c r="FU127" s="334"/>
      <c r="FV127" s="334"/>
      <c r="FW127" s="334"/>
      <c r="FX127" s="334"/>
      <c r="FY127" s="334"/>
      <c r="FZ127" s="334"/>
      <c r="GA127" s="334"/>
      <c r="GB127" s="334"/>
      <c r="GC127" s="334"/>
      <c r="GD127" s="334"/>
      <c r="GE127" s="334"/>
      <c r="GF127" s="334"/>
      <c r="GG127" s="334"/>
      <c r="GH127" s="334"/>
      <c r="GI127" s="334"/>
      <c r="GJ127" s="334"/>
      <c r="GK127" s="334"/>
      <c r="GL127" s="334"/>
      <c r="GM127" s="334"/>
      <c r="GN127" s="334"/>
      <c r="GO127" s="334"/>
      <c r="GP127" s="334"/>
      <c r="GQ127" s="334"/>
      <c r="GR127" s="334"/>
      <c r="GS127" s="334"/>
      <c r="GT127" s="334"/>
      <c r="GU127" s="334"/>
      <c r="GV127" s="334"/>
      <c r="GW127" s="334"/>
      <c r="GX127" s="334"/>
      <c r="GY127" s="334"/>
      <c r="GZ127" s="334"/>
      <c r="HA127" s="334"/>
      <c r="HB127" s="334"/>
      <c r="HC127" s="334"/>
      <c r="HD127" s="334"/>
      <c r="HE127" s="334"/>
      <c r="HF127" s="334"/>
      <c r="HG127" s="334"/>
      <c r="HH127" s="334"/>
      <c r="HI127" s="334"/>
      <c r="HJ127" s="334"/>
      <c r="HK127" s="334"/>
      <c r="HL127" s="334"/>
      <c r="HM127" s="334"/>
      <c r="HN127" s="334"/>
      <c r="HO127" s="334"/>
      <c r="HP127" s="334"/>
      <c r="HQ127" s="334"/>
      <c r="HR127" s="334"/>
      <c r="HS127" s="334"/>
      <c r="HT127" s="334"/>
      <c r="HU127" s="334"/>
      <c r="HV127" s="334"/>
      <c r="HW127" s="334"/>
      <c r="HX127" s="334"/>
      <c r="HY127" s="334"/>
      <c r="HZ127" s="334"/>
      <c r="IA127" s="334"/>
      <c r="IB127" s="334"/>
      <c r="IC127" s="334"/>
      <c r="ID127" s="334"/>
      <c r="IE127" s="334"/>
      <c r="IF127" s="334"/>
      <c r="IG127" s="334"/>
      <c r="IH127" s="334"/>
      <c r="II127" s="334"/>
      <c r="IJ127" s="334"/>
      <c r="IK127" s="334"/>
      <c r="IL127" s="334"/>
      <c r="IM127" s="334"/>
      <c r="IN127" s="334"/>
      <c r="IO127" s="334"/>
      <c r="IP127" s="334"/>
      <c r="IQ127" s="334"/>
      <c r="IR127" s="334"/>
    </row>
    <row r="128" spans="1:252" x14ac:dyDescent="0.25">
      <c r="A128" s="366">
        <v>43773</v>
      </c>
      <c r="B128" s="345">
        <v>84.01</v>
      </c>
      <c r="C128" s="345">
        <v>27.52</v>
      </c>
      <c r="D128" s="345">
        <v>142.15</v>
      </c>
      <c r="E128" s="345">
        <v>81.31</v>
      </c>
      <c r="F128" s="345">
        <v>200.1</v>
      </c>
      <c r="G128" s="345">
        <v>16.850000000000001</v>
      </c>
      <c r="H128" s="345">
        <v>26.68</v>
      </c>
      <c r="I128" s="345">
        <v>85.08</v>
      </c>
      <c r="J128" s="345">
        <v>93.62</v>
      </c>
      <c r="K128" s="345">
        <v>282.32</v>
      </c>
      <c r="L128" s="345">
        <v>156.4</v>
      </c>
      <c r="M128" s="345">
        <v>85.11</v>
      </c>
      <c r="N128" s="345">
        <v>34.17</v>
      </c>
      <c r="O128" s="345">
        <v>12.67</v>
      </c>
      <c r="P128" s="345">
        <v>26.14</v>
      </c>
      <c r="Q128" s="345">
        <v>35.49</v>
      </c>
      <c r="R128" s="345">
        <v>33.659999999999997</v>
      </c>
      <c r="S128" s="345">
        <v>28.38</v>
      </c>
      <c r="T128" s="345">
        <v>25.93</v>
      </c>
      <c r="U128" s="345">
        <v>75.008499999999998</v>
      </c>
    </row>
    <row r="129" spans="1:252" x14ac:dyDescent="0.25">
      <c r="A129" s="366">
        <v>43774</v>
      </c>
      <c r="B129" s="345">
        <v>83.72</v>
      </c>
      <c r="C129" s="345">
        <v>26.97</v>
      </c>
      <c r="D129" s="345">
        <v>139.85</v>
      </c>
      <c r="E129" s="345">
        <v>81.44</v>
      </c>
      <c r="F129" s="345">
        <v>200.21</v>
      </c>
      <c r="G129" s="345">
        <v>16.440000000000001</v>
      </c>
      <c r="H129" s="345">
        <v>26.78</v>
      </c>
      <c r="I129" s="345">
        <v>84.18</v>
      </c>
      <c r="J129" s="345">
        <v>92.03</v>
      </c>
      <c r="K129" s="345">
        <v>281.95999999999998</v>
      </c>
      <c r="L129" s="345">
        <v>156.26</v>
      </c>
      <c r="M129" s="345">
        <v>85.01</v>
      </c>
      <c r="N129" s="345">
        <v>34.145000000000003</v>
      </c>
      <c r="O129" s="345">
        <v>12.48</v>
      </c>
      <c r="P129" s="345">
        <v>26.14</v>
      </c>
      <c r="Q129" s="345">
        <v>35.28</v>
      </c>
      <c r="R129" s="345">
        <v>33.700000000000003</v>
      </c>
      <c r="S129" s="345">
        <v>27.96</v>
      </c>
      <c r="T129" s="345">
        <v>25.82</v>
      </c>
      <c r="U129" s="345">
        <v>74.930000000000007</v>
      </c>
    </row>
    <row r="130" spans="1:252" x14ac:dyDescent="0.25">
      <c r="A130" s="366">
        <v>43775</v>
      </c>
      <c r="B130" s="345">
        <v>83.9</v>
      </c>
      <c r="C130" s="345">
        <v>27.3</v>
      </c>
      <c r="D130" s="345">
        <v>140.44999999999999</v>
      </c>
      <c r="E130" s="345">
        <v>81.069999999999993</v>
      </c>
      <c r="F130" s="345">
        <v>199.76</v>
      </c>
      <c r="G130" s="345">
        <v>16.47</v>
      </c>
      <c r="H130" s="345">
        <v>26.78</v>
      </c>
      <c r="I130" s="345">
        <v>84.64</v>
      </c>
      <c r="J130" s="345">
        <v>92.23</v>
      </c>
      <c r="K130" s="345">
        <v>282.11</v>
      </c>
      <c r="L130" s="345">
        <v>156.19</v>
      </c>
      <c r="M130" s="345">
        <v>84.97</v>
      </c>
      <c r="N130" s="345">
        <v>34.15</v>
      </c>
      <c r="O130" s="345">
        <v>12.52</v>
      </c>
      <c r="P130" s="345">
        <v>26.19</v>
      </c>
      <c r="Q130" s="345">
        <v>35.58</v>
      </c>
      <c r="R130" s="345">
        <v>33.82</v>
      </c>
      <c r="S130" s="345">
        <v>28.27</v>
      </c>
      <c r="T130" s="345">
        <v>25.9</v>
      </c>
      <c r="U130" s="345">
        <v>74.838300000000004</v>
      </c>
    </row>
    <row r="131" spans="1:252" x14ac:dyDescent="0.25">
      <c r="A131" s="366">
        <v>43776</v>
      </c>
      <c r="B131" s="345">
        <v>83.47</v>
      </c>
      <c r="C131" s="345">
        <v>26.49</v>
      </c>
      <c r="D131" s="345">
        <v>138.27000000000001</v>
      </c>
      <c r="E131" s="345">
        <v>81.260000000000005</v>
      </c>
      <c r="F131" s="345">
        <v>200.43</v>
      </c>
      <c r="G131" s="345">
        <v>16</v>
      </c>
      <c r="H131" s="345">
        <v>26.84</v>
      </c>
      <c r="I131" s="345">
        <v>83.19</v>
      </c>
      <c r="J131" s="345">
        <v>91.31</v>
      </c>
      <c r="K131" s="345">
        <v>283.11</v>
      </c>
      <c r="L131" s="345">
        <v>156.72</v>
      </c>
      <c r="M131" s="345">
        <v>85.64</v>
      </c>
      <c r="N131" s="345">
        <v>34.265000000000001</v>
      </c>
      <c r="O131" s="345">
        <v>12.34</v>
      </c>
      <c r="P131" s="345">
        <v>26.22</v>
      </c>
      <c r="Q131" s="345">
        <v>35.5</v>
      </c>
      <c r="R131" s="345">
        <v>33.94</v>
      </c>
      <c r="S131" s="345">
        <v>27.49</v>
      </c>
      <c r="T131" s="345">
        <v>25.84</v>
      </c>
      <c r="U131" s="345">
        <v>74.87</v>
      </c>
    </row>
    <row r="132" spans="1:252" x14ac:dyDescent="0.25">
      <c r="A132" s="366">
        <v>43777</v>
      </c>
      <c r="B132" s="345">
        <v>83.39</v>
      </c>
      <c r="C132" s="345">
        <v>26.23</v>
      </c>
      <c r="D132" s="345">
        <v>137.38999999999999</v>
      </c>
      <c r="E132" s="345">
        <v>81.38</v>
      </c>
      <c r="F132" s="345">
        <v>201.23</v>
      </c>
      <c r="G132" s="345">
        <v>15.7</v>
      </c>
      <c r="H132" s="345">
        <v>26.9</v>
      </c>
      <c r="I132" s="345">
        <v>82.85</v>
      </c>
      <c r="J132" s="345">
        <v>91.09</v>
      </c>
      <c r="K132" s="345">
        <v>283.8</v>
      </c>
      <c r="L132" s="345">
        <v>157.16</v>
      </c>
      <c r="M132" s="345">
        <v>86.12</v>
      </c>
      <c r="N132" s="345">
        <v>34.344999999999999</v>
      </c>
      <c r="O132" s="345">
        <v>12.25</v>
      </c>
      <c r="P132" s="345">
        <v>26.32</v>
      </c>
      <c r="Q132" s="345">
        <v>35.36</v>
      </c>
      <c r="R132" s="345">
        <v>34.08</v>
      </c>
      <c r="S132" s="345">
        <v>27.4</v>
      </c>
      <c r="T132" s="345">
        <v>25.87</v>
      </c>
      <c r="U132" s="345">
        <v>74.62</v>
      </c>
    </row>
    <row r="133" spans="1:252" s="368" customFormat="1" x14ac:dyDescent="0.25">
      <c r="A133" s="366">
        <v>43778</v>
      </c>
      <c r="B133" s="345">
        <v>83.39</v>
      </c>
      <c r="C133" s="345">
        <v>26.23</v>
      </c>
      <c r="D133" s="345">
        <v>137.38999999999999</v>
      </c>
      <c r="E133" s="345">
        <v>81.38</v>
      </c>
      <c r="F133" s="345">
        <v>201.23</v>
      </c>
      <c r="G133" s="345">
        <v>15.7</v>
      </c>
      <c r="H133" s="345">
        <v>26.9</v>
      </c>
      <c r="I133" s="345">
        <v>82.85</v>
      </c>
      <c r="J133" s="345">
        <v>91.09</v>
      </c>
      <c r="K133" s="345">
        <v>283.8</v>
      </c>
      <c r="L133" s="345">
        <v>157.16</v>
      </c>
      <c r="M133" s="345">
        <v>86.12</v>
      </c>
      <c r="N133" s="345">
        <v>34.344999999999999</v>
      </c>
      <c r="O133" s="345">
        <v>12.25</v>
      </c>
      <c r="P133" s="345">
        <v>26.32</v>
      </c>
      <c r="Q133" s="345">
        <v>35.36</v>
      </c>
      <c r="R133" s="345">
        <v>34.08</v>
      </c>
      <c r="S133" s="345">
        <v>27.4</v>
      </c>
      <c r="T133" s="345">
        <v>25.87</v>
      </c>
      <c r="U133" s="345">
        <v>74.62</v>
      </c>
      <c r="V133" s="334"/>
      <c r="W133" s="334"/>
      <c r="X133" s="334"/>
      <c r="Y133" s="334"/>
      <c r="Z133" s="334"/>
      <c r="AA133" s="334"/>
      <c r="AB133" s="334"/>
      <c r="AC133" s="334"/>
      <c r="AD133" s="334"/>
      <c r="AE133" s="334"/>
      <c r="AF133" s="334"/>
      <c r="AG133" s="334"/>
      <c r="AH133" s="334"/>
      <c r="AI133" s="334"/>
      <c r="AJ133" s="334"/>
      <c r="AK133" s="334"/>
      <c r="AL133" s="334"/>
      <c r="AM133" s="334"/>
      <c r="AN133" s="334"/>
      <c r="AO133" s="334"/>
      <c r="AP133" s="334"/>
      <c r="AQ133" s="334"/>
      <c r="AR133" s="334"/>
      <c r="AS133" s="334"/>
      <c r="AT133" s="334"/>
      <c r="AU133" s="334"/>
      <c r="AV133" s="334"/>
      <c r="AW133" s="334"/>
      <c r="AX133" s="334"/>
      <c r="AY133" s="334"/>
      <c r="AZ133" s="334"/>
      <c r="BA133" s="334"/>
      <c r="BB133" s="334"/>
      <c r="BC133" s="334"/>
      <c r="BD133" s="334"/>
      <c r="BE133" s="334"/>
      <c r="BF133" s="334"/>
      <c r="BG133" s="334"/>
      <c r="BH133" s="334"/>
      <c r="BI133" s="334"/>
      <c r="BJ133" s="334"/>
      <c r="BK133" s="334"/>
      <c r="BL133" s="334"/>
      <c r="BM133" s="334"/>
      <c r="BN133" s="334"/>
      <c r="BO133" s="334"/>
      <c r="BP133" s="334"/>
      <c r="BQ133" s="334"/>
      <c r="BR133" s="334"/>
      <c r="BS133" s="334"/>
      <c r="BT133" s="334"/>
      <c r="BU133" s="334"/>
      <c r="BV133" s="334"/>
      <c r="BW133" s="334"/>
      <c r="BX133" s="334"/>
      <c r="BY133" s="334"/>
      <c r="BZ133" s="334"/>
      <c r="CA133" s="334"/>
      <c r="CB133" s="334"/>
      <c r="CC133" s="334"/>
      <c r="CD133" s="334"/>
      <c r="CE133" s="334"/>
      <c r="CF133" s="334"/>
      <c r="CG133" s="334"/>
      <c r="CH133" s="334"/>
      <c r="CI133" s="334"/>
      <c r="CJ133" s="334"/>
      <c r="CK133" s="334"/>
      <c r="CL133" s="334"/>
      <c r="CM133" s="334"/>
      <c r="CN133" s="334"/>
      <c r="CO133" s="334"/>
      <c r="CP133" s="334"/>
      <c r="CQ133" s="334"/>
      <c r="CR133" s="334"/>
      <c r="CS133" s="334"/>
      <c r="CT133" s="334"/>
      <c r="CU133" s="334"/>
      <c r="CV133" s="334"/>
      <c r="CW133" s="334"/>
      <c r="CX133" s="334"/>
      <c r="CY133" s="334"/>
      <c r="CZ133" s="334"/>
      <c r="DA133" s="334"/>
      <c r="DB133" s="334"/>
      <c r="DC133" s="334"/>
      <c r="DD133" s="334"/>
      <c r="DE133" s="334"/>
      <c r="DF133" s="334"/>
      <c r="DG133" s="334"/>
      <c r="DH133" s="334"/>
      <c r="DI133" s="334"/>
      <c r="DJ133" s="334"/>
      <c r="DK133" s="334"/>
      <c r="DL133" s="334"/>
      <c r="DM133" s="334"/>
      <c r="DN133" s="334"/>
      <c r="DO133" s="334"/>
      <c r="DP133" s="334"/>
      <c r="DQ133" s="334"/>
      <c r="DR133" s="334"/>
      <c r="DS133" s="334"/>
      <c r="DT133" s="334"/>
      <c r="DU133" s="334"/>
      <c r="DV133" s="334"/>
      <c r="DW133" s="334"/>
      <c r="DX133" s="334"/>
      <c r="DY133" s="334"/>
      <c r="DZ133" s="334"/>
      <c r="EA133" s="334"/>
      <c r="EB133" s="334"/>
      <c r="EC133" s="334"/>
      <c r="ED133" s="334"/>
      <c r="EE133" s="334"/>
      <c r="EF133" s="334"/>
      <c r="EG133" s="334"/>
      <c r="EH133" s="334"/>
      <c r="EI133" s="334"/>
      <c r="EJ133" s="334"/>
      <c r="EK133" s="334"/>
      <c r="EL133" s="334"/>
      <c r="EM133" s="334"/>
      <c r="EN133" s="334"/>
      <c r="EO133" s="334"/>
      <c r="EP133" s="334"/>
      <c r="EQ133" s="334"/>
      <c r="ER133" s="334"/>
      <c r="ES133" s="334"/>
      <c r="ET133" s="334"/>
      <c r="EU133" s="334"/>
      <c r="EV133" s="334"/>
      <c r="EW133" s="334"/>
      <c r="EX133" s="334"/>
      <c r="EY133" s="334"/>
      <c r="EZ133" s="334"/>
      <c r="FA133" s="334"/>
      <c r="FB133" s="334"/>
      <c r="FC133" s="334"/>
      <c r="FD133" s="334"/>
      <c r="FE133" s="334"/>
      <c r="FF133" s="334"/>
      <c r="FG133" s="334"/>
      <c r="FH133" s="334"/>
      <c r="FI133" s="334"/>
      <c r="FJ133" s="334"/>
      <c r="FK133" s="334"/>
      <c r="FL133" s="334"/>
      <c r="FM133" s="334"/>
      <c r="FN133" s="334"/>
      <c r="FO133" s="334"/>
      <c r="FP133" s="334"/>
      <c r="FQ133" s="334"/>
      <c r="FR133" s="334"/>
      <c r="FS133" s="334"/>
      <c r="FT133" s="334"/>
      <c r="FU133" s="334"/>
      <c r="FV133" s="334"/>
      <c r="FW133" s="334"/>
      <c r="FX133" s="334"/>
      <c r="FY133" s="334"/>
      <c r="FZ133" s="334"/>
      <c r="GA133" s="334"/>
      <c r="GB133" s="334"/>
      <c r="GC133" s="334"/>
      <c r="GD133" s="334"/>
      <c r="GE133" s="334"/>
      <c r="GF133" s="334"/>
      <c r="GG133" s="334"/>
      <c r="GH133" s="334"/>
      <c r="GI133" s="334"/>
      <c r="GJ133" s="334"/>
      <c r="GK133" s="334"/>
      <c r="GL133" s="334"/>
      <c r="GM133" s="334"/>
      <c r="GN133" s="334"/>
      <c r="GO133" s="334"/>
      <c r="GP133" s="334"/>
      <c r="GQ133" s="334"/>
      <c r="GR133" s="334"/>
      <c r="GS133" s="334"/>
      <c r="GT133" s="334"/>
      <c r="GU133" s="334"/>
      <c r="GV133" s="334"/>
      <c r="GW133" s="334"/>
      <c r="GX133" s="334"/>
      <c r="GY133" s="334"/>
      <c r="GZ133" s="334"/>
      <c r="HA133" s="334"/>
      <c r="HB133" s="334"/>
      <c r="HC133" s="334"/>
      <c r="HD133" s="334"/>
      <c r="HE133" s="334"/>
      <c r="HF133" s="334"/>
      <c r="HG133" s="334"/>
      <c r="HH133" s="334"/>
      <c r="HI133" s="334"/>
      <c r="HJ133" s="334"/>
      <c r="HK133" s="334"/>
      <c r="HL133" s="334"/>
      <c r="HM133" s="334"/>
      <c r="HN133" s="334"/>
      <c r="HO133" s="334"/>
      <c r="HP133" s="334"/>
      <c r="HQ133" s="334"/>
      <c r="HR133" s="334"/>
      <c r="HS133" s="334"/>
      <c r="HT133" s="334"/>
      <c r="HU133" s="334"/>
      <c r="HV133" s="334"/>
      <c r="HW133" s="334"/>
      <c r="HX133" s="334"/>
      <c r="HY133" s="334"/>
      <c r="HZ133" s="334"/>
      <c r="IA133" s="334"/>
      <c r="IB133" s="334"/>
      <c r="IC133" s="334"/>
      <c r="ID133" s="334"/>
      <c r="IE133" s="334"/>
      <c r="IF133" s="334"/>
      <c r="IG133" s="334"/>
      <c r="IH133" s="334"/>
      <c r="II133" s="334"/>
      <c r="IJ133" s="334"/>
      <c r="IK133" s="334"/>
      <c r="IL133" s="334"/>
      <c r="IM133" s="334"/>
      <c r="IN133" s="334"/>
      <c r="IO133" s="334"/>
      <c r="IP133" s="334"/>
      <c r="IQ133" s="334"/>
      <c r="IR133" s="334"/>
    </row>
    <row r="134" spans="1:252" s="368" customFormat="1" x14ac:dyDescent="0.25">
      <c r="A134" s="366">
        <v>43779</v>
      </c>
      <c r="B134" s="345">
        <v>83.39</v>
      </c>
      <c r="C134" s="345">
        <v>26.23</v>
      </c>
      <c r="D134" s="345">
        <v>137.38999999999999</v>
      </c>
      <c r="E134" s="345">
        <v>81.38</v>
      </c>
      <c r="F134" s="345">
        <v>201.23</v>
      </c>
      <c r="G134" s="345">
        <v>15.7</v>
      </c>
      <c r="H134" s="345">
        <v>26.9</v>
      </c>
      <c r="I134" s="345">
        <v>82.85</v>
      </c>
      <c r="J134" s="345">
        <v>91.09</v>
      </c>
      <c r="K134" s="345">
        <v>283.8</v>
      </c>
      <c r="L134" s="345">
        <v>157.16</v>
      </c>
      <c r="M134" s="345">
        <v>86.12</v>
      </c>
      <c r="N134" s="345">
        <v>34.344999999999999</v>
      </c>
      <c r="O134" s="345">
        <v>12.25</v>
      </c>
      <c r="P134" s="345">
        <v>26.32</v>
      </c>
      <c r="Q134" s="345">
        <v>35.36</v>
      </c>
      <c r="R134" s="345">
        <v>34.08</v>
      </c>
      <c r="S134" s="345">
        <v>27.4</v>
      </c>
      <c r="T134" s="345">
        <v>25.87</v>
      </c>
      <c r="U134" s="345">
        <v>74.62</v>
      </c>
      <c r="V134" s="334"/>
      <c r="W134" s="334"/>
      <c r="X134" s="334"/>
      <c r="Y134" s="334"/>
      <c r="Z134" s="334"/>
      <c r="AA134" s="334"/>
      <c r="AB134" s="334"/>
      <c r="AC134" s="334"/>
      <c r="AD134" s="334"/>
      <c r="AE134" s="334"/>
      <c r="AF134" s="334"/>
      <c r="AG134" s="334"/>
      <c r="AH134" s="334"/>
      <c r="AI134" s="334"/>
      <c r="AJ134" s="334"/>
      <c r="AK134" s="334"/>
      <c r="AL134" s="334"/>
      <c r="AM134" s="334"/>
      <c r="AN134" s="334"/>
      <c r="AO134" s="334"/>
      <c r="AP134" s="334"/>
      <c r="AQ134" s="334"/>
      <c r="AR134" s="334"/>
      <c r="AS134" s="334"/>
      <c r="AT134" s="334"/>
      <c r="AU134" s="334"/>
      <c r="AV134" s="334"/>
      <c r="AW134" s="334"/>
      <c r="AX134" s="334"/>
      <c r="AY134" s="334"/>
      <c r="AZ134" s="334"/>
      <c r="BA134" s="334"/>
      <c r="BB134" s="334"/>
      <c r="BC134" s="334"/>
      <c r="BD134" s="334"/>
      <c r="BE134" s="334"/>
      <c r="BF134" s="334"/>
      <c r="BG134" s="334"/>
      <c r="BH134" s="334"/>
      <c r="BI134" s="334"/>
      <c r="BJ134" s="334"/>
      <c r="BK134" s="334"/>
      <c r="BL134" s="334"/>
      <c r="BM134" s="334"/>
      <c r="BN134" s="334"/>
      <c r="BO134" s="334"/>
      <c r="BP134" s="334"/>
      <c r="BQ134" s="334"/>
      <c r="BR134" s="334"/>
      <c r="BS134" s="334"/>
      <c r="BT134" s="334"/>
      <c r="BU134" s="334"/>
      <c r="BV134" s="334"/>
      <c r="BW134" s="334"/>
      <c r="BX134" s="334"/>
      <c r="BY134" s="334"/>
      <c r="BZ134" s="334"/>
      <c r="CA134" s="334"/>
      <c r="CB134" s="334"/>
      <c r="CC134" s="334"/>
      <c r="CD134" s="334"/>
      <c r="CE134" s="334"/>
      <c r="CF134" s="334"/>
      <c r="CG134" s="334"/>
      <c r="CH134" s="334"/>
      <c r="CI134" s="334"/>
      <c r="CJ134" s="334"/>
      <c r="CK134" s="334"/>
      <c r="CL134" s="334"/>
      <c r="CM134" s="334"/>
      <c r="CN134" s="334"/>
      <c r="CO134" s="334"/>
      <c r="CP134" s="334"/>
      <c r="CQ134" s="334"/>
      <c r="CR134" s="334"/>
      <c r="CS134" s="334"/>
      <c r="CT134" s="334"/>
      <c r="CU134" s="334"/>
      <c r="CV134" s="334"/>
      <c r="CW134" s="334"/>
      <c r="CX134" s="334"/>
      <c r="CY134" s="334"/>
      <c r="CZ134" s="334"/>
      <c r="DA134" s="334"/>
      <c r="DB134" s="334"/>
      <c r="DC134" s="334"/>
      <c r="DD134" s="334"/>
      <c r="DE134" s="334"/>
      <c r="DF134" s="334"/>
      <c r="DG134" s="334"/>
      <c r="DH134" s="334"/>
      <c r="DI134" s="334"/>
      <c r="DJ134" s="334"/>
      <c r="DK134" s="334"/>
      <c r="DL134" s="334"/>
      <c r="DM134" s="334"/>
      <c r="DN134" s="334"/>
      <c r="DO134" s="334"/>
      <c r="DP134" s="334"/>
      <c r="DQ134" s="334"/>
      <c r="DR134" s="334"/>
      <c r="DS134" s="334"/>
      <c r="DT134" s="334"/>
      <c r="DU134" s="334"/>
      <c r="DV134" s="334"/>
      <c r="DW134" s="334"/>
      <c r="DX134" s="334"/>
      <c r="DY134" s="334"/>
      <c r="DZ134" s="334"/>
      <c r="EA134" s="334"/>
      <c r="EB134" s="334"/>
      <c r="EC134" s="334"/>
      <c r="ED134" s="334"/>
      <c r="EE134" s="334"/>
      <c r="EF134" s="334"/>
      <c r="EG134" s="334"/>
      <c r="EH134" s="334"/>
      <c r="EI134" s="334"/>
      <c r="EJ134" s="334"/>
      <c r="EK134" s="334"/>
      <c r="EL134" s="334"/>
      <c r="EM134" s="334"/>
      <c r="EN134" s="334"/>
      <c r="EO134" s="334"/>
      <c r="EP134" s="334"/>
      <c r="EQ134" s="334"/>
      <c r="ER134" s="334"/>
      <c r="ES134" s="334"/>
      <c r="ET134" s="334"/>
      <c r="EU134" s="334"/>
      <c r="EV134" s="334"/>
      <c r="EW134" s="334"/>
      <c r="EX134" s="334"/>
      <c r="EY134" s="334"/>
      <c r="EZ134" s="334"/>
      <c r="FA134" s="334"/>
      <c r="FB134" s="334"/>
      <c r="FC134" s="334"/>
      <c r="FD134" s="334"/>
      <c r="FE134" s="334"/>
      <c r="FF134" s="334"/>
      <c r="FG134" s="334"/>
      <c r="FH134" s="334"/>
      <c r="FI134" s="334"/>
      <c r="FJ134" s="334"/>
      <c r="FK134" s="334"/>
      <c r="FL134" s="334"/>
      <c r="FM134" s="334"/>
      <c r="FN134" s="334"/>
      <c r="FO134" s="334"/>
      <c r="FP134" s="334"/>
      <c r="FQ134" s="334"/>
      <c r="FR134" s="334"/>
      <c r="FS134" s="334"/>
      <c r="FT134" s="334"/>
      <c r="FU134" s="334"/>
      <c r="FV134" s="334"/>
      <c r="FW134" s="334"/>
      <c r="FX134" s="334"/>
      <c r="FY134" s="334"/>
      <c r="FZ134" s="334"/>
      <c r="GA134" s="334"/>
      <c r="GB134" s="334"/>
      <c r="GC134" s="334"/>
      <c r="GD134" s="334"/>
      <c r="GE134" s="334"/>
      <c r="GF134" s="334"/>
      <c r="GG134" s="334"/>
      <c r="GH134" s="334"/>
      <c r="GI134" s="334"/>
      <c r="GJ134" s="334"/>
      <c r="GK134" s="334"/>
      <c r="GL134" s="334"/>
      <c r="GM134" s="334"/>
      <c r="GN134" s="334"/>
      <c r="GO134" s="334"/>
      <c r="GP134" s="334"/>
      <c r="GQ134" s="334"/>
      <c r="GR134" s="334"/>
      <c r="GS134" s="334"/>
      <c r="GT134" s="334"/>
      <c r="GU134" s="334"/>
      <c r="GV134" s="334"/>
      <c r="GW134" s="334"/>
      <c r="GX134" s="334"/>
      <c r="GY134" s="334"/>
      <c r="GZ134" s="334"/>
      <c r="HA134" s="334"/>
      <c r="HB134" s="334"/>
      <c r="HC134" s="334"/>
      <c r="HD134" s="334"/>
      <c r="HE134" s="334"/>
      <c r="HF134" s="334"/>
      <c r="HG134" s="334"/>
      <c r="HH134" s="334"/>
      <c r="HI134" s="334"/>
      <c r="HJ134" s="334"/>
      <c r="HK134" s="334"/>
      <c r="HL134" s="334"/>
      <c r="HM134" s="334"/>
      <c r="HN134" s="334"/>
      <c r="HO134" s="334"/>
      <c r="HP134" s="334"/>
      <c r="HQ134" s="334"/>
      <c r="HR134" s="334"/>
      <c r="HS134" s="334"/>
      <c r="HT134" s="334"/>
      <c r="HU134" s="334"/>
      <c r="HV134" s="334"/>
      <c r="HW134" s="334"/>
      <c r="HX134" s="334"/>
      <c r="HY134" s="334"/>
      <c r="HZ134" s="334"/>
      <c r="IA134" s="334"/>
      <c r="IB134" s="334"/>
      <c r="IC134" s="334"/>
      <c r="ID134" s="334"/>
      <c r="IE134" s="334"/>
      <c r="IF134" s="334"/>
      <c r="IG134" s="334"/>
      <c r="IH134" s="334"/>
      <c r="II134" s="334"/>
      <c r="IJ134" s="334"/>
      <c r="IK134" s="334"/>
      <c r="IL134" s="334"/>
      <c r="IM134" s="334"/>
      <c r="IN134" s="334"/>
      <c r="IO134" s="334"/>
      <c r="IP134" s="334"/>
      <c r="IQ134" s="334"/>
      <c r="IR134" s="334"/>
    </row>
    <row r="135" spans="1:252" x14ac:dyDescent="0.25">
      <c r="A135" s="366">
        <v>43780</v>
      </c>
      <c r="B135" s="345">
        <v>83.44</v>
      </c>
      <c r="C135" s="345">
        <v>26.24</v>
      </c>
      <c r="D135" s="345">
        <v>137.06</v>
      </c>
      <c r="E135" s="345">
        <v>81.14</v>
      </c>
      <c r="F135" s="345">
        <v>200.96</v>
      </c>
      <c r="G135" s="345">
        <v>15.75</v>
      </c>
      <c r="H135" s="345">
        <v>26.86</v>
      </c>
      <c r="I135" s="345">
        <v>82.95</v>
      </c>
      <c r="J135" s="345">
        <v>91.29</v>
      </c>
      <c r="K135" s="345">
        <v>283.25</v>
      </c>
      <c r="L135" s="345">
        <v>156.85</v>
      </c>
      <c r="M135" s="345">
        <v>86.16</v>
      </c>
      <c r="N135" s="345">
        <v>34.31</v>
      </c>
      <c r="O135" s="345">
        <v>12.225</v>
      </c>
      <c r="P135" s="345">
        <v>26.29</v>
      </c>
      <c r="Q135" s="345">
        <v>35.36</v>
      </c>
      <c r="R135" s="345">
        <v>34.07</v>
      </c>
      <c r="S135" s="345">
        <v>27.5</v>
      </c>
      <c r="T135" s="345">
        <v>25.86</v>
      </c>
      <c r="U135" s="345">
        <v>74.63</v>
      </c>
    </row>
    <row r="136" spans="1:252" x14ac:dyDescent="0.25">
      <c r="A136" s="366">
        <v>43781</v>
      </c>
      <c r="B136" s="345">
        <v>83.49</v>
      </c>
      <c r="C136" s="345">
        <v>26.59</v>
      </c>
      <c r="D136" s="345">
        <v>137.43</v>
      </c>
      <c r="E136" s="345">
        <v>81.11</v>
      </c>
      <c r="F136" s="345">
        <v>201.54</v>
      </c>
      <c r="G136" s="345">
        <v>15.72</v>
      </c>
      <c r="H136" s="345">
        <v>26.9</v>
      </c>
      <c r="I136" s="345">
        <v>83.21</v>
      </c>
      <c r="J136" s="345">
        <v>90.6</v>
      </c>
      <c r="K136" s="345">
        <v>283.81</v>
      </c>
      <c r="L136" s="345">
        <v>157.12</v>
      </c>
      <c r="M136" s="345">
        <v>86.45</v>
      </c>
      <c r="N136" s="345">
        <v>34.365000000000002</v>
      </c>
      <c r="O136" s="345">
        <v>12.255000000000001</v>
      </c>
      <c r="P136" s="345">
        <v>26.32</v>
      </c>
      <c r="Q136" s="345">
        <v>35.35</v>
      </c>
      <c r="R136" s="345">
        <v>34.130000000000003</v>
      </c>
      <c r="S136" s="345">
        <v>27.64</v>
      </c>
      <c r="T136" s="345">
        <v>25.85</v>
      </c>
      <c r="U136" s="345">
        <v>74.546000000000006</v>
      </c>
    </row>
    <row r="137" spans="1:252" x14ac:dyDescent="0.25">
      <c r="A137" s="366">
        <v>43782</v>
      </c>
      <c r="B137" s="345">
        <v>83.64</v>
      </c>
      <c r="C137" s="345">
        <v>26.75</v>
      </c>
      <c r="D137" s="345">
        <v>137.97999999999999</v>
      </c>
      <c r="E137" s="345">
        <v>80.650000000000006</v>
      </c>
      <c r="F137" s="345">
        <v>201.59</v>
      </c>
      <c r="G137" s="345">
        <v>15.83</v>
      </c>
      <c r="H137" s="345">
        <v>26.89</v>
      </c>
      <c r="I137" s="345">
        <v>83.72</v>
      </c>
      <c r="J137" s="345">
        <v>91.43</v>
      </c>
      <c r="K137" s="345">
        <v>283.93</v>
      </c>
      <c r="L137" s="345">
        <v>157.19</v>
      </c>
      <c r="M137" s="345">
        <v>86.64</v>
      </c>
      <c r="N137" s="345">
        <v>34.39</v>
      </c>
      <c r="O137" s="345">
        <v>12.3</v>
      </c>
      <c r="P137" s="345">
        <v>26.33</v>
      </c>
      <c r="Q137" s="345">
        <v>35.42</v>
      </c>
      <c r="R137" s="345">
        <v>34.24</v>
      </c>
      <c r="S137" s="345">
        <v>28.13</v>
      </c>
      <c r="T137" s="345">
        <v>25.96</v>
      </c>
      <c r="U137" s="345">
        <v>74.489999999999995</v>
      </c>
    </row>
    <row r="138" spans="1:252" x14ac:dyDescent="0.25">
      <c r="A138" s="366">
        <v>43783</v>
      </c>
      <c r="B138" s="345">
        <v>83.88</v>
      </c>
      <c r="C138" s="345">
        <v>27</v>
      </c>
      <c r="D138" s="345">
        <v>138.56</v>
      </c>
      <c r="E138" s="345">
        <v>80.489999999999995</v>
      </c>
      <c r="F138" s="345">
        <v>201.43</v>
      </c>
      <c r="G138" s="345">
        <v>15.9</v>
      </c>
      <c r="H138" s="345">
        <v>26.87</v>
      </c>
      <c r="I138" s="345">
        <v>84.56</v>
      </c>
      <c r="J138" s="345">
        <v>92.14</v>
      </c>
      <c r="K138" s="345">
        <v>284.31</v>
      </c>
      <c r="L138" s="345">
        <v>157.35</v>
      </c>
      <c r="M138" s="345">
        <v>86.54</v>
      </c>
      <c r="N138" s="345">
        <v>34.424999999999997</v>
      </c>
      <c r="O138" s="345">
        <v>12.36</v>
      </c>
      <c r="P138" s="345">
        <v>26.37</v>
      </c>
      <c r="Q138" s="345">
        <v>35.72</v>
      </c>
      <c r="R138" s="345">
        <v>34.26</v>
      </c>
      <c r="S138" s="345">
        <v>28.22</v>
      </c>
      <c r="T138" s="345">
        <v>26.09</v>
      </c>
      <c r="U138" s="345">
        <v>74.5</v>
      </c>
    </row>
    <row r="139" spans="1:252" x14ac:dyDescent="0.25">
      <c r="A139" s="366">
        <v>43784</v>
      </c>
      <c r="B139" s="345">
        <v>83.85</v>
      </c>
      <c r="C139" s="345">
        <v>26.74</v>
      </c>
      <c r="D139" s="345">
        <v>138.21</v>
      </c>
      <c r="E139" s="345">
        <v>80.92</v>
      </c>
      <c r="F139" s="345">
        <v>202.91</v>
      </c>
      <c r="G139" s="345">
        <v>15.85</v>
      </c>
      <c r="H139" s="345">
        <v>26.81</v>
      </c>
      <c r="I139" s="345">
        <v>84.46</v>
      </c>
      <c r="J139" s="345">
        <v>92.64</v>
      </c>
      <c r="K139" s="345">
        <v>286.43</v>
      </c>
      <c r="L139" s="345">
        <v>158.55000000000001</v>
      </c>
      <c r="M139" s="345">
        <v>87.24</v>
      </c>
      <c r="N139" s="345">
        <v>34.67</v>
      </c>
      <c r="O139" s="345">
        <v>12.31</v>
      </c>
      <c r="P139" s="345">
        <v>26.47</v>
      </c>
      <c r="Q139" s="345">
        <v>35.94</v>
      </c>
      <c r="R139" s="345">
        <v>34.380000000000003</v>
      </c>
      <c r="S139" s="345">
        <v>28.29</v>
      </c>
      <c r="T139" s="345">
        <v>26.07</v>
      </c>
      <c r="U139" s="345">
        <v>74.599999999999994</v>
      </c>
    </row>
    <row r="140" spans="1:252" s="368" customFormat="1" x14ac:dyDescent="0.25">
      <c r="A140" s="366">
        <v>43785</v>
      </c>
      <c r="B140" s="345">
        <v>83.85</v>
      </c>
      <c r="C140" s="345">
        <v>26.74</v>
      </c>
      <c r="D140" s="345">
        <v>138.21</v>
      </c>
      <c r="E140" s="345">
        <v>80.92</v>
      </c>
      <c r="F140" s="345">
        <v>202.91</v>
      </c>
      <c r="G140" s="345">
        <v>15.85</v>
      </c>
      <c r="H140" s="345">
        <v>26.81</v>
      </c>
      <c r="I140" s="345">
        <v>84.46</v>
      </c>
      <c r="J140" s="345">
        <v>92.64</v>
      </c>
      <c r="K140" s="345">
        <v>286.43</v>
      </c>
      <c r="L140" s="345">
        <v>158.55000000000001</v>
      </c>
      <c r="M140" s="345">
        <v>87.24</v>
      </c>
      <c r="N140" s="345">
        <v>34.67</v>
      </c>
      <c r="O140" s="345">
        <v>12.31</v>
      </c>
      <c r="P140" s="345">
        <v>26.47</v>
      </c>
      <c r="Q140" s="345">
        <v>35.94</v>
      </c>
      <c r="R140" s="345">
        <v>34.380000000000003</v>
      </c>
      <c r="S140" s="345">
        <v>28.29</v>
      </c>
      <c r="T140" s="345">
        <v>26.07</v>
      </c>
      <c r="U140" s="345">
        <v>74.599999999999994</v>
      </c>
      <c r="V140" s="334"/>
      <c r="W140" s="334"/>
      <c r="X140" s="334"/>
      <c r="Y140" s="334"/>
      <c r="Z140" s="334"/>
      <c r="AA140" s="334"/>
      <c r="AB140" s="334"/>
      <c r="AC140" s="334"/>
      <c r="AD140" s="334"/>
      <c r="AE140" s="334"/>
      <c r="AF140" s="334"/>
      <c r="AG140" s="334"/>
      <c r="AH140" s="334"/>
      <c r="AI140" s="334"/>
      <c r="AJ140" s="334"/>
      <c r="AK140" s="334"/>
      <c r="AL140" s="334"/>
      <c r="AM140" s="334"/>
      <c r="AN140" s="334"/>
      <c r="AO140" s="334"/>
      <c r="AP140" s="334"/>
      <c r="AQ140" s="334"/>
      <c r="AR140" s="334"/>
      <c r="AS140" s="334"/>
      <c r="AT140" s="334"/>
      <c r="AU140" s="334"/>
      <c r="AV140" s="334"/>
      <c r="AW140" s="334"/>
      <c r="AX140" s="334"/>
      <c r="AY140" s="334"/>
      <c r="AZ140" s="334"/>
      <c r="BA140" s="334"/>
      <c r="BB140" s="334"/>
      <c r="BC140" s="334"/>
      <c r="BD140" s="334"/>
      <c r="BE140" s="334"/>
      <c r="BF140" s="334"/>
      <c r="BG140" s="334"/>
      <c r="BH140" s="334"/>
      <c r="BI140" s="334"/>
      <c r="BJ140" s="334"/>
      <c r="BK140" s="334"/>
      <c r="BL140" s="334"/>
      <c r="BM140" s="334"/>
      <c r="BN140" s="334"/>
      <c r="BO140" s="334"/>
      <c r="BP140" s="334"/>
      <c r="BQ140" s="334"/>
      <c r="BR140" s="334"/>
      <c r="BS140" s="334"/>
      <c r="BT140" s="334"/>
      <c r="BU140" s="334"/>
      <c r="BV140" s="334"/>
      <c r="BW140" s="334"/>
      <c r="BX140" s="334"/>
      <c r="BY140" s="334"/>
      <c r="BZ140" s="334"/>
      <c r="CA140" s="334"/>
      <c r="CB140" s="334"/>
      <c r="CC140" s="334"/>
      <c r="CD140" s="334"/>
      <c r="CE140" s="334"/>
      <c r="CF140" s="334"/>
      <c r="CG140" s="334"/>
      <c r="CH140" s="334"/>
      <c r="CI140" s="334"/>
      <c r="CJ140" s="334"/>
      <c r="CK140" s="334"/>
      <c r="CL140" s="334"/>
      <c r="CM140" s="334"/>
      <c r="CN140" s="334"/>
      <c r="CO140" s="334"/>
      <c r="CP140" s="334"/>
      <c r="CQ140" s="334"/>
      <c r="CR140" s="334"/>
      <c r="CS140" s="334"/>
      <c r="CT140" s="334"/>
      <c r="CU140" s="334"/>
      <c r="CV140" s="334"/>
      <c r="CW140" s="334"/>
      <c r="CX140" s="334"/>
      <c r="CY140" s="334"/>
      <c r="CZ140" s="334"/>
      <c r="DA140" s="334"/>
      <c r="DB140" s="334"/>
      <c r="DC140" s="334"/>
      <c r="DD140" s="334"/>
      <c r="DE140" s="334"/>
      <c r="DF140" s="334"/>
      <c r="DG140" s="334"/>
      <c r="DH140" s="334"/>
      <c r="DI140" s="334"/>
      <c r="DJ140" s="334"/>
      <c r="DK140" s="334"/>
      <c r="DL140" s="334"/>
      <c r="DM140" s="334"/>
      <c r="DN140" s="334"/>
      <c r="DO140" s="334"/>
      <c r="DP140" s="334"/>
      <c r="DQ140" s="334"/>
      <c r="DR140" s="334"/>
      <c r="DS140" s="334"/>
      <c r="DT140" s="334"/>
      <c r="DU140" s="334"/>
      <c r="DV140" s="334"/>
      <c r="DW140" s="334"/>
      <c r="DX140" s="334"/>
      <c r="DY140" s="334"/>
      <c r="DZ140" s="334"/>
      <c r="EA140" s="334"/>
      <c r="EB140" s="334"/>
      <c r="EC140" s="334"/>
      <c r="ED140" s="334"/>
      <c r="EE140" s="334"/>
      <c r="EF140" s="334"/>
      <c r="EG140" s="334"/>
      <c r="EH140" s="334"/>
      <c r="EI140" s="334"/>
      <c r="EJ140" s="334"/>
      <c r="EK140" s="334"/>
      <c r="EL140" s="334"/>
      <c r="EM140" s="334"/>
      <c r="EN140" s="334"/>
      <c r="EO140" s="334"/>
      <c r="EP140" s="334"/>
      <c r="EQ140" s="334"/>
      <c r="ER140" s="334"/>
      <c r="ES140" s="334"/>
      <c r="ET140" s="334"/>
      <c r="EU140" s="334"/>
      <c r="EV140" s="334"/>
      <c r="EW140" s="334"/>
      <c r="EX140" s="334"/>
      <c r="EY140" s="334"/>
      <c r="EZ140" s="334"/>
      <c r="FA140" s="334"/>
      <c r="FB140" s="334"/>
      <c r="FC140" s="334"/>
      <c r="FD140" s="334"/>
      <c r="FE140" s="334"/>
      <c r="FF140" s="334"/>
      <c r="FG140" s="334"/>
      <c r="FH140" s="334"/>
      <c r="FI140" s="334"/>
      <c r="FJ140" s="334"/>
      <c r="FK140" s="334"/>
      <c r="FL140" s="334"/>
      <c r="FM140" s="334"/>
      <c r="FN140" s="334"/>
      <c r="FO140" s="334"/>
      <c r="FP140" s="334"/>
      <c r="FQ140" s="334"/>
      <c r="FR140" s="334"/>
      <c r="FS140" s="334"/>
      <c r="FT140" s="334"/>
      <c r="FU140" s="334"/>
      <c r="FV140" s="334"/>
      <c r="FW140" s="334"/>
      <c r="FX140" s="334"/>
      <c r="FY140" s="334"/>
      <c r="FZ140" s="334"/>
      <c r="GA140" s="334"/>
      <c r="GB140" s="334"/>
      <c r="GC140" s="334"/>
      <c r="GD140" s="334"/>
      <c r="GE140" s="334"/>
      <c r="GF140" s="334"/>
      <c r="GG140" s="334"/>
      <c r="GH140" s="334"/>
      <c r="GI140" s="334"/>
      <c r="GJ140" s="334"/>
      <c r="GK140" s="334"/>
      <c r="GL140" s="334"/>
      <c r="GM140" s="334"/>
      <c r="GN140" s="334"/>
      <c r="GO140" s="334"/>
      <c r="GP140" s="334"/>
      <c r="GQ140" s="334"/>
      <c r="GR140" s="334"/>
      <c r="GS140" s="334"/>
      <c r="GT140" s="334"/>
      <c r="GU140" s="334"/>
      <c r="GV140" s="334"/>
      <c r="GW140" s="334"/>
      <c r="GX140" s="334"/>
      <c r="GY140" s="334"/>
      <c r="GZ140" s="334"/>
      <c r="HA140" s="334"/>
      <c r="HB140" s="334"/>
      <c r="HC140" s="334"/>
      <c r="HD140" s="334"/>
      <c r="HE140" s="334"/>
      <c r="HF140" s="334"/>
      <c r="HG140" s="334"/>
      <c r="HH140" s="334"/>
      <c r="HI140" s="334"/>
      <c r="HJ140" s="334"/>
      <c r="HK140" s="334"/>
      <c r="HL140" s="334"/>
      <c r="HM140" s="334"/>
      <c r="HN140" s="334"/>
      <c r="HO140" s="334"/>
      <c r="HP140" s="334"/>
      <c r="HQ140" s="334"/>
      <c r="HR140" s="334"/>
      <c r="HS140" s="334"/>
      <c r="HT140" s="334"/>
      <c r="HU140" s="334"/>
      <c r="HV140" s="334"/>
      <c r="HW140" s="334"/>
      <c r="HX140" s="334"/>
      <c r="HY140" s="334"/>
      <c r="HZ140" s="334"/>
      <c r="IA140" s="334"/>
      <c r="IB140" s="334"/>
      <c r="IC140" s="334"/>
      <c r="ID140" s="334"/>
      <c r="IE140" s="334"/>
      <c r="IF140" s="334"/>
      <c r="IG140" s="334"/>
      <c r="IH140" s="334"/>
      <c r="II140" s="334"/>
      <c r="IJ140" s="334"/>
      <c r="IK140" s="334"/>
      <c r="IL140" s="334"/>
      <c r="IM140" s="334"/>
      <c r="IN140" s="334"/>
      <c r="IO140" s="334"/>
      <c r="IP140" s="334"/>
      <c r="IQ140" s="334"/>
      <c r="IR140" s="334"/>
    </row>
    <row r="141" spans="1:252" s="368" customFormat="1" x14ac:dyDescent="0.25">
      <c r="A141" s="366">
        <v>43786</v>
      </c>
      <c r="B141" s="345">
        <v>83.85</v>
      </c>
      <c r="C141" s="345">
        <v>26.74</v>
      </c>
      <c r="D141" s="345">
        <v>138.21</v>
      </c>
      <c r="E141" s="345">
        <v>80.92</v>
      </c>
      <c r="F141" s="345">
        <v>202.91</v>
      </c>
      <c r="G141" s="345">
        <v>15.85</v>
      </c>
      <c r="H141" s="345">
        <v>26.81</v>
      </c>
      <c r="I141" s="345">
        <v>84.46</v>
      </c>
      <c r="J141" s="345">
        <v>92.64</v>
      </c>
      <c r="K141" s="345">
        <v>286.43</v>
      </c>
      <c r="L141" s="345">
        <v>158.55000000000001</v>
      </c>
      <c r="M141" s="345">
        <v>87.24</v>
      </c>
      <c r="N141" s="345">
        <v>34.67</v>
      </c>
      <c r="O141" s="345">
        <v>12.31</v>
      </c>
      <c r="P141" s="345">
        <v>26.47</v>
      </c>
      <c r="Q141" s="345">
        <v>35.94</v>
      </c>
      <c r="R141" s="345">
        <v>34.380000000000003</v>
      </c>
      <c r="S141" s="345">
        <v>28.29</v>
      </c>
      <c r="T141" s="345">
        <v>26.07</v>
      </c>
      <c r="U141" s="345">
        <v>74.599999999999994</v>
      </c>
      <c r="V141" s="334"/>
      <c r="W141" s="334"/>
      <c r="X141" s="334"/>
      <c r="Y141" s="334"/>
      <c r="Z141" s="334"/>
      <c r="AA141" s="334"/>
      <c r="AB141" s="334"/>
      <c r="AC141" s="334"/>
      <c r="AD141" s="334"/>
      <c r="AE141" s="334"/>
      <c r="AF141" s="334"/>
      <c r="AG141" s="334"/>
      <c r="AH141" s="334"/>
      <c r="AI141" s="334"/>
      <c r="AJ141" s="334"/>
      <c r="AK141" s="334"/>
      <c r="AL141" s="334"/>
      <c r="AM141" s="334"/>
      <c r="AN141" s="334"/>
      <c r="AO141" s="334"/>
      <c r="AP141" s="334"/>
      <c r="AQ141" s="334"/>
      <c r="AR141" s="334"/>
      <c r="AS141" s="334"/>
      <c r="AT141" s="334"/>
      <c r="AU141" s="334"/>
      <c r="AV141" s="334"/>
      <c r="AW141" s="334"/>
      <c r="AX141" s="334"/>
      <c r="AY141" s="334"/>
      <c r="AZ141" s="334"/>
      <c r="BA141" s="334"/>
      <c r="BB141" s="334"/>
      <c r="BC141" s="334"/>
      <c r="BD141" s="334"/>
      <c r="BE141" s="334"/>
      <c r="BF141" s="334"/>
      <c r="BG141" s="334"/>
      <c r="BH141" s="334"/>
      <c r="BI141" s="334"/>
      <c r="BJ141" s="334"/>
      <c r="BK141" s="334"/>
      <c r="BL141" s="334"/>
      <c r="BM141" s="334"/>
      <c r="BN141" s="334"/>
      <c r="BO141" s="334"/>
      <c r="BP141" s="334"/>
      <c r="BQ141" s="334"/>
      <c r="BR141" s="334"/>
      <c r="BS141" s="334"/>
      <c r="BT141" s="334"/>
      <c r="BU141" s="334"/>
      <c r="BV141" s="334"/>
      <c r="BW141" s="334"/>
      <c r="BX141" s="334"/>
      <c r="BY141" s="334"/>
      <c r="BZ141" s="334"/>
      <c r="CA141" s="334"/>
      <c r="CB141" s="334"/>
      <c r="CC141" s="334"/>
      <c r="CD141" s="334"/>
      <c r="CE141" s="334"/>
      <c r="CF141" s="334"/>
      <c r="CG141" s="334"/>
      <c r="CH141" s="334"/>
      <c r="CI141" s="334"/>
      <c r="CJ141" s="334"/>
      <c r="CK141" s="334"/>
      <c r="CL141" s="334"/>
      <c r="CM141" s="334"/>
      <c r="CN141" s="334"/>
      <c r="CO141" s="334"/>
      <c r="CP141" s="334"/>
      <c r="CQ141" s="334"/>
      <c r="CR141" s="334"/>
      <c r="CS141" s="334"/>
      <c r="CT141" s="334"/>
      <c r="CU141" s="334"/>
      <c r="CV141" s="334"/>
      <c r="CW141" s="334"/>
      <c r="CX141" s="334"/>
      <c r="CY141" s="334"/>
      <c r="CZ141" s="334"/>
      <c r="DA141" s="334"/>
      <c r="DB141" s="334"/>
      <c r="DC141" s="334"/>
      <c r="DD141" s="334"/>
      <c r="DE141" s="334"/>
      <c r="DF141" s="334"/>
      <c r="DG141" s="334"/>
      <c r="DH141" s="334"/>
      <c r="DI141" s="334"/>
      <c r="DJ141" s="334"/>
      <c r="DK141" s="334"/>
      <c r="DL141" s="334"/>
      <c r="DM141" s="334"/>
      <c r="DN141" s="334"/>
      <c r="DO141" s="334"/>
      <c r="DP141" s="334"/>
      <c r="DQ141" s="334"/>
      <c r="DR141" s="334"/>
      <c r="DS141" s="334"/>
      <c r="DT141" s="334"/>
      <c r="DU141" s="334"/>
      <c r="DV141" s="334"/>
      <c r="DW141" s="334"/>
      <c r="DX141" s="334"/>
      <c r="DY141" s="334"/>
      <c r="DZ141" s="334"/>
      <c r="EA141" s="334"/>
      <c r="EB141" s="334"/>
      <c r="EC141" s="334"/>
      <c r="ED141" s="334"/>
      <c r="EE141" s="334"/>
      <c r="EF141" s="334"/>
      <c r="EG141" s="334"/>
      <c r="EH141" s="334"/>
      <c r="EI141" s="334"/>
      <c r="EJ141" s="334"/>
      <c r="EK141" s="334"/>
      <c r="EL141" s="334"/>
      <c r="EM141" s="334"/>
      <c r="EN141" s="334"/>
      <c r="EO141" s="334"/>
      <c r="EP141" s="334"/>
      <c r="EQ141" s="334"/>
      <c r="ER141" s="334"/>
      <c r="ES141" s="334"/>
      <c r="ET141" s="334"/>
      <c r="EU141" s="334"/>
      <c r="EV141" s="334"/>
      <c r="EW141" s="334"/>
      <c r="EX141" s="334"/>
      <c r="EY141" s="334"/>
      <c r="EZ141" s="334"/>
      <c r="FA141" s="334"/>
      <c r="FB141" s="334"/>
      <c r="FC141" s="334"/>
      <c r="FD141" s="334"/>
      <c r="FE141" s="334"/>
      <c r="FF141" s="334"/>
      <c r="FG141" s="334"/>
      <c r="FH141" s="334"/>
      <c r="FI141" s="334"/>
      <c r="FJ141" s="334"/>
      <c r="FK141" s="334"/>
      <c r="FL141" s="334"/>
      <c r="FM141" s="334"/>
      <c r="FN141" s="334"/>
      <c r="FO141" s="334"/>
      <c r="FP141" s="334"/>
      <c r="FQ141" s="334"/>
      <c r="FR141" s="334"/>
      <c r="FS141" s="334"/>
      <c r="FT141" s="334"/>
      <c r="FU141" s="334"/>
      <c r="FV141" s="334"/>
      <c r="FW141" s="334"/>
      <c r="FX141" s="334"/>
      <c r="FY141" s="334"/>
      <c r="FZ141" s="334"/>
      <c r="GA141" s="334"/>
      <c r="GB141" s="334"/>
      <c r="GC141" s="334"/>
      <c r="GD141" s="334"/>
      <c r="GE141" s="334"/>
      <c r="GF141" s="334"/>
      <c r="GG141" s="334"/>
      <c r="GH141" s="334"/>
      <c r="GI141" s="334"/>
      <c r="GJ141" s="334"/>
      <c r="GK141" s="334"/>
      <c r="GL141" s="334"/>
      <c r="GM141" s="334"/>
      <c r="GN141" s="334"/>
      <c r="GO141" s="334"/>
      <c r="GP141" s="334"/>
      <c r="GQ141" s="334"/>
      <c r="GR141" s="334"/>
      <c r="GS141" s="334"/>
      <c r="GT141" s="334"/>
      <c r="GU141" s="334"/>
      <c r="GV141" s="334"/>
      <c r="GW141" s="334"/>
      <c r="GX141" s="334"/>
      <c r="GY141" s="334"/>
      <c r="GZ141" s="334"/>
      <c r="HA141" s="334"/>
      <c r="HB141" s="334"/>
      <c r="HC141" s="334"/>
      <c r="HD141" s="334"/>
      <c r="HE141" s="334"/>
      <c r="HF141" s="334"/>
      <c r="HG141" s="334"/>
      <c r="HH141" s="334"/>
      <c r="HI141" s="334"/>
      <c r="HJ141" s="334"/>
      <c r="HK141" s="334"/>
      <c r="HL141" s="334"/>
      <c r="HM141" s="334"/>
      <c r="HN141" s="334"/>
      <c r="HO141" s="334"/>
      <c r="HP141" s="334"/>
      <c r="HQ141" s="334"/>
      <c r="HR141" s="334"/>
      <c r="HS141" s="334"/>
      <c r="HT141" s="334"/>
      <c r="HU141" s="334"/>
      <c r="HV141" s="334"/>
      <c r="HW141" s="334"/>
      <c r="HX141" s="334"/>
      <c r="HY141" s="334"/>
      <c r="HZ141" s="334"/>
      <c r="IA141" s="334"/>
      <c r="IB141" s="334"/>
      <c r="IC141" s="334"/>
      <c r="ID141" s="334"/>
      <c r="IE141" s="334"/>
      <c r="IF141" s="334"/>
      <c r="IG141" s="334"/>
      <c r="IH141" s="334"/>
      <c r="II141" s="334"/>
      <c r="IJ141" s="334"/>
      <c r="IK141" s="334"/>
      <c r="IL141" s="334"/>
      <c r="IM141" s="334"/>
      <c r="IN141" s="334"/>
      <c r="IO141" s="334"/>
      <c r="IP141" s="334"/>
      <c r="IQ141" s="334"/>
      <c r="IR141" s="334"/>
    </row>
    <row r="142" spans="1:252" x14ac:dyDescent="0.25">
      <c r="A142" s="366">
        <v>43787</v>
      </c>
      <c r="B142" s="345">
        <v>83.97</v>
      </c>
      <c r="C142" s="345">
        <v>27.2</v>
      </c>
      <c r="D142" s="345">
        <v>138.62</v>
      </c>
      <c r="E142" s="345">
        <v>80.56</v>
      </c>
      <c r="F142" s="345">
        <v>203.07</v>
      </c>
      <c r="G142" s="345">
        <v>15.92</v>
      </c>
      <c r="H142" s="345">
        <v>26.76</v>
      </c>
      <c r="I142" s="345">
        <v>84.66</v>
      </c>
      <c r="J142" s="345">
        <v>93.09</v>
      </c>
      <c r="K142" s="345">
        <v>286.61</v>
      </c>
      <c r="L142" s="345">
        <v>158.63999999999999</v>
      </c>
      <c r="M142" s="345">
        <v>87.5</v>
      </c>
      <c r="N142" s="345">
        <v>34.71</v>
      </c>
      <c r="O142" s="345">
        <v>12.36</v>
      </c>
      <c r="P142" s="345">
        <v>26.44</v>
      </c>
      <c r="Q142" s="345">
        <v>36.159999999999997</v>
      </c>
      <c r="R142" s="345">
        <v>34.369999999999997</v>
      </c>
      <c r="S142" s="345">
        <v>28.65</v>
      </c>
      <c r="T142" s="345">
        <v>26.09</v>
      </c>
      <c r="U142" s="345">
        <v>74.73</v>
      </c>
    </row>
    <row r="143" spans="1:252" x14ac:dyDescent="0.25">
      <c r="A143" s="366">
        <v>43788</v>
      </c>
      <c r="B143" s="345">
        <v>84.06</v>
      </c>
      <c r="C143" s="345">
        <v>27.23</v>
      </c>
      <c r="D143" s="345">
        <v>138.69</v>
      </c>
      <c r="E143" s="345">
        <v>80.709999999999994</v>
      </c>
      <c r="F143" s="345">
        <v>203.37</v>
      </c>
      <c r="G143" s="345">
        <v>16.02</v>
      </c>
      <c r="H143" s="345">
        <v>26.79</v>
      </c>
      <c r="I143" s="345">
        <v>85.29</v>
      </c>
      <c r="J143" s="345">
        <v>93.25</v>
      </c>
      <c r="K143" s="345">
        <v>286.47000000000003</v>
      </c>
      <c r="L143" s="345">
        <v>158.69</v>
      </c>
      <c r="M143" s="345">
        <v>87.67</v>
      </c>
      <c r="N143" s="345">
        <v>34.71</v>
      </c>
      <c r="O143" s="345">
        <v>12.36</v>
      </c>
      <c r="P143" s="345">
        <v>26.53</v>
      </c>
      <c r="Q143" s="345">
        <v>35.92</v>
      </c>
      <c r="R143" s="345">
        <v>34.36</v>
      </c>
      <c r="S143" s="345">
        <v>28.8</v>
      </c>
      <c r="T143" s="345">
        <v>26.2</v>
      </c>
      <c r="U143" s="345">
        <v>74.349999999999994</v>
      </c>
    </row>
    <row r="144" spans="1:252" x14ac:dyDescent="0.25">
      <c r="A144" s="366">
        <v>43789</v>
      </c>
      <c r="B144" s="345">
        <v>84.29</v>
      </c>
      <c r="C144" s="345">
        <v>27.34</v>
      </c>
      <c r="D144" s="345">
        <v>138.76</v>
      </c>
      <c r="E144" s="345">
        <v>80.28</v>
      </c>
      <c r="F144" s="345">
        <v>202.15</v>
      </c>
      <c r="G144" s="345">
        <v>16.04</v>
      </c>
      <c r="H144" s="345">
        <v>26.79</v>
      </c>
      <c r="I144" s="345">
        <v>86.18</v>
      </c>
      <c r="J144" s="345">
        <v>93.2</v>
      </c>
      <c r="K144" s="345">
        <v>285.45999999999998</v>
      </c>
      <c r="L144" s="345">
        <v>158.19</v>
      </c>
      <c r="M144" s="345">
        <v>87.14</v>
      </c>
      <c r="N144" s="345">
        <v>34.56</v>
      </c>
      <c r="O144" s="345">
        <v>12.35</v>
      </c>
      <c r="P144" s="345">
        <v>26.51</v>
      </c>
      <c r="Q144" s="345">
        <v>35.93</v>
      </c>
      <c r="R144" s="345">
        <v>34.340000000000003</v>
      </c>
      <c r="S144" s="345">
        <v>29</v>
      </c>
      <c r="T144" s="345">
        <v>26.26</v>
      </c>
      <c r="U144" s="345">
        <v>74.180000000000007</v>
      </c>
    </row>
    <row r="145" spans="1:252" x14ac:dyDescent="0.25">
      <c r="A145" s="366">
        <v>43790</v>
      </c>
      <c r="B145" s="345">
        <v>84.15</v>
      </c>
      <c r="C145" s="345">
        <v>26.82</v>
      </c>
      <c r="D145" s="345">
        <v>138</v>
      </c>
      <c r="E145" s="345">
        <v>79.849999999999994</v>
      </c>
      <c r="F145" s="345">
        <v>201.7</v>
      </c>
      <c r="G145" s="345">
        <v>15.99</v>
      </c>
      <c r="H145" s="345">
        <v>26.83</v>
      </c>
      <c r="I145" s="345">
        <v>85.69</v>
      </c>
      <c r="J145" s="345">
        <v>91.89</v>
      </c>
      <c r="K145" s="345">
        <v>285.02</v>
      </c>
      <c r="L145" s="345">
        <v>157.79</v>
      </c>
      <c r="M145" s="345">
        <v>86.7</v>
      </c>
      <c r="N145" s="345">
        <v>34.520000000000003</v>
      </c>
      <c r="O145" s="345">
        <v>12.29</v>
      </c>
      <c r="P145" s="345">
        <v>26.46</v>
      </c>
      <c r="Q145" s="345">
        <v>35.78</v>
      </c>
      <c r="R145" s="345">
        <v>34.33</v>
      </c>
      <c r="S145" s="345">
        <v>28.7</v>
      </c>
      <c r="T145" s="345">
        <v>26.16</v>
      </c>
      <c r="U145" s="345">
        <v>74.309600000000003</v>
      </c>
    </row>
    <row r="146" spans="1:252" x14ac:dyDescent="0.25">
      <c r="A146" s="366">
        <v>43791</v>
      </c>
      <c r="B146" s="345">
        <v>84.2</v>
      </c>
      <c r="C146" s="345">
        <v>26.76</v>
      </c>
      <c r="D146" s="345">
        <v>137.74</v>
      </c>
      <c r="E146" s="345">
        <v>80.040000000000006</v>
      </c>
      <c r="F146" s="345">
        <v>201.83</v>
      </c>
      <c r="G146" s="345">
        <v>15.9</v>
      </c>
      <c r="H146" s="345">
        <v>26.91</v>
      </c>
      <c r="I146" s="345">
        <v>85.8</v>
      </c>
      <c r="J146" s="345">
        <v>91.55</v>
      </c>
      <c r="K146" s="345">
        <v>285.64999999999998</v>
      </c>
      <c r="L146" s="345">
        <v>158.13999999999999</v>
      </c>
      <c r="M146" s="345">
        <v>86.59</v>
      </c>
      <c r="N146" s="345">
        <v>34.58</v>
      </c>
      <c r="O146" s="345">
        <v>12.25</v>
      </c>
      <c r="P146" s="345">
        <v>26.47</v>
      </c>
      <c r="Q146" s="345">
        <v>35.909999999999997</v>
      </c>
      <c r="R146" s="345">
        <v>34.24</v>
      </c>
      <c r="S146" s="345">
        <v>28.5</v>
      </c>
      <c r="T146" s="345">
        <v>26.17</v>
      </c>
      <c r="U146" s="345">
        <v>74.27</v>
      </c>
    </row>
    <row r="147" spans="1:252" s="368" customFormat="1" x14ac:dyDescent="0.25">
      <c r="A147" s="366">
        <v>43792</v>
      </c>
      <c r="B147" s="345">
        <v>84.2</v>
      </c>
      <c r="C147" s="345">
        <v>26.76</v>
      </c>
      <c r="D147" s="345">
        <v>137.74</v>
      </c>
      <c r="E147" s="345">
        <v>80.040000000000006</v>
      </c>
      <c r="F147" s="345">
        <v>201.83</v>
      </c>
      <c r="G147" s="345">
        <v>15.9</v>
      </c>
      <c r="H147" s="345">
        <v>26.91</v>
      </c>
      <c r="I147" s="345">
        <v>85.8</v>
      </c>
      <c r="J147" s="345">
        <v>91.55</v>
      </c>
      <c r="K147" s="345">
        <v>285.64999999999998</v>
      </c>
      <c r="L147" s="345">
        <v>158.13999999999999</v>
      </c>
      <c r="M147" s="345">
        <v>86.59</v>
      </c>
      <c r="N147" s="345">
        <v>34.58</v>
      </c>
      <c r="O147" s="345">
        <v>12.25</v>
      </c>
      <c r="P147" s="345">
        <v>26.47</v>
      </c>
      <c r="Q147" s="345">
        <v>35.909999999999997</v>
      </c>
      <c r="R147" s="345">
        <v>34.24</v>
      </c>
      <c r="S147" s="345">
        <v>28.5</v>
      </c>
      <c r="T147" s="345">
        <v>26.17</v>
      </c>
      <c r="U147" s="345">
        <v>74.27</v>
      </c>
      <c r="V147" s="334"/>
      <c r="W147" s="334"/>
      <c r="X147" s="334"/>
      <c r="Y147" s="334"/>
      <c r="Z147" s="334"/>
      <c r="AA147" s="334"/>
      <c r="AB147" s="334"/>
      <c r="AC147" s="334"/>
      <c r="AD147" s="334"/>
      <c r="AE147" s="334"/>
      <c r="AF147" s="334"/>
      <c r="AG147" s="334"/>
      <c r="AH147" s="334"/>
      <c r="AI147" s="334"/>
      <c r="AJ147" s="334"/>
      <c r="AK147" s="334"/>
      <c r="AL147" s="334"/>
      <c r="AM147" s="334"/>
      <c r="AN147" s="334"/>
      <c r="AO147" s="334"/>
      <c r="AP147" s="334"/>
      <c r="AQ147" s="334"/>
      <c r="AR147" s="334"/>
      <c r="AS147" s="334"/>
      <c r="AT147" s="334"/>
      <c r="AU147" s="334"/>
      <c r="AV147" s="334"/>
      <c r="AW147" s="334"/>
      <c r="AX147" s="334"/>
      <c r="AY147" s="334"/>
      <c r="AZ147" s="334"/>
      <c r="BA147" s="334"/>
      <c r="BB147" s="334"/>
      <c r="BC147" s="334"/>
      <c r="BD147" s="334"/>
      <c r="BE147" s="334"/>
      <c r="BF147" s="334"/>
      <c r="BG147" s="334"/>
      <c r="BH147" s="334"/>
      <c r="BI147" s="334"/>
      <c r="BJ147" s="334"/>
      <c r="BK147" s="334"/>
      <c r="BL147" s="334"/>
      <c r="BM147" s="334"/>
      <c r="BN147" s="334"/>
      <c r="BO147" s="334"/>
      <c r="BP147" s="334"/>
      <c r="BQ147" s="334"/>
      <c r="BR147" s="334"/>
      <c r="BS147" s="334"/>
      <c r="BT147" s="334"/>
      <c r="BU147" s="334"/>
      <c r="BV147" s="334"/>
      <c r="BW147" s="334"/>
      <c r="BX147" s="334"/>
      <c r="BY147" s="334"/>
      <c r="BZ147" s="334"/>
      <c r="CA147" s="334"/>
      <c r="CB147" s="334"/>
      <c r="CC147" s="334"/>
      <c r="CD147" s="334"/>
      <c r="CE147" s="334"/>
      <c r="CF147" s="334"/>
      <c r="CG147" s="334"/>
      <c r="CH147" s="334"/>
      <c r="CI147" s="334"/>
      <c r="CJ147" s="334"/>
      <c r="CK147" s="334"/>
      <c r="CL147" s="334"/>
      <c r="CM147" s="334"/>
      <c r="CN147" s="334"/>
      <c r="CO147" s="334"/>
      <c r="CP147" s="334"/>
      <c r="CQ147" s="334"/>
      <c r="CR147" s="334"/>
      <c r="CS147" s="334"/>
      <c r="CT147" s="334"/>
      <c r="CU147" s="334"/>
      <c r="CV147" s="334"/>
      <c r="CW147" s="334"/>
      <c r="CX147" s="334"/>
      <c r="CY147" s="334"/>
      <c r="CZ147" s="334"/>
      <c r="DA147" s="334"/>
      <c r="DB147" s="334"/>
      <c r="DC147" s="334"/>
      <c r="DD147" s="334"/>
      <c r="DE147" s="334"/>
      <c r="DF147" s="334"/>
      <c r="DG147" s="334"/>
      <c r="DH147" s="334"/>
      <c r="DI147" s="334"/>
      <c r="DJ147" s="334"/>
      <c r="DK147" s="334"/>
      <c r="DL147" s="334"/>
      <c r="DM147" s="334"/>
      <c r="DN147" s="334"/>
      <c r="DO147" s="334"/>
      <c r="DP147" s="334"/>
      <c r="DQ147" s="334"/>
      <c r="DR147" s="334"/>
      <c r="DS147" s="334"/>
      <c r="DT147" s="334"/>
      <c r="DU147" s="334"/>
      <c r="DV147" s="334"/>
      <c r="DW147" s="334"/>
      <c r="DX147" s="334"/>
      <c r="DY147" s="334"/>
      <c r="DZ147" s="334"/>
      <c r="EA147" s="334"/>
      <c r="EB147" s="334"/>
      <c r="EC147" s="334"/>
      <c r="ED147" s="334"/>
      <c r="EE147" s="334"/>
      <c r="EF147" s="334"/>
      <c r="EG147" s="334"/>
      <c r="EH147" s="334"/>
      <c r="EI147" s="334"/>
      <c r="EJ147" s="334"/>
      <c r="EK147" s="334"/>
      <c r="EL147" s="334"/>
      <c r="EM147" s="334"/>
      <c r="EN147" s="334"/>
      <c r="EO147" s="334"/>
      <c r="EP147" s="334"/>
      <c r="EQ147" s="334"/>
      <c r="ER147" s="334"/>
      <c r="ES147" s="334"/>
      <c r="ET147" s="334"/>
      <c r="EU147" s="334"/>
      <c r="EV147" s="334"/>
      <c r="EW147" s="334"/>
      <c r="EX147" s="334"/>
      <c r="EY147" s="334"/>
      <c r="EZ147" s="334"/>
      <c r="FA147" s="334"/>
      <c r="FB147" s="334"/>
      <c r="FC147" s="334"/>
      <c r="FD147" s="334"/>
      <c r="FE147" s="334"/>
      <c r="FF147" s="334"/>
      <c r="FG147" s="334"/>
      <c r="FH147" s="334"/>
      <c r="FI147" s="334"/>
      <c r="FJ147" s="334"/>
      <c r="FK147" s="334"/>
      <c r="FL147" s="334"/>
      <c r="FM147" s="334"/>
      <c r="FN147" s="334"/>
      <c r="FO147" s="334"/>
      <c r="FP147" s="334"/>
      <c r="FQ147" s="334"/>
      <c r="FR147" s="334"/>
      <c r="FS147" s="334"/>
      <c r="FT147" s="334"/>
      <c r="FU147" s="334"/>
      <c r="FV147" s="334"/>
      <c r="FW147" s="334"/>
      <c r="FX147" s="334"/>
      <c r="FY147" s="334"/>
      <c r="FZ147" s="334"/>
      <c r="GA147" s="334"/>
      <c r="GB147" s="334"/>
      <c r="GC147" s="334"/>
      <c r="GD147" s="334"/>
      <c r="GE147" s="334"/>
      <c r="GF147" s="334"/>
      <c r="GG147" s="334"/>
      <c r="GH147" s="334"/>
      <c r="GI147" s="334"/>
      <c r="GJ147" s="334"/>
      <c r="GK147" s="334"/>
      <c r="GL147" s="334"/>
      <c r="GM147" s="334"/>
      <c r="GN147" s="334"/>
      <c r="GO147" s="334"/>
      <c r="GP147" s="334"/>
      <c r="GQ147" s="334"/>
      <c r="GR147" s="334"/>
      <c r="GS147" s="334"/>
      <c r="GT147" s="334"/>
      <c r="GU147" s="334"/>
      <c r="GV147" s="334"/>
      <c r="GW147" s="334"/>
      <c r="GX147" s="334"/>
      <c r="GY147" s="334"/>
      <c r="GZ147" s="334"/>
      <c r="HA147" s="334"/>
      <c r="HB147" s="334"/>
      <c r="HC147" s="334"/>
      <c r="HD147" s="334"/>
      <c r="HE147" s="334"/>
      <c r="HF147" s="334"/>
      <c r="HG147" s="334"/>
      <c r="HH147" s="334"/>
      <c r="HI147" s="334"/>
      <c r="HJ147" s="334"/>
      <c r="HK147" s="334"/>
      <c r="HL147" s="334"/>
      <c r="HM147" s="334"/>
      <c r="HN147" s="334"/>
      <c r="HO147" s="334"/>
      <c r="HP147" s="334"/>
      <c r="HQ147" s="334"/>
      <c r="HR147" s="334"/>
      <c r="HS147" s="334"/>
      <c r="HT147" s="334"/>
      <c r="HU147" s="334"/>
      <c r="HV147" s="334"/>
      <c r="HW147" s="334"/>
      <c r="HX147" s="334"/>
      <c r="HY147" s="334"/>
      <c r="HZ147" s="334"/>
      <c r="IA147" s="334"/>
      <c r="IB147" s="334"/>
      <c r="IC147" s="334"/>
      <c r="ID147" s="334"/>
      <c r="IE147" s="334"/>
      <c r="IF147" s="334"/>
      <c r="IG147" s="334"/>
      <c r="IH147" s="334"/>
      <c r="II147" s="334"/>
      <c r="IJ147" s="334"/>
      <c r="IK147" s="334"/>
      <c r="IL147" s="334"/>
      <c r="IM147" s="334"/>
      <c r="IN147" s="334"/>
      <c r="IO147" s="334"/>
      <c r="IP147" s="334"/>
      <c r="IQ147" s="334"/>
      <c r="IR147" s="334"/>
    </row>
    <row r="148" spans="1:252" s="368" customFormat="1" x14ac:dyDescent="0.25">
      <c r="A148" s="366">
        <v>43793</v>
      </c>
      <c r="B148" s="345">
        <v>84.2</v>
      </c>
      <c r="C148" s="345">
        <v>26.76</v>
      </c>
      <c r="D148" s="345">
        <v>137.74</v>
      </c>
      <c r="E148" s="345">
        <v>80.040000000000006</v>
      </c>
      <c r="F148" s="345">
        <v>201.83</v>
      </c>
      <c r="G148" s="345">
        <v>15.9</v>
      </c>
      <c r="H148" s="345">
        <v>26.91</v>
      </c>
      <c r="I148" s="345">
        <v>85.8</v>
      </c>
      <c r="J148" s="345">
        <v>91.55</v>
      </c>
      <c r="K148" s="345">
        <v>285.64999999999998</v>
      </c>
      <c r="L148" s="345">
        <v>158.13999999999999</v>
      </c>
      <c r="M148" s="345">
        <v>86.59</v>
      </c>
      <c r="N148" s="345">
        <v>34.58</v>
      </c>
      <c r="O148" s="345">
        <v>12.25</v>
      </c>
      <c r="P148" s="345">
        <v>26.47</v>
      </c>
      <c r="Q148" s="345">
        <v>35.909999999999997</v>
      </c>
      <c r="R148" s="345">
        <v>34.24</v>
      </c>
      <c r="S148" s="345">
        <v>28.5</v>
      </c>
      <c r="T148" s="345">
        <v>26.17</v>
      </c>
      <c r="U148" s="345">
        <v>74.27</v>
      </c>
      <c r="V148" s="334"/>
      <c r="W148" s="334"/>
      <c r="X148" s="334"/>
      <c r="Y148" s="334"/>
      <c r="Z148" s="334"/>
      <c r="AA148" s="334"/>
      <c r="AB148" s="334"/>
      <c r="AC148" s="334"/>
      <c r="AD148" s="334"/>
      <c r="AE148" s="334"/>
      <c r="AF148" s="334"/>
      <c r="AG148" s="334"/>
      <c r="AH148" s="334"/>
      <c r="AI148" s="334"/>
      <c r="AJ148" s="334"/>
      <c r="AK148" s="334"/>
      <c r="AL148" s="334"/>
      <c r="AM148" s="334"/>
      <c r="AN148" s="334"/>
      <c r="AO148" s="334"/>
      <c r="AP148" s="334"/>
      <c r="AQ148" s="334"/>
      <c r="AR148" s="334"/>
      <c r="AS148" s="334"/>
      <c r="AT148" s="334"/>
      <c r="AU148" s="334"/>
      <c r="AV148" s="334"/>
      <c r="AW148" s="334"/>
      <c r="AX148" s="334"/>
      <c r="AY148" s="334"/>
      <c r="AZ148" s="334"/>
      <c r="BA148" s="334"/>
      <c r="BB148" s="334"/>
      <c r="BC148" s="334"/>
      <c r="BD148" s="334"/>
      <c r="BE148" s="334"/>
      <c r="BF148" s="334"/>
      <c r="BG148" s="334"/>
      <c r="BH148" s="334"/>
      <c r="BI148" s="334"/>
      <c r="BJ148" s="334"/>
      <c r="BK148" s="334"/>
      <c r="BL148" s="334"/>
      <c r="BM148" s="334"/>
      <c r="BN148" s="334"/>
      <c r="BO148" s="334"/>
      <c r="BP148" s="334"/>
      <c r="BQ148" s="334"/>
      <c r="BR148" s="334"/>
      <c r="BS148" s="334"/>
      <c r="BT148" s="334"/>
      <c r="BU148" s="334"/>
      <c r="BV148" s="334"/>
      <c r="BW148" s="334"/>
      <c r="BX148" s="334"/>
      <c r="BY148" s="334"/>
      <c r="BZ148" s="334"/>
      <c r="CA148" s="334"/>
      <c r="CB148" s="334"/>
      <c r="CC148" s="334"/>
      <c r="CD148" s="334"/>
      <c r="CE148" s="334"/>
      <c r="CF148" s="334"/>
      <c r="CG148" s="334"/>
      <c r="CH148" s="334"/>
      <c r="CI148" s="334"/>
      <c r="CJ148" s="334"/>
      <c r="CK148" s="334"/>
      <c r="CL148" s="334"/>
      <c r="CM148" s="334"/>
      <c r="CN148" s="334"/>
      <c r="CO148" s="334"/>
      <c r="CP148" s="334"/>
      <c r="CQ148" s="334"/>
      <c r="CR148" s="334"/>
      <c r="CS148" s="334"/>
      <c r="CT148" s="334"/>
      <c r="CU148" s="334"/>
      <c r="CV148" s="334"/>
      <c r="CW148" s="334"/>
      <c r="CX148" s="334"/>
      <c r="CY148" s="334"/>
      <c r="CZ148" s="334"/>
      <c r="DA148" s="334"/>
      <c r="DB148" s="334"/>
      <c r="DC148" s="334"/>
      <c r="DD148" s="334"/>
      <c r="DE148" s="334"/>
      <c r="DF148" s="334"/>
      <c r="DG148" s="334"/>
      <c r="DH148" s="334"/>
      <c r="DI148" s="334"/>
      <c r="DJ148" s="334"/>
      <c r="DK148" s="334"/>
      <c r="DL148" s="334"/>
      <c r="DM148" s="334"/>
      <c r="DN148" s="334"/>
      <c r="DO148" s="334"/>
      <c r="DP148" s="334"/>
      <c r="DQ148" s="334"/>
      <c r="DR148" s="334"/>
      <c r="DS148" s="334"/>
      <c r="DT148" s="334"/>
      <c r="DU148" s="334"/>
      <c r="DV148" s="334"/>
      <c r="DW148" s="334"/>
      <c r="DX148" s="334"/>
      <c r="DY148" s="334"/>
      <c r="DZ148" s="334"/>
      <c r="EA148" s="334"/>
      <c r="EB148" s="334"/>
      <c r="EC148" s="334"/>
      <c r="ED148" s="334"/>
      <c r="EE148" s="334"/>
      <c r="EF148" s="334"/>
      <c r="EG148" s="334"/>
      <c r="EH148" s="334"/>
      <c r="EI148" s="334"/>
      <c r="EJ148" s="334"/>
      <c r="EK148" s="334"/>
      <c r="EL148" s="334"/>
      <c r="EM148" s="334"/>
      <c r="EN148" s="334"/>
      <c r="EO148" s="334"/>
      <c r="EP148" s="334"/>
      <c r="EQ148" s="334"/>
      <c r="ER148" s="334"/>
      <c r="ES148" s="334"/>
      <c r="ET148" s="334"/>
      <c r="EU148" s="334"/>
      <c r="EV148" s="334"/>
      <c r="EW148" s="334"/>
      <c r="EX148" s="334"/>
      <c r="EY148" s="334"/>
      <c r="EZ148" s="334"/>
      <c r="FA148" s="334"/>
      <c r="FB148" s="334"/>
      <c r="FC148" s="334"/>
      <c r="FD148" s="334"/>
      <c r="FE148" s="334"/>
      <c r="FF148" s="334"/>
      <c r="FG148" s="334"/>
      <c r="FH148" s="334"/>
      <c r="FI148" s="334"/>
      <c r="FJ148" s="334"/>
      <c r="FK148" s="334"/>
      <c r="FL148" s="334"/>
      <c r="FM148" s="334"/>
      <c r="FN148" s="334"/>
      <c r="FO148" s="334"/>
      <c r="FP148" s="334"/>
      <c r="FQ148" s="334"/>
      <c r="FR148" s="334"/>
      <c r="FS148" s="334"/>
      <c r="FT148" s="334"/>
      <c r="FU148" s="334"/>
      <c r="FV148" s="334"/>
      <c r="FW148" s="334"/>
      <c r="FX148" s="334"/>
      <c r="FY148" s="334"/>
      <c r="FZ148" s="334"/>
      <c r="GA148" s="334"/>
      <c r="GB148" s="334"/>
      <c r="GC148" s="334"/>
      <c r="GD148" s="334"/>
      <c r="GE148" s="334"/>
      <c r="GF148" s="334"/>
      <c r="GG148" s="334"/>
      <c r="GH148" s="334"/>
      <c r="GI148" s="334"/>
      <c r="GJ148" s="334"/>
      <c r="GK148" s="334"/>
      <c r="GL148" s="334"/>
      <c r="GM148" s="334"/>
      <c r="GN148" s="334"/>
      <c r="GO148" s="334"/>
      <c r="GP148" s="334"/>
      <c r="GQ148" s="334"/>
      <c r="GR148" s="334"/>
      <c r="GS148" s="334"/>
      <c r="GT148" s="334"/>
      <c r="GU148" s="334"/>
      <c r="GV148" s="334"/>
      <c r="GW148" s="334"/>
      <c r="GX148" s="334"/>
      <c r="GY148" s="334"/>
      <c r="GZ148" s="334"/>
      <c r="HA148" s="334"/>
      <c r="HB148" s="334"/>
      <c r="HC148" s="334"/>
      <c r="HD148" s="334"/>
      <c r="HE148" s="334"/>
      <c r="HF148" s="334"/>
      <c r="HG148" s="334"/>
      <c r="HH148" s="334"/>
      <c r="HI148" s="334"/>
      <c r="HJ148" s="334"/>
      <c r="HK148" s="334"/>
      <c r="HL148" s="334"/>
      <c r="HM148" s="334"/>
      <c r="HN148" s="334"/>
      <c r="HO148" s="334"/>
      <c r="HP148" s="334"/>
      <c r="HQ148" s="334"/>
      <c r="HR148" s="334"/>
      <c r="HS148" s="334"/>
      <c r="HT148" s="334"/>
      <c r="HU148" s="334"/>
      <c r="HV148" s="334"/>
      <c r="HW148" s="334"/>
      <c r="HX148" s="334"/>
      <c r="HY148" s="334"/>
      <c r="HZ148" s="334"/>
      <c r="IA148" s="334"/>
      <c r="IB148" s="334"/>
      <c r="IC148" s="334"/>
      <c r="ID148" s="334"/>
      <c r="IE148" s="334"/>
      <c r="IF148" s="334"/>
      <c r="IG148" s="334"/>
      <c r="IH148" s="334"/>
      <c r="II148" s="334"/>
      <c r="IJ148" s="334"/>
      <c r="IK148" s="334"/>
      <c r="IL148" s="334"/>
      <c r="IM148" s="334"/>
      <c r="IN148" s="334"/>
      <c r="IO148" s="334"/>
      <c r="IP148" s="334"/>
      <c r="IQ148" s="334"/>
      <c r="IR148" s="334"/>
    </row>
    <row r="149" spans="1:252" x14ac:dyDescent="0.25">
      <c r="A149" s="366">
        <v>43794</v>
      </c>
      <c r="B149" s="345">
        <v>84.28</v>
      </c>
      <c r="C149" s="345">
        <v>26.2</v>
      </c>
      <c r="D149" s="345">
        <v>137.08000000000001</v>
      </c>
      <c r="E149" s="345">
        <v>82.04</v>
      </c>
      <c r="F149" s="345">
        <v>204.22</v>
      </c>
      <c r="G149" s="345">
        <v>15.78</v>
      </c>
      <c r="H149" s="345">
        <v>26.93</v>
      </c>
      <c r="I149" s="345">
        <v>86.03</v>
      </c>
      <c r="J149" s="345">
        <v>91.84</v>
      </c>
      <c r="K149" s="345">
        <v>287.82</v>
      </c>
      <c r="L149" s="345">
        <v>159.63999999999999</v>
      </c>
      <c r="M149" s="345">
        <v>87.85</v>
      </c>
      <c r="N149" s="345">
        <v>34.86</v>
      </c>
      <c r="O149" s="345">
        <v>12.21</v>
      </c>
      <c r="P149" s="345">
        <v>26.65</v>
      </c>
      <c r="Q149" s="345">
        <v>36.090000000000003</v>
      </c>
      <c r="R149" s="345">
        <v>34.409999999999997</v>
      </c>
      <c r="S149" s="345">
        <v>28.06</v>
      </c>
      <c r="T149" s="345">
        <v>26.18</v>
      </c>
      <c r="U149" s="345">
        <v>74.202699999999993</v>
      </c>
    </row>
    <row r="150" spans="1:252" x14ac:dyDescent="0.25">
      <c r="A150" s="366">
        <v>43795</v>
      </c>
      <c r="B150" s="345">
        <v>84.42</v>
      </c>
      <c r="C150" s="345">
        <v>26.78</v>
      </c>
      <c r="D150" s="345">
        <v>137.74</v>
      </c>
      <c r="E150" s="345">
        <v>81.97</v>
      </c>
      <c r="F150" s="345">
        <v>204.61</v>
      </c>
      <c r="G150" s="345">
        <v>15.99</v>
      </c>
      <c r="H150" s="345">
        <v>26.9</v>
      </c>
      <c r="I150" s="345">
        <v>86.52</v>
      </c>
      <c r="J150" s="345">
        <v>93.06</v>
      </c>
      <c r="K150" s="345">
        <v>288.39999999999998</v>
      </c>
      <c r="L150" s="345">
        <v>159.97999999999999</v>
      </c>
      <c r="M150" s="345">
        <v>87.93</v>
      </c>
      <c r="N150" s="345">
        <v>34.950000000000003</v>
      </c>
      <c r="O150" s="345">
        <v>12.28</v>
      </c>
      <c r="P150" s="345">
        <v>26.65</v>
      </c>
      <c r="Q150" s="345">
        <v>36.06</v>
      </c>
      <c r="R150" s="345">
        <v>34.42</v>
      </c>
      <c r="S150" s="345">
        <v>28.33</v>
      </c>
      <c r="T150" s="345">
        <v>26.24</v>
      </c>
      <c r="U150" s="345">
        <v>74.38</v>
      </c>
    </row>
    <row r="151" spans="1:252" x14ac:dyDescent="0.25">
      <c r="A151" s="366">
        <v>43796</v>
      </c>
      <c r="B151" s="345">
        <v>84.29</v>
      </c>
      <c r="C151" s="345">
        <v>26.66</v>
      </c>
      <c r="D151" s="345">
        <v>137.01</v>
      </c>
      <c r="E151" s="345">
        <v>82.34</v>
      </c>
      <c r="F151" s="345">
        <v>206.04</v>
      </c>
      <c r="G151" s="345">
        <v>15.84</v>
      </c>
      <c r="H151" s="345">
        <v>26.94</v>
      </c>
      <c r="I151" s="345">
        <v>86.27</v>
      </c>
      <c r="J151" s="345">
        <v>93.5</v>
      </c>
      <c r="K151" s="345">
        <v>289.76</v>
      </c>
      <c r="L151" s="345">
        <v>160.74</v>
      </c>
      <c r="M151" s="345">
        <v>88.42</v>
      </c>
      <c r="N151" s="345">
        <v>35.08</v>
      </c>
      <c r="O151" s="345">
        <v>12.21</v>
      </c>
      <c r="P151" s="345">
        <v>26.74</v>
      </c>
      <c r="Q151" s="345">
        <v>36.299999999999997</v>
      </c>
      <c r="R151" s="345">
        <v>34.549999999999997</v>
      </c>
      <c r="S151" s="345">
        <v>28.3</v>
      </c>
      <c r="T151" s="345">
        <v>26.18</v>
      </c>
      <c r="U151" s="345">
        <v>74.3</v>
      </c>
    </row>
    <row r="152" spans="1:252" x14ac:dyDescent="0.25">
      <c r="A152" s="366">
        <v>43797</v>
      </c>
      <c r="B152" s="345">
        <v>84.29</v>
      </c>
      <c r="C152" s="345">
        <v>26.66</v>
      </c>
      <c r="D152" s="345">
        <v>137.01</v>
      </c>
      <c r="E152" s="345">
        <v>82.34</v>
      </c>
      <c r="F152" s="345">
        <v>206.04</v>
      </c>
      <c r="G152" s="345">
        <v>15.84</v>
      </c>
      <c r="H152" s="345">
        <v>26.94</v>
      </c>
      <c r="I152" s="345">
        <v>86.27</v>
      </c>
      <c r="J152" s="345">
        <v>93.5</v>
      </c>
      <c r="K152" s="345">
        <v>289.76</v>
      </c>
      <c r="L152" s="345">
        <v>160.74</v>
      </c>
      <c r="M152" s="345">
        <v>88.42</v>
      </c>
      <c r="N152" s="345">
        <v>34.97</v>
      </c>
      <c r="O152" s="345">
        <v>12.25</v>
      </c>
      <c r="P152" s="345">
        <v>26.79</v>
      </c>
      <c r="Q152" s="345">
        <v>36.369999999999997</v>
      </c>
      <c r="R152" s="345">
        <v>34.590000000000003</v>
      </c>
      <c r="S152" s="345">
        <v>28.41</v>
      </c>
      <c r="T152" s="345">
        <v>26.21</v>
      </c>
      <c r="U152" s="345">
        <v>74.3</v>
      </c>
    </row>
    <row r="153" spans="1:252" x14ac:dyDescent="0.25">
      <c r="A153" s="366">
        <v>43798</v>
      </c>
      <c r="B153" s="345">
        <v>84.29</v>
      </c>
      <c r="C153" s="345">
        <v>27.08</v>
      </c>
      <c r="D153" s="345">
        <v>137.86000000000001</v>
      </c>
      <c r="E153" s="345">
        <v>81.81</v>
      </c>
      <c r="F153" s="345">
        <v>205.1</v>
      </c>
      <c r="G153" s="345">
        <v>15.92</v>
      </c>
      <c r="H153" s="345">
        <v>26.91</v>
      </c>
      <c r="I153" s="345">
        <v>86.11</v>
      </c>
      <c r="J153" s="345">
        <v>93.07</v>
      </c>
      <c r="K153" s="345">
        <v>288.64999999999998</v>
      </c>
      <c r="L153" s="345">
        <v>160.02000000000001</v>
      </c>
      <c r="M153" s="345">
        <v>88.16</v>
      </c>
      <c r="N153" s="345">
        <v>34.97</v>
      </c>
      <c r="O153" s="345">
        <v>12.29</v>
      </c>
      <c r="P153" s="345">
        <v>26.68</v>
      </c>
      <c r="Q153" s="345">
        <v>36.22</v>
      </c>
      <c r="R153" s="345">
        <v>34.46</v>
      </c>
      <c r="S153" s="345">
        <v>28.77</v>
      </c>
      <c r="T153" s="345">
        <v>26.16</v>
      </c>
      <c r="U153" s="345">
        <v>74.308999999999997</v>
      </c>
    </row>
    <row r="154" spans="1:252" s="368" customFormat="1" x14ac:dyDescent="0.25">
      <c r="A154" s="366">
        <v>43799</v>
      </c>
      <c r="B154" s="345">
        <v>84.29</v>
      </c>
      <c r="C154" s="345">
        <v>27.08</v>
      </c>
      <c r="D154" s="345">
        <v>137.86000000000001</v>
      </c>
      <c r="E154" s="345">
        <v>81.81</v>
      </c>
      <c r="F154" s="345">
        <v>205.1</v>
      </c>
      <c r="G154" s="345">
        <v>15.92</v>
      </c>
      <c r="H154" s="345">
        <v>26.91</v>
      </c>
      <c r="I154" s="345">
        <v>86.11</v>
      </c>
      <c r="J154" s="345">
        <v>93.07</v>
      </c>
      <c r="K154" s="345">
        <v>288.64999999999998</v>
      </c>
      <c r="L154" s="345">
        <v>160.02000000000001</v>
      </c>
      <c r="M154" s="345">
        <v>88.16</v>
      </c>
      <c r="N154" s="345">
        <v>34.97</v>
      </c>
      <c r="O154" s="345">
        <v>12.29</v>
      </c>
      <c r="P154" s="345">
        <v>26.68</v>
      </c>
      <c r="Q154" s="345">
        <v>36.22</v>
      </c>
      <c r="R154" s="345">
        <v>34.46</v>
      </c>
      <c r="S154" s="345">
        <v>28.77</v>
      </c>
      <c r="T154" s="345">
        <v>26.16</v>
      </c>
      <c r="U154" s="345">
        <v>74.308999999999997</v>
      </c>
      <c r="V154" s="334"/>
      <c r="W154" s="334"/>
      <c r="X154" s="334"/>
      <c r="Y154" s="334"/>
      <c r="Z154" s="334"/>
      <c r="AA154" s="334"/>
      <c r="AB154" s="334"/>
      <c r="AC154" s="334"/>
      <c r="AD154" s="334"/>
      <c r="AE154" s="334"/>
      <c r="AF154" s="334"/>
      <c r="AG154" s="334"/>
      <c r="AH154" s="334"/>
      <c r="AI154" s="334"/>
      <c r="AJ154" s="334"/>
      <c r="AK154" s="334"/>
      <c r="AL154" s="334"/>
      <c r="AM154" s="334"/>
      <c r="AN154" s="334"/>
      <c r="AO154" s="334"/>
      <c r="AP154" s="334"/>
      <c r="AQ154" s="334"/>
      <c r="AR154" s="334"/>
      <c r="AS154" s="334"/>
      <c r="AT154" s="334"/>
      <c r="AU154" s="334"/>
      <c r="AV154" s="334"/>
      <c r="AW154" s="334"/>
      <c r="AX154" s="334"/>
      <c r="AY154" s="334"/>
      <c r="AZ154" s="334"/>
      <c r="BA154" s="334"/>
      <c r="BB154" s="334"/>
      <c r="BC154" s="334"/>
      <c r="BD154" s="334"/>
      <c r="BE154" s="334"/>
      <c r="BF154" s="334"/>
      <c r="BG154" s="334"/>
      <c r="BH154" s="334"/>
      <c r="BI154" s="334"/>
      <c r="BJ154" s="334"/>
      <c r="BK154" s="334"/>
      <c r="BL154" s="334"/>
      <c r="BM154" s="334"/>
      <c r="BN154" s="334"/>
      <c r="BO154" s="334"/>
      <c r="BP154" s="334"/>
      <c r="BQ154" s="334"/>
      <c r="BR154" s="334"/>
      <c r="BS154" s="334"/>
      <c r="BT154" s="334"/>
      <c r="BU154" s="334"/>
      <c r="BV154" s="334"/>
      <c r="BW154" s="334"/>
      <c r="BX154" s="334"/>
      <c r="BY154" s="334"/>
      <c r="BZ154" s="334"/>
      <c r="CA154" s="334"/>
      <c r="CB154" s="334"/>
      <c r="CC154" s="334"/>
      <c r="CD154" s="334"/>
      <c r="CE154" s="334"/>
      <c r="CF154" s="334"/>
      <c r="CG154" s="334"/>
      <c r="CH154" s="334"/>
      <c r="CI154" s="334"/>
      <c r="CJ154" s="334"/>
      <c r="CK154" s="334"/>
      <c r="CL154" s="334"/>
      <c r="CM154" s="334"/>
      <c r="CN154" s="334"/>
      <c r="CO154" s="334"/>
      <c r="CP154" s="334"/>
      <c r="CQ154" s="334"/>
      <c r="CR154" s="334"/>
      <c r="CS154" s="334"/>
      <c r="CT154" s="334"/>
      <c r="CU154" s="334"/>
      <c r="CV154" s="334"/>
      <c r="CW154" s="334"/>
      <c r="CX154" s="334"/>
      <c r="CY154" s="334"/>
      <c r="CZ154" s="334"/>
      <c r="DA154" s="334"/>
      <c r="DB154" s="334"/>
      <c r="DC154" s="334"/>
      <c r="DD154" s="334"/>
      <c r="DE154" s="334"/>
      <c r="DF154" s="334"/>
      <c r="DG154" s="334"/>
      <c r="DH154" s="334"/>
      <c r="DI154" s="334"/>
      <c r="DJ154" s="334"/>
      <c r="DK154" s="334"/>
      <c r="DL154" s="334"/>
      <c r="DM154" s="334"/>
      <c r="DN154" s="334"/>
      <c r="DO154" s="334"/>
      <c r="DP154" s="334"/>
      <c r="DQ154" s="334"/>
      <c r="DR154" s="334"/>
      <c r="DS154" s="334"/>
      <c r="DT154" s="334"/>
      <c r="DU154" s="334"/>
      <c r="DV154" s="334"/>
      <c r="DW154" s="334"/>
      <c r="DX154" s="334"/>
      <c r="DY154" s="334"/>
      <c r="DZ154" s="334"/>
      <c r="EA154" s="334"/>
      <c r="EB154" s="334"/>
      <c r="EC154" s="334"/>
      <c r="ED154" s="334"/>
      <c r="EE154" s="334"/>
      <c r="EF154" s="334"/>
      <c r="EG154" s="334"/>
      <c r="EH154" s="334"/>
      <c r="EI154" s="334"/>
      <c r="EJ154" s="334"/>
      <c r="EK154" s="334"/>
      <c r="EL154" s="334"/>
      <c r="EM154" s="334"/>
      <c r="EN154" s="334"/>
      <c r="EO154" s="334"/>
      <c r="EP154" s="334"/>
      <c r="EQ154" s="334"/>
      <c r="ER154" s="334"/>
      <c r="ES154" s="334"/>
      <c r="ET154" s="334"/>
      <c r="EU154" s="334"/>
      <c r="EV154" s="334"/>
      <c r="EW154" s="334"/>
      <c r="EX154" s="334"/>
      <c r="EY154" s="334"/>
      <c r="EZ154" s="334"/>
      <c r="FA154" s="334"/>
      <c r="FB154" s="334"/>
      <c r="FC154" s="334"/>
      <c r="FD154" s="334"/>
      <c r="FE154" s="334"/>
      <c r="FF154" s="334"/>
      <c r="FG154" s="334"/>
      <c r="FH154" s="334"/>
      <c r="FI154" s="334"/>
      <c r="FJ154" s="334"/>
      <c r="FK154" s="334"/>
      <c r="FL154" s="334"/>
      <c r="FM154" s="334"/>
      <c r="FN154" s="334"/>
      <c r="FO154" s="334"/>
      <c r="FP154" s="334"/>
      <c r="FQ154" s="334"/>
      <c r="FR154" s="334"/>
      <c r="FS154" s="334"/>
      <c r="FT154" s="334"/>
      <c r="FU154" s="334"/>
      <c r="FV154" s="334"/>
      <c r="FW154" s="334"/>
      <c r="FX154" s="334"/>
      <c r="FY154" s="334"/>
      <c r="FZ154" s="334"/>
      <c r="GA154" s="334"/>
      <c r="GB154" s="334"/>
      <c r="GC154" s="334"/>
      <c r="GD154" s="334"/>
      <c r="GE154" s="334"/>
      <c r="GF154" s="334"/>
      <c r="GG154" s="334"/>
      <c r="GH154" s="334"/>
      <c r="GI154" s="334"/>
      <c r="GJ154" s="334"/>
      <c r="GK154" s="334"/>
      <c r="GL154" s="334"/>
      <c r="GM154" s="334"/>
      <c r="GN154" s="334"/>
      <c r="GO154" s="334"/>
      <c r="GP154" s="334"/>
      <c r="GQ154" s="334"/>
      <c r="GR154" s="334"/>
      <c r="GS154" s="334"/>
      <c r="GT154" s="334"/>
      <c r="GU154" s="334"/>
      <c r="GV154" s="334"/>
      <c r="GW154" s="334"/>
      <c r="GX154" s="334"/>
      <c r="GY154" s="334"/>
      <c r="GZ154" s="334"/>
      <c r="HA154" s="334"/>
      <c r="HB154" s="334"/>
      <c r="HC154" s="334"/>
      <c r="HD154" s="334"/>
      <c r="HE154" s="334"/>
      <c r="HF154" s="334"/>
      <c r="HG154" s="334"/>
      <c r="HH154" s="334"/>
      <c r="HI154" s="334"/>
      <c r="HJ154" s="334"/>
      <c r="HK154" s="334"/>
      <c r="HL154" s="334"/>
      <c r="HM154" s="334"/>
      <c r="HN154" s="334"/>
      <c r="HO154" s="334"/>
      <c r="HP154" s="334"/>
      <c r="HQ154" s="334"/>
      <c r="HR154" s="334"/>
      <c r="HS154" s="334"/>
      <c r="HT154" s="334"/>
      <c r="HU154" s="334"/>
      <c r="HV154" s="334"/>
      <c r="HW154" s="334"/>
      <c r="HX154" s="334"/>
      <c r="HY154" s="334"/>
      <c r="HZ154" s="334"/>
      <c r="IA154" s="334"/>
      <c r="IB154" s="334"/>
      <c r="IC154" s="334"/>
      <c r="ID154" s="334"/>
      <c r="IE154" s="334"/>
      <c r="IF154" s="334"/>
      <c r="IG154" s="334"/>
      <c r="IH154" s="334"/>
      <c r="II154" s="334"/>
      <c r="IJ154" s="334"/>
      <c r="IK154" s="334"/>
      <c r="IL154" s="334"/>
      <c r="IM154" s="334"/>
      <c r="IN154" s="334"/>
      <c r="IO154" s="334"/>
      <c r="IP154" s="334"/>
      <c r="IQ154" s="334"/>
      <c r="IR154" s="334"/>
    </row>
    <row r="155" spans="1:252" s="368" customFormat="1" x14ac:dyDescent="0.25">
      <c r="A155" s="366">
        <v>43800</v>
      </c>
      <c r="B155" s="345">
        <v>84.29</v>
      </c>
      <c r="C155" s="345">
        <v>27.08</v>
      </c>
      <c r="D155" s="345">
        <v>137.86000000000001</v>
      </c>
      <c r="E155" s="345">
        <v>81.81</v>
      </c>
      <c r="F155" s="345">
        <v>205.1</v>
      </c>
      <c r="G155" s="345">
        <v>15.92</v>
      </c>
      <c r="H155" s="345">
        <v>26.91</v>
      </c>
      <c r="I155" s="345">
        <v>86.11</v>
      </c>
      <c r="J155" s="345">
        <v>93.07</v>
      </c>
      <c r="K155" s="345">
        <v>288.64999999999998</v>
      </c>
      <c r="L155" s="345">
        <v>160.02000000000001</v>
      </c>
      <c r="M155" s="345">
        <v>88.16</v>
      </c>
      <c r="N155" s="345">
        <v>34.97</v>
      </c>
      <c r="O155" s="345">
        <v>12.29</v>
      </c>
      <c r="P155" s="345">
        <v>26.68</v>
      </c>
      <c r="Q155" s="345">
        <v>36.22</v>
      </c>
      <c r="R155" s="345">
        <v>34.46</v>
      </c>
      <c r="S155" s="345">
        <v>28.77</v>
      </c>
      <c r="T155" s="345">
        <v>26.16</v>
      </c>
      <c r="U155" s="345">
        <v>74.308999999999997</v>
      </c>
      <c r="V155" s="334"/>
      <c r="W155" s="334"/>
      <c r="X155" s="334"/>
      <c r="Y155" s="334"/>
      <c r="Z155" s="334"/>
      <c r="AA155" s="334"/>
      <c r="AB155" s="334"/>
      <c r="AC155" s="334"/>
      <c r="AD155" s="334"/>
      <c r="AE155" s="334"/>
      <c r="AF155" s="334"/>
      <c r="AG155" s="334"/>
      <c r="AH155" s="334"/>
      <c r="AI155" s="334"/>
      <c r="AJ155" s="334"/>
      <c r="AK155" s="334"/>
      <c r="AL155" s="334"/>
      <c r="AM155" s="334"/>
      <c r="AN155" s="334"/>
      <c r="AO155" s="334"/>
      <c r="AP155" s="334"/>
      <c r="AQ155" s="334"/>
      <c r="AR155" s="334"/>
      <c r="AS155" s="334"/>
      <c r="AT155" s="334"/>
      <c r="AU155" s="334"/>
      <c r="AV155" s="334"/>
      <c r="AW155" s="334"/>
      <c r="AX155" s="334"/>
      <c r="AY155" s="334"/>
      <c r="AZ155" s="334"/>
      <c r="BA155" s="334"/>
      <c r="BB155" s="334"/>
      <c r="BC155" s="334"/>
      <c r="BD155" s="334"/>
      <c r="BE155" s="334"/>
      <c r="BF155" s="334"/>
      <c r="BG155" s="334"/>
      <c r="BH155" s="334"/>
      <c r="BI155" s="334"/>
      <c r="BJ155" s="334"/>
      <c r="BK155" s="334"/>
      <c r="BL155" s="334"/>
      <c r="BM155" s="334"/>
      <c r="BN155" s="334"/>
      <c r="BO155" s="334"/>
      <c r="BP155" s="334"/>
      <c r="BQ155" s="334"/>
      <c r="BR155" s="334"/>
      <c r="BS155" s="334"/>
      <c r="BT155" s="334"/>
      <c r="BU155" s="334"/>
      <c r="BV155" s="334"/>
      <c r="BW155" s="334"/>
      <c r="BX155" s="334"/>
      <c r="BY155" s="334"/>
      <c r="BZ155" s="334"/>
      <c r="CA155" s="334"/>
      <c r="CB155" s="334"/>
      <c r="CC155" s="334"/>
      <c r="CD155" s="334"/>
      <c r="CE155" s="334"/>
      <c r="CF155" s="334"/>
      <c r="CG155" s="334"/>
      <c r="CH155" s="334"/>
      <c r="CI155" s="334"/>
      <c r="CJ155" s="334"/>
      <c r="CK155" s="334"/>
      <c r="CL155" s="334"/>
      <c r="CM155" s="334"/>
      <c r="CN155" s="334"/>
      <c r="CO155" s="334"/>
      <c r="CP155" s="334"/>
      <c r="CQ155" s="334"/>
      <c r="CR155" s="334"/>
      <c r="CS155" s="334"/>
      <c r="CT155" s="334"/>
      <c r="CU155" s="334"/>
      <c r="CV155" s="334"/>
      <c r="CW155" s="334"/>
      <c r="CX155" s="334"/>
      <c r="CY155" s="334"/>
      <c r="CZ155" s="334"/>
      <c r="DA155" s="334"/>
      <c r="DB155" s="334"/>
      <c r="DC155" s="334"/>
      <c r="DD155" s="334"/>
      <c r="DE155" s="334"/>
      <c r="DF155" s="334"/>
      <c r="DG155" s="334"/>
      <c r="DH155" s="334"/>
      <c r="DI155" s="334"/>
      <c r="DJ155" s="334"/>
      <c r="DK155" s="334"/>
      <c r="DL155" s="334"/>
      <c r="DM155" s="334"/>
      <c r="DN155" s="334"/>
      <c r="DO155" s="334"/>
      <c r="DP155" s="334"/>
      <c r="DQ155" s="334"/>
      <c r="DR155" s="334"/>
      <c r="DS155" s="334"/>
      <c r="DT155" s="334"/>
      <c r="DU155" s="334"/>
      <c r="DV155" s="334"/>
      <c r="DW155" s="334"/>
      <c r="DX155" s="334"/>
      <c r="DY155" s="334"/>
      <c r="DZ155" s="334"/>
      <c r="EA155" s="334"/>
      <c r="EB155" s="334"/>
      <c r="EC155" s="334"/>
      <c r="ED155" s="334"/>
      <c r="EE155" s="334"/>
      <c r="EF155" s="334"/>
      <c r="EG155" s="334"/>
      <c r="EH155" s="334"/>
      <c r="EI155" s="334"/>
      <c r="EJ155" s="334"/>
      <c r="EK155" s="334"/>
      <c r="EL155" s="334"/>
      <c r="EM155" s="334"/>
      <c r="EN155" s="334"/>
      <c r="EO155" s="334"/>
      <c r="EP155" s="334"/>
      <c r="EQ155" s="334"/>
      <c r="ER155" s="334"/>
      <c r="ES155" s="334"/>
      <c r="ET155" s="334"/>
      <c r="EU155" s="334"/>
      <c r="EV155" s="334"/>
      <c r="EW155" s="334"/>
      <c r="EX155" s="334"/>
      <c r="EY155" s="334"/>
      <c r="EZ155" s="334"/>
      <c r="FA155" s="334"/>
      <c r="FB155" s="334"/>
      <c r="FC155" s="334"/>
      <c r="FD155" s="334"/>
      <c r="FE155" s="334"/>
      <c r="FF155" s="334"/>
      <c r="FG155" s="334"/>
      <c r="FH155" s="334"/>
      <c r="FI155" s="334"/>
      <c r="FJ155" s="334"/>
      <c r="FK155" s="334"/>
      <c r="FL155" s="334"/>
      <c r="FM155" s="334"/>
      <c r="FN155" s="334"/>
      <c r="FO155" s="334"/>
      <c r="FP155" s="334"/>
      <c r="FQ155" s="334"/>
      <c r="FR155" s="334"/>
      <c r="FS155" s="334"/>
      <c r="FT155" s="334"/>
      <c r="FU155" s="334"/>
      <c r="FV155" s="334"/>
      <c r="FW155" s="334"/>
      <c r="FX155" s="334"/>
      <c r="FY155" s="334"/>
      <c r="FZ155" s="334"/>
      <c r="GA155" s="334"/>
      <c r="GB155" s="334"/>
      <c r="GC155" s="334"/>
      <c r="GD155" s="334"/>
      <c r="GE155" s="334"/>
      <c r="GF155" s="334"/>
      <c r="GG155" s="334"/>
      <c r="GH155" s="334"/>
      <c r="GI155" s="334"/>
      <c r="GJ155" s="334"/>
      <c r="GK155" s="334"/>
      <c r="GL155" s="334"/>
      <c r="GM155" s="334"/>
      <c r="GN155" s="334"/>
      <c r="GO155" s="334"/>
      <c r="GP155" s="334"/>
      <c r="GQ155" s="334"/>
      <c r="GR155" s="334"/>
      <c r="GS155" s="334"/>
      <c r="GT155" s="334"/>
      <c r="GU155" s="334"/>
      <c r="GV155" s="334"/>
      <c r="GW155" s="334"/>
      <c r="GX155" s="334"/>
      <c r="GY155" s="334"/>
      <c r="GZ155" s="334"/>
      <c r="HA155" s="334"/>
      <c r="HB155" s="334"/>
      <c r="HC155" s="334"/>
      <c r="HD155" s="334"/>
      <c r="HE155" s="334"/>
      <c r="HF155" s="334"/>
      <c r="HG155" s="334"/>
      <c r="HH155" s="334"/>
      <c r="HI155" s="334"/>
      <c r="HJ155" s="334"/>
      <c r="HK155" s="334"/>
      <c r="HL155" s="334"/>
      <c r="HM155" s="334"/>
      <c r="HN155" s="334"/>
      <c r="HO155" s="334"/>
      <c r="HP155" s="334"/>
      <c r="HQ155" s="334"/>
      <c r="HR155" s="334"/>
      <c r="HS155" s="334"/>
      <c r="HT155" s="334"/>
      <c r="HU155" s="334"/>
      <c r="HV155" s="334"/>
      <c r="HW155" s="334"/>
      <c r="HX155" s="334"/>
      <c r="HY155" s="334"/>
      <c r="HZ155" s="334"/>
      <c r="IA155" s="334"/>
      <c r="IB155" s="334"/>
      <c r="IC155" s="334"/>
      <c r="ID155" s="334"/>
      <c r="IE155" s="334"/>
      <c r="IF155" s="334"/>
      <c r="IG155" s="334"/>
      <c r="IH155" s="334"/>
      <c r="II155" s="334"/>
      <c r="IJ155" s="334"/>
      <c r="IK155" s="334"/>
      <c r="IL155" s="334"/>
      <c r="IM155" s="334"/>
      <c r="IN155" s="334"/>
      <c r="IO155" s="334"/>
      <c r="IP155" s="334"/>
      <c r="IQ155" s="334"/>
      <c r="IR155" s="334"/>
    </row>
    <row r="156" spans="1:252" x14ac:dyDescent="0.25">
      <c r="A156" s="364">
        <v>43801</v>
      </c>
      <c r="B156" s="345">
        <v>83.89</v>
      </c>
      <c r="C156" s="345">
        <v>27.17</v>
      </c>
      <c r="D156" s="345">
        <v>137.79</v>
      </c>
      <c r="E156" s="345">
        <v>80.900000000000006</v>
      </c>
      <c r="F156" s="345">
        <v>203</v>
      </c>
      <c r="G156" s="345">
        <v>15.8</v>
      </c>
      <c r="H156" s="345">
        <v>26.8</v>
      </c>
      <c r="I156" s="345">
        <v>84.82</v>
      </c>
      <c r="J156" s="345">
        <v>91.66</v>
      </c>
      <c r="K156" s="345">
        <v>286.3</v>
      </c>
      <c r="L156" s="345">
        <v>158.57</v>
      </c>
      <c r="M156" s="345">
        <v>86.9</v>
      </c>
      <c r="N156" s="345">
        <v>34.67</v>
      </c>
      <c r="O156" s="345">
        <v>12.27</v>
      </c>
      <c r="P156" s="345">
        <v>26.48</v>
      </c>
      <c r="Q156" s="345">
        <v>36.090000000000003</v>
      </c>
      <c r="R156" s="345">
        <v>34.32</v>
      </c>
      <c r="S156" s="345">
        <v>28.9</v>
      </c>
      <c r="T156" s="345">
        <v>26.07</v>
      </c>
      <c r="U156" s="345">
        <v>74.177400000000006</v>
      </c>
    </row>
    <row r="157" spans="1:252" x14ac:dyDescent="0.25">
      <c r="A157" s="364">
        <v>43802</v>
      </c>
      <c r="B157" s="345">
        <v>84.34</v>
      </c>
      <c r="C157" s="345">
        <v>27.77</v>
      </c>
      <c r="D157" s="345">
        <v>139.11000000000001</v>
      </c>
      <c r="E157" s="345">
        <v>80.569999999999993</v>
      </c>
      <c r="F157" s="345">
        <v>201.41</v>
      </c>
      <c r="G157" s="345">
        <v>16.05</v>
      </c>
      <c r="H157" s="345">
        <v>26.77</v>
      </c>
      <c r="I157" s="345">
        <v>86.5</v>
      </c>
      <c r="J157" s="345">
        <v>92.25</v>
      </c>
      <c r="K157" s="345">
        <v>284.29000000000002</v>
      </c>
      <c r="L157" s="345">
        <v>157.63</v>
      </c>
      <c r="M157" s="345">
        <v>86.13</v>
      </c>
      <c r="N157" s="345">
        <v>34.42</v>
      </c>
      <c r="O157" s="345">
        <v>12.42</v>
      </c>
      <c r="P157" s="345">
        <v>26.42</v>
      </c>
      <c r="Q157" s="345">
        <v>36.049999999999997</v>
      </c>
      <c r="R157" s="345">
        <v>34.14</v>
      </c>
      <c r="S157" s="345">
        <v>29.3</v>
      </c>
      <c r="T157" s="345">
        <v>26.19</v>
      </c>
      <c r="U157" s="345">
        <v>74.178299999999993</v>
      </c>
    </row>
    <row r="158" spans="1:252" x14ac:dyDescent="0.25">
      <c r="A158" s="364">
        <v>43803</v>
      </c>
      <c r="B158" s="345">
        <v>84.17</v>
      </c>
      <c r="C158" s="345">
        <v>27.48</v>
      </c>
      <c r="D158" s="345">
        <v>138.91999999999999</v>
      </c>
      <c r="E158" s="345">
        <v>81.2</v>
      </c>
      <c r="F158" s="345">
        <v>202.43</v>
      </c>
      <c r="G158" s="345">
        <v>15.76</v>
      </c>
      <c r="H158" s="345">
        <v>26.74</v>
      </c>
      <c r="I158" s="345">
        <v>85.68</v>
      </c>
      <c r="J158" s="345">
        <v>92.63</v>
      </c>
      <c r="K158" s="345">
        <v>286.11</v>
      </c>
      <c r="L158" s="345">
        <v>158.65</v>
      </c>
      <c r="M158" s="345">
        <v>86.48</v>
      </c>
      <c r="N158" s="345">
        <v>34.64</v>
      </c>
      <c r="O158" s="345">
        <v>12.38</v>
      </c>
      <c r="P158" s="345">
        <v>26.39</v>
      </c>
      <c r="Q158" s="345">
        <v>35.92</v>
      </c>
      <c r="R158" s="345">
        <v>34.15</v>
      </c>
      <c r="S158" s="345">
        <v>28.95</v>
      </c>
      <c r="T158" s="345">
        <v>26.05</v>
      </c>
      <c r="U158" s="345">
        <v>74.77</v>
      </c>
    </row>
    <row r="159" spans="1:252" x14ac:dyDescent="0.25">
      <c r="A159" s="364">
        <v>43804</v>
      </c>
      <c r="B159" s="345">
        <v>84.08</v>
      </c>
      <c r="C159" s="345">
        <v>27.62</v>
      </c>
      <c r="D159" s="345">
        <v>139</v>
      </c>
      <c r="E159" s="345">
        <v>81.47</v>
      </c>
      <c r="F159" s="345">
        <v>202.83</v>
      </c>
      <c r="G159" s="345">
        <v>15.85</v>
      </c>
      <c r="H159" s="345">
        <v>26.68</v>
      </c>
      <c r="I159" s="345">
        <v>85.34</v>
      </c>
      <c r="J159" s="345">
        <v>92.68</v>
      </c>
      <c r="K159" s="345">
        <v>286.64</v>
      </c>
      <c r="L159" s="345">
        <v>158.88</v>
      </c>
      <c r="M159" s="345">
        <v>86.8</v>
      </c>
      <c r="N159" s="345">
        <v>34.700000000000003</v>
      </c>
      <c r="O159" s="345">
        <v>12.39</v>
      </c>
      <c r="P159" s="345">
        <v>26.34</v>
      </c>
      <c r="Q159" s="345">
        <v>36.26</v>
      </c>
      <c r="R159" s="345">
        <v>34.04</v>
      </c>
      <c r="S159" s="345">
        <v>29.17</v>
      </c>
      <c r="T159" s="345">
        <v>25.94</v>
      </c>
      <c r="U159" s="345">
        <v>74.830600000000004</v>
      </c>
    </row>
    <row r="160" spans="1:252" x14ac:dyDescent="0.25">
      <c r="A160" s="364">
        <v>43805</v>
      </c>
      <c r="B160" s="345">
        <v>83.97</v>
      </c>
      <c r="C160" s="345">
        <v>26.97</v>
      </c>
      <c r="D160" s="345">
        <v>137.62</v>
      </c>
      <c r="E160" s="345">
        <v>82.61</v>
      </c>
      <c r="F160" s="345">
        <v>205</v>
      </c>
      <c r="G160" s="345">
        <v>15.48</v>
      </c>
      <c r="H160" s="345">
        <v>26.78</v>
      </c>
      <c r="I160" s="345">
        <v>84.79</v>
      </c>
      <c r="J160" s="345">
        <v>92.87</v>
      </c>
      <c r="K160" s="345">
        <v>289.19</v>
      </c>
      <c r="L160" s="345">
        <v>160.29</v>
      </c>
      <c r="M160" s="345">
        <v>87.76</v>
      </c>
      <c r="N160" s="345">
        <v>35.01</v>
      </c>
      <c r="O160" s="345">
        <v>12.26</v>
      </c>
      <c r="P160" s="345">
        <v>26.62</v>
      </c>
      <c r="Q160" s="345">
        <v>36.270000000000003</v>
      </c>
      <c r="R160" s="345">
        <v>34.340000000000003</v>
      </c>
      <c r="S160" s="345">
        <v>28.52</v>
      </c>
      <c r="T160" s="345">
        <v>25.95</v>
      </c>
      <c r="U160" s="345">
        <v>74.39</v>
      </c>
    </row>
    <row r="161" spans="1:252" s="368" customFormat="1" x14ac:dyDescent="0.25">
      <c r="A161" s="366">
        <v>43806</v>
      </c>
      <c r="B161" s="345">
        <v>83.97</v>
      </c>
      <c r="C161" s="345">
        <v>26.97</v>
      </c>
      <c r="D161" s="345">
        <v>137.62</v>
      </c>
      <c r="E161" s="345">
        <v>82.61</v>
      </c>
      <c r="F161" s="345">
        <v>205</v>
      </c>
      <c r="G161" s="345">
        <v>15.48</v>
      </c>
      <c r="H161" s="345">
        <v>26.78</v>
      </c>
      <c r="I161" s="345">
        <v>84.79</v>
      </c>
      <c r="J161" s="345">
        <v>92.87</v>
      </c>
      <c r="K161" s="345">
        <v>289.19</v>
      </c>
      <c r="L161" s="345">
        <v>160.29</v>
      </c>
      <c r="M161" s="345">
        <v>87.76</v>
      </c>
      <c r="N161" s="345">
        <v>35.01</v>
      </c>
      <c r="O161" s="345">
        <v>12.26</v>
      </c>
      <c r="P161" s="345">
        <v>26.62</v>
      </c>
      <c r="Q161" s="345">
        <v>36.270000000000003</v>
      </c>
      <c r="R161" s="345">
        <v>34.340000000000003</v>
      </c>
      <c r="S161" s="345">
        <v>28.52</v>
      </c>
      <c r="T161" s="345">
        <v>25.95</v>
      </c>
      <c r="U161" s="345">
        <v>74.39</v>
      </c>
      <c r="V161" s="334"/>
      <c r="W161" s="334"/>
      <c r="X161" s="334"/>
      <c r="Y161" s="334"/>
      <c r="Z161" s="334"/>
      <c r="AA161" s="334"/>
      <c r="AB161" s="334"/>
      <c r="AC161" s="334"/>
      <c r="AD161" s="334"/>
      <c r="AE161" s="334"/>
      <c r="AF161" s="334"/>
      <c r="AG161" s="334"/>
      <c r="AH161" s="334"/>
      <c r="AI161" s="334"/>
      <c r="AJ161" s="334"/>
      <c r="AK161" s="334"/>
      <c r="AL161" s="334"/>
      <c r="AM161" s="334"/>
      <c r="AN161" s="334"/>
      <c r="AO161" s="334"/>
      <c r="AP161" s="334"/>
      <c r="AQ161" s="334"/>
      <c r="AR161" s="334"/>
      <c r="AS161" s="334"/>
      <c r="AT161" s="334"/>
      <c r="AU161" s="334"/>
      <c r="AV161" s="334"/>
      <c r="AW161" s="334"/>
      <c r="AX161" s="334"/>
      <c r="AY161" s="334"/>
      <c r="AZ161" s="334"/>
      <c r="BA161" s="334"/>
      <c r="BB161" s="334"/>
      <c r="BC161" s="334"/>
      <c r="BD161" s="334"/>
      <c r="BE161" s="334"/>
      <c r="BF161" s="334"/>
      <c r="BG161" s="334"/>
      <c r="BH161" s="334"/>
      <c r="BI161" s="334"/>
      <c r="BJ161" s="334"/>
      <c r="BK161" s="334"/>
      <c r="BL161" s="334"/>
      <c r="BM161" s="334"/>
      <c r="BN161" s="334"/>
      <c r="BO161" s="334"/>
      <c r="BP161" s="334"/>
      <c r="BQ161" s="334"/>
      <c r="BR161" s="334"/>
      <c r="BS161" s="334"/>
      <c r="BT161" s="334"/>
      <c r="BU161" s="334"/>
      <c r="BV161" s="334"/>
      <c r="BW161" s="334"/>
      <c r="BX161" s="334"/>
      <c r="BY161" s="334"/>
      <c r="BZ161" s="334"/>
      <c r="CA161" s="334"/>
      <c r="CB161" s="334"/>
      <c r="CC161" s="334"/>
      <c r="CD161" s="334"/>
      <c r="CE161" s="334"/>
      <c r="CF161" s="334"/>
      <c r="CG161" s="334"/>
      <c r="CH161" s="334"/>
      <c r="CI161" s="334"/>
      <c r="CJ161" s="334"/>
      <c r="CK161" s="334"/>
      <c r="CL161" s="334"/>
      <c r="CM161" s="334"/>
      <c r="CN161" s="334"/>
      <c r="CO161" s="334"/>
      <c r="CP161" s="334"/>
      <c r="CQ161" s="334"/>
      <c r="CR161" s="334"/>
      <c r="CS161" s="334"/>
      <c r="CT161" s="334"/>
      <c r="CU161" s="334"/>
      <c r="CV161" s="334"/>
      <c r="CW161" s="334"/>
      <c r="CX161" s="334"/>
      <c r="CY161" s="334"/>
      <c r="CZ161" s="334"/>
      <c r="DA161" s="334"/>
      <c r="DB161" s="334"/>
      <c r="DC161" s="334"/>
      <c r="DD161" s="334"/>
      <c r="DE161" s="334"/>
      <c r="DF161" s="334"/>
      <c r="DG161" s="334"/>
      <c r="DH161" s="334"/>
      <c r="DI161" s="334"/>
      <c r="DJ161" s="334"/>
      <c r="DK161" s="334"/>
      <c r="DL161" s="334"/>
      <c r="DM161" s="334"/>
      <c r="DN161" s="334"/>
      <c r="DO161" s="334"/>
      <c r="DP161" s="334"/>
      <c r="DQ161" s="334"/>
      <c r="DR161" s="334"/>
      <c r="DS161" s="334"/>
      <c r="DT161" s="334"/>
      <c r="DU161" s="334"/>
      <c r="DV161" s="334"/>
      <c r="DW161" s="334"/>
      <c r="DX161" s="334"/>
      <c r="DY161" s="334"/>
      <c r="DZ161" s="334"/>
      <c r="EA161" s="334"/>
      <c r="EB161" s="334"/>
      <c r="EC161" s="334"/>
      <c r="ED161" s="334"/>
      <c r="EE161" s="334"/>
      <c r="EF161" s="334"/>
      <c r="EG161" s="334"/>
      <c r="EH161" s="334"/>
      <c r="EI161" s="334"/>
      <c r="EJ161" s="334"/>
      <c r="EK161" s="334"/>
      <c r="EL161" s="334"/>
      <c r="EM161" s="334"/>
      <c r="EN161" s="334"/>
      <c r="EO161" s="334"/>
      <c r="EP161" s="334"/>
      <c r="EQ161" s="334"/>
      <c r="ER161" s="334"/>
      <c r="ES161" s="334"/>
      <c r="ET161" s="334"/>
      <c r="EU161" s="334"/>
      <c r="EV161" s="334"/>
      <c r="EW161" s="334"/>
      <c r="EX161" s="334"/>
      <c r="EY161" s="334"/>
      <c r="EZ161" s="334"/>
      <c r="FA161" s="334"/>
      <c r="FB161" s="334"/>
      <c r="FC161" s="334"/>
      <c r="FD161" s="334"/>
      <c r="FE161" s="334"/>
      <c r="FF161" s="334"/>
      <c r="FG161" s="334"/>
      <c r="FH161" s="334"/>
      <c r="FI161" s="334"/>
      <c r="FJ161" s="334"/>
      <c r="FK161" s="334"/>
      <c r="FL161" s="334"/>
      <c r="FM161" s="334"/>
      <c r="FN161" s="334"/>
      <c r="FO161" s="334"/>
      <c r="FP161" s="334"/>
      <c r="FQ161" s="334"/>
      <c r="FR161" s="334"/>
      <c r="FS161" s="334"/>
      <c r="FT161" s="334"/>
      <c r="FU161" s="334"/>
      <c r="FV161" s="334"/>
      <c r="FW161" s="334"/>
      <c r="FX161" s="334"/>
      <c r="FY161" s="334"/>
      <c r="FZ161" s="334"/>
      <c r="GA161" s="334"/>
      <c r="GB161" s="334"/>
      <c r="GC161" s="334"/>
      <c r="GD161" s="334"/>
      <c r="GE161" s="334"/>
      <c r="GF161" s="334"/>
      <c r="GG161" s="334"/>
      <c r="GH161" s="334"/>
      <c r="GI161" s="334"/>
      <c r="GJ161" s="334"/>
      <c r="GK161" s="334"/>
      <c r="GL161" s="334"/>
      <c r="GM161" s="334"/>
      <c r="GN161" s="334"/>
      <c r="GO161" s="334"/>
      <c r="GP161" s="334"/>
      <c r="GQ161" s="334"/>
      <c r="GR161" s="334"/>
      <c r="GS161" s="334"/>
      <c r="GT161" s="334"/>
      <c r="GU161" s="334"/>
      <c r="GV161" s="334"/>
      <c r="GW161" s="334"/>
      <c r="GX161" s="334"/>
      <c r="GY161" s="334"/>
      <c r="GZ161" s="334"/>
      <c r="HA161" s="334"/>
      <c r="HB161" s="334"/>
      <c r="HC161" s="334"/>
      <c r="HD161" s="334"/>
      <c r="HE161" s="334"/>
      <c r="HF161" s="334"/>
      <c r="HG161" s="334"/>
      <c r="HH161" s="334"/>
      <c r="HI161" s="334"/>
      <c r="HJ161" s="334"/>
      <c r="HK161" s="334"/>
      <c r="HL161" s="334"/>
      <c r="HM161" s="334"/>
      <c r="HN161" s="334"/>
      <c r="HO161" s="334"/>
      <c r="HP161" s="334"/>
      <c r="HQ161" s="334"/>
      <c r="HR161" s="334"/>
      <c r="HS161" s="334"/>
      <c r="HT161" s="334"/>
      <c r="HU161" s="334"/>
      <c r="HV161" s="334"/>
      <c r="HW161" s="334"/>
      <c r="HX161" s="334"/>
      <c r="HY161" s="334"/>
      <c r="HZ161" s="334"/>
      <c r="IA161" s="334"/>
      <c r="IB161" s="334"/>
      <c r="IC161" s="334"/>
      <c r="ID161" s="334"/>
      <c r="IE161" s="334"/>
      <c r="IF161" s="334"/>
      <c r="IG161" s="334"/>
      <c r="IH161" s="334"/>
      <c r="II161" s="334"/>
      <c r="IJ161" s="334"/>
      <c r="IK161" s="334"/>
      <c r="IL161" s="334"/>
      <c r="IM161" s="334"/>
      <c r="IN161" s="334"/>
      <c r="IO161" s="334"/>
      <c r="IP161" s="334"/>
      <c r="IQ161" s="334"/>
      <c r="IR161" s="334"/>
    </row>
    <row r="162" spans="1:252" s="368" customFormat="1" x14ac:dyDescent="0.25">
      <c r="A162" s="366">
        <v>43807</v>
      </c>
      <c r="B162" s="345">
        <v>83.97</v>
      </c>
      <c r="C162" s="345">
        <v>26.97</v>
      </c>
      <c r="D162" s="345">
        <v>137.62</v>
      </c>
      <c r="E162" s="345">
        <v>82.61</v>
      </c>
      <c r="F162" s="345">
        <v>205</v>
      </c>
      <c r="G162" s="345">
        <v>15.48</v>
      </c>
      <c r="H162" s="345">
        <v>26.78</v>
      </c>
      <c r="I162" s="345">
        <v>84.79</v>
      </c>
      <c r="J162" s="345">
        <v>92.87</v>
      </c>
      <c r="K162" s="345">
        <v>289.19</v>
      </c>
      <c r="L162" s="345">
        <v>160.29</v>
      </c>
      <c r="M162" s="345">
        <v>87.76</v>
      </c>
      <c r="N162" s="345">
        <v>35.01</v>
      </c>
      <c r="O162" s="345">
        <v>12.26</v>
      </c>
      <c r="P162" s="345">
        <v>26.62</v>
      </c>
      <c r="Q162" s="345">
        <v>36.270000000000003</v>
      </c>
      <c r="R162" s="345">
        <v>34.340000000000003</v>
      </c>
      <c r="S162" s="345">
        <v>28.52</v>
      </c>
      <c r="T162" s="345">
        <v>25.95</v>
      </c>
      <c r="U162" s="345">
        <v>74.39</v>
      </c>
      <c r="V162" s="334"/>
      <c r="W162" s="334"/>
      <c r="X162" s="334"/>
      <c r="Y162" s="334"/>
      <c r="Z162" s="334"/>
      <c r="AA162" s="334"/>
      <c r="AB162" s="334"/>
      <c r="AC162" s="334"/>
      <c r="AD162" s="334"/>
      <c r="AE162" s="334"/>
      <c r="AF162" s="334"/>
      <c r="AG162" s="334"/>
      <c r="AH162" s="334"/>
      <c r="AI162" s="334"/>
      <c r="AJ162" s="334"/>
      <c r="AK162" s="334"/>
      <c r="AL162" s="334"/>
      <c r="AM162" s="334"/>
      <c r="AN162" s="334"/>
      <c r="AO162" s="334"/>
      <c r="AP162" s="334"/>
      <c r="AQ162" s="334"/>
      <c r="AR162" s="334"/>
      <c r="AS162" s="334"/>
      <c r="AT162" s="334"/>
      <c r="AU162" s="334"/>
      <c r="AV162" s="334"/>
      <c r="AW162" s="334"/>
      <c r="AX162" s="334"/>
      <c r="AY162" s="334"/>
      <c r="AZ162" s="334"/>
      <c r="BA162" s="334"/>
      <c r="BB162" s="334"/>
      <c r="BC162" s="334"/>
      <c r="BD162" s="334"/>
      <c r="BE162" s="334"/>
      <c r="BF162" s="334"/>
      <c r="BG162" s="334"/>
      <c r="BH162" s="334"/>
      <c r="BI162" s="334"/>
      <c r="BJ162" s="334"/>
      <c r="BK162" s="334"/>
      <c r="BL162" s="334"/>
      <c r="BM162" s="334"/>
      <c r="BN162" s="334"/>
      <c r="BO162" s="334"/>
      <c r="BP162" s="334"/>
      <c r="BQ162" s="334"/>
      <c r="BR162" s="334"/>
      <c r="BS162" s="334"/>
      <c r="BT162" s="334"/>
      <c r="BU162" s="334"/>
      <c r="BV162" s="334"/>
      <c r="BW162" s="334"/>
      <c r="BX162" s="334"/>
      <c r="BY162" s="334"/>
      <c r="BZ162" s="334"/>
      <c r="CA162" s="334"/>
      <c r="CB162" s="334"/>
      <c r="CC162" s="334"/>
      <c r="CD162" s="334"/>
      <c r="CE162" s="334"/>
      <c r="CF162" s="334"/>
      <c r="CG162" s="334"/>
      <c r="CH162" s="334"/>
      <c r="CI162" s="334"/>
      <c r="CJ162" s="334"/>
      <c r="CK162" s="334"/>
      <c r="CL162" s="334"/>
      <c r="CM162" s="334"/>
      <c r="CN162" s="334"/>
      <c r="CO162" s="334"/>
      <c r="CP162" s="334"/>
      <c r="CQ162" s="334"/>
      <c r="CR162" s="334"/>
      <c r="CS162" s="334"/>
      <c r="CT162" s="334"/>
      <c r="CU162" s="334"/>
      <c r="CV162" s="334"/>
      <c r="CW162" s="334"/>
      <c r="CX162" s="334"/>
      <c r="CY162" s="334"/>
      <c r="CZ162" s="334"/>
      <c r="DA162" s="334"/>
      <c r="DB162" s="334"/>
      <c r="DC162" s="334"/>
      <c r="DD162" s="334"/>
      <c r="DE162" s="334"/>
      <c r="DF162" s="334"/>
      <c r="DG162" s="334"/>
      <c r="DH162" s="334"/>
      <c r="DI162" s="334"/>
      <c r="DJ162" s="334"/>
      <c r="DK162" s="334"/>
      <c r="DL162" s="334"/>
      <c r="DM162" s="334"/>
      <c r="DN162" s="334"/>
      <c r="DO162" s="334"/>
      <c r="DP162" s="334"/>
      <c r="DQ162" s="334"/>
      <c r="DR162" s="334"/>
      <c r="DS162" s="334"/>
      <c r="DT162" s="334"/>
      <c r="DU162" s="334"/>
      <c r="DV162" s="334"/>
      <c r="DW162" s="334"/>
      <c r="DX162" s="334"/>
      <c r="DY162" s="334"/>
      <c r="DZ162" s="334"/>
      <c r="EA162" s="334"/>
      <c r="EB162" s="334"/>
      <c r="EC162" s="334"/>
      <c r="ED162" s="334"/>
      <c r="EE162" s="334"/>
      <c r="EF162" s="334"/>
      <c r="EG162" s="334"/>
      <c r="EH162" s="334"/>
      <c r="EI162" s="334"/>
      <c r="EJ162" s="334"/>
      <c r="EK162" s="334"/>
      <c r="EL162" s="334"/>
      <c r="EM162" s="334"/>
      <c r="EN162" s="334"/>
      <c r="EO162" s="334"/>
      <c r="EP162" s="334"/>
      <c r="EQ162" s="334"/>
      <c r="ER162" s="334"/>
      <c r="ES162" s="334"/>
      <c r="ET162" s="334"/>
      <c r="EU162" s="334"/>
      <c r="EV162" s="334"/>
      <c r="EW162" s="334"/>
      <c r="EX162" s="334"/>
      <c r="EY162" s="334"/>
      <c r="EZ162" s="334"/>
      <c r="FA162" s="334"/>
      <c r="FB162" s="334"/>
      <c r="FC162" s="334"/>
      <c r="FD162" s="334"/>
      <c r="FE162" s="334"/>
      <c r="FF162" s="334"/>
      <c r="FG162" s="334"/>
      <c r="FH162" s="334"/>
      <c r="FI162" s="334"/>
      <c r="FJ162" s="334"/>
      <c r="FK162" s="334"/>
      <c r="FL162" s="334"/>
      <c r="FM162" s="334"/>
      <c r="FN162" s="334"/>
      <c r="FO162" s="334"/>
      <c r="FP162" s="334"/>
      <c r="FQ162" s="334"/>
      <c r="FR162" s="334"/>
      <c r="FS162" s="334"/>
      <c r="FT162" s="334"/>
      <c r="FU162" s="334"/>
      <c r="FV162" s="334"/>
      <c r="FW162" s="334"/>
      <c r="FX162" s="334"/>
      <c r="FY162" s="334"/>
      <c r="FZ162" s="334"/>
      <c r="GA162" s="334"/>
      <c r="GB162" s="334"/>
      <c r="GC162" s="334"/>
      <c r="GD162" s="334"/>
      <c r="GE162" s="334"/>
      <c r="GF162" s="334"/>
      <c r="GG162" s="334"/>
      <c r="GH162" s="334"/>
      <c r="GI162" s="334"/>
      <c r="GJ162" s="334"/>
      <c r="GK162" s="334"/>
      <c r="GL162" s="334"/>
      <c r="GM162" s="334"/>
      <c r="GN162" s="334"/>
      <c r="GO162" s="334"/>
      <c r="GP162" s="334"/>
      <c r="GQ162" s="334"/>
      <c r="GR162" s="334"/>
      <c r="GS162" s="334"/>
      <c r="GT162" s="334"/>
      <c r="GU162" s="334"/>
      <c r="GV162" s="334"/>
      <c r="GW162" s="334"/>
      <c r="GX162" s="334"/>
      <c r="GY162" s="334"/>
      <c r="GZ162" s="334"/>
      <c r="HA162" s="334"/>
      <c r="HB162" s="334"/>
      <c r="HC162" s="334"/>
      <c r="HD162" s="334"/>
      <c r="HE162" s="334"/>
      <c r="HF162" s="334"/>
      <c r="HG162" s="334"/>
      <c r="HH162" s="334"/>
      <c r="HI162" s="334"/>
      <c r="HJ162" s="334"/>
      <c r="HK162" s="334"/>
      <c r="HL162" s="334"/>
      <c r="HM162" s="334"/>
      <c r="HN162" s="334"/>
      <c r="HO162" s="334"/>
      <c r="HP162" s="334"/>
      <c r="HQ162" s="334"/>
      <c r="HR162" s="334"/>
      <c r="HS162" s="334"/>
      <c r="HT162" s="334"/>
      <c r="HU162" s="334"/>
      <c r="HV162" s="334"/>
      <c r="HW162" s="334"/>
      <c r="HX162" s="334"/>
      <c r="HY162" s="334"/>
      <c r="HZ162" s="334"/>
      <c r="IA162" s="334"/>
      <c r="IB162" s="334"/>
      <c r="IC162" s="334"/>
      <c r="ID162" s="334"/>
      <c r="IE162" s="334"/>
      <c r="IF162" s="334"/>
      <c r="IG162" s="334"/>
      <c r="IH162" s="334"/>
      <c r="II162" s="334"/>
      <c r="IJ162" s="334"/>
      <c r="IK162" s="334"/>
      <c r="IL162" s="334"/>
      <c r="IM162" s="334"/>
      <c r="IN162" s="334"/>
      <c r="IO162" s="334"/>
      <c r="IP162" s="334"/>
      <c r="IQ162" s="334"/>
      <c r="IR162" s="334"/>
    </row>
    <row r="163" spans="1:252" x14ac:dyDescent="0.25">
      <c r="A163" s="364">
        <v>43808</v>
      </c>
      <c r="B163" s="345">
        <v>83.99</v>
      </c>
      <c r="C163" s="345">
        <v>26.92</v>
      </c>
      <c r="D163" s="345">
        <v>137.58000000000001</v>
      </c>
      <c r="E163" s="345">
        <v>82.39</v>
      </c>
      <c r="F163" s="345">
        <v>204.07</v>
      </c>
      <c r="G163" s="345">
        <v>15.5</v>
      </c>
      <c r="H163" s="345">
        <v>26.75</v>
      </c>
      <c r="I163" s="345">
        <v>85.03</v>
      </c>
      <c r="J163" s="345">
        <v>93.05</v>
      </c>
      <c r="K163" s="345">
        <v>288.31</v>
      </c>
      <c r="L163" s="345">
        <v>159.78</v>
      </c>
      <c r="M163" s="345">
        <v>87.3</v>
      </c>
      <c r="N163" s="345">
        <v>34.914999999999999</v>
      </c>
      <c r="O163" s="345">
        <v>12.24</v>
      </c>
      <c r="P163" s="345">
        <v>26.51</v>
      </c>
      <c r="Q163" s="345">
        <v>36.24</v>
      </c>
      <c r="R163" s="345">
        <v>34.25</v>
      </c>
      <c r="S163" s="345">
        <v>28.4</v>
      </c>
      <c r="T163" s="345">
        <v>25.9</v>
      </c>
      <c r="U163" s="345">
        <v>74.56</v>
      </c>
    </row>
    <row r="164" spans="1:252" x14ac:dyDescent="0.25">
      <c r="A164" s="364">
        <v>43809</v>
      </c>
      <c r="B164" s="345">
        <v>83.93</v>
      </c>
      <c r="C164" s="345">
        <v>27.13</v>
      </c>
      <c r="D164" s="345">
        <v>137.97</v>
      </c>
      <c r="E164" s="345">
        <v>82.37</v>
      </c>
      <c r="F164" s="345">
        <v>203.9</v>
      </c>
      <c r="G164" s="345">
        <v>15.57</v>
      </c>
      <c r="H164" s="345">
        <v>26.72</v>
      </c>
      <c r="I164" s="345">
        <v>84.99</v>
      </c>
      <c r="J164" s="345">
        <v>92.51</v>
      </c>
      <c r="K164" s="345">
        <v>288.04000000000002</v>
      </c>
      <c r="L164" s="345">
        <v>159.63999999999999</v>
      </c>
      <c r="M164" s="345">
        <v>87.37</v>
      </c>
      <c r="N164" s="345">
        <v>34.880000000000003</v>
      </c>
      <c r="O164" s="345">
        <v>12.3</v>
      </c>
      <c r="P164" s="345">
        <v>26.51</v>
      </c>
      <c r="Q164" s="345">
        <v>36.5</v>
      </c>
      <c r="R164" s="345">
        <v>34.24</v>
      </c>
      <c r="S164" s="345">
        <v>28.5</v>
      </c>
      <c r="T164" s="345">
        <v>25.91</v>
      </c>
      <c r="U164" s="345">
        <v>74.569999999999993</v>
      </c>
    </row>
    <row r="165" spans="1:252" x14ac:dyDescent="0.25">
      <c r="A165" s="364">
        <v>43810</v>
      </c>
      <c r="B165" s="345">
        <v>84.21</v>
      </c>
      <c r="C165" s="345">
        <v>27.71</v>
      </c>
      <c r="D165" s="345">
        <v>138.91999999999999</v>
      </c>
      <c r="E165" s="345">
        <v>82.35</v>
      </c>
      <c r="F165" s="345">
        <v>204.98</v>
      </c>
      <c r="G165" s="345">
        <v>15.75</v>
      </c>
      <c r="H165" s="345">
        <v>26.62</v>
      </c>
      <c r="I165" s="345">
        <v>85.63</v>
      </c>
      <c r="J165" s="345">
        <v>91.57</v>
      </c>
      <c r="K165" s="345">
        <v>288.79000000000002</v>
      </c>
      <c r="L165" s="345">
        <v>160.02000000000001</v>
      </c>
      <c r="M165" s="345">
        <v>87.96</v>
      </c>
      <c r="N165" s="345">
        <v>34.99</v>
      </c>
      <c r="O165" s="345">
        <v>12.39</v>
      </c>
      <c r="P165" s="345">
        <v>26.53</v>
      </c>
      <c r="Q165" s="345">
        <v>35.65</v>
      </c>
      <c r="R165" s="345">
        <v>34.26</v>
      </c>
      <c r="S165" s="345">
        <v>29.17</v>
      </c>
      <c r="T165" s="345">
        <v>25.96</v>
      </c>
      <c r="U165" s="345">
        <v>74.87</v>
      </c>
    </row>
    <row r="166" spans="1:252" x14ac:dyDescent="0.25">
      <c r="A166" s="364">
        <v>43811</v>
      </c>
      <c r="B166" s="345">
        <v>83.81</v>
      </c>
      <c r="C166" s="345">
        <v>27.66</v>
      </c>
      <c r="D166" s="345">
        <v>138.43</v>
      </c>
      <c r="E166" s="345">
        <v>83.24</v>
      </c>
      <c r="F166" s="345">
        <v>206.51</v>
      </c>
      <c r="G166" s="345">
        <v>15.85</v>
      </c>
      <c r="H166" s="345">
        <v>26.66</v>
      </c>
      <c r="I166" s="345">
        <v>84.3</v>
      </c>
      <c r="J166" s="345">
        <v>90.33</v>
      </c>
      <c r="K166" s="345">
        <v>291.33</v>
      </c>
      <c r="L166" s="345">
        <v>161.33000000000001</v>
      </c>
      <c r="M166" s="345">
        <v>88.9</v>
      </c>
      <c r="N166" s="345">
        <v>35.284999999999997</v>
      </c>
      <c r="O166" s="345">
        <v>12.33</v>
      </c>
      <c r="P166" s="345">
        <v>26.65</v>
      </c>
      <c r="Q166" s="345">
        <v>35.020000000000003</v>
      </c>
      <c r="R166" s="345">
        <v>34.33</v>
      </c>
      <c r="S166" s="345">
        <v>29.12</v>
      </c>
      <c r="T166" s="345">
        <v>25.83</v>
      </c>
      <c r="U166" s="345">
        <v>74.849999999999994</v>
      </c>
    </row>
    <row r="167" spans="1:252" x14ac:dyDescent="0.25">
      <c r="A167" s="364">
        <v>43812</v>
      </c>
      <c r="B167" s="345">
        <v>84.19</v>
      </c>
      <c r="C167" s="345">
        <v>27.72</v>
      </c>
      <c r="D167" s="345">
        <v>139.05000000000001</v>
      </c>
      <c r="E167" s="345">
        <v>82.71</v>
      </c>
      <c r="F167" s="345">
        <v>207.19</v>
      </c>
      <c r="G167" s="345">
        <v>15.84</v>
      </c>
      <c r="H167" s="345">
        <v>26.66</v>
      </c>
      <c r="I167" s="345">
        <v>85.24</v>
      </c>
      <c r="J167" s="345">
        <v>90.35</v>
      </c>
      <c r="K167" s="345">
        <v>291.44</v>
      </c>
      <c r="L167" s="345">
        <v>161.33000000000001</v>
      </c>
      <c r="M167" s="345">
        <v>89.49</v>
      </c>
      <c r="N167" s="345">
        <v>35.28</v>
      </c>
      <c r="O167" s="345">
        <v>12.37</v>
      </c>
      <c r="P167" s="345">
        <v>26.73</v>
      </c>
      <c r="Q167" s="345">
        <v>34.93</v>
      </c>
      <c r="R167" s="345">
        <v>34.42</v>
      </c>
      <c r="S167" s="345">
        <v>29.47</v>
      </c>
      <c r="T167" s="345">
        <v>25.99</v>
      </c>
      <c r="U167" s="345">
        <v>74.809899999999999</v>
      </c>
    </row>
    <row r="168" spans="1:252" s="368" customFormat="1" x14ac:dyDescent="0.25">
      <c r="A168" s="366">
        <v>43813</v>
      </c>
      <c r="B168" s="345">
        <v>84.19</v>
      </c>
      <c r="C168" s="345">
        <v>27.72</v>
      </c>
      <c r="D168" s="345">
        <v>139.05000000000001</v>
      </c>
      <c r="E168" s="345">
        <v>82.71</v>
      </c>
      <c r="F168" s="345">
        <v>207.19</v>
      </c>
      <c r="G168" s="345">
        <v>15.84</v>
      </c>
      <c r="H168" s="345">
        <v>26.66</v>
      </c>
      <c r="I168" s="345">
        <v>85.24</v>
      </c>
      <c r="J168" s="345">
        <v>90.35</v>
      </c>
      <c r="K168" s="345">
        <v>291.44</v>
      </c>
      <c r="L168" s="345">
        <v>161.33000000000001</v>
      </c>
      <c r="M168" s="345">
        <v>89.49</v>
      </c>
      <c r="N168" s="345">
        <v>35.28</v>
      </c>
      <c r="O168" s="345">
        <v>12.37</v>
      </c>
      <c r="P168" s="345">
        <v>26.73</v>
      </c>
      <c r="Q168" s="345">
        <v>34.93</v>
      </c>
      <c r="R168" s="345">
        <v>34.42</v>
      </c>
      <c r="S168" s="345">
        <v>29.47</v>
      </c>
      <c r="T168" s="345">
        <v>25.99</v>
      </c>
      <c r="U168" s="345">
        <v>74.809899999999999</v>
      </c>
      <c r="V168" s="334"/>
      <c r="W168" s="334"/>
      <c r="X168" s="334"/>
      <c r="Y168" s="334"/>
      <c r="Z168" s="334"/>
      <c r="AA168" s="334"/>
      <c r="AB168" s="334"/>
      <c r="AC168" s="334"/>
      <c r="AD168" s="334"/>
      <c r="AE168" s="334"/>
      <c r="AF168" s="334"/>
      <c r="AG168" s="334"/>
      <c r="AH168" s="334"/>
      <c r="AI168" s="334"/>
      <c r="AJ168" s="334"/>
      <c r="AK168" s="334"/>
      <c r="AL168" s="334"/>
      <c r="AM168" s="334"/>
      <c r="AN168" s="334"/>
      <c r="AO168" s="334"/>
      <c r="AP168" s="334"/>
      <c r="AQ168" s="334"/>
      <c r="AR168" s="334"/>
      <c r="AS168" s="334"/>
      <c r="AT168" s="334"/>
      <c r="AU168" s="334"/>
      <c r="AV168" s="334"/>
      <c r="AW168" s="334"/>
      <c r="AX168" s="334"/>
      <c r="AY168" s="334"/>
      <c r="AZ168" s="334"/>
      <c r="BA168" s="334"/>
      <c r="BB168" s="334"/>
      <c r="BC168" s="334"/>
      <c r="BD168" s="334"/>
      <c r="BE168" s="334"/>
      <c r="BF168" s="334"/>
      <c r="BG168" s="334"/>
      <c r="BH168" s="334"/>
      <c r="BI168" s="334"/>
      <c r="BJ168" s="334"/>
      <c r="BK168" s="334"/>
      <c r="BL168" s="334"/>
      <c r="BM168" s="334"/>
      <c r="BN168" s="334"/>
      <c r="BO168" s="334"/>
      <c r="BP168" s="334"/>
      <c r="BQ168" s="334"/>
      <c r="BR168" s="334"/>
      <c r="BS168" s="334"/>
      <c r="BT168" s="334"/>
      <c r="BU168" s="334"/>
      <c r="BV168" s="334"/>
      <c r="BW168" s="334"/>
      <c r="BX168" s="334"/>
      <c r="BY168" s="334"/>
      <c r="BZ168" s="334"/>
      <c r="CA168" s="334"/>
      <c r="CB168" s="334"/>
      <c r="CC168" s="334"/>
      <c r="CD168" s="334"/>
      <c r="CE168" s="334"/>
      <c r="CF168" s="334"/>
      <c r="CG168" s="334"/>
      <c r="CH168" s="334"/>
      <c r="CI168" s="334"/>
      <c r="CJ168" s="334"/>
      <c r="CK168" s="334"/>
      <c r="CL168" s="334"/>
      <c r="CM168" s="334"/>
      <c r="CN168" s="334"/>
      <c r="CO168" s="334"/>
      <c r="CP168" s="334"/>
      <c r="CQ168" s="334"/>
      <c r="CR168" s="334"/>
      <c r="CS168" s="334"/>
      <c r="CT168" s="334"/>
      <c r="CU168" s="334"/>
      <c r="CV168" s="334"/>
      <c r="CW168" s="334"/>
      <c r="CX168" s="334"/>
      <c r="CY168" s="334"/>
      <c r="CZ168" s="334"/>
      <c r="DA168" s="334"/>
      <c r="DB168" s="334"/>
      <c r="DC168" s="334"/>
      <c r="DD168" s="334"/>
      <c r="DE168" s="334"/>
      <c r="DF168" s="334"/>
      <c r="DG168" s="334"/>
      <c r="DH168" s="334"/>
      <c r="DI168" s="334"/>
      <c r="DJ168" s="334"/>
      <c r="DK168" s="334"/>
      <c r="DL168" s="334"/>
      <c r="DM168" s="334"/>
      <c r="DN168" s="334"/>
      <c r="DO168" s="334"/>
      <c r="DP168" s="334"/>
      <c r="DQ168" s="334"/>
      <c r="DR168" s="334"/>
      <c r="DS168" s="334"/>
      <c r="DT168" s="334"/>
      <c r="DU168" s="334"/>
      <c r="DV168" s="334"/>
      <c r="DW168" s="334"/>
      <c r="DX168" s="334"/>
      <c r="DY168" s="334"/>
      <c r="DZ168" s="334"/>
      <c r="EA168" s="334"/>
      <c r="EB168" s="334"/>
      <c r="EC168" s="334"/>
      <c r="ED168" s="334"/>
      <c r="EE168" s="334"/>
      <c r="EF168" s="334"/>
      <c r="EG168" s="334"/>
      <c r="EH168" s="334"/>
      <c r="EI168" s="334"/>
      <c r="EJ168" s="334"/>
      <c r="EK168" s="334"/>
      <c r="EL168" s="334"/>
      <c r="EM168" s="334"/>
      <c r="EN168" s="334"/>
      <c r="EO168" s="334"/>
      <c r="EP168" s="334"/>
      <c r="EQ168" s="334"/>
      <c r="ER168" s="334"/>
      <c r="ES168" s="334"/>
      <c r="ET168" s="334"/>
      <c r="EU168" s="334"/>
      <c r="EV168" s="334"/>
      <c r="EW168" s="334"/>
      <c r="EX168" s="334"/>
      <c r="EY168" s="334"/>
      <c r="EZ168" s="334"/>
      <c r="FA168" s="334"/>
      <c r="FB168" s="334"/>
      <c r="FC168" s="334"/>
      <c r="FD168" s="334"/>
      <c r="FE168" s="334"/>
      <c r="FF168" s="334"/>
      <c r="FG168" s="334"/>
      <c r="FH168" s="334"/>
      <c r="FI168" s="334"/>
      <c r="FJ168" s="334"/>
      <c r="FK168" s="334"/>
      <c r="FL168" s="334"/>
      <c r="FM168" s="334"/>
      <c r="FN168" s="334"/>
      <c r="FO168" s="334"/>
      <c r="FP168" s="334"/>
      <c r="FQ168" s="334"/>
      <c r="FR168" s="334"/>
      <c r="FS168" s="334"/>
      <c r="FT168" s="334"/>
      <c r="FU168" s="334"/>
      <c r="FV168" s="334"/>
      <c r="FW168" s="334"/>
      <c r="FX168" s="334"/>
      <c r="FY168" s="334"/>
      <c r="FZ168" s="334"/>
      <c r="GA168" s="334"/>
      <c r="GB168" s="334"/>
      <c r="GC168" s="334"/>
      <c r="GD168" s="334"/>
      <c r="GE168" s="334"/>
      <c r="GF168" s="334"/>
      <c r="GG168" s="334"/>
      <c r="GH168" s="334"/>
      <c r="GI168" s="334"/>
      <c r="GJ168" s="334"/>
      <c r="GK168" s="334"/>
      <c r="GL168" s="334"/>
      <c r="GM168" s="334"/>
      <c r="GN168" s="334"/>
      <c r="GO168" s="334"/>
      <c r="GP168" s="334"/>
      <c r="GQ168" s="334"/>
      <c r="GR168" s="334"/>
      <c r="GS168" s="334"/>
      <c r="GT168" s="334"/>
      <c r="GU168" s="334"/>
      <c r="GV168" s="334"/>
      <c r="GW168" s="334"/>
      <c r="GX168" s="334"/>
      <c r="GY168" s="334"/>
      <c r="GZ168" s="334"/>
      <c r="HA168" s="334"/>
      <c r="HB168" s="334"/>
      <c r="HC168" s="334"/>
      <c r="HD168" s="334"/>
      <c r="HE168" s="334"/>
      <c r="HF168" s="334"/>
      <c r="HG168" s="334"/>
      <c r="HH168" s="334"/>
      <c r="HI168" s="334"/>
      <c r="HJ168" s="334"/>
      <c r="HK168" s="334"/>
      <c r="HL168" s="334"/>
      <c r="HM168" s="334"/>
      <c r="HN168" s="334"/>
      <c r="HO168" s="334"/>
      <c r="HP168" s="334"/>
      <c r="HQ168" s="334"/>
      <c r="HR168" s="334"/>
      <c r="HS168" s="334"/>
      <c r="HT168" s="334"/>
      <c r="HU168" s="334"/>
      <c r="HV168" s="334"/>
      <c r="HW168" s="334"/>
      <c r="HX168" s="334"/>
      <c r="HY168" s="334"/>
      <c r="HZ168" s="334"/>
      <c r="IA168" s="334"/>
      <c r="IB168" s="334"/>
      <c r="IC168" s="334"/>
      <c r="ID168" s="334"/>
      <c r="IE168" s="334"/>
      <c r="IF168" s="334"/>
      <c r="IG168" s="334"/>
      <c r="IH168" s="334"/>
      <c r="II168" s="334"/>
      <c r="IJ168" s="334"/>
      <c r="IK168" s="334"/>
      <c r="IL168" s="334"/>
      <c r="IM168" s="334"/>
      <c r="IN168" s="334"/>
      <c r="IO168" s="334"/>
      <c r="IP168" s="334"/>
      <c r="IQ168" s="334"/>
      <c r="IR168" s="334"/>
    </row>
    <row r="169" spans="1:252" s="368" customFormat="1" x14ac:dyDescent="0.25">
      <c r="A169" s="366">
        <v>43814</v>
      </c>
      <c r="B169" s="345">
        <v>84.19</v>
      </c>
      <c r="C169" s="345">
        <v>27.72</v>
      </c>
      <c r="D169" s="345">
        <v>139.05000000000001</v>
      </c>
      <c r="E169" s="345">
        <v>82.71</v>
      </c>
      <c r="F169" s="345">
        <v>207.19</v>
      </c>
      <c r="G169" s="345">
        <v>15.84</v>
      </c>
      <c r="H169" s="345">
        <v>26.66</v>
      </c>
      <c r="I169" s="345">
        <v>85.24</v>
      </c>
      <c r="J169" s="345">
        <v>90.35</v>
      </c>
      <c r="K169" s="345">
        <v>291.44</v>
      </c>
      <c r="L169" s="345">
        <v>161.33000000000001</v>
      </c>
      <c r="M169" s="345">
        <v>89.49</v>
      </c>
      <c r="N169" s="345">
        <v>35.28</v>
      </c>
      <c r="O169" s="345">
        <v>12.37</v>
      </c>
      <c r="P169" s="345">
        <v>26.73</v>
      </c>
      <c r="Q169" s="345">
        <v>34.93</v>
      </c>
      <c r="R169" s="345">
        <v>34.42</v>
      </c>
      <c r="S169" s="345">
        <v>29.47</v>
      </c>
      <c r="T169" s="345">
        <v>25.99</v>
      </c>
      <c r="U169" s="345">
        <v>74.809899999999999</v>
      </c>
      <c r="V169" s="334"/>
      <c r="W169" s="334"/>
      <c r="X169" s="334"/>
      <c r="Y169" s="334"/>
      <c r="Z169" s="334"/>
      <c r="AA169" s="334"/>
      <c r="AB169" s="334"/>
      <c r="AC169" s="334"/>
      <c r="AD169" s="334"/>
      <c r="AE169" s="334"/>
      <c r="AF169" s="334"/>
      <c r="AG169" s="334"/>
      <c r="AH169" s="334"/>
      <c r="AI169" s="334"/>
      <c r="AJ169" s="334"/>
      <c r="AK169" s="334"/>
      <c r="AL169" s="334"/>
      <c r="AM169" s="334"/>
      <c r="AN169" s="334"/>
      <c r="AO169" s="334"/>
      <c r="AP169" s="334"/>
      <c r="AQ169" s="334"/>
      <c r="AR169" s="334"/>
      <c r="AS169" s="334"/>
      <c r="AT169" s="334"/>
      <c r="AU169" s="334"/>
      <c r="AV169" s="334"/>
      <c r="AW169" s="334"/>
      <c r="AX169" s="334"/>
      <c r="AY169" s="334"/>
      <c r="AZ169" s="334"/>
      <c r="BA169" s="334"/>
      <c r="BB169" s="334"/>
      <c r="BC169" s="334"/>
      <c r="BD169" s="334"/>
      <c r="BE169" s="334"/>
      <c r="BF169" s="334"/>
      <c r="BG169" s="334"/>
      <c r="BH169" s="334"/>
      <c r="BI169" s="334"/>
      <c r="BJ169" s="334"/>
      <c r="BK169" s="334"/>
      <c r="BL169" s="334"/>
      <c r="BM169" s="334"/>
      <c r="BN169" s="334"/>
      <c r="BO169" s="334"/>
      <c r="BP169" s="334"/>
      <c r="BQ169" s="334"/>
      <c r="BR169" s="334"/>
      <c r="BS169" s="334"/>
      <c r="BT169" s="334"/>
      <c r="BU169" s="334"/>
      <c r="BV169" s="334"/>
      <c r="BW169" s="334"/>
      <c r="BX169" s="334"/>
      <c r="BY169" s="334"/>
      <c r="BZ169" s="334"/>
      <c r="CA169" s="334"/>
      <c r="CB169" s="334"/>
      <c r="CC169" s="334"/>
      <c r="CD169" s="334"/>
      <c r="CE169" s="334"/>
      <c r="CF169" s="334"/>
      <c r="CG169" s="334"/>
      <c r="CH169" s="334"/>
      <c r="CI169" s="334"/>
      <c r="CJ169" s="334"/>
      <c r="CK169" s="334"/>
      <c r="CL169" s="334"/>
      <c r="CM169" s="334"/>
      <c r="CN169" s="334"/>
      <c r="CO169" s="334"/>
      <c r="CP169" s="334"/>
      <c r="CQ169" s="334"/>
      <c r="CR169" s="334"/>
      <c r="CS169" s="334"/>
      <c r="CT169" s="334"/>
      <c r="CU169" s="334"/>
      <c r="CV169" s="334"/>
      <c r="CW169" s="334"/>
      <c r="CX169" s="334"/>
      <c r="CY169" s="334"/>
      <c r="CZ169" s="334"/>
      <c r="DA169" s="334"/>
      <c r="DB169" s="334"/>
      <c r="DC169" s="334"/>
      <c r="DD169" s="334"/>
      <c r="DE169" s="334"/>
      <c r="DF169" s="334"/>
      <c r="DG169" s="334"/>
      <c r="DH169" s="334"/>
      <c r="DI169" s="334"/>
      <c r="DJ169" s="334"/>
      <c r="DK169" s="334"/>
      <c r="DL169" s="334"/>
      <c r="DM169" s="334"/>
      <c r="DN169" s="334"/>
      <c r="DO169" s="334"/>
      <c r="DP169" s="334"/>
      <c r="DQ169" s="334"/>
      <c r="DR169" s="334"/>
      <c r="DS169" s="334"/>
      <c r="DT169" s="334"/>
      <c r="DU169" s="334"/>
      <c r="DV169" s="334"/>
      <c r="DW169" s="334"/>
      <c r="DX169" s="334"/>
      <c r="DY169" s="334"/>
      <c r="DZ169" s="334"/>
      <c r="EA169" s="334"/>
      <c r="EB169" s="334"/>
      <c r="EC169" s="334"/>
      <c r="ED169" s="334"/>
      <c r="EE169" s="334"/>
      <c r="EF169" s="334"/>
      <c r="EG169" s="334"/>
      <c r="EH169" s="334"/>
      <c r="EI169" s="334"/>
      <c r="EJ169" s="334"/>
      <c r="EK169" s="334"/>
      <c r="EL169" s="334"/>
      <c r="EM169" s="334"/>
      <c r="EN169" s="334"/>
      <c r="EO169" s="334"/>
      <c r="EP169" s="334"/>
      <c r="EQ169" s="334"/>
      <c r="ER169" s="334"/>
      <c r="ES169" s="334"/>
      <c r="ET169" s="334"/>
      <c r="EU169" s="334"/>
      <c r="EV169" s="334"/>
      <c r="EW169" s="334"/>
      <c r="EX169" s="334"/>
      <c r="EY169" s="334"/>
      <c r="EZ169" s="334"/>
      <c r="FA169" s="334"/>
      <c r="FB169" s="334"/>
      <c r="FC169" s="334"/>
      <c r="FD169" s="334"/>
      <c r="FE169" s="334"/>
      <c r="FF169" s="334"/>
      <c r="FG169" s="334"/>
      <c r="FH169" s="334"/>
      <c r="FI169" s="334"/>
      <c r="FJ169" s="334"/>
      <c r="FK169" s="334"/>
      <c r="FL169" s="334"/>
      <c r="FM169" s="334"/>
      <c r="FN169" s="334"/>
      <c r="FO169" s="334"/>
      <c r="FP169" s="334"/>
      <c r="FQ169" s="334"/>
      <c r="FR169" s="334"/>
      <c r="FS169" s="334"/>
      <c r="FT169" s="334"/>
      <c r="FU169" s="334"/>
      <c r="FV169" s="334"/>
      <c r="FW169" s="334"/>
      <c r="FX169" s="334"/>
      <c r="FY169" s="334"/>
      <c r="FZ169" s="334"/>
      <c r="GA169" s="334"/>
      <c r="GB169" s="334"/>
      <c r="GC169" s="334"/>
      <c r="GD169" s="334"/>
      <c r="GE169" s="334"/>
      <c r="GF169" s="334"/>
      <c r="GG169" s="334"/>
      <c r="GH169" s="334"/>
      <c r="GI169" s="334"/>
      <c r="GJ169" s="334"/>
      <c r="GK169" s="334"/>
      <c r="GL169" s="334"/>
      <c r="GM169" s="334"/>
      <c r="GN169" s="334"/>
      <c r="GO169" s="334"/>
      <c r="GP169" s="334"/>
      <c r="GQ169" s="334"/>
      <c r="GR169" s="334"/>
      <c r="GS169" s="334"/>
      <c r="GT169" s="334"/>
      <c r="GU169" s="334"/>
      <c r="GV169" s="334"/>
      <c r="GW169" s="334"/>
      <c r="GX169" s="334"/>
      <c r="GY169" s="334"/>
      <c r="GZ169" s="334"/>
      <c r="HA169" s="334"/>
      <c r="HB169" s="334"/>
      <c r="HC169" s="334"/>
      <c r="HD169" s="334"/>
      <c r="HE169" s="334"/>
      <c r="HF169" s="334"/>
      <c r="HG169" s="334"/>
      <c r="HH169" s="334"/>
      <c r="HI169" s="334"/>
      <c r="HJ169" s="334"/>
      <c r="HK169" s="334"/>
      <c r="HL169" s="334"/>
      <c r="HM169" s="334"/>
      <c r="HN169" s="334"/>
      <c r="HO169" s="334"/>
      <c r="HP169" s="334"/>
      <c r="HQ169" s="334"/>
      <c r="HR169" s="334"/>
      <c r="HS169" s="334"/>
      <c r="HT169" s="334"/>
      <c r="HU169" s="334"/>
      <c r="HV169" s="334"/>
      <c r="HW169" s="334"/>
      <c r="HX169" s="334"/>
      <c r="HY169" s="334"/>
      <c r="HZ169" s="334"/>
      <c r="IA169" s="334"/>
      <c r="IB169" s="334"/>
      <c r="IC169" s="334"/>
      <c r="ID169" s="334"/>
      <c r="IE169" s="334"/>
      <c r="IF169" s="334"/>
      <c r="IG169" s="334"/>
      <c r="IH169" s="334"/>
      <c r="II169" s="334"/>
      <c r="IJ169" s="334"/>
      <c r="IK169" s="334"/>
      <c r="IL169" s="334"/>
      <c r="IM169" s="334"/>
      <c r="IN169" s="334"/>
      <c r="IO169" s="334"/>
      <c r="IP169" s="334"/>
      <c r="IQ169" s="334"/>
      <c r="IR169" s="334"/>
    </row>
    <row r="170" spans="1:252" x14ac:dyDescent="0.25">
      <c r="A170" s="364">
        <v>43815</v>
      </c>
      <c r="B170" s="345">
        <v>83.96</v>
      </c>
      <c r="C170" s="345">
        <v>27.39</v>
      </c>
      <c r="D170" s="345">
        <v>139.04</v>
      </c>
      <c r="E170" s="345">
        <v>82.64</v>
      </c>
      <c r="F170" s="345">
        <v>209.27</v>
      </c>
      <c r="G170" s="345">
        <v>15.91</v>
      </c>
      <c r="H170" s="345">
        <v>26.61</v>
      </c>
      <c r="I170" s="345">
        <v>84.51</v>
      </c>
      <c r="J170" s="345">
        <v>91</v>
      </c>
      <c r="K170" s="345">
        <v>293.5</v>
      </c>
      <c r="L170" s="345">
        <v>162.51</v>
      </c>
      <c r="M170" s="345">
        <v>90.29</v>
      </c>
      <c r="N170" s="345">
        <v>35.520000000000003</v>
      </c>
      <c r="O170" s="345">
        <v>12.39</v>
      </c>
      <c r="P170" s="345">
        <v>26.84</v>
      </c>
      <c r="Q170" s="345">
        <v>35.07</v>
      </c>
      <c r="R170" s="345">
        <v>34.56</v>
      </c>
      <c r="S170" s="345">
        <v>28.99</v>
      </c>
      <c r="T170" s="345">
        <v>25.94</v>
      </c>
      <c r="U170" s="345">
        <v>74.995400000000004</v>
      </c>
    </row>
    <row r="171" spans="1:252" x14ac:dyDescent="0.25">
      <c r="A171" s="364">
        <v>43816</v>
      </c>
      <c r="B171" s="345">
        <v>83.97</v>
      </c>
      <c r="C171" s="345">
        <v>27.16</v>
      </c>
      <c r="D171" s="345">
        <v>139.01</v>
      </c>
      <c r="E171" s="345">
        <v>83.35</v>
      </c>
      <c r="F171" s="345">
        <v>209.39</v>
      </c>
      <c r="G171" s="345">
        <v>15.88</v>
      </c>
      <c r="H171" s="345">
        <v>26.66</v>
      </c>
      <c r="I171" s="345">
        <v>84.38</v>
      </c>
      <c r="J171" s="345">
        <v>90.14</v>
      </c>
      <c r="K171" s="345">
        <v>293.56</v>
      </c>
      <c r="L171" s="345">
        <v>162.57</v>
      </c>
      <c r="M171" s="345">
        <v>90.08</v>
      </c>
      <c r="N171" s="345">
        <v>35.51</v>
      </c>
      <c r="O171" s="345">
        <v>12.39</v>
      </c>
      <c r="P171" s="345">
        <v>26.86</v>
      </c>
      <c r="Q171" s="345">
        <v>35.1</v>
      </c>
      <c r="R171" s="345">
        <v>34.61</v>
      </c>
      <c r="S171" s="345">
        <v>28.8</v>
      </c>
      <c r="T171" s="345">
        <v>25.94</v>
      </c>
      <c r="U171" s="345">
        <v>74.94</v>
      </c>
    </row>
    <row r="172" spans="1:252" x14ac:dyDescent="0.25">
      <c r="A172" s="364">
        <v>43817</v>
      </c>
      <c r="B172" s="345">
        <v>83.86</v>
      </c>
      <c r="C172" s="345">
        <v>27.45</v>
      </c>
      <c r="D172" s="345">
        <v>139.02000000000001</v>
      </c>
      <c r="E172" s="345">
        <v>83.64</v>
      </c>
      <c r="F172" s="345">
        <v>209.55</v>
      </c>
      <c r="G172" s="345">
        <v>15.9</v>
      </c>
      <c r="H172" s="345">
        <v>26.71</v>
      </c>
      <c r="I172" s="345">
        <v>83.73</v>
      </c>
      <c r="J172" s="345">
        <v>90.27</v>
      </c>
      <c r="K172" s="345">
        <v>293.58</v>
      </c>
      <c r="L172" s="345">
        <v>162.63999999999999</v>
      </c>
      <c r="M172" s="345">
        <v>90.07</v>
      </c>
      <c r="N172" s="345">
        <v>35.520000000000003</v>
      </c>
      <c r="O172" s="345">
        <v>12.39</v>
      </c>
      <c r="P172" s="345">
        <v>26.774999999999999</v>
      </c>
      <c r="Q172" s="345">
        <v>35.28</v>
      </c>
      <c r="R172" s="345">
        <v>34.53</v>
      </c>
      <c r="S172" s="345">
        <v>28.92</v>
      </c>
      <c r="T172" s="345">
        <v>25.89</v>
      </c>
      <c r="U172" s="345">
        <v>75.290000000000006</v>
      </c>
    </row>
    <row r="173" spans="1:252" x14ac:dyDescent="0.25">
      <c r="A173" s="364">
        <v>43818</v>
      </c>
      <c r="B173" s="345">
        <v>83.92</v>
      </c>
      <c r="C173" s="345">
        <v>27.48</v>
      </c>
      <c r="D173" s="345">
        <v>139.38</v>
      </c>
      <c r="E173" s="345">
        <v>83.9</v>
      </c>
      <c r="F173" s="345">
        <v>210.86</v>
      </c>
      <c r="G173" s="345">
        <v>15.94</v>
      </c>
      <c r="H173" s="345">
        <v>26.71</v>
      </c>
      <c r="I173" s="345">
        <v>83.8</v>
      </c>
      <c r="J173" s="345">
        <v>91.07</v>
      </c>
      <c r="K173" s="345">
        <v>294.8</v>
      </c>
      <c r="L173" s="345">
        <v>163.35</v>
      </c>
      <c r="M173" s="345">
        <v>90.72</v>
      </c>
      <c r="N173" s="345">
        <v>35.65</v>
      </c>
      <c r="O173" s="345">
        <v>12.41</v>
      </c>
      <c r="P173" s="345">
        <v>26.84</v>
      </c>
      <c r="Q173" s="345">
        <v>35.5</v>
      </c>
      <c r="R173" s="345">
        <v>34.6</v>
      </c>
      <c r="S173" s="345">
        <v>28.99</v>
      </c>
      <c r="T173" s="345">
        <v>25.97</v>
      </c>
      <c r="U173" s="345">
        <v>75.190899999999999</v>
      </c>
    </row>
    <row r="174" spans="1:252" x14ac:dyDescent="0.25">
      <c r="A174" s="364">
        <v>43819</v>
      </c>
      <c r="B174" s="345">
        <v>83.94</v>
      </c>
      <c r="C174" s="345">
        <v>27.13</v>
      </c>
      <c r="D174" s="345">
        <v>139.52000000000001</v>
      </c>
      <c r="E174" s="345">
        <v>83.77</v>
      </c>
      <c r="F174" s="345">
        <v>211.71</v>
      </c>
      <c r="G174" s="345">
        <v>16.04</v>
      </c>
      <c r="H174" s="345">
        <v>26.8</v>
      </c>
      <c r="I174" s="345">
        <v>83.94</v>
      </c>
      <c r="J174" s="345">
        <v>91.57</v>
      </c>
      <c r="K174" s="345">
        <v>296.3</v>
      </c>
      <c r="L174" s="345">
        <v>164.19</v>
      </c>
      <c r="M174" s="345">
        <v>90.95</v>
      </c>
      <c r="N174" s="345">
        <v>35.85</v>
      </c>
      <c r="O174" s="345">
        <v>12.4</v>
      </c>
      <c r="P174" s="345">
        <v>26.98</v>
      </c>
      <c r="Q174" s="345">
        <v>35.76</v>
      </c>
      <c r="R174" s="345">
        <v>34.72</v>
      </c>
      <c r="S174" s="345">
        <v>28.56</v>
      </c>
      <c r="T174" s="345">
        <v>26.03</v>
      </c>
      <c r="U174" s="345">
        <v>75</v>
      </c>
    </row>
    <row r="175" spans="1:252" x14ac:dyDescent="0.25">
      <c r="A175" s="364">
        <v>43820</v>
      </c>
      <c r="B175" s="345">
        <v>83.94</v>
      </c>
      <c r="C175" s="345">
        <v>27.13</v>
      </c>
      <c r="D175" s="345">
        <v>139.52000000000001</v>
      </c>
      <c r="E175" s="345">
        <v>83.77</v>
      </c>
      <c r="F175" s="345">
        <v>211.71</v>
      </c>
      <c r="G175" s="345">
        <v>16.04</v>
      </c>
      <c r="H175" s="345">
        <v>26.8</v>
      </c>
      <c r="I175" s="345">
        <v>83.94</v>
      </c>
      <c r="J175" s="345">
        <v>91.57</v>
      </c>
      <c r="K175" s="345">
        <v>296.3</v>
      </c>
      <c r="L175" s="345">
        <v>164.19</v>
      </c>
      <c r="M175" s="345">
        <v>90.95</v>
      </c>
      <c r="N175" s="345">
        <v>35.85</v>
      </c>
      <c r="O175" s="345">
        <v>12.4</v>
      </c>
      <c r="P175" s="345">
        <v>26.98</v>
      </c>
      <c r="Q175" s="345">
        <v>35.76</v>
      </c>
      <c r="R175" s="345">
        <v>34.72</v>
      </c>
      <c r="S175" s="345">
        <v>28.56</v>
      </c>
      <c r="T175" s="345">
        <v>26.03</v>
      </c>
      <c r="U175" s="345">
        <v>75</v>
      </c>
    </row>
    <row r="176" spans="1:252" x14ac:dyDescent="0.25">
      <c r="A176" s="364">
        <v>43821</v>
      </c>
      <c r="B176" s="345">
        <v>83.94</v>
      </c>
      <c r="C176" s="345">
        <v>27.13</v>
      </c>
      <c r="D176" s="345">
        <v>139.52000000000001</v>
      </c>
      <c r="E176" s="345">
        <v>83.77</v>
      </c>
      <c r="F176" s="345">
        <v>211.71</v>
      </c>
      <c r="G176" s="345">
        <v>16.04</v>
      </c>
      <c r="H176" s="345">
        <v>26.8</v>
      </c>
      <c r="I176" s="345">
        <v>83.94</v>
      </c>
      <c r="J176" s="345">
        <v>91.57</v>
      </c>
      <c r="K176" s="345">
        <v>296.3</v>
      </c>
      <c r="L176" s="345">
        <v>164.19</v>
      </c>
      <c r="M176" s="345">
        <v>90.95</v>
      </c>
      <c r="N176" s="345">
        <v>35.85</v>
      </c>
      <c r="O176" s="345">
        <v>12.4</v>
      </c>
      <c r="P176" s="345">
        <v>26.98</v>
      </c>
      <c r="Q176" s="345">
        <v>35.76</v>
      </c>
      <c r="R176" s="345">
        <v>34.72</v>
      </c>
      <c r="S176" s="345">
        <v>28.56</v>
      </c>
      <c r="T176" s="345">
        <v>26.03</v>
      </c>
      <c r="U176" s="345">
        <v>75</v>
      </c>
    </row>
    <row r="177" spans="1:252" x14ac:dyDescent="0.25">
      <c r="A177" s="364">
        <v>43822</v>
      </c>
      <c r="B177" s="345">
        <v>83.7</v>
      </c>
      <c r="C177" s="345">
        <v>27.77</v>
      </c>
      <c r="D177" s="345">
        <v>139.94999999999999</v>
      </c>
      <c r="E177" s="345">
        <v>83.91</v>
      </c>
      <c r="F177" s="345">
        <v>211.81</v>
      </c>
      <c r="G177" s="345">
        <v>16.28</v>
      </c>
      <c r="H177" s="345">
        <v>26.26</v>
      </c>
      <c r="I177" s="345">
        <v>83.59</v>
      </c>
      <c r="J177" s="345">
        <v>91.11</v>
      </c>
      <c r="K177" s="345">
        <v>295.16000000000003</v>
      </c>
      <c r="L177" s="345">
        <v>164.29</v>
      </c>
      <c r="M177" s="345">
        <v>91.21</v>
      </c>
      <c r="N177" s="345">
        <v>35.909999999999997</v>
      </c>
      <c r="O177" s="345">
        <v>12.47</v>
      </c>
      <c r="P177" s="345">
        <v>26.98</v>
      </c>
      <c r="Q177" s="345">
        <v>35.56</v>
      </c>
      <c r="R177" s="345">
        <v>34.729999999999997</v>
      </c>
      <c r="S177" s="345">
        <v>29.35</v>
      </c>
      <c r="T177" s="345">
        <v>26.02</v>
      </c>
      <c r="U177" s="345">
        <v>75.040000000000006</v>
      </c>
    </row>
    <row r="178" spans="1:252" x14ac:dyDescent="0.25">
      <c r="A178" s="364">
        <v>43823</v>
      </c>
      <c r="B178" s="345">
        <v>83.78</v>
      </c>
      <c r="C178" s="345">
        <v>28.66</v>
      </c>
      <c r="D178" s="345">
        <v>141.27000000000001</v>
      </c>
      <c r="E178" s="345">
        <v>84.14</v>
      </c>
      <c r="F178" s="345">
        <v>211.92</v>
      </c>
      <c r="G178" s="345">
        <v>16.579999999999998</v>
      </c>
      <c r="H178" s="345">
        <v>26.26</v>
      </c>
      <c r="I178" s="345">
        <v>83.91</v>
      </c>
      <c r="J178" s="345">
        <v>91.35</v>
      </c>
      <c r="K178" s="345">
        <v>295.16000000000003</v>
      </c>
      <c r="L178" s="345">
        <v>163.44</v>
      </c>
      <c r="M178" s="345">
        <v>91.24</v>
      </c>
      <c r="N178" s="345">
        <v>35.869999999999997</v>
      </c>
      <c r="O178" s="345">
        <v>12.56</v>
      </c>
      <c r="P178" s="345">
        <v>26.98</v>
      </c>
      <c r="Q178" s="345">
        <v>35.72</v>
      </c>
      <c r="R178" s="345">
        <v>34.840000000000003</v>
      </c>
      <c r="S178" s="345">
        <v>30.2</v>
      </c>
      <c r="T178" s="345">
        <v>26.06</v>
      </c>
      <c r="U178" s="345">
        <v>74.9893</v>
      </c>
    </row>
    <row r="179" spans="1:252" x14ac:dyDescent="0.25">
      <c r="A179" s="364">
        <v>43824</v>
      </c>
      <c r="B179" s="345">
        <v>83.78</v>
      </c>
      <c r="C179" s="345">
        <v>28.66</v>
      </c>
      <c r="D179" s="345">
        <v>141.27000000000001</v>
      </c>
      <c r="E179" s="345">
        <v>84.14</v>
      </c>
      <c r="F179" s="345">
        <v>211.92</v>
      </c>
      <c r="G179" s="345">
        <v>16.579999999999998</v>
      </c>
      <c r="H179" s="345">
        <v>26.26</v>
      </c>
      <c r="I179" s="345">
        <v>83.91</v>
      </c>
      <c r="J179" s="345">
        <v>91.35</v>
      </c>
      <c r="K179" s="345">
        <v>295.16000000000003</v>
      </c>
      <c r="L179" s="345">
        <v>163.44</v>
      </c>
      <c r="M179" s="345">
        <v>91.24</v>
      </c>
      <c r="N179" s="345">
        <v>35.869999999999997</v>
      </c>
      <c r="O179" s="345">
        <v>12.56</v>
      </c>
      <c r="P179" s="345">
        <v>26.98</v>
      </c>
      <c r="Q179" s="345">
        <v>35.72</v>
      </c>
      <c r="R179" s="345">
        <v>34.840000000000003</v>
      </c>
      <c r="S179" s="345">
        <v>30.2</v>
      </c>
      <c r="T179" s="345">
        <v>26.06</v>
      </c>
      <c r="U179" s="345">
        <v>74.9893</v>
      </c>
    </row>
    <row r="180" spans="1:252" x14ac:dyDescent="0.25">
      <c r="A180" s="364">
        <v>43825</v>
      </c>
      <c r="B180" s="345">
        <v>83.86</v>
      </c>
      <c r="C180" s="345">
        <v>29.08</v>
      </c>
      <c r="D180" s="345">
        <v>142.38</v>
      </c>
      <c r="E180" s="345">
        <v>84.03</v>
      </c>
      <c r="F180" s="345">
        <v>213.79</v>
      </c>
      <c r="G180" s="345">
        <v>16.73</v>
      </c>
      <c r="H180" s="345">
        <v>26.22</v>
      </c>
      <c r="I180" s="345">
        <v>84.06</v>
      </c>
      <c r="J180" s="345">
        <v>91.75</v>
      </c>
      <c r="K180" s="345">
        <v>296.67</v>
      </c>
      <c r="L180" s="345">
        <v>164.23</v>
      </c>
      <c r="M180" s="345">
        <v>91.92</v>
      </c>
      <c r="N180" s="345">
        <v>35.869999999999997</v>
      </c>
      <c r="O180" s="345">
        <v>12.56</v>
      </c>
      <c r="P180" s="345">
        <v>26.98</v>
      </c>
      <c r="Q180" s="345">
        <v>35.72</v>
      </c>
      <c r="R180" s="345">
        <v>34.840000000000003</v>
      </c>
      <c r="S180" s="345">
        <v>30.2</v>
      </c>
      <c r="T180" s="345">
        <v>26.06</v>
      </c>
      <c r="U180" s="345">
        <v>75.3</v>
      </c>
    </row>
    <row r="181" spans="1:252" x14ac:dyDescent="0.25">
      <c r="A181" s="364">
        <v>43826</v>
      </c>
      <c r="B181" s="345">
        <v>83.98</v>
      </c>
      <c r="C181" s="345">
        <v>28.87</v>
      </c>
      <c r="D181" s="345">
        <v>142.33000000000001</v>
      </c>
      <c r="E181" s="345">
        <v>83.65</v>
      </c>
      <c r="F181" s="345">
        <v>213.61</v>
      </c>
      <c r="G181" s="345">
        <v>16.579999999999998</v>
      </c>
      <c r="H181" s="345">
        <v>26.09</v>
      </c>
      <c r="I181" s="345">
        <v>84.18</v>
      </c>
      <c r="J181" s="345">
        <v>92.04</v>
      </c>
      <c r="K181" s="345">
        <v>296.67</v>
      </c>
      <c r="L181" s="345">
        <v>164.08</v>
      </c>
      <c r="M181" s="345">
        <v>91.91</v>
      </c>
      <c r="N181" s="345">
        <v>36.049999999999997</v>
      </c>
      <c r="O181" s="345">
        <v>12.68</v>
      </c>
      <c r="P181" s="345">
        <v>26.98</v>
      </c>
      <c r="Q181" s="345">
        <v>35.82</v>
      </c>
      <c r="R181" s="345">
        <v>34.82</v>
      </c>
      <c r="S181" s="345">
        <v>30.17</v>
      </c>
      <c r="T181" s="345">
        <v>26.07</v>
      </c>
      <c r="U181" s="345">
        <v>75.450699999999998</v>
      </c>
    </row>
    <row r="182" spans="1:252" s="368" customFormat="1" x14ac:dyDescent="0.25">
      <c r="A182" s="366">
        <v>43827</v>
      </c>
      <c r="B182" s="345">
        <v>83.98</v>
      </c>
      <c r="C182" s="345">
        <v>28.87</v>
      </c>
      <c r="D182" s="345">
        <v>142.33000000000001</v>
      </c>
      <c r="E182" s="345">
        <v>83.65</v>
      </c>
      <c r="F182" s="345">
        <v>213.61</v>
      </c>
      <c r="G182" s="345">
        <v>16.579999999999998</v>
      </c>
      <c r="H182" s="345">
        <v>26.09</v>
      </c>
      <c r="I182" s="345">
        <v>84.18</v>
      </c>
      <c r="J182" s="345">
        <v>92.04</v>
      </c>
      <c r="K182" s="345">
        <v>296.67</v>
      </c>
      <c r="L182" s="345">
        <v>164.08</v>
      </c>
      <c r="M182" s="345">
        <v>91.91</v>
      </c>
      <c r="N182" s="345">
        <v>36.049999999999997</v>
      </c>
      <c r="O182" s="345">
        <v>12.68</v>
      </c>
      <c r="P182" s="345">
        <v>26.98</v>
      </c>
      <c r="Q182" s="345">
        <v>35.82</v>
      </c>
      <c r="R182" s="345">
        <v>34.82</v>
      </c>
      <c r="S182" s="345">
        <v>30.17</v>
      </c>
      <c r="T182" s="345">
        <v>26.07</v>
      </c>
      <c r="U182" s="345">
        <v>75.450699999999998</v>
      </c>
      <c r="V182" s="334"/>
      <c r="W182" s="334"/>
      <c r="X182" s="334"/>
      <c r="Y182" s="334"/>
      <c r="Z182" s="334"/>
      <c r="AA182" s="334"/>
      <c r="AB182" s="334"/>
      <c r="AC182" s="334"/>
      <c r="AD182" s="334"/>
      <c r="AE182" s="334"/>
      <c r="AF182" s="334"/>
      <c r="AG182" s="334"/>
      <c r="AH182" s="334"/>
      <c r="AI182" s="334"/>
      <c r="AJ182" s="334"/>
      <c r="AK182" s="334"/>
      <c r="AL182" s="334"/>
      <c r="AM182" s="334"/>
      <c r="AN182" s="334"/>
      <c r="AO182" s="334"/>
      <c r="AP182" s="334"/>
      <c r="AQ182" s="334"/>
      <c r="AR182" s="334"/>
      <c r="AS182" s="334"/>
      <c r="AT182" s="334"/>
      <c r="AU182" s="334"/>
      <c r="AV182" s="334"/>
      <c r="AW182" s="334"/>
      <c r="AX182" s="334"/>
      <c r="AY182" s="334"/>
      <c r="AZ182" s="334"/>
      <c r="BA182" s="334"/>
      <c r="BB182" s="334"/>
      <c r="BC182" s="334"/>
      <c r="BD182" s="334"/>
      <c r="BE182" s="334"/>
      <c r="BF182" s="334"/>
      <c r="BG182" s="334"/>
      <c r="BH182" s="334"/>
      <c r="BI182" s="334"/>
      <c r="BJ182" s="334"/>
      <c r="BK182" s="334"/>
      <c r="BL182" s="334"/>
      <c r="BM182" s="334"/>
      <c r="BN182" s="334"/>
      <c r="BO182" s="334"/>
      <c r="BP182" s="334"/>
      <c r="BQ182" s="334"/>
      <c r="BR182" s="334"/>
      <c r="BS182" s="334"/>
      <c r="BT182" s="334"/>
      <c r="BU182" s="334"/>
      <c r="BV182" s="334"/>
      <c r="BW182" s="334"/>
      <c r="BX182" s="334"/>
      <c r="BY182" s="334"/>
      <c r="BZ182" s="334"/>
      <c r="CA182" s="334"/>
      <c r="CB182" s="334"/>
      <c r="CC182" s="334"/>
      <c r="CD182" s="334"/>
      <c r="CE182" s="334"/>
      <c r="CF182" s="334"/>
      <c r="CG182" s="334"/>
      <c r="CH182" s="334"/>
      <c r="CI182" s="334"/>
      <c r="CJ182" s="334"/>
      <c r="CK182" s="334"/>
      <c r="CL182" s="334"/>
      <c r="CM182" s="334"/>
      <c r="CN182" s="334"/>
      <c r="CO182" s="334"/>
      <c r="CP182" s="334"/>
      <c r="CQ182" s="334"/>
      <c r="CR182" s="334"/>
      <c r="CS182" s="334"/>
      <c r="CT182" s="334"/>
      <c r="CU182" s="334"/>
      <c r="CV182" s="334"/>
      <c r="CW182" s="334"/>
      <c r="CX182" s="334"/>
      <c r="CY182" s="334"/>
      <c r="CZ182" s="334"/>
      <c r="DA182" s="334"/>
      <c r="DB182" s="334"/>
      <c r="DC182" s="334"/>
      <c r="DD182" s="334"/>
      <c r="DE182" s="334"/>
      <c r="DF182" s="334"/>
      <c r="DG182" s="334"/>
      <c r="DH182" s="334"/>
      <c r="DI182" s="334"/>
      <c r="DJ182" s="334"/>
      <c r="DK182" s="334"/>
      <c r="DL182" s="334"/>
      <c r="DM182" s="334"/>
      <c r="DN182" s="334"/>
      <c r="DO182" s="334"/>
      <c r="DP182" s="334"/>
      <c r="DQ182" s="334"/>
      <c r="DR182" s="334"/>
      <c r="DS182" s="334"/>
      <c r="DT182" s="334"/>
      <c r="DU182" s="334"/>
      <c r="DV182" s="334"/>
      <c r="DW182" s="334"/>
      <c r="DX182" s="334"/>
      <c r="DY182" s="334"/>
      <c r="DZ182" s="334"/>
      <c r="EA182" s="334"/>
      <c r="EB182" s="334"/>
      <c r="EC182" s="334"/>
      <c r="ED182" s="334"/>
      <c r="EE182" s="334"/>
      <c r="EF182" s="334"/>
      <c r="EG182" s="334"/>
      <c r="EH182" s="334"/>
      <c r="EI182" s="334"/>
      <c r="EJ182" s="334"/>
      <c r="EK182" s="334"/>
      <c r="EL182" s="334"/>
      <c r="EM182" s="334"/>
      <c r="EN182" s="334"/>
      <c r="EO182" s="334"/>
      <c r="EP182" s="334"/>
      <c r="EQ182" s="334"/>
      <c r="ER182" s="334"/>
      <c r="ES182" s="334"/>
      <c r="ET182" s="334"/>
      <c r="EU182" s="334"/>
      <c r="EV182" s="334"/>
      <c r="EW182" s="334"/>
      <c r="EX182" s="334"/>
      <c r="EY182" s="334"/>
      <c r="EZ182" s="334"/>
      <c r="FA182" s="334"/>
      <c r="FB182" s="334"/>
      <c r="FC182" s="334"/>
      <c r="FD182" s="334"/>
      <c r="FE182" s="334"/>
      <c r="FF182" s="334"/>
      <c r="FG182" s="334"/>
      <c r="FH182" s="334"/>
      <c r="FI182" s="334"/>
      <c r="FJ182" s="334"/>
      <c r="FK182" s="334"/>
      <c r="FL182" s="334"/>
      <c r="FM182" s="334"/>
      <c r="FN182" s="334"/>
      <c r="FO182" s="334"/>
      <c r="FP182" s="334"/>
      <c r="FQ182" s="334"/>
      <c r="FR182" s="334"/>
      <c r="FS182" s="334"/>
      <c r="FT182" s="334"/>
      <c r="FU182" s="334"/>
      <c r="FV182" s="334"/>
      <c r="FW182" s="334"/>
      <c r="FX182" s="334"/>
      <c r="FY182" s="334"/>
      <c r="FZ182" s="334"/>
      <c r="GA182" s="334"/>
      <c r="GB182" s="334"/>
      <c r="GC182" s="334"/>
      <c r="GD182" s="334"/>
      <c r="GE182" s="334"/>
      <c r="GF182" s="334"/>
      <c r="GG182" s="334"/>
      <c r="GH182" s="334"/>
      <c r="GI182" s="334"/>
      <c r="GJ182" s="334"/>
      <c r="GK182" s="334"/>
      <c r="GL182" s="334"/>
      <c r="GM182" s="334"/>
      <c r="GN182" s="334"/>
      <c r="GO182" s="334"/>
      <c r="GP182" s="334"/>
      <c r="GQ182" s="334"/>
      <c r="GR182" s="334"/>
      <c r="GS182" s="334"/>
      <c r="GT182" s="334"/>
      <c r="GU182" s="334"/>
      <c r="GV182" s="334"/>
      <c r="GW182" s="334"/>
      <c r="GX182" s="334"/>
      <c r="GY182" s="334"/>
      <c r="GZ182" s="334"/>
      <c r="HA182" s="334"/>
      <c r="HB182" s="334"/>
      <c r="HC182" s="334"/>
      <c r="HD182" s="334"/>
      <c r="HE182" s="334"/>
      <c r="HF182" s="334"/>
      <c r="HG182" s="334"/>
      <c r="HH182" s="334"/>
      <c r="HI182" s="334"/>
      <c r="HJ182" s="334"/>
      <c r="HK182" s="334"/>
      <c r="HL182" s="334"/>
      <c r="HM182" s="334"/>
      <c r="HN182" s="334"/>
      <c r="HO182" s="334"/>
      <c r="HP182" s="334"/>
      <c r="HQ182" s="334"/>
      <c r="HR182" s="334"/>
      <c r="HS182" s="334"/>
      <c r="HT182" s="334"/>
      <c r="HU182" s="334"/>
      <c r="HV182" s="334"/>
      <c r="HW182" s="334"/>
      <c r="HX182" s="334"/>
      <c r="HY182" s="334"/>
      <c r="HZ182" s="334"/>
      <c r="IA182" s="334"/>
      <c r="IB182" s="334"/>
      <c r="IC182" s="334"/>
      <c r="ID182" s="334"/>
      <c r="IE182" s="334"/>
      <c r="IF182" s="334"/>
      <c r="IG182" s="334"/>
      <c r="IH182" s="334"/>
      <c r="II182" s="334"/>
      <c r="IJ182" s="334"/>
      <c r="IK182" s="334"/>
      <c r="IL182" s="334"/>
      <c r="IM182" s="334"/>
      <c r="IN182" s="334"/>
      <c r="IO182" s="334"/>
      <c r="IP182" s="334"/>
      <c r="IQ182" s="334"/>
      <c r="IR182" s="334"/>
    </row>
    <row r="183" spans="1:252" s="368" customFormat="1" x14ac:dyDescent="0.25">
      <c r="A183" s="366">
        <v>43828</v>
      </c>
      <c r="B183" s="345">
        <v>83.98</v>
      </c>
      <c r="C183" s="345">
        <v>28.87</v>
      </c>
      <c r="D183" s="345">
        <v>142.33000000000001</v>
      </c>
      <c r="E183" s="345">
        <v>83.65</v>
      </c>
      <c r="F183" s="345">
        <v>213.61</v>
      </c>
      <c r="G183" s="345">
        <v>16.579999999999998</v>
      </c>
      <c r="H183" s="345">
        <v>26.09</v>
      </c>
      <c r="I183" s="345">
        <v>84.18</v>
      </c>
      <c r="J183" s="345">
        <v>92.04</v>
      </c>
      <c r="K183" s="345">
        <v>296.67</v>
      </c>
      <c r="L183" s="345">
        <v>164.08</v>
      </c>
      <c r="M183" s="345">
        <v>91.91</v>
      </c>
      <c r="N183" s="345">
        <v>36.049999999999997</v>
      </c>
      <c r="O183" s="345">
        <v>12.68</v>
      </c>
      <c r="P183" s="345">
        <v>26.98</v>
      </c>
      <c r="Q183" s="345">
        <v>35.82</v>
      </c>
      <c r="R183" s="345">
        <v>34.82</v>
      </c>
      <c r="S183" s="345">
        <v>30.17</v>
      </c>
      <c r="T183" s="345">
        <v>26.07</v>
      </c>
      <c r="U183" s="345">
        <v>75.450699999999998</v>
      </c>
      <c r="V183" s="334"/>
      <c r="W183" s="334"/>
      <c r="X183" s="334"/>
      <c r="Y183" s="334"/>
      <c r="Z183" s="334"/>
      <c r="AA183" s="334"/>
      <c r="AB183" s="334"/>
      <c r="AC183" s="334"/>
      <c r="AD183" s="334"/>
      <c r="AE183" s="334"/>
      <c r="AF183" s="334"/>
      <c r="AG183" s="334"/>
      <c r="AH183" s="334"/>
      <c r="AI183" s="334"/>
      <c r="AJ183" s="334"/>
      <c r="AK183" s="334"/>
      <c r="AL183" s="334"/>
      <c r="AM183" s="334"/>
      <c r="AN183" s="334"/>
      <c r="AO183" s="334"/>
      <c r="AP183" s="334"/>
      <c r="AQ183" s="334"/>
      <c r="AR183" s="334"/>
      <c r="AS183" s="334"/>
      <c r="AT183" s="334"/>
      <c r="AU183" s="334"/>
      <c r="AV183" s="334"/>
      <c r="AW183" s="334"/>
      <c r="AX183" s="334"/>
      <c r="AY183" s="334"/>
      <c r="AZ183" s="334"/>
      <c r="BA183" s="334"/>
      <c r="BB183" s="334"/>
      <c r="BC183" s="334"/>
      <c r="BD183" s="334"/>
      <c r="BE183" s="334"/>
      <c r="BF183" s="334"/>
      <c r="BG183" s="334"/>
      <c r="BH183" s="334"/>
      <c r="BI183" s="334"/>
      <c r="BJ183" s="334"/>
      <c r="BK183" s="334"/>
      <c r="BL183" s="334"/>
      <c r="BM183" s="334"/>
      <c r="BN183" s="334"/>
      <c r="BO183" s="334"/>
      <c r="BP183" s="334"/>
      <c r="BQ183" s="334"/>
      <c r="BR183" s="334"/>
      <c r="BS183" s="334"/>
      <c r="BT183" s="334"/>
      <c r="BU183" s="334"/>
      <c r="BV183" s="334"/>
      <c r="BW183" s="334"/>
      <c r="BX183" s="334"/>
      <c r="BY183" s="334"/>
      <c r="BZ183" s="334"/>
      <c r="CA183" s="334"/>
      <c r="CB183" s="334"/>
      <c r="CC183" s="334"/>
      <c r="CD183" s="334"/>
      <c r="CE183" s="334"/>
      <c r="CF183" s="334"/>
      <c r="CG183" s="334"/>
      <c r="CH183" s="334"/>
      <c r="CI183" s="334"/>
      <c r="CJ183" s="334"/>
      <c r="CK183" s="334"/>
      <c r="CL183" s="334"/>
      <c r="CM183" s="334"/>
      <c r="CN183" s="334"/>
      <c r="CO183" s="334"/>
      <c r="CP183" s="334"/>
      <c r="CQ183" s="334"/>
      <c r="CR183" s="334"/>
      <c r="CS183" s="334"/>
      <c r="CT183" s="334"/>
      <c r="CU183" s="334"/>
      <c r="CV183" s="334"/>
      <c r="CW183" s="334"/>
      <c r="CX183" s="334"/>
      <c r="CY183" s="334"/>
      <c r="CZ183" s="334"/>
      <c r="DA183" s="334"/>
      <c r="DB183" s="334"/>
      <c r="DC183" s="334"/>
      <c r="DD183" s="334"/>
      <c r="DE183" s="334"/>
      <c r="DF183" s="334"/>
      <c r="DG183" s="334"/>
      <c r="DH183" s="334"/>
      <c r="DI183" s="334"/>
      <c r="DJ183" s="334"/>
      <c r="DK183" s="334"/>
      <c r="DL183" s="334"/>
      <c r="DM183" s="334"/>
      <c r="DN183" s="334"/>
      <c r="DO183" s="334"/>
      <c r="DP183" s="334"/>
      <c r="DQ183" s="334"/>
      <c r="DR183" s="334"/>
      <c r="DS183" s="334"/>
      <c r="DT183" s="334"/>
      <c r="DU183" s="334"/>
      <c r="DV183" s="334"/>
      <c r="DW183" s="334"/>
      <c r="DX183" s="334"/>
      <c r="DY183" s="334"/>
      <c r="DZ183" s="334"/>
      <c r="EA183" s="334"/>
      <c r="EB183" s="334"/>
      <c r="EC183" s="334"/>
      <c r="ED183" s="334"/>
      <c r="EE183" s="334"/>
      <c r="EF183" s="334"/>
      <c r="EG183" s="334"/>
      <c r="EH183" s="334"/>
      <c r="EI183" s="334"/>
      <c r="EJ183" s="334"/>
      <c r="EK183" s="334"/>
      <c r="EL183" s="334"/>
      <c r="EM183" s="334"/>
      <c r="EN183" s="334"/>
      <c r="EO183" s="334"/>
      <c r="EP183" s="334"/>
      <c r="EQ183" s="334"/>
      <c r="ER183" s="334"/>
      <c r="ES183" s="334"/>
      <c r="ET183" s="334"/>
      <c r="EU183" s="334"/>
      <c r="EV183" s="334"/>
      <c r="EW183" s="334"/>
      <c r="EX183" s="334"/>
      <c r="EY183" s="334"/>
      <c r="EZ183" s="334"/>
      <c r="FA183" s="334"/>
      <c r="FB183" s="334"/>
      <c r="FC183" s="334"/>
      <c r="FD183" s="334"/>
      <c r="FE183" s="334"/>
      <c r="FF183" s="334"/>
      <c r="FG183" s="334"/>
      <c r="FH183" s="334"/>
      <c r="FI183" s="334"/>
      <c r="FJ183" s="334"/>
      <c r="FK183" s="334"/>
      <c r="FL183" s="334"/>
      <c r="FM183" s="334"/>
      <c r="FN183" s="334"/>
      <c r="FO183" s="334"/>
      <c r="FP183" s="334"/>
      <c r="FQ183" s="334"/>
      <c r="FR183" s="334"/>
      <c r="FS183" s="334"/>
      <c r="FT183" s="334"/>
      <c r="FU183" s="334"/>
      <c r="FV183" s="334"/>
      <c r="FW183" s="334"/>
      <c r="FX183" s="334"/>
      <c r="FY183" s="334"/>
      <c r="FZ183" s="334"/>
      <c r="GA183" s="334"/>
      <c r="GB183" s="334"/>
      <c r="GC183" s="334"/>
      <c r="GD183" s="334"/>
      <c r="GE183" s="334"/>
      <c r="GF183" s="334"/>
      <c r="GG183" s="334"/>
      <c r="GH183" s="334"/>
      <c r="GI183" s="334"/>
      <c r="GJ183" s="334"/>
      <c r="GK183" s="334"/>
      <c r="GL183" s="334"/>
      <c r="GM183" s="334"/>
      <c r="GN183" s="334"/>
      <c r="GO183" s="334"/>
      <c r="GP183" s="334"/>
      <c r="GQ183" s="334"/>
      <c r="GR183" s="334"/>
      <c r="GS183" s="334"/>
      <c r="GT183" s="334"/>
      <c r="GU183" s="334"/>
      <c r="GV183" s="334"/>
      <c r="GW183" s="334"/>
      <c r="GX183" s="334"/>
      <c r="GY183" s="334"/>
      <c r="GZ183" s="334"/>
      <c r="HA183" s="334"/>
      <c r="HB183" s="334"/>
      <c r="HC183" s="334"/>
      <c r="HD183" s="334"/>
      <c r="HE183" s="334"/>
      <c r="HF183" s="334"/>
      <c r="HG183" s="334"/>
      <c r="HH183" s="334"/>
      <c r="HI183" s="334"/>
      <c r="HJ183" s="334"/>
      <c r="HK183" s="334"/>
      <c r="HL183" s="334"/>
      <c r="HM183" s="334"/>
      <c r="HN183" s="334"/>
      <c r="HO183" s="334"/>
      <c r="HP183" s="334"/>
      <c r="HQ183" s="334"/>
      <c r="HR183" s="334"/>
      <c r="HS183" s="334"/>
      <c r="HT183" s="334"/>
      <c r="HU183" s="334"/>
      <c r="HV183" s="334"/>
      <c r="HW183" s="334"/>
      <c r="HX183" s="334"/>
      <c r="HY183" s="334"/>
      <c r="HZ183" s="334"/>
      <c r="IA183" s="334"/>
      <c r="IB183" s="334"/>
      <c r="IC183" s="334"/>
      <c r="ID183" s="334"/>
      <c r="IE183" s="334"/>
      <c r="IF183" s="334"/>
      <c r="IG183" s="334"/>
      <c r="IH183" s="334"/>
      <c r="II183" s="334"/>
      <c r="IJ183" s="334"/>
      <c r="IK183" s="334"/>
      <c r="IL183" s="334"/>
      <c r="IM183" s="334"/>
      <c r="IN183" s="334"/>
      <c r="IO183" s="334"/>
      <c r="IP183" s="334"/>
      <c r="IQ183" s="334"/>
      <c r="IR183" s="334"/>
    </row>
    <row r="184" spans="1:252" x14ac:dyDescent="0.25">
      <c r="A184" s="364">
        <v>43829</v>
      </c>
      <c r="B184" s="345">
        <v>83.95</v>
      </c>
      <c r="C184" s="345">
        <v>29.49</v>
      </c>
      <c r="D184" s="345">
        <v>142.63</v>
      </c>
      <c r="E184" s="345">
        <v>83.6</v>
      </c>
      <c r="F184" s="345">
        <v>212.21</v>
      </c>
      <c r="G184" s="345">
        <v>16.739999999999998</v>
      </c>
      <c r="H184" s="345">
        <v>26.04</v>
      </c>
      <c r="I184" s="345">
        <v>83.92</v>
      </c>
      <c r="J184" s="345">
        <v>92.13</v>
      </c>
      <c r="K184" s="345">
        <v>295.04000000000002</v>
      </c>
      <c r="L184" s="345">
        <v>163.19</v>
      </c>
      <c r="M184" s="345">
        <v>91.38</v>
      </c>
      <c r="N184" s="345">
        <v>35.47</v>
      </c>
      <c r="O184" s="345">
        <v>12.715</v>
      </c>
      <c r="P184" s="345">
        <v>26.69</v>
      </c>
      <c r="Q184" s="345">
        <v>34.97</v>
      </c>
      <c r="R184" s="345">
        <v>34.47</v>
      </c>
      <c r="S184" s="345">
        <v>30.58</v>
      </c>
      <c r="T184" s="345">
        <v>25.94</v>
      </c>
      <c r="U184" s="345">
        <v>75.578900000000004</v>
      </c>
    </row>
    <row r="185" spans="1:252" s="334" customFormat="1" x14ac:dyDescent="0.25">
      <c r="A185" s="385">
        <v>43830</v>
      </c>
      <c r="B185" s="345">
        <v>83.86</v>
      </c>
      <c r="C185" s="345">
        <v>29.28</v>
      </c>
      <c r="D185" s="345">
        <v>142.9</v>
      </c>
      <c r="E185" s="345">
        <v>83.85</v>
      </c>
      <c r="F185" s="345">
        <v>212.61</v>
      </c>
      <c r="G185" s="345">
        <v>16.68</v>
      </c>
      <c r="H185" s="345">
        <v>25.97</v>
      </c>
      <c r="I185" s="345">
        <v>83.27</v>
      </c>
      <c r="J185" s="345">
        <v>92.79</v>
      </c>
      <c r="K185" s="345">
        <v>295.8</v>
      </c>
      <c r="L185" s="345">
        <v>163.62</v>
      </c>
      <c r="M185" s="345">
        <v>91.67</v>
      </c>
      <c r="N185" s="345">
        <v>35.575000000000003</v>
      </c>
      <c r="O185" s="345">
        <v>12.73</v>
      </c>
      <c r="P185" s="345">
        <v>26.64</v>
      </c>
      <c r="Q185" s="345">
        <v>34.81</v>
      </c>
      <c r="R185" s="345">
        <v>34.4</v>
      </c>
      <c r="S185" s="345">
        <v>30.4</v>
      </c>
      <c r="T185" s="345">
        <v>25.86</v>
      </c>
      <c r="U185" s="345">
        <v>76</v>
      </c>
    </row>
    <row r="186" spans="1:252" x14ac:dyDescent="0.25">
      <c r="A186" s="364">
        <v>43831</v>
      </c>
      <c r="B186" s="345">
        <v>83.86</v>
      </c>
      <c r="C186" s="345">
        <v>29.28</v>
      </c>
      <c r="D186" s="345">
        <v>142.9</v>
      </c>
      <c r="E186" s="345">
        <v>83.85</v>
      </c>
      <c r="F186" s="345">
        <v>212.61</v>
      </c>
      <c r="G186" s="345">
        <v>16.68</v>
      </c>
      <c r="H186" s="345">
        <v>25.97</v>
      </c>
      <c r="I186" s="345">
        <v>83.27</v>
      </c>
      <c r="J186" s="345">
        <v>92.79</v>
      </c>
      <c r="K186" s="345">
        <v>295.8</v>
      </c>
      <c r="L186" s="345">
        <v>163.62</v>
      </c>
      <c r="M186" s="345">
        <v>91.67</v>
      </c>
      <c r="N186" s="345">
        <v>35.575000000000003</v>
      </c>
      <c r="O186" s="345">
        <v>12.73</v>
      </c>
      <c r="P186" s="345">
        <v>26.64</v>
      </c>
      <c r="Q186" s="345">
        <v>34.81</v>
      </c>
      <c r="R186" s="345">
        <v>34.4</v>
      </c>
      <c r="S186" s="345">
        <v>30.4</v>
      </c>
      <c r="T186" s="345">
        <v>25.86</v>
      </c>
      <c r="U186" s="345">
        <v>76</v>
      </c>
    </row>
    <row r="187" spans="1:252" x14ac:dyDescent="0.25">
      <c r="A187" s="385">
        <v>43832</v>
      </c>
      <c r="B187" s="345">
        <v>83.97</v>
      </c>
      <c r="C187" s="345">
        <v>29.35</v>
      </c>
      <c r="D187" s="345">
        <v>143.94999999999999</v>
      </c>
      <c r="E187" s="345">
        <v>83.91</v>
      </c>
      <c r="F187" s="345">
        <v>216.16</v>
      </c>
      <c r="G187" s="345">
        <v>16.809999999999999</v>
      </c>
      <c r="H187" s="345">
        <v>26.06</v>
      </c>
      <c r="I187" s="345">
        <v>84.01</v>
      </c>
      <c r="J187" s="345">
        <v>91.7</v>
      </c>
      <c r="K187" s="345">
        <v>298.42</v>
      </c>
      <c r="L187" s="345">
        <v>164.98</v>
      </c>
      <c r="M187" s="345">
        <v>93.39</v>
      </c>
      <c r="N187" s="345">
        <v>35.880000000000003</v>
      </c>
      <c r="O187" s="345">
        <v>12.8</v>
      </c>
      <c r="P187" s="345">
        <v>26.8</v>
      </c>
      <c r="Q187" s="345">
        <v>34.29</v>
      </c>
      <c r="R187" s="345">
        <v>34.479999999999997</v>
      </c>
      <c r="S187" s="345">
        <v>30.28</v>
      </c>
      <c r="T187" s="345">
        <v>25.93</v>
      </c>
      <c r="U187" s="345">
        <v>75.98</v>
      </c>
    </row>
    <row r="188" spans="1:252" x14ac:dyDescent="0.25">
      <c r="A188" s="364">
        <v>43833</v>
      </c>
      <c r="B188" s="345">
        <v>84.27</v>
      </c>
      <c r="C188" s="345">
        <v>29.17</v>
      </c>
      <c r="D188" s="345">
        <v>145.86000000000001</v>
      </c>
      <c r="E188" s="345">
        <v>83.86</v>
      </c>
      <c r="F188" s="345">
        <v>214.18</v>
      </c>
      <c r="G188" s="345">
        <v>16.84</v>
      </c>
      <c r="H188" s="345">
        <v>26.09</v>
      </c>
      <c r="I188" s="345">
        <v>85.26</v>
      </c>
      <c r="J188" s="345">
        <v>92.27</v>
      </c>
      <c r="K188" s="345">
        <v>296.24</v>
      </c>
      <c r="L188" s="345">
        <v>163.93</v>
      </c>
      <c r="M188" s="345">
        <v>92.34</v>
      </c>
      <c r="N188" s="345">
        <v>35.630000000000003</v>
      </c>
      <c r="O188" s="345">
        <v>13</v>
      </c>
      <c r="P188" s="345">
        <v>26.7</v>
      </c>
      <c r="Q188" s="345">
        <v>34.72</v>
      </c>
      <c r="R188" s="345">
        <v>34.409999999999997</v>
      </c>
      <c r="S188" s="345">
        <v>30.1</v>
      </c>
      <c r="T188" s="345">
        <v>26.11</v>
      </c>
      <c r="U188" s="345">
        <v>75.94</v>
      </c>
    </row>
    <row r="189" spans="1:252" s="387" customFormat="1" x14ac:dyDescent="0.25">
      <c r="A189" s="386">
        <v>43834</v>
      </c>
      <c r="B189" s="345">
        <v>84.27</v>
      </c>
      <c r="C189" s="345">
        <v>29.17</v>
      </c>
      <c r="D189" s="345">
        <v>145.86000000000001</v>
      </c>
      <c r="E189" s="345">
        <v>83.86</v>
      </c>
      <c r="F189" s="345">
        <v>214.18</v>
      </c>
      <c r="G189" s="345">
        <v>16.84</v>
      </c>
      <c r="H189" s="345">
        <v>26.09</v>
      </c>
      <c r="I189" s="345">
        <v>85.26</v>
      </c>
      <c r="J189" s="345">
        <v>92.27</v>
      </c>
      <c r="K189" s="345">
        <v>296.24</v>
      </c>
      <c r="L189" s="345">
        <v>163.93</v>
      </c>
      <c r="M189" s="345">
        <v>92.34</v>
      </c>
      <c r="N189" s="345">
        <v>35.630000000000003</v>
      </c>
      <c r="O189" s="345">
        <v>13</v>
      </c>
      <c r="P189" s="345">
        <v>26.7</v>
      </c>
      <c r="Q189" s="345">
        <v>34.72</v>
      </c>
      <c r="R189" s="345">
        <v>34.409999999999997</v>
      </c>
      <c r="S189" s="345">
        <v>30.1</v>
      </c>
      <c r="T189" s="345">
        <v>26.11</v>
      </c>
      <c r="U189" s="345">
        <v>75.94</v>
      </c>
      <c r="V189" s="334"/>
      <c r="W189" s="334"/>
      <c r="X189" s="334"/>
      <c r="Y189" s="334"/>
      <c r="Z189" s="334"/>
      <c r="AA189" s="334"/>
      <c r="AB189" s="334"/>
      <c r="AC189" s="334"/>
      <c r="AD189" s="334"/>
      <c r="AE189" s="334"/>
      <c r="AF189" s="334"/>
      <c r="AG189" s="334"/>
      <c r="AH189" s="334"/>
      <c r="AI189" s="334"/>
      <c r="AJ189" s="334"/>
      <c r="AK189" s="334"/>
      <c r="AL189" s="334"/>
      <c r="AM189" s="334"/>
      <c r="AN189" s="334"/>
      <c r="AO189" s="334"/>
      <c r="AP189" s="334"/>
      <c r="AQ189" s="334"/>
      <c r="AR189" s="334"/>
      <c r="AS189" s="334"/>
      <c r="AT189" s="334"/>
      <c r="AU189" s="334"/>
      <c r="AV189" s="334"/>
      <c r="AW189" s="334"/>
      <c r="AX189" s="334"/>
      <c r="AY189" s="334"/>
      <c r="AZ189" s="334"/>
      <c r="BA189" s="334"/>
      <c r="BB189" s="334"/>
      <c r="BC189" s="334"/>
      <c r="BD189" s="334"/>
      <c r="BE189" s="334"/>
      <c r="BF189" s="334"/>
      <c r="BG189" s="334"/>
      <c r="BH189" s="334"/>
      <c r="BI189" s="334"/>
      <c r="BJ189" s="334"/>
      <c r="BK189" s="334"/>
      <c r="BL189" s="334"/>
      <c r="BM189" s="334"/>
      <c r="BN189" s="334"/>
      <c r="BO189" s="334"/>
      <c r="BP189" s="334"/>
      <c r="BQ189" s="334"/>
      <c r="BR189" s="334"/>
      <c r="BS189" s="334"/>
      <c r="BT189" s="334"/>
      <c r="BU189" s="334"/>
      <c r="BV189" s="334"/>
      <c r="BW189" s="334"/>
      <c r="BX189" s="334"/>
      <c r="BY189" s="334"/>
      <c r="BZ189" s="334"/>
      <c r="CA189" s="334"/>
      <c r="CB189" s="334"/>
      <c r="CC189" s="334"/>
      <c r="CD189" s="334"/>
      <c r="CE189" s="334"/>
      <c r="CF189" s="334"/>
      <c r="CG189" s="334"/>
      <c r="CH189" s="334"/>
      <c r="CI189" s="334"/>
      <c r="CJ189" s="334"/>
      <c r="CK189" s="334"/>
      <c r="CL189" s="334"/>
      <c r="CM189" s="334"/>
      <c r="CN189" s="334"/>
      <c r="CO189" s="334"/>
      <c r="CP189" s="334"/>
      <c r="CQ189" s="334"/>
      <c r="CR189" s="334"/>
      <c r="CS189" s="334"/>
      <c r="CT189" s="334"/>
      <c r="CU189" s="334"/>
      <c r="CV189" s="334"/>
      <c r="CW189" s="334"/>
      <c r="CX189" s="334"/>
      <c r="CY189" s="334"/>
      <c r="CZ189" s="334"/>
      <c r="DA189" s="334"/>
      <c r="DB189" s="334"/>
      <c r="DC189" s="334"/>
      <c r="DD189" s="334"/>
      <c r="DE189" s="334"/>
      <c r="DF189" s="334"/>
      <c r="DG189" s="334"/>
      <c r="DH189" s="334"/>
      <c r="DI189" s="334"/>
      <c r="DJ189" s="334"/>
      <c r="DK189" s="334"/>
      <c r="DL189" s="334"/>
      <c r="DM189" s="334"/>
      <c r="DN189" s="334"/>
      <c r="DO189" s="334"/>
      <c r="DP189" s="334"/>
      <c r="DQ189" s="334"/>
      <c r="DR189" s="334"/>
      <c r="DS189" s="334"/>
      <c r="DT189" s="334"/>
      <c r="DU189" s="334"/>
      <c r="DV189" s="334"/>
      <c r="DW189" s="334"/>
      <c r="DX189" s="334"/>
      <c r="DY189" s="334"/>
      <c r="DZ189" s="334"/>
      <c r="EA189" s="334"/>
      <c r="EB189" s="334"/>
      <c r="EC189" s="334"/>
      <c r="ED189" s="334"/>
      <c r="EE189" s="334"/>
      <c r="EF189" s="334"/>
      <c r="EG189" s="334"/>
      <c r="EH189" s="334"/>
      <c r="EI189" s="334"/>
      <c r="EJ189" s="334"/>
      <c r="EK189" s="334"/>
      <c r="EL189" s="334"/>
      <c r="EM189" s="334"/>
      <c r="EN189" s="334"/>
      <c r="EO189" s="334"/>
      <c r="EP189" s="334"/>
      <c r="EQ189" s="334"/>
      <c r="ER189" s="334"/>
      <c r="ES189" s="334"/>
      <c r="ET189" s="334"/>
      <c r="EU189" s="334"/>
      <c r="EV189" s="334"/>
      <c r="EW189" s="334"/>
      <c r="EX189" s="334"/>
      <c r="EY189" s="334"/>
      <c r="EZ189" s="334"/>
      <c r="FA189" s="334"/>
      <c r="FB189" s="334"/>
      <c r="FC189" s="334"/>
      <c r="FD189" s="334"/>
      <c r="FE189" s="334"/>
      <c r="FF189" s="334"/>
      <c r="FG189" s="334"/>
      <c r="FH189" s="334"/>
      <c r="FI189" s="334"/>
      <c r="FJ189" s="334"/>
      <c r="FK189" s="334"/>
      <c r="FL189" s="334"/>
      <c r="FM189" s="334"/>
      <c r="FN189" s="334"/>
      <c r="FO189" s="334"/>
      <c r="FP189" s="334"/>
      <c r="FQ189" s="334"/>
      <c r="FR189" s="334"/>
      <c r="FS189" s="334"/>
      <c r="FT189" s="334"/>
      <c r="FU189" s="334"/>
      <c r="FV189" s="334"/>
      <c r="FW189" s="334"/>
      <c r="FX189" s="334"/>
      <c r="FY189" s="334"/>
      <c r="FZ189" s="334"/>
      <c r="GA189" s="334"/>
      <c r="GB189" s="334"/>
      <c r="GC189" s="334"/>
      <c r="GD189" s="334"/>
      <c r="GE189" s="334"/>
      <c r="GF189" s="334"/>
      <c r="GG189" s="334"/>
      <c r="GH189" s="334"/>
      <c r="GI189" s="334"/>
      <c r="GJ189" s="334"/>
      <c r="GK189" s="334"/>
      <c r="GL189" s="334"/>
      <c r="GM189" s="334"/>
      <c r="GN189" s="334"/>
      <c r="GO189" s="334"/>
      <c r="GP189" s="334"/>
      <c r="GQ189" s="334"/>
      <c r="GR189" s="334"/>
      <c r="GS189" s="334"/>
      <c r="GT189" s="334"/>
      <c r="GU189" s="334"/>
      <c r="GV189" s="334"/>
      <c r="GW189" s="334"/>
      <c r="GX189" s="334"/>
      <c r="GY189" s="334"/>
      <c r="GZ189" s="334"/>
      <c r="HA189" s="334"/>
      <c r="HB189" s="334"/>
      <c r="HC189" s="334"/>
      <c r="HD189" s="334"/>
      <c r="HE189" s="334"/>
      <c r="HF189" s="334"/>
      <c r="HG189" s="334"/>
      <c r="HH189" s="334"/>
      <c r="HI189" s="334"/>
      <c r="HJ189" s="334"/>
      <c r="HK189" s="334"/>
      <c r="HL189" s="334"/>
      <c r="HM189" s="334"/>
      <c r="HN189" s="334"/>
      <c r="HO189" s="334"/>
      <c r="HP189" s="334"/>
      <c r="HQ189" s="334"/>
      <c r="HR189" s="334"/>
      <c r="HS189" s="334"/>
      <c r="HT189" s="334"/>
      <c r="HU189" s="334"/>
      <c r="HV189" s="334"/>
      <c r="HW189" s="334"/>
      <c r="HX189" s="334"/>
      <c r="HY189" s="334"/>
      <c r="HZ189" s="334"/>
      <c r="IA189" s="334"/>
      <c r="IB189" s="334"/>
      <c r="IC189" s="334"/>
      <c r="ID189" s="334"/>
      <c r="IE189" s="334"/>
      <c r="IF189" s="334"/>
      <c r="IG189" s="334"/>
      <c r="IH189" s="334"/>
      <c r="II189" s="334"/>
      <c r="IJ189" s="334"/>
      <c r="IK189" s="334"/>
      <c r="IL189" s="334"/>
      <c r="IM189" s="334"/>
      <c r="IN189" s="334"/>
      <c r="IO189" s="334"/>
      <c r="IP189" s="334"/>
      <c r="IQ189" s="334"/>
      <c r="IR189" s="334"/>
    </row>
    <row r="190" spans="1:252" s="387" customFormat="1" x14ac:dyDescent="0.25">
      <c r="A190" s="386">
        <v>43835</v>
      </c>
      <c r="B190" s="345">
        <v>84.27</v>
      </c>
      <c r="C190" s="345">
        <v>29.17</v>
      </c>
      <c r="D190" s="345">
        <v>145.86000000000001</v>
      </c>
      <c r="E190" s="345">
        <v>83.86</v>
      </c>
      <c r="F190" s="345">
        <v>214.18</v>
      </c>
      <c r="G190" s="345">
        <v>16.84</v>
      </c>
      <c r="H190" s="345">
        <v>26.09</v>
      </c>
      <c r="I190" s="345">
        <v>85.26</v>
      </c>
      <c r="J190" s="345">
        <v>92.27</v>
      </c>
      <c r="K190" s="345">
        <v>296.24</v>
      </c>
      <c r="L190" s="345">
        <v>163.93</v>
      </c>
      <c r="M190" s="345">
        <v>92.34</v>
      </c>
      <c r="N190" s="345">
        <v>35.630000000000003</v>
      </c>
      <c r="O190" s="345">
        <v>13</v>
      </c>
      <c r="P190" s="345">
        <v>26.7</v>
      </c>
      <c r="Q190" s="345">
        <v>34.72</v>
      </c>
      <c r="R190" s="345">
        <v>34.409999999999997</v>
      </c>
      <c r="S190" s="345">
        <v>30.1</v>
      </c>
      <c r="T190" s="345">
        <v>26.11</v>
      </c>
      <c r="U190" s="345">
        <v>75.94</v>
      </c>
      <c r="V190" s="334"/>
      <c r="W190" s="334"/>
      <c r="X190" s="334"/>
      <c r="Y190" s="334"/>
      <c r="Z190" s="334"/>
      <c r="AA190" s="334"/>
      <c r="AB190" s="334"/>
      <c r="AC190" s="334"/>
      <c r="AD190" s="334"/>
      <c r="AE190" s="334"/>
      <c r="AF190" s="334"/>
      <c r="AG190" s="334"/>
      <c r="AH190" s="334"/>
      <c r="AI190" s="334"/>
      <c r="AJ190" s="334"/>
      <c r="AK190" s="334"/>
      <c r="AL190" s="334"/>
      <c r="AM190" s="334"/>
      <c r="AN190" s="334"/>
      <c r="AO190" s="334"/>
      <c r="AP190" s="334"/>
      <c r="AQ190" s="334"/>
      <c r="AR190" s="334"/>
      <c r="AS190" s="334"/>
      <c r="AT190" s="334"/>
      <c r="AU190" s="334"/>
      <c r="AV190" s="334"/>
      <c r="AW190" s="334"/>
      <c r="AX190" s="334"/>
      <c r="AY190" s="334"/>
      <c r="AZ190" s="334"/>
      <c r="BA190" s="334"/>
      <c r="BB190" s="334"/>
      <c r="BC190" s="334"/>
      <c r="BD190" s="334"/>
      <c r="BE190" s="334"/>
      <c r="BF190" s="334"/>
      <c r="BG190" s="334"/>
      <c r="BH190" s="334"/>
      <c r="BI190" s="334"/>
      <c r="BJ190" s="334"/>
      <c r="BK190" s="334"/>
      <c r="BL190" s="334"/>
      <c r="BM190" s="334"/>
      <c r="BN190" s="334"/>
      <c r="BO190" s="334"/>
      <c r="BP190" s="334"/>
      <c r="BQ190" s="334"/>
      <c r="BR190" s="334"/>
      <c r="BS190" s="334"/>
      <c r="BT190" s="334"/>
      <c r="BU190" s="334"/>
      <c r="BV190" s="334"/>
      <c r="BW190" s="334"/>
      <c r="BX190" s="334"/>
      <c r="BY190" s="334"/>
      <c r="BZ190" s="334"/>
      <c r="CA190" s="334"/>
      <c r="CB190" s="334"/>
      <c r="CC190" s="334"/>
      <c r="CD190" s="334"/>
      <c r="CE190" s="334"/>
      <c r="CF190" s="334"/>
      <c r="CG190" s="334"/>
      <c r="CH190" s="334"/>
      <c r="CI190" s="334"/>
      <c r="CJ190" s="334"/>
      <c r="CK190" s="334"/>
      <c r="CL190" s="334"/>
      <c r="CM190" s="334"/>
      <c r="CN190" s="334"/>
      <c r="CO190" s="334"/>
      <c r="CP190" s="334"/>
      <c r="CQ190" s="334"/>
      <c r="CR190" s="334"/>
      <c r="CS190" s="334"/>
      <c r="CT190" s="334"/>
      <c r="CU190" s="334"/>
      <c r="CV190" s="334"/>
      <c r="CW190" s="334"/>
      <c r="CX190" s="334"/>
      <c r="CY190" s="334"/>
      <c r="CZ190" s="334"/>
      <c r="DA190" s="334"/>
      <c r="DB190" s="334"/>
      <c r="DC190" s="334"/>
      <c r="DD190" s="334"/>
      <c r="DE190" s="334"/>
      <c r="DF190" s="334"/>
      <c r="DG190" s="334"/>
      <c r="DH190" s="334"/>
      <c r="DI190" s="334"/>
      <c r="DJ190" s="334"/>
      <c r="DK190" s="334"/>
      <c r="DL190" s="334"/>
      <c r="DM190" s="334"/>
      <c r="DN190" s="334"/>
      <c r="DO190" s="334"/>
      <c r="DP190" s="334"/>
      <c r="DQ190" s="334"/>
      <c r="DR190" s="334"/>
      <c r="DS190" s="334"/>
      <c r="DT190" s="334"/>
      <c r="DU190" s="334"/>
      <c r="DV190" s="334"/>
      <c r="DW190" s="334"/>
      <c r="DX190" s="334"/>
      <c r="DY190" s="334"/>
      <c r="DZ190" s="334"/>
      <c r="EA190" s="334"/>
      <c r="EB190" s="334"/>
      <c r="EC190" s="334"/>
      <c r="ED190" s="334"/>
      <c r="EE190" s="334"/>
      <c r="EF190" s="334"/>
      <c r="EG190" s="334"/>
      <c r="EH190" s="334"/>
      <c r="EI190" s="334"/>
      <c r="EJ190" s="334"/>
      <c r="EK190" s="334"/>
      <c r="EL190" s="334"/>
      <c r="EM190" s="334"/>
      <c r="EN190" s="334"/>
      <c r="EO190" s="334"/>
      <c r="EP190" s="334"/>
      <c r="EQ190" s="334"/>
      <c r="ER190" s="334"/>
      <c r="ES190" s="334"/>
      <c r="ET190" s="334"/>
      <c r="EU190" s="334"/>
      <c r="EV190" s="334"/>
      <c r="EW190" s="334"/>
      <c r="EX190" s="334"/>
      <c r="EY190" s="334"/>
      <c r="EZ190" s="334"/>
      <c r="FA190" s="334"/>
      <c r="FB190" s="334"/>
      <c r="FC190" s="334"/>
      <c r="FD190" s="334"/>
      <c r="FE190" s="334"/>
      <c r="FF190" s="334"/>
      <c r="FG190" s="334"/>
      <c r="FH190" s="334"/>
      <c r="FI190" s="334"/>
      <c r="FJ190" s="334"/>
      <c r="FK190" s="334"/>
      <c r="FL190" s="334"/>
      <c r="FM190" s="334"/>
      <c r="FN190" s="334"/>
      <c r="FO190" s="334"/>
      <c r="FP190" s="334"/>
      <c r="FQ190" s="334"/>
      <c r="FR190" s="334"/>
      <c r="FS190" s="334"/>
      <c r="FT190" s="334"/>
      <c r="FU190" s="334"/>
      <c r="FV190" s="334"/>
      <c r="FW190" s="334"/>
      <c r="FX190" s="334"/>
      <c r="FY190" s="334"/>
      <c r="FZ190" s="334"/>
      <c r="GA190" s="334"/>
      <c r="GB190" s="334"/>
      <c r="GC190" s="334"/>
      <c r="GD190" s="334"/>
      <c r="GE190" s="334"/>
      <c r="GF190" s="334"/>
      <c r="GG190" s="334"/>
      <c r="GH190" s="334"/>
      <c r="GI190" s="334"/>
      <c r="GJ190" s="334"/>
      <c r="GK190" s="334"/>
      <c r="GL190" s="334"/>
      <c r="GM190" s="334"/>
      <c r="GN190" s="334"/>
      <c r="GO190" s="334"/>
      <c r="GP190" s="334"/>
      <c r="GQ190" s="334"/>
      <c r="GR190" s="334"/>
      <c r="GS190" s="334"/>
      <c r="GT190" s="334"/>
      <c r="GU190" s="334"/>
      <c r="GV190" s="334"/>
      <c r="GW190" s="334"/>
      <c r="GX190" s="334"/>
      <c r="GY190" s="334"/>
      <c r="GZ190" s="334"/>
      <c r="HA190" s="334"/>
      <c r="HB190" s="334"/>
      <c r="HC190" s="334"/>
      <c r="HD190" s="334"/>
      <c r="HE190" s="334"/>
      <c r="HF190" s="334"/>
      <c r="HG190" s="334"/>
      <c r="HH190" s="334"/>
      <c r="HI190" s="334"/>
      <c r="HJ190" s="334"/>
      <c r="HK190" s="334"/>
      <c r="HL190" s="334"/>
      <c r="HM190" s="334"/>
      <c r="HN190" s="334"/>
      <c r="HO190" s="334"/>
      <c r="HP190" s="334"/>
      <c r="HQ190" s="334"/>
      <c r="HR190" s="334"/>
      <c r="HS190" s="334"/>
      <c r="HT190" s="334"/>
      <c r="HU190" s="334"/>
      <c r="HV190" s="334"/>
      <c r="HW190" s="334"/>
      <c r="HX190" s="334"/>
      <c r="HY190" s="334"/>
      <c r="HZ190" s="334"/>
      <c r="IA190" s="334"/>
      <c r="IB190" s="334"/>
      <c r="IC190" s="334"/>
      <c r="ID190" s="334"/>
      <c r="IE190" s="334"/>
      <c r="IF190" s="334"/>
      <c r="IG190" s="334"/>
      <c r="IH190" s="334"/>
      <c r="II190" s="334"/>
      <c r="IJ190" s="334"/>
      <c r="IK190" s="334"/>
      <c r="IL190" s="334"/>
      <c r="IM190" s="334"/>
      <c r="IN190" s="334"/>
      <c r="IO190" s="334"/>
      <c r="IP190" s="334"/>
      <c r="IQ190" s="334"/>
      <c r="IR190" s="334"/>
    </row>
    <row r="191" spans="1:252" x14ac:dyDescent="0.25">
      <c r="A191" s="385">
        <v>43836</v>
      </c>
      <c r="B191" s="345">
        <v>84.17</v>
      </c>
      <c r="C191" s="345">
        <v>29.22</v>
      </c>
      <c r="D191" s="345">
        <v>147.38999999999999</v>
      </c>
      <c r="E191" s="345">
        <v>83.78</v>
      </c>
      <c r="F191" s="345">
        <v>215.56</v>
      </c>
      <c r="G191" s="345">
        <v>16.940000000000001</v>
      </c>
      <c r="H191" s="345">
        <v>26.03</v>
      </c>
      <c r="I191" s="345">
        <v>84.85</v>
      </c>
      <c r="J191" s="345">
        <v>92.38</v>
      </c>
      <c r="K191" s="345">
        <v>297.35000000000002</v>
      </c>
      <c r="L191" s="345">
        <v>164.49</v>
      </c>
      <c r="M191" s="345">
        <v>92.56</v>
      </c>
      <c r="N191" s="345">
        <v>35.729999999999997</v>
      </c>
      <c r="O191" s="345">
        <v>13.1</v>
      </c>
      <c r="P191" s="345">
        <v>26.7</v>
      </c>
      <c r="Q191" s="345">
        <v>34.56</v>
      </c>
      <c r="R191" s="345">
        <v>34.494999999999997</v>
      </c>
      <c r="S191" s="345">
        <v>30.08</v>
      </c>
      <c r="T191" s="345">
        <v>26.01</v>
      </c>
      <c r="U191" s="345">
        <v>76.09</v>
      </c>
    </row>
    <row r="192" spans="1:252" x14ac:dyDescent="0.25">
      <c r="A192" s="364">
        <v>43837</v>
      </c>
      <c r="B192" s="345">
        <v>84.1</v>
      </c>
      <c r="C192" s="345">
        <v>29.5</v>
      </c>
      <c r="D192" s="345">
        <v>147.97</v>
      </c>
      <c r="E192" s="345">
        <v>83.3</v>
      </c>
      <c r="F192" s="345">
        <v>215.53</v>
      </c>
      <c r="G192" s="345">
        <v>17.170000000000002</v>
      </c>
      <c r="H192" s="345">
        <v>26.12</v>
      </c>
      <c r="I192" s="345">
        <v>84.4</v>
      </c>
      <c r="J192" s="345">
        <v>91.35</v>
      </c>
      <c r="K192" s="345">
        <v>296.52999999999997</v>
      </c>
      <c r="L192" s="345">
        <v>164.1</v>
      </c>
      <c r="M192" s="345">
        <v>92.52</v>
      </c>
      <c r="N192" s="345">
        <v>35.64</v>
      </c>
      <c r="O192" s="345">
        <v>13.16</v>
      </c>
      <c r="P192" s="345">
        <v>26.74</v>
      </c>
      <c r="Q192" s="345">
        <v>34.729999999999997</v>
      </c>
      <c r="R192" s="345">
        <v>34.64</v>
      </c>
      <c r="S192" s="345">
        <v>30.46</v>
      </c>
      <c r="T192" s="345">
        <v>26.01</v>
      </c>
      <c r="U192" s="345">
        <v>75.849999999999994</v>
      </c>
    </row>
    <row r="193" spans="1:252" x14ac:dyDescent="0.25">
      <c r="A193" s="385">
        <v>43838</v>
      </c>
      <c r="B193" s="345">
        <v>83.97</v>
      </c>
      <c r="C193" s="345">
        <v>28.35</v>
      </c>
      <c r="D193" s="345">
        <v>146.86000000000001</v>
      </c>
      <c r="E193" s="345">
        <v>83.48</v>
      </c>
      <c r="F193" s="345">
        <v>217.15</v>
      </c>
      <c r="G193" s="345">
        <v>16.93</v>
      </c>
      <c r="H193" s="345">
        <v>26.19</v>
      </c>
      <c r="I193" s="345">
        <v>83.92</v>
      </c>
      <c r="J193" s="345">
        <v>91.63</v>
      </c>
      <c r="K193" s="345">
        <v>298.06</v>
      </c>
      <c r="L193" s="345">
        <v>164.91</v>
      </c>
      <c r="M193" s="345">
        <v>93.51</v>
      </c>
      <c r="N193" s="345">
        <v>35.840000000000003</v>
      </c>
      <c r="O193" s="345">
        <v>13.07</v>
      </c>
      <c r="P193" s="345">
        <v>26.81</v>
      </c>
      <c r="Q193" s="345">
        <v>34.76</v>
      </c>
      <c r="R193" s="345">
        <v>34.630000000000003</v>
      </c>
      <c r="S193" s="345">
        <v>29.26</v>
      </c>
      <c r="T193" s="345">
        <v>25.92</v>
      </c>
      <c r="U193" s="345">
        <v>75.709999999999994</v>
      </c>
    </row>
    <row r="194" spans="1:252" x14ac:dyDescent="0.25">
      <c r="A194" s="364">
        <v>43839</v>
      </c>
      <c r="B194" s="345">
        <v>84.07</v>
      </c>
      <c r="C194" s="345">
        <v>28.04</v>
      </c>
      <c r="D194" s="345">
        <v>146.03</v>
      </c>
      <c r="E194" s="345">
        <v>83.46</v>
      </c>
      <c r="F194" s="345">
        <v>218.99</v>
      </c>
      <c r="G194" s="345">
        <v>16.72</v>
      </c>
      <c r="H194" s="345">
        <v>26.24</v>
      </c>
      <c r="I194" s="345">
        <v>84.17</v>
      </c>
      <c r="J194" s="345">
        <v>91.58</v>
      </c>
      <c r="K194" s="345">
        <v>300.12</v>
      </c>
      <c r="L194" s="345">
        <v>165.94</v>
      </c>
      <c r="M194" s="345">
        <v>94.57</v>
      </c>
      <c r="N194" s="345">
        <v>36.07</v>
      </c>
      <c r="O194" s="345">
        <v>12.98</v>
      </c>
      <c r="P194" s="345">
        <v>26.95</v>
      </c>
      <c r="Q194" s="345">
        <v>34.9</v>
      </c>
      <c r="R194" s="345">
        <v>34.79</v>
      </c>
      <c r="S194" s="345">
        <v>29.14</v>
      </c>
      <c r="T194" s="345">
        <v>25.96</v>
      </c>
      <c r="U194" s="345">
        <v>75.498500000000007</v>
      </c>
    </row>
    <row r="195" spans="1:252" x14ac:dyDescent="0.25">
      <c r="A195" s="385">
        <v>43840</v>
      </c>
      <c r="B195" s="345">
        <v>84.21</v>
      </c>
      <c r="C195" s="345">
        <v>28.45</v>
      </c>
      <c r="D195" s="345">
        <v>146.91</v>
      </c>
      <c r="E195" s="345">
        <v>83.07</v>
      </c>
      <c r="F195" s="345">
        <v>218.43</v>
      </c>
      <c r="G195" s="345">
        <v>16.89</v>
      </c>
      <c r="H195" s="345">
        <v>26.22</v>
      </c>
      <c r="I195" s="345">
        <v>84.88</v>
      </c>
      <c r="J195" s="345">
        <v>92.28</v>
      </c>
      <c r="K195" s="345">
        <v>299.26</v>
      </c>
      <c r="L195" s="345">
        <v>165.46</v>
      </c>
      <c r="M195" s="345">
        <v>94.35</v>
      </c>
      <c r="N195" s="345">
        <v>35.96</v>
      </c>
      <c r="O195" s="345">
        <v>13.07</v>
      </c>
      <c r="P195" s="345">
        <v>26.91</v>
      </c>
      <c r="Q195" s="345">
        <v>35.11</v>
      </c>
      <c r="R195" s="345">
        <v>34.79</v>
      </c>
      <c r="S195" s="345">
        <v>29.48</v>
      </c>
      <c r="T195" s="345">
        <v>26</v>
      </c>
      <c r="U195" s="345">
        <v>75.543499999999995</v>
      </c>
    </row>
    <row r="196" spans="1:252" s="368" customFormat="1" x14ac:dyDescent="0.25">
      <c r="A196" s="366">
        <v>43841</v>
      </c>
      <c r="B196" s="345">
        <v>84.21</v>
      </c>
      <c r="C196" s="345">
        <v>28.45</v>
      </c>
      <c r="D196" s="345">
        <v>146.91</v>
      </c>
      <c r="E196" s="345">
        <v>83.07</v>
      </c>
      <c r="F196" s="345">
        <v>218.43</v>
      </c>
      <c r="G196" s="345">
        <v>16.89</v>
      </c>
      <c r="H196" s="345">
        <v>26.22</v>
      </c>
      <c r="I196" s="345">
        <v>84.88</v>
      </c>
      <c r="J196" s="345">
        <v>92.28</v>
      </c>
      <c r="K196" s="345">
        <v>299.26</v>
      </c>
      <c r="L196" s="345">
        <v>165.46</v>
      </c>
      <c r="M196" s="345">
        <v>94.35</v>
      </c>
      <c r="N196" s="345">
        <v>35.96</v>
      </c>
      <c r="O196" s="345">
        <v>13.07</v>
      </c>
      <c r="P196" s="345">
        <v>26.91</v>
      </c>
      <c r="Q196" s="345">
        <v>35.11</v>
      </c>
      <c r="R196" s="345">
        <v>34.79</v>
      </c>
      <c r="S196" s="345">
        <v>29.48</v>
      </c>
      <c r="T196" s="345">
        <v>26</v>
      </c>
      <c r="U196" s="345">
        <v>75.543499999999995</v>
      </c>
      <c r="V196" s="334"/>
      <c r="W196" s="334"/>
      <c r="X196" s="334"/>
      <c r="Y196" s="334"/>
      <c r="Z196" s="334"/>
      <c r="AA196" s="334"/>
      <c r="AB196" s="334"/>
      <c r="AC196" s="334"/>
      <c r="AD196" s="334"/>
      <c r="AE196" s="334"/>
      <c r="AF196" s="334"/>
      <c r="AG196" s="334"/>
      <c r="AH196" s="334"/>
      <c r="AI196" s="334"/>
      <c r="AJ196" s="334"/>
      <c r="AK196" s="334"/>
      <c r="AL196" s="334"/>
      <c r="AM196" s="334"/>
      <c r="AN196" s="334"/>
      <c r="AO196" s="334"/>
      <c r="AP196" s="334"/>
      <c r="AQ196" s="334"/>
      <c r="AR196" s="334"/>
      <c r="AS196" s="334"/>
      <c r="AT196" s="334"/>
      <c r="AU196" s="334"/>
      <c r="AV196" s="334"/>
      <c r="AW196" s="334"/>
      <c r="AX196" s="334"/>
      <c r="AY196" s="334"/>
      <c r="AZ196" s="334"/>
      <c r="BA196" s="334"/>
      <c r="BB196" s="334"/>
      <c r="BC196" s="334"/>
      <c r="BD196" s="334"/>
      <c r="BE196" s="334"/>
      <c r="BF196" s="334"/>
      <c r="BG196" s="334"/>
      <c r="BH196" s="334"/>
      <c r="BI196" s="334"/>
      <c r="BJ196" s="334"/>
      <c r="BK196" s="334"/>
      <c r="BL196" s="334"/>
      <c r="BM196" s="334"/>
      <c r="BN196" s="334"/>
      <c r="BO196" s="334"/>
      <c r="BP196" s="334"/>
      <c r="BQ196" s="334"/>
      <c r="BR196" s="334"/>
      <c r="BS196" s="334"/>
      <c r="BT196" s="334"/>
      <c r="BU196" s="334"/>
      <c r="BV196" s="334"/>
      <c r="BW196" s="334"/>
      <c r="BX196" s="334"/>
      <c r="BY196" s="334"/>
      <c r="BZ196" s="334"/>
      <c r="CA196" s="334"/>
      <c r="CB196" s="334"/>
      <c r="CC196" s="334"/>
      <c r="CD196" s="334"/>
      <c r="CE196" s="334"/>
      <c r="CF196" s="334"/>
      <c r="CG196" s="334"/>
      <c r="CH196" s="334"/>
      <c r="CI196" s="334"/>
      <c r="CJ196" s="334"/>
      <c r="CK196" s="334"/>
      <c r="CL196" s="334"/>
      <c r="CM196" s="334"/>
      <c r="CN196" s="334"/>
      <c r="CO196" s="334"/>
      <c r="CP196" s="334"/>
      <c r="CQ196" s="334"/>
      <c r="CR196" s="334"/>
      <c r="CS196" s="334"/>
      <c r="CT196" s="334"/>
      <c r="CU196" s="334"/>
      <c r="CV196" s="334"/>
      <c r="CW196" s="334"/>
      <c r="CX196" s="334"/>
      <c r="CY196" s="334"/>
      <c r="CZ196" s="334"/>
      <c r="DA196" s="334"/>
      <c r="DB196" s="334"/>
      <c r="DC196" s="334"/>
      <c r="DD196" s="334"/>
      <c r="DE196" s="334"/>
      <c r="DF196" s="334"/>
      <c r="DG196" s="334"/>
      <c r="DH196" s="334"/>
      <c r="DI196" s="334"/>
      <c r="DJ196" s="334"/>
      <c r="DK196" s="334"/>
      <c r="DL196" s="334"/>
      <c r="DM196" s="334"/>
      <c r="DN196" s="334"/>
      <c r="DO196" s="334"/>
      <c r="DP196" s="334"/>
      <c r="DQ196" s="334"/>
      <c r="DR196" s="334"/>
      <c r="DS196" s="334"/>
      <c r="DT196" s="334"/>
      <c r="DU196" s="334"/>
      <c r="DV196" s="334"/>
      <c r="DW196" s="334"/>
      <c r="DX196" s="334"/>
      <c r="DY196" s="334"/>
      <c r="DZ196" s="334"/>
      <c r="EA196" s="334"/>
      <c r="EB196" s="334"/>
      <c r="EC196" s="334"/>
      <c r="ED196" s="334"/>
      <c r="EE196" s="334"/>
      <c r="EF196" s="334"/>
      <c r="EG196" s="334"/>
      <c r="EH196" s="334"/>
      <c r="EI196" s="334"/>
      <c r="EJ196" s="334"/>
      <c r="EK196" s="334"/>
      <c r="EL196" s="334"/>
      <c r="EM196" s="334"/>
      <c r="EN196" s="334"/>
      <c r="EO196" s="334"/>
      <c r="EP196" s="334"/>
      <c r="EQ196" s="334"/>
      <c r="ER196" s="334"/>
      <c r="ES196" s="334"/>
      <c r="ET196" s="334"/>
      <c r="EU196" s="334"/>
      <c r="EV196" s="334"/>
      <c r="EW196" s="334"/>
      <c r="EX196" s="334"/>
      <c r="EY196" s="334"/>
      <c r="EZ196" s="334"/>
      <c r="FA196" s="334"/>
      <c r="FB196" s="334"/>
      <c r="FC196" s="334"/>
      <c r="FD196" s="334"/>
      <c r="FE196" s="334"/>
      <c r="FF196" s="334"/>
      <c r="FG196" s="334"/>
      <c r="FH196" s="334"/>
      <c r="FI196" s="334"/>
      <c r="FJ196" s="334"/>
      <c r="FK196" s="334"/>
      <c r="FL196" s="334"/>
      <c r="FM196" s="334"/>
      <c r="FN196" s="334"/>
      <c r="FO196" s="334"/>
      <c r="FP196" s="334"/>
      <c r="FQ196" s="334"/>
      <c r="FR196" s="334"/>
      <c r="FS196" s="334"/>
      <c r="FT196" s="334"/>
      <c r="FU196" s="334"/>
      <c r="FV196" s="334"/>
      <c r="FW196" s="334"/>
      <c r="FX196" s="334"/>
      <c r="FY196" s="334"/>
      <c r="FZ196" s="334"/>
      <c r="GA196" s="334"/>
      <c r="GB196" s="334"/>
      <c r="GC196" s="334"/>
      <c r="GD196" s="334"/>
      <c r="GE196" s="334"/>
      <c r="GF196" s="334"/>
      <c r="GG196" s="334"/>
      <c r="GH196" s="334"/>
      <c r="GI196" s="334"/>
      <c r="GJ196" s="334"/>
      <c r="GK196" s="334"/>
      <c r="GL196" s="334"/>
      <c r="GM196" s="334"/>
      <c r="GN196" s="334"/>
      <c r="GO196" s="334"/>
      <c r="GP196" s="334"/>
      <c r="GQ196" s="334"/>
      <c r="GR196" s="334"/>
      <c r="GS196" s="334"/>
      <c r="GT196" s="334"/>
      <c r="GU196" s="334"/>
      <c r="GV196" s="334"/>
      <c r="GW196" s="334"/>
      <c r="GX196" s="334"/>
      <c r="GY196" s="334"/>
      <c r="GZ196" s="334"/>
      <c r="HA196" s="334"/>
      <c r="HB196" s="334"/>
      <c r="HC196" s="334"/>
      <c r="HD196" s="334"/>
      <c r="HE196" s="334"/>
      <c r="HF196" s="334"/>
      <c r="HG196" s="334"/>
      <c r="HH196" s="334"/>
      <c r="HI196" s="334"/>
      <c r="HJ196" s="334"/>
      <c r="HK196" s="334"/>
      <c r="HL196" s="334"/>
      <c r="HM196" s="334"/>
      <c r="HN196" s="334"/>
      <c r="HO196" s="334"/>
      <c r="HP196" s="334"/>
      <c r="HQ196" s="334"/>
      <c r="HR196" s="334"/>
      <c r="HS196" s="334"/>
      <c r="HT196" s="334"/>
      <c r="HU196" s="334"/>
      <c r="HV196" s="334"/>
      <c r="HW196" s="334"/>
      <c r="HX196" s="334"/>
      <c r="HY196" s="334"/>
      <c r="HZ196" s="334"/>
      <c r="IA196" s="334"/>
      <c r="IB196" s="334"/>
      <c r="IC196" s="334"/>
      <c r="ID196" s="334"/>
      <c r="IE196" s="334"/>
      <c r="IF196" s="334"/>
      <c r="IG196" s="334"/>
      <c r="IH196" s="334"/>
      <c r="II196" s="334"/>
      <c r="IJ196" s="334"/>
      <c r="IK196" s="334"/>
      <c r="IL196" s="334"/>
      <c r="IM196" s="334"/>
      <c r="IN196" s="334"/>
      <c r="IO196" s="334"/>
      <c r="IP196" s="334"/>
      <c r="IQ196" s="334"/>
      <c r="IR196" s="334"/>
    </row>
    <row r="197" spans="1:252" s="368" customFormat="1" x14ac:dyDescent="0.25">
      <c r="A197" s="366">
        <v>43842</v>
      </c>
      <c r="B197" s="345">
        <v>84.21</v>
      </c>
      <c r="C197" s="345">
        <v>28.45</v>
      </c>
      <c r="D197" s="345">
        <v>146.91</v>
      </c>
      <c r="E197" s="345">
        <v>83.07</v>
      </c>
      <c r="F197" s="345">
        <v>218.43</v>
      </c>
      <c r="G197" s="345">
        <v>16.89</v>
      </c>
      <c r="H197" s="345">
        <v>26.22</v>
      </c>
      <c r="I197" s="345">
        <v>84.88</v>
      </c>
      <c r="J197" s="345">
        <v>92.28</v>
      </c>
      <c r="K197" s="345">
        <v>299.26</v>
      </c>
      <c r="L197" s="345">
        <v>165.46</v>
      </c>
      <c r="M197" s="345">
        <v>94.35</v>
      </c>
      <c r="N197" s="345">
        <v>35.96</v>
      </c>
      <c r="O197" s="345">
        <v>13.07</v>
      </c>
      <c r="P197" s="345">
        <v>26.91</v>
      </c>
      <c r="Q197" s="345">
        <v>35.11</v>
      </c>
      <c r="R197" s="345">
        <v>34.79</v>
      </c>
      <c r="S197" s="345">
        <v>29.48</v>
      </c>
      <c r="T197" s="345">
        <v>26</v>
      </c>
      <c r="U197" s="345">
        <v>75.543499999999995</v>
      </c>
      <c r="V197" s="334"/>
      <c r="W197" s="334"/>
      <c r="X197" s="334"/>
      <c r="Y197" s="334"/>
      <c r="Z197" s="334"/>
      <c r="AA197" s="334"/>
      <c r="AB197" s="334"/>
      <c r="AC197" s="334"/>
      <c r="AD197" s="334"/>
      <c r="AE197" s="334"/>
      <c r="AF197" s="334"/>
      <c r="AG197" s="334"/>
      <c r="AH197" s="334"/>
      <c r="AI197" s="334"/>
      <c r="AJ197" s="334"/>
      <c r="AK197" s="334"/>
      <c r="AL197" s="334"/>
      <c r="AM197" s="334"/>
      <c r="AN197" s="334"/>
      <c r="AO197" s="334"/>
      <c r="AP197" s="334"/>
      <c r="AQ197" s="334"/>
      <c r="AR197" s="334"/>
      <c r="AS197" s="334"/>
      <c r="AT197" s="334"/>
      <c r="AU197" s="334"/>
      <c r="AV197" s="334"/>
      <c r="AW197" s="334"/>
      <c r="AX197" s="334"/>
      <c r="AY197" s="334"/>
      <c r="AZ197" s="334"/>
      <c r="BA197" s="334"/>
      <c r="BB197" s="334"/>
      <c r="BC197" s="334"/>
      <c r="BD197" s="334"/>
      <c r="BE197" s="334"/>
      <c r="BF197" s="334"/>
      <c r="BG197" s="334"/>
      <c r="BH197" s="334"/>
      <c r="BI197" s="334"/>
      <c r="BJ197" s="334"/>
      <c r="BK197" s="334"/>
      <c r="BL197" s="334"/>
      <c r="BM197" s="334"/>
      <c r="BN197" s="334"/>
      <c r="BO197" s="334"/>
      <c r="BP197" s="334"/>
      <c r="BQ197" s="334"/>
      <c r="BR197" s="334"/>
      <c r="BS197" s="334"/>
      <c r="BT197" s="334"/>
      <c r="BU197" s="334"/>
      <c r="BV197" s="334"/>
      <c r="BW197" s="334"/>
      <c r="BX197" s="334"/>
      <c r="BY197" s="334"/>
      <c r="BZ197" s="334"/>
      <c r="CA197" s="334"/>
      <c r="CB197" s="334"/>
      <c r="CC197" s="334"/>
      <c r="CD197" s="334"/>
      <c r="CE197" s="334"/>
      <c r="CF197" s="334"/>
      <c r="CG197" s="334"/>
      <c r="CH197" s="334"/>
      <c r="CI197" s="334"/>
      <c r="CJ197" s="334"/>
      <c r="CK197" s="334"/>
      <c r="CL197" s="334"/>
      <c r="CM197" s="334"/>
      <c r="CN197" s="334"/>
      <c r="CO197" s="334"/>
      <c r="CP197" s="334"/>
      <c r="CQ197" s="334"/>
      <c r="CR197" s="334"/>
      <c r="CS197" s="334"/>
      <c r="CT197" s="334"/>
      <c r="CU197" s="334"/>
      <c r="CV197" s="334"/>
      <c r="CW197" s="334"/>
      <c r="CX197" s="334"/>
      <c r="CY197" s="334"/>
      <c r="CZ197" s="334"/>
      <c r="DA197" s="334"/>
      <c r="DB197" s="334"/>
      <c r="DC197" s="334"/>
      <c r="DD197" s="334"/>
      <c r="DE197" s="334"/>
      <c r="DF197" s="334"/>
      <c r="DG197" s="334"/>
      <c r="DH197" s="334"/>
      <c r="DI197" s="334"/>
      <c r="DJ197" s="334"/>
      <c r="DK197" s="334"/>
      <c r="DL197" s="334"/>
      <c r="DM197" s="334"/>
      <c r="DN197" s="334"/>
      <c r="DO197" s="334"/>
      <c r="DP197" s="334"/>
      <c r="DQ197" s="334"/>
      <c r="DR197" s="334"/>
      <c r="DS197" s="334"/>
      <c r="DT197" s="334"/>
      <c r="DU197" s="334"/>
      <c r="DV197" s="334"/>
      <c r="DW197" s="334"/>
      <c r="DX197" s="334"/>
      <c r="DY197" s="334"/>
      <c r="DZ197" s="334"/>
      <c r="EA197" s="334"/>
      <c r="EB197" s="334"/>
      <c r="EC197" s="334"/>
      <c r="ED197" s="334"/>
      <c r="EE197" s="334"/>
      <c r="EF197" s="334"/>
      <c r="EG197" s="334"/>
      <c r="EH197" s="334"/>
      <c r="EI197" s="334"/>
      <c r="EJ197" s="334"/>
      <c r="EK197" s="334"/>
      <c r="EL197" s="334"/>
      <c r="EM197" s="334"/>
      <c r="EN197" s="334"/>
      <c r="EO197" s="334"/>
      <c r="EP197" s="334"/>
      <c r="EQ197" s="334"/>
      <c r="ER197" s="334"/>
      <c r="ES197" s="334"/>
      <c r="ET197" s="334"/>
      <c r="EU197" s="334"/>
      <c r="EV197" s="334"/>
      <c r="EW197" s="334"/>
      <c r="EX197" s="334"/>
      <c r="EY197" s="334"/>
      <c r="EZ197" s="334"/>
      <c r="FA197" s="334"/>
      <c r="FB197" s="334"/>
      <c r="FC197" s="334"/>
      <c r="FD197" s="334"/>
      <c r="FE197" s="334"/>
      <c r="FF197" s="334"/>
      <c r="FG197" s="334"/>
      <c r="FH197" s="334"/>
      <c r="FI197" s="334"/>
      <c r="FJ197" s="334"/>
      <c r="FK197" s="334"/>
      <c r="FL197" s="334"/>
      <c r="FM197" s="334"/>
      <c r="FN197" s="334"/>
      <c r="FO197" s="334"/>
      <c r="FP197" s="334"/>
      <c r="FQ197" s="334"/>
      <c r="FR197" s="334"/>
      <c r="FS197" s="334"/>
      <c r="FT197" s="334"/>
      <c r="FU197" s="334"/>
      <c r="FV197" s="334"/>
      <c r="FW197" s="334"/>
      <c r="FX197" s="334"/>
      <c r="FY197" s="334"/>
      <c r="FZ197" s="334"/>
      <c r="GA197" s="334"/>
      <c r="GB197" s="334"/>
      <c r="GC197" s="334"/>
      <c r="GD197" s="334"/>
      <c r="GE197" s="334"/>
      <c r="GF197" s="334"/>
      <c r="GG197" s="334"/>
      <c r="GH197" s="334"/>
      <c r="GI197" s="334"/>
      <c r="GJ197" s="334"/>
      <c r="GK197" s="334"/>
      <c r="GL197" s="334"/>
      <c r="GM197" s="334"/>
      <c r="GN197" s="334"/>
      <c r="GO197" s="334"/>
      <c r="GP197" s="334"/>
      <c r="GQ197" s="334"/>
      <c r="GR197" s="334"/>
      <c r="GS197" s="334"/>
      <c r="GT197" s="334"/>
      <c r="GU197" s="334"/>
      <c r="GV197" s="334"/>
      <c r="GW197" s="334"/>
      <c r="GX197" s="334"/>
      <c r="GY197" s="334"/>
      <c r="GZ197" s="334"/>
      <c r="HA197" s="334"/>
      <c r="HB197" s="334"/>
      <c r="HC197" s="334"/>
      <c r="HD197" s="334"/>
      <c r="HE197" s="334"/>
      <c r="HF197" s="334"/>
      <c r="HG197" s="334"/>
      <c r="HH197" s="334"/>
      <c r="HI197" s="334"/>
      <c r="HJ197" s="334"/>
      <c r="HK197" s="334"/>
      <c r="HL197" s="334"/>
      <c r="HM197" s="334"/>
      <c r="HN197" s="334"/>
      <c r="HO197" s="334"/>
      <c r="HP197" s="334"/>
      <c r="HQ197" s="334"/>
      <c r="HR197" s="334"/>
      <c r="HS197" s="334"/>
      <c r="HT197" s="334"/>
      <c r="HU197" s="334"/>
      <c r="HV197" s="334"/>
      <c r="HW197" s="334"/>
      <c r="HX197" s="334"/>
      <c r="HY197" s="334"/>
      <c r="HZ197" s="334"/>
      <c r="IA197" s="334"/>
      <c r="IB197" s="334"/>
      <c r="IC197" s="334"/>
      <c r="ID197" s="334"/>
      <c r="IE197" s="334"/>
      <c r="IF197" s="334"/>
      <c r="IG197" s="334"/>
      <c r="IH197" s="334"/>
      <c r="II197" s="334"/>
      <c r="IJ197" s="334"/>
      <c r="IK197" s="334"/>
      <c r="IL197" s="334"/>
      <c r="IM197" s="334"/>
      <c r="IN197" s="334"/>
      <c r="IO197" s="334"/>
      <c r="IP197" s="334"/>
      <c r="IQ197" s="334"/>
      <c r="IR197" s="334"/>
    </row>
    <row r="198" spans="1:252" x14ac:dyDescent="0.25">
      <c r="A198" s="364">
        <v>43843</v>
      </c>
      <c r="B198" s="345">
        <v>84.16</v>
      </c>
      <c r="C198" s="345">
        <v>27.77</v>
      </c>
      <c r="D198" s="345">
        <v>145.82</v>
      </c>
      <c r="E198" s="345">
        <v>83.76</v>
      </c>
      <c r="F198" s="345">
        <v>220.95</v>
      </c>
      <c r="G198" s="345">
        <v>16.78</v>
      </c>
      <c r="H198" s="345">
        <v>26.22</v>
      </c>
      <c r="I198" s="345">
        <v>84.6</v>
      </c>
      <c r="J198" s="345">
        <v>93.39</v>
      </c>
      <c r="K198" s="345">
        <v>301.24</v>
      </c>
      <c r="L198" s="345">
        <v>166.59</v>
      </c>
      <c r="M198" s="345">
        <v>95.53</v>
      </c>
      <c r="N198" s="345">
        <v>36.22</v>
      </c>
      <c r="O198" s="345">
        <v>12.97</v>
      </c>
      <c r="P198" s="345">
        <v>27.06</v>
      </c>
      <c r="Q198" s="345">
        <v>35.26</v>
      </c>
      <c r="R198" s="345">
        <v>34.909999999999997</v>
      </c>
      <c r="S198" s="345">
        <v>28.9</v>
      </c>
      <c r="T198" s="345">
        <v>26</v>
      </c>
      <c r="U198" s="345">
        <v>75.58</v>
      </c>
    </row>
    <row r="199" spans="1:252" x14ac:dyDescent="0.25">
      <c r="A199" s="385">
        <v>43844</v>
      </c>
      <c r="B199" s="345">
        <v>84.28</v>
      </c>
      <c r="C199" s="345">
        <v>28.26</v>
      </c>
      <c r="D199" s="345">
        <v>145.69</v>
      </c>
      <c r="E199" s="345">
        <v>84.07</v>
      </c>
      <c r="F199" s="345">
        <v>220.08</v>
      </c>
      <c r="G199" s="345">
        <v>16.62</v>
      </c>
      <c r="H199" s="345">
        <v>26.23</v>
      </c>
      <c r="I199" s="345">
        <v>85.04</v>
      </c>
      <c r="J199" s="345">
        <v>93.04</v>
      </c>
      <c r="K199" s="345">
        <v>300.83999999999997</v>
      </c>
      <c r="L199" s="345">
        <v>166.5</v>
      </c>
      <c r="M199" s="345">
        <v>95.08</v>
      </c>
      <c r="N199" s="345">
        <v>36.159999999999997</v>
      </c>
      <c r="O199" s="345">
        <v>12.95</v>
      </c>
      <c r="P199" s="345">
        <v>27.06</v>
      </c>
      <c r="Q199" s="345">
        <v>35.270000000000003</v>
      </c>
      <c r="R199" s="345">
        <v>35.01</v>
      </c>
      <c r="S199" s="345">
        <v>29.32</v>
      </c>
      <c r="T199" s="345">
        <v>26.02</v>
      </c>
      <c r="U199" s="345">
        <v>75.53</v>
      </c>
    </row>
    <row r="200" spans="1:252" x14ac:dyDescent="0.25">
      <c r="A200" s="364">
        <v>43845</v>
      </c>
      <c r="B200" s="345">
        <v>84.41</v>
      </c>
      <c r="C200" s="345">
        <v>28.79</v>
      </c>
      <c r="D200" s="345">
        <v>146.54</v>
      </c>
      <c r="E200" s="345">
        <v>84.43</v>
      </c>
      <c r="F200" s="345">
        <v>220.17</v>
      </c>
      <c r="G200" s="345">
        <v>16.809999999999999</v>
      </c>
      <c r="H200" s="345">
        <v>26.19</v>
      </c>
      <c r="I200" s="345">
        <v>85.61</v>
      </c>
      <c r="J200" s="345">
        <v>93.88</v>
      </c>
      <c r="K200" s="345">
        <v>301.51</v>
      </c>
      <c r="L200" s="345">
        <v>166.91</v>
      </c>
      <c r="M200" s="345">
        <v>95.19</v>
      </c>
      <c r="N200" s="345">
        <v>36.25</v>
      </c>
      <c r="O200" s="345">
        <v>13.04</v>
      </c>
      <c r="P200" s="345">
        <v>27.11</v>
      </c>
      <c r="Q200" s="345">
        <v>35.85</v>
      </c>
      <c r="R200" s="345">
        <v>35.119999999999997</v>
      </c>
      <c r="S200" s="345">
        <v>29.72</v>
      </c>
      <c r="T200" s="345">
        <v>26.13</v>
      </c>
      <c r="U200" s="345">
        <v>75.66</v>
      </c>
    </row>
    <row r="201" spans="1:252" x14ac:dyDescent="0.25">
      <c r="A201" s="385">
        <v>43846</v>
      </c>
      <c r="B201" s="345">
        <v>84.36</v>
      </c>
      <c r="C201" s="345">
        <v>28.67</v>
      </c>
      <c r="D201" s="345">
        <v>146.31</v>
      </c>
      <c r="E201" s="345">
        <v>85.52</v>
      </c>
      <c r="F201" s="345">
        <v>222.28</v>
      </c>
      <c r="G201" s="345">
        <v>16.77</v>
      </c>
      <c r="H201" s="345">
        <v>26.23</v>
      </c>
      <c r="I201" s="345">
        <v>85.32</v>
      </c>
      <c r="J201" s="345">
        <v>94.63</v>
      </c>
      <c r="K201" s="345">
        <v>304.02999999999997</v>
      </c>
      <c r="L201" s="345">
        <v>168.34</v>
      </c>
      <c r="M201" s="345">
        <v>96.47</v>
      </c>
      <c r="N201" s="345">
        <v>36.54</v>
      </c>
      <c r="O201" s="345">
        <v>13.02</v>
      </c>
      <c r="P201" s="345">
        <v>27.23</v>
      </c>
      <c r="Q201" s="345">
        <v>36.25</v>
      </c>
      <c r="R201" s="345">
        <v>35.270000000000003</v>
      </c>
      <c r="S201" s="345">
        <v>29.53</v>
      </c>
      <c r="T201" s="345">
        <v>26.08</v>
      </c>
      <c r="U201" s="345">
        <v>75.67</v>
      </c>
    </row>
    <row r="202" spans="1:252" x14ac:dyDescent="0.25">
      <c r="A202" s="364">
        <v>43847</v>
      </c>
      <c r="B202" s="345">
        <v>84.35</v>
      </c>
      <c r="C202" s="345">
        <v>28.42</v>
      </c>
      <c r="D202" s="345">
        <v>146.58000000000001</v>
      </c>
      <c r="E202" s="345">
        <v>85.37</v>
      </c>
      <c r="F202" s="345">
        <v>223.38</v>
      </c>
      <c r="G202" s="345">
        <v>16.82</v>
      </c>
      <c r="H202" s="345">
        <v>26.32</v>
      </c>
      <c r="I202" s="345">
        <v>84.7</v>
      </c>
      <c r="J202" s="345">
        <v>94.72</v>
      </c>
      <c r="K202" s="345">
        <v>305.06</v>
      </c>
      <c r="L202" s="345">
        <v>168.76</v>
      </c>
      <c r="M202" s="345">
        <v>97.12</v>
      </c>
      <c r="N202" s="345">
        <v>36.67</v>
      </c>
      <c r="O202" s="345">
        <v>13.08</v>
      </c>
      <c r="P202" s="345">
        <v>27.324999999999999</v>
      </c>
      <c r="Q202" s="345">
        <v>36.31</v>
      </c>
      <c r="R202" s="345">
        <v>35.409999999999997</v>
      </c>
      <c r="S202" s="345">
        <v>29.42</v>
      </c>
      <c r="T202" s="345">
        <v>26.07</v>
      </c>
      <c r="U202" s="345">
        <v>75.52</v>
      </c>
    </row>
    <row r="203" spans="1:252" s="368" customFormat="1" x14ac:dyDescent="0.25">
      <c r="A203" s="366">
        <v>43848</v>
      </c>
      <c r="B203" s="345">
        <v>84.35</v>
      </c>
      <c r="C203" s="345">
        <v>28.42</v>
      </c>
      <c r="D203" s="345">
        <v>146.58000000000001</v>
      </c>
      <c r="E203" s="345">
        <v>85.37</v>
      </c>
      <c r="F203" s="345">
        <v>223.38</v>
      </c>
      <c r="G203" s="345">
        <v>16.82</v>
      </c>
      <c r="H203" s="345">
        <v>26.32</v>
      </c>
      <c r="I203" s="345">
        <v>84.7</v>
      </c>
      <c r="J203" s="345">
        <v>94.72</v>
      </c>
      <c r="K203" s="345">
        <v>305.06</v>
      </c>
      <c r="L203" s="345">
        <v>168.76</v>
      </c>
      <c r="M203" s="345">
        <v>97.12</v>
      </c>
      <c r="N203" s="345">
        <v>36.67</v>
      </c>
      <c r="O203" s="345">
        <v>13.08</v>
      </c>
      <c r="P203" s="345">
        <v>27.324999999999999</v>
      </c>
      <c r="Q203" s="345">
        <v>36.31</v>
      </c>
      <c r="R203" s="345">
        <v>35.409999999999997</v>
      </c>
      <c r="S203" s="345">
        <v>29.42</v>
      </c>
      <c r="T203" s="345">
        <v>26.07</v>
      </c>
      <c r="U203" s="345">
        <v>75.52</v>
      </c>
      <c r="V203" s="334"/>
      <c r="W203" s="334"/>
      <c r="X203" s="334"/>
      <c r="Y203" s="334"/>
      <c r="Z203" s="334"/>
      <c r="AA203" s="334"/>
      <c r="AB203" s="334"/>
      <c r="AC203" s="334"/>
      <c r="AD203" s="334"/>
      <c r="AE203" s="334"/>
      <c r="AF203" s="334"/>
      <c r="AG203" s="334"/>
      <c r="AH203" s="334"/>
      <c r="AI203" s="334"/>
      <c r="AJ203" s="334"/>
      <c r="AK203" s="334"/>
      <c r="AL203" s="334"/>
      <c r="AM203" s="334"/>
      <c r="AN203" s="334"/>
      <c r="AO203" s="334"/>
      <c r="AP203" s="334"/>
      <c r="AQ203" s="334"/>
      <c r="AR203" s="334"/>
      <c r="AS203" s="334"/>
      <c r="AT203" s="334"/>
      <c r="AU203" s="334"/>
      <c r="AV203" s="334"/>
      <c r="AW203" s="334"/>
      <c r="AX203" s="334"/>
      <c r="AY203" s="334"/>
      <c r="AZ203" s="334"/>
      <c r="BA203" s="334"/>
      <c r="BB203" s="334"/>
      <c r="BC203" s="334"/>
      <c r="BD203" s="334"/>
      <c r="BE203" s="334"/>
      <c r="BF203" s="334"/>
      <c r="BG203" s="334"/>
      <c r="BH203" s="334"/>
      <c r="BI203" s="334"/>
      <c r="BJ203" s="334"/>
      <c r="BK203" s="334"/>
      <c r="BL203" s="334"/>
      <c r="BM203" s="334"/>
      <c r="BN203" s="334"/>
      <c r="BO203" s="334"/>
      <c r="BP203" s="334"/>
      <c r="BQ203" s="334"/>
      <c r="BR203" s="334"/>
      <c r="BS203" s="334"/>
      <c r="BT203" s="334"/>
      <c r="BU203" s="334"/>
      <c r="BV203" s="334"/>
      <c r="BW203" s="334"/>
      <c r="BX203" s="334"/>
      <c r="BY203" s="334"/>
      <c r="BZ203" s="334"/>
      <c r="CA203" s="334"/>
      <c r="CB203" s="334"/>
      <c r="CC203" s="334"/>
      <c r="CD203" s="334"/>
      <c r="CE203" s="334"/>
      <c r="CF203" s="334"/>
      <c r="CG203" s="334"/>
      <c r="CH203" s="334"/>
      <c r="CI203" s="334"/>
      <c r="CJ203" s="334"/>
      <c r="CK203" s="334"/>
      <c r="CL203" s="334"/>
      <c r="CM203" s="334"/>
      <c r="CN203" s="334"/>
      <c r="CO203" s="334"/>
      <c r="CP203" s="334"/>
      <c r="CQ203" s="334"/>
      <c r="CR203" s="334"/>
      <c r="CS203" s="334"/>
      <c r="CT203" s="334"/>
      <c r="CU203" s="334"/>
      <c r="CV203" s="334"/>
      <c r="CW203" s="334"/>
      <c r="CX203" s="334"/>
      <c r="CY203" s="334"/>
      <c r="CZ203" s="334"/>
      <c r="DA203" s="334"/>
      <c r="DB203" s="334"/>
      <c r="DC203" s="334"/>
      <c r="DD203" s="334"/>
      <c r="DE203" s="334"/>
      <c r="DF203" s="334"/>
      <c r="DG203" s="334"/>
      <c r="DH203" s="334"/>
      <c r="DI203" s="334"/>
      <c r="DJ203" s="334"/>
      <c r="DK203" s="334"/>
      <c r="DL203" s="334"/>
      <c r="DM203" s="334"/>
      <c r="DN203" s="334"/>
      <c r="DO203" s="334"/>
      <c r="DP203" s="334"/>
      <c r="DQ203" s="334"/>
      <c r="DR203" s="334"/>
      <c r="DS203" s="334"/>
      <c r="DT203" s="334"/>
      <c r="DU203" s="334"/>
      <c r="DV203" s="334"/>
      <c r="DW203" s="334"/>
      <c r="DX203" s="334"/>
      <c r="DY203" s="334"/>
      <c r="DZ203" s="334"/>
      <c r="EA203" s="334"/>
      <c r="EB203" s="334"/>
      <c r="EC203" s="334"/>
      <c r="ED203" s="334"/>
      <c r="EE203" s="334"/>
      <c r="EF203" s="334"/>
      <c r="EG203" s="334"/>
      <c r="EH203" s="334"/>
      <c r="EI203" s="334"/>
      <c r="EJ203" s="334"/>
      <c r="EK203" s="334"/>
      <c r="EL203" s="334"/>
      <c r="EM203" s="334"/>
      <c r="EN203" s="334"/>
      <c r="EO203" s="334"/>
      <c r="EP203" s="334"/>
      <c r="EQ203" s="334"/>
      <c r="ER203" s="334"/>
      <c r="ES203" s="334"/>
      <c r="ET203" s="334"/>
      <c r="EU203" s="334"/>
      <c r="EV203" s="334"/>
      <c r="EW203" s="334"/>
      <c r="EX203" s="334"/>
      <c r="EY203" s="334"/>
      <c r="EZ203" s="334"/>
      <c r="FA203" s="334"/>
      <c r="FB203" s="334"/>
      <c r="FC203" s="334"/>
      <c r="FD203" s="334"/>
      <c r="FE203" s="334"/>
      <c r="FF203" s="334"/>
      <c r="FG203" s="334"/>
      <c r="FH203" s="334"/>
      <c r="FI203" s="334"/>
      <c r="FJ203" s="334"/>
      <c r="FK203" s="334"/>
      <c r="FL203" s="334"/>
      <c r="FM203" s="334"/>
      <c r="FN203" s="334"/>
      <c r="FO203" s="334"/>
      <c r="FP203" s="334"/>
      <c r="FQ203" s="334"/>
      <c r="FR203" s="334"/>
      <c r="FS203" s="334"/>
      <c r="FT203" s="334"/>
      <c r="FU203" s="334"/>
      <c r="FV203" s="334"/>
      <c r="FW203" s="334"/>
      <c r="FX203" s="334"/>
      <c r="FY203" s="334"/>
      <c r="FZ203" s="334"/>
      <c r="GA203" s="334"/>
      <c r="GB203" s="334"/>
      <c r="GC203" s="334"/>
      <c r="GD203" s="334"/>
      <c r="GE203" s="334"/>
      <c r="GF203" s="334"/>
      <c r="GG203" s="334"/>
      <c r="GH203" s="334"/>
      <c r="GI203" s="334"/>
      <c r="GJ203" s="334"/>
      <c r="GK203" s="334"/>
      <c r="GL203" s="334"/>
      <c r="GM203" s="334"/>
      <c r="GN203" s="334"/>
      <c r="GO203" s="334"/>
      <c r="GP203" s="334"/>
      <c r="GQ203" s="334"/>
      <c r="GR203" s="334"/>
      <c r="GS203" s="334"/>
      <c r="GT203" s="334"/>
      <c r="GU203" s="334"/>
      <c r="GV203" s="334"/>
      <c r="GW203" s="334"/>
      <c r="GX203" s="334"/>
      <c r="GY203" s="334"/>
      <c r="GZ203" s="334"/>
      <c r="HA203" s="334"/>
      <c r="HB203" s="334"/>
      <c r="HC203" s="334"/>
      <c r="HD203" s="334"/>
      <c r="HE203" s="334"/>
      <c r="HF203" s="334"/>
      <c r="HG203" s="334"/>
      <c r="HH203" s="334"/>
      <c r="HI203" s="334"/>
      <c r="HJ203" s="334"/>
      <c r="HK203" s="334"/>
      <c r="HL203" s="334"/>
      <c r="HM203" s="334"/>
      <c r="HN203" s="334"/>
      <c r="HO203" s="334"/>
      <c r="HP203" s="334"/>
      <c r="HQ203" s="334"/>
      <c r="HR203" s="334"/>
      <c r="HS203" s="334"/>
      <c r="HT203" s="334"/>
      <c r="HU203" s="334"/>
      <c r="HV203" s="334"/>
      <c r="HW203" s="334"/>
      <c r="HX203" s="334"/>
      <c r="HY203" s="334"/>
      <c r="HZ203" s="334"/>
      <c r="IA203" s="334"/>
      <c r="IB203" s="334"/>
      <c r="IC203" s="334"/>
      <c r="ID203" s="334"/>
      <c r="IE203" s="334"/>
      <c r="IF203" s="334"/>
      <c r="IG203" s="334"/>
      <c r="IH203" s="334"/>
      <c r="II203" s="334"/>
      <c r="IJ203" s="334"/>
      <c r="IK203" s="334"/>
      <c r="IL203" s="334"/>
      <c r="IM203" s="334"/>
      <c r="IN203" s="334"/>
      <c r="IO203" s="334"/>
      <c r="IP203" s="334"/>
      <c r="IQ203" s="334"/>
      <c r="IR203" s="334"/>
    </row>
    <row r="204" spans="1:252" s="368" customFormat="1" x14ac:dyDescent="0.25">
      <c r="A204" s="366">
        <v>43849</v>
      </c>
      <c r="B204" s="345">
        <v>84.35</v>
      </c>
      <c r="C204" s="345">
        <v>28.42</v>
      </c>
      <c r="D204" s="345">
        <v>146.58000000000001</v>
      </c>
      <c r="E204" s="345">
        <v>85.37</v>
      </c>
      <c r="F204" s="345">
        <v>223.38</v>
      </c>
      <c r="G204" s="345">
        <v>16.82</v>
      </c>
      <c r="H204" s="345">
        <v>26.32</v>
      </c>
      <c r="I204" s="345">
        <v>84.7</v>
      </c>
      <c r="J204" s="345">
        <v>94.72</v>
      </c>
      <c r="K204" s="345">
        <v>305.06</v>
      </c>
      <c r="L204" s="345">
        <v>168.76</v>
      </c>
      <c r="M204" s="345">
        <v>97.12</v>
      </c>
      <c r="N204" s="345">
        <v>36.67</v>
      </c>
      <c r="O204" s="345">
        <v>13.08</v>
      </c>
      <c r="P204" s="345">
        <v>27.324999999999999</v>
      </c>
      <c r="Q204" s="345">
        <v>36.31</v>
      </c>
      <c r="R204" s="345">
        <v>35.409999999999997</v>
      </c>
      <c r="S204" s="345">
        <v>29.42</v>
      </c>
      <c r="T204" s="345">
        <v>26.07</v>
      </c>
      <c r="U204" s="345">
        <v>75.52</v>
      </c>
      <c r="V204" s="334"/>
      <c r="W204" s="334"/>
      <c r="X204" s="334"/>
      <c r="Y204" s="334"/>
      <c r="Z204" s="334"/>
      <c r="AA204" s="334"/>
      <c r="AB204" s="334"/>
      <c r="AC204" s="334"/>
      <c r="AD204" s="334"/>
      <c r="AE204" s="334"/>
      <c r="AF204" s="334"/>
      <c r="AG204" s="334"/>
      <c r="AH204" s="334"/>
      <c r="AI204" s="334"/>
      <c r="AJ204" s="334"/>
      <c r="AK204" s="334"/>
      <c r="AL204" s="334"/>
      <c r="AM204" s="334"/>
      <c r="AN204" s="334"/>
      <c r="AO204" s="334"/>
      <c r="AP204" s="334"/>
      <c r="AQ204" s="334"/>
      <c r="AR204" s="334"/>
      <c r="AS204" s="334"/>
      <c r="AT204" s="334"/>
      <c r="AU204" s="334"/>
      <c r="AV204" s="334"/>
      <c r="AW204" s="334"/>
      <c r="AX204" s="334"/>
      <c r="AY204" s="334"/>
      <c r="AZ204" s="334"/>
      <c r="BA204" s="334"/>
      <c r="BB204" s="334"/>
      <c r="BC204" s="334"/>
      <c r="BD204" s="334"/>
      <c r="BE204" s="334"/>
      <c r="BF204" s="334"/>
      <c r="BG204" s="334"/>
      <c r="BH204" s="334"/>
      <c r="BI204" s="334"/>
      <c r="BJ204" s="334"/>
      <c r="BK204" s="334"/>
      <c r="BL204" s="334"/>
      <c r="BM204" s="334"/>
      <c r="BN204" s="334"/>
      <c r="BO204" s="334"/>
      <c r="BP204" s="334"/>
      <c r="BQ204" s="334"/>
      <c r="BR204" s="334"/>
      <c r="BS204" s="334"/>
      <c r="BT204" s="334"/>
      <c r="BU204" s="334"/>
      <c r="BV204" s="334"/>
      <c r="BW204" s="334"/>
      <c r="BX204" s="334"/>
      <c r="BY204" s="334"/>
      <c r="BZ204" s="334"/>
      <c r="CA204" s="334"/>
      <c r="CB204" s="334"/>
      <c r="CC204" s="334"/>
      <c r="CD204" s="334"/>
      <c r="CE204" s="334"/>
      <c r="CF204" s="334"/>
      <c r="CG204" s="334"/>
      <c r="CH204" s="334"/>
      <c r="CI204" s="334"/>
      <c r="CJ204" s="334"/>
      <c r="CK204" s="334"/>
      <c r="CL204" s="334"/>
      <c r="CM204" s="334"/>
      <c r="CN204" s="334"/>
      <c r="CO204" s="334"/>
      <c r="CP204" s="334"/>
      <c r="CQ204" s="334"/>
      <c r="CR204" s="334"/>
      <c r="CS204" s="334"/>
      <c r="CT204" s="334"/>
      <c r="CU204" s="334"/>
      <c r="CV204" s="334"/>
      <c r="CW204" s="334"/>
      <c r="CX204" s="334"/>
      <c r="CY204" s="334"/>
      <c r="CZ204" s="334"/>
      <c r="DA204" s="334"/>
      <c r="DB204" s="334"/>
      <c r="DC204" s="334"/>
      <c r="DD204" s="334"/>
      <c r="DE204" s="334"/>
      <c r="DF204" s="334"/>
      <c r="DG204" s="334"/>
      <c r="DH204" s="334"/>
      <c r="DI204" s="334"/>
      <c r="DJ204" s="334"/>
      <c r="DK204" s="334"/>
      <c r="DL204" s="334"/>
      <c r="DM204" s="334"/>
      <c r="DN204" s="334"/>
      <c r="DO204" s="334"/>
      <c r="DP204" s="334"/>
      <c r="DQ204" s="334"/>
      <c r="DR204" s="334"/>
      <c r="DS204" s="334"/>
      <c r="DT204" s="334"/>
      <c r="DU204" s="334"/>
      <c r="DV204" s="334"/>
      <c r="DW204" s="334"/>
      <c r="DX204" s="334"/>
      <c r="DY204" s="334"/>
      <c r="DZ204" s="334"/>
      <c r="EA204" s="334"/>
      <c r="EB204" s="334"/>
      <c r="EC204" s="334"/>
      <c r="ED204" s="334"/>
      <c r="EE204" s="334"/>
      <c r="EF204" s="334"/>
      <c r="EG204" s="334"/>
      <c r="EH204" s="334"/>
      <c r="EI204" s="334"/>
      <c r="EJ204" s="334"/>
      <c r="EK204" s="334"/>
      <c r="EL204" s="334"/>
      <c r="EM204" s="334"/>
      <c r="EN204" s="334"/>
      <c r="EO204" s="334"/>
      <c r="EP204" s="334"/>
      <c r="EQ204" s="334"/>
      <c r="ER204" s="334"/>
      <c r="ES204" s="334"/>
      <c r="ET204" s="334"/>
      <c r="EU204" s="334"/>
      <c r="EV204" s="334"/>
      <c r="EW204" s="334"/>
      <c r="EX204" s="334"/>
      <c r="EY204" s="334"/>
      <c r="EZ204" s="334"/>
      <c r="FA204" s="334"/>
      <c r="FB204" s="334"/>
      <c r="FC204" s="334"/>
      <c r="FD204" s="334"/>
      <c r="FE204" s="334"/>
      <c r="FF204" s="334"/>
      <c r="FG204" s="334"/>
      <c r="FH204" s="334"/>
      <c r="FI204" s="334"/>
      <c r="FJ204" s="334"/>
      <c r="FK204" s="334"/>
      <c r="FL204" s="334"/>
      <c r="FM204" s="334"/>
      <c r="FN204" s="334"/>
      <c r="FO204" s="334"/>
      <c r="FP204" s="334"/>
      <c r="FQ204" s="334"/>
      <c r="FR204" s="334"/>
      <c r="FS204" s="334"/>
      <c r="FT204" s="334"/>
      <c r="FU204" s="334"/>
      <c r="FV204" s="334"/>
      <c r="FW204" s="334"/>
      <c r="FX204" s="334"/>
      <c r="FY204" s="334"/>
      <c r="FZ204" s="334"/>
      <c r="GA204" s="334"/>
      <c r="GB204" s="334"/>
      <c r="GC204" s="334"/>
      <c r="GD204" s="334"/>
      <c r="GE204" s="334"/>
      <c r="GF204" s="334"/>
      <c r="GG204" s="334"/>
      <c r="GH204" s="334"/>
      <c r="GI204" s="334"/>
      <c r="GJ204" s="334"/>
      <c r="GK204" s="334"/>
      <c r="GL204" s="334"/>
      <c r="GM204" s="334"/>
      <c r="GN204" s="334"/>
      <c r="GO204" s="334"/>
      <c r="GP204" s="334"/>
      <c r="GQ204" s="334"/>
      <c r="GR204" s="334"/>
      <c r="GS204" s="334"/>
      <c r="GT204" s="334"/>
      <c r="GU204" s="334"/>
      <c r="GV204" s="334"/>
      <c r="GW204" s="334"/>
      <c r="GX204" s="334"/>
      <c r="GY204" s="334"/>
      <c r="GZ204" s="334"/>
      <c r="HA204" s="334"/>
      <c r="HB204" s="334"/>
      <c r="HC204" s="334"/>
      <c r="HD204" s="334"/>
      <c r="HE204" s="334"/>
      <c r="HF204" s="334"/>
      <c r="HG204" s="334"/>
      <c r="HH204" s="334"/>
      <c r="HI204" s="334"/>
      <c r="HJ204" s="334"/>
      <c r="HK204" s="334"/>
      <c r="HL204" s="334"/>
      <c r="HM204" s="334"/>
      <c r="HN204" s="334"/>
      <c r="HO204" s="334"/>
      <c r="HP204" s="334"/>
      <c r="HQ204" s="334"/>
      <c r="HR204" s="334"/>
      <c r="HS204" s="334"/>
      <c r="HT204" s="334"/>
      <c r="HU204" s="334"/>
      <c r="HV204" s="334"/>
      <c r="HW204" s="334"/>
      <c r="HX204" s="334"/>
      <c r="HY204" s="334"/>
      <c r="HZ204" s="334"/>
      <c r="IA204" s="334"/>
      <c r="IB204" s="334"/>
      <c r="IC204" s="334"/>
      <c r="ID204" s="334"/>
      <c r="IE204" s="334"/>
      <c r="IF204" s="334"/>
      <c r="IG204" s="334"/>
      <c r="IH204" s="334"/>
      <c r="II204" s="334"/>
      <c r="IJ204" s="334"/>
      <c r="IK204" s="334"/>
      <c r="IL204" s="334"/>
      <c r="IM204" s="334"/>
      <c r="IN204" s="334"/>
      <c r="IO204" s="334"/>
      <c r="IP204" s="334"/>
      <c r="IQ204" s="334"/>
      <c r="IR204" s="334"/>
    </row>
    <row r="205" spans="1:252" x14ac:dyDescent="0.25">
      <c r="A205" s="385">
        <v>43850</v>
      </c>
      <c r="B205" s="345">
        <v>84.35</v>
      </c>
      <c r="C205" s="345">
        <v>28.42</v>
      </c>
      <c r="D205" s="345">
        <v>146.58000000000001</v>
      </c>
      <c r="E205" s="345">
        <v>85.37</v>
      </c>
      <c r="F205" s="345">
        <v>223.38</v>
      </c>
      <c r="G205" s="345">
        <v>16.82</v>
      </c>
      <c r="H205" s="345">
        <v>26.32</v>
      </c>
      <c r="I205" s="345">
        <v>84.7</v>
      </c>
      <c r="J205" s="345">
        <v>94.72</v>
      </c>
      <c r="K205" s="345">
        <v>305.06</v>
      </c>
      <c r="L205" s="345">
        <v>168.76</v>
      </c>
      <c r="M205" s="345">
        <v>97.12</v>
      </c>
      <c r="N205" s="345">
        <v>36.68</v>
      </c>
      <c r="O205" s="345">
        <v>13.03</v>
      </c>
      <c r="P205" s="345">
        <v>27.35</v>
      </c>
      <c r="Q205" s="345">
        <v>36.24</v>
      </c>
      <c r="R205" s="345">
        <v>35.51</v>
      </c>
      <c r="S205" s="345">
        <v>29.6</v>
      </c>
      <c r="T205" s="345">
        <v>26.07</v>
      </c>
      <c r="U205" s="345">
        <v>75.52</v>
      </c>
    </row>
    <row r="206" spans="1:252" x14ac:dyDescent="0.25">
      <c r="A206" s="364">
        <v>43851</v>
      </c>
      <c r="B206" s="345">
        <v>84.56</v>
      </c>
      <c r="C206" s="345">
        <v>28.95</v>
      </c>
      <c r="D206" s="345">
        <v>146.74</v>
      </c>
      <c r="E206" s="345">
        <v>84.57</v>
      </c>
      <c r="F206" s="345">
        <v>223.28</v>
      </c>
      <c r="G206" s="345">
        <v>16.64</v>
      </c>
      <c r="H206" s="345">
        <v>26.3</v>
      </c>
      <c r="I206" s="345">
        <v>85.53</v>
      </c>
      <c r="J206" s="345">
        <v>95.62</v>
      </c>
      <c r="K206" s="345">
        <v>304.43</v>
      </c>
      <c r="L206" s="345">
        <v>168.4</v>
      </c>
      <c r="M206" s="345">
        <v>97.08</v>
      </c>
      <c r="N206" s="345">
        <v>36.58</v>
      </c>
      <c r="O206" s="345">
        <v>13.08</v>
      </c>
      <c r="P206" s="345">
        <v>27.27</v>
      </c>
      <c r="Q206" s="345">
        <v>36.450000000000003</v>
      </c>
      <c r="R206" s="345">
        <v>35.450000000000003</v>
      </c>
      <c r="S206" s="345">
        <v>29.91</v>
      </c>
      <c r="T206" s="345">
        <v>26.17</v>
      </c>
      <c r="U206" s="345">
        <v>75.47</v>
      </c>
    </row>
    <row r="207" spans="1:252" x14ac:dyDescent="0.25">
      <c r="A207" s="385">
        <v>43852</v>
      </c>
      <c r="B207" s="345">
        <v>84.63</v>
      </c>
      <c r="C207" s="345">
        <v>28.84</v>
      </c>
      <c r="D207" s="345">
        <v>146.79</v>
      </c>
      <c r="E207" s="345">
        <v>84.57</v>
      </c>
      <c r="F207" s="345">
        <v>223.87</v>
      </c>
      <c r="G207" s="345">
        <v>16.66</v>
      </c>
      <c r="H207" s="345">
        <v>26.28</v>
      </c>
      <c r="I207" s="345">
        <v>85.79</v>
      </c>
      <c r="J207" s="345">
        <v>94.98</v>
      </c>
      <c r="K207" s="345">
        <v>304.51</v>
      </c>
      <c r="L207" s="345">
        <v>168.5</v>
      </c>
      <c r="M207" s="345">
        <v>97.43</v>
      </c>
      <c r="N207" s="345">
        <v>36.6</v>
      </c>
      <c r="O207" s="345">
        <v>13.06</v>
      </c>
      <c r="P207" s="345">
        <v>27.38</v>
      </c>
      <c r="Q207" s="345">
        <v>36.685000000000002</v>
      </c>
      <c r="R207" s="345">
        <v>35.5</v>
      </c>
      <c r="S207" s="345">
        <v>29.94</v>
      </c>
      <c r="T207" s="345">
        <v>26.28</v>
      </c>
      <c r="U207" s="345">
        <v>75.14</v>
      </c>
    </row>
    <row r="208" spans="1:252" x14ac:dyDescent="0.25">
      <c r="A208" s="364">
        <v>43853</v>
      </c>
      <c r="B208" s="345">
        <v>84.78</v>
      </c>
      <c r="C208" s="345">
        <v>28.66</v>
      </c>
      <c r="D208" s="345">
        <v>147.12</v>
      </c>
      <c r="E208" s="345">
        <v>84.75</v>
      </c>
      <c r="F208" s="345">
        <v>224.59</v>
      </c>
      <c r="G208" s="345">
        <v>16.61</v>
      </c>
      <c r="H208" s="345">
        <v>26.35</v>
      </c>
      <c r="I208" s="345">
        <v>86.36</v>
      </c>
      <c r="J208" s="345">
        <v>95.78</v>
      </c>
      <c r="K208" s="345">
        <v>304.81</v>
      </c>
      <c r="L208" s="345">
        <v>168.69</v>
      </c>
      <c r="M208" s="345">
        <v>97.89</v>
      </c>
      <c r="N208" s="345">
        <v>36.65</v>
      </c>
      <c r="O208" s="345">
        <v>13.09</v>
      </c>
      <c r="P208" s="345">
        <v>27.38</v>
      </c>
      <c r="Q208" s="345">
        <v>36.75</v>
      </c>
      <c r="R208" s="345">
        <v>35.58</v>
      </c>
      <c r="S208" s="345">
        <v>29.89</v>
      </c>
      <c r="T208" s="345">
        <v>26.34</v>
      </c>
      <c r="U208" s="345">
        <v>75.180000000000007</v>
      </c>
    </row>
    <row r="209" spans="1:252" x14ac:dyDescent="0.25">
      <c r="A209" s="385">
        <v>43854</v>
      </c>
      <c r="B209" s="345">
        <v>84.91</v>
      </c>
      <c r="C209" s="345">
        <v>29.22</v>
      </c>
      <c r="D209" s="345">
        <v>147.97999999999999</v>
      </c>
      <c r="E209" s="345">
        <v>83.43</v>
      </c>
      <c r="F209" s="345">
        <v>222.7</v>
      </c>
      <c r="G209" s="345">
        <v>16.91</v>
      </c>
      <c r="H209" s="345">
        <v>26.39</v>
      </c>
      <c r="I209" s="345">
        <v>87.07</v>
      </c>
      <c r="J209" s="345">
        <v>95.45</v>
      </c>
      <c r="K209" s="345">
        <v>302.02999999999997</v>
      </c>
      <c r="L209" s="345">
        <v>167.09</v>
      </c>
      <c r="M209" s="345">
        <v>97.43</v>
      </c>
      <c r="N209" s="345">
        <v>36.33</v>
      </c>
      <c r="O209" s="345">
        <v>13.175000000000001</v>
      </c>
      <c r="P209" s="345">
        <v>27.26</v>
      </c>
      <c r="Q209" s="345">
        <v>36.6</v>
      </c>
      <c r="R209" s="345">
        <v>35.44</v>
      </c>
      <c r="S209" s="345">
        <v>30.46</v>
      </c>
      <c r="T209" s="345">
        <v>26.45</v>
      </c>
      <c r="U209" s="345">
        <v>75.099999999999994</v>
      </c>
    </row>
    <row r="210" spans="1:252" s="368" customFormat="1" x14ac:dyDescent="0.25">
      <c r="A210" s="366">
        <v>43855</v>
      </c>
      <c r="B210" s="345">
        <v>84.91</v>
      </c>
      <c r="C210" s="345">
        <v>29.22</v>
      </c>
      <c r="D210" s="345">
        <v>147.97999999999999</v>
      </c>
      <c r="E210" s="345">
        <v>83.43</v>
      </c>
      <c r="F210" s="345">
        <v>222.7</v>
      </c>
      <c r="G210" s="345">
        <v>16.91</v>
      </c>
      <c r="H210" s="345">
        <v>26.39</v>
      </c>
      <c r="I210" s="345">
        <v>87.07</v>
      </c>
      <c r="J210" s="345">
        <v>95.45</v>
      </c>
      <c r="K210" s="345">
        <v>302.02999999999997</v>
      </c>
      <c r="L210" s="345">
        <v>167.09</v>
      </c>
      <c r="M210" s="345">
        <v>97.43</v>
      </c>
      <c r="N210" s="345">
        <v>36.33</v>
      </c>
      <c r="O210" s="345">
        <v>13.175000000000001</v>
      </c>
      <c r="P210" s="345">
        <v>27.26</v>
      </c>
      <c r="Q210" s="345">
        <v>36.6</v>
      </c>
      <c r="R210" s="345">
        <v>35.44</v>
      </c>
      <c r="S210" s="345">
        <v>30.46</v>
      </c>
      <c r="T210" s="345">
        <v>26.45</v>
      </c>
      <c r="U210" s="345">
        <v>75.099999999999994</v>
      </c>
      <c r="V210" s="334"/>
      <c r="W210" s="334"/>
      <c r="X210" s="334"/>
      <c r="Y210" s="334"/>
      <c r="Z210" s="334"/>
      <c r="AA210" s="334"/>
      <c r="AB210" s="334"/>
      <c r="AC210" s="334"/>
      <c r="AD210" s="334"/>
      <c r="AE210" s="334"/>
      <c r="AF210" s="334"/>
      <c r="AG210" s="334"/>
      <c r="AH210" s="334"/>
      <c r="AI210" s="334"/>
      <c r="AJ210" s="334"/>
      <c r="AK210" s="334"/>
      <c r="AL210" s="334"/>
      <c r="AM210" s="334"/>
      <c r="AN210" s="334"/>
      <c r="AO210" s="334"/>
      <c r="AP210" s="334"/>
      <c r="AQ210" s="334"/>
      <c r="AR210" s="334"/>
      <c r="AS210" s="334"/>
      <c r="AT210" s="334"/>
      <c r="AU210" s="334"/>
      <c r="AV210" s="334"/>
      <c r="AW210" s="334"/>
      <c r="AX210" s="334"/>
      <c r="AY210" s="334"/>
      <c r="AZ210" s="334"/>
      <c r="BA210" s="334"/>
      <c r="BB210" s="334"/>
      <c r="BC210" s="334"/>
      <c r="BD210" s="334"/>
      <c r="BE210" s="334"/>
      <c r="BF210" s="334"/>
      <c r="BG210" s="334"/>
      <c r="BH210" s="334"/>
      <c r="BI210" s="334"/>
      <c r="BJ210" s="334"/>
      <c r="BK210" s="334"/>
      <c r="BL210" s="334"/>
      <c r="BM210" s="334"/>
      <c r="BN210" s="334"/>
      <c r="BO210" s="334"/>
      <c r="BP210" s="334"/>
      <c r="BQ210" s="334"/>
      <c r="BR210" s="334"/>
      <c r="BS210" s="334"/>
      <c r="BT210" s="334"/>
      <c r="BU210" s="334"/>
      <c r="BV210" s="334"/>
      <c r="BW210" s="334"/>
      <c r="BX210" s="334"/>
      <c r="BY210" s="334"/>
      <c r="BZ210" s="334"/>
      <c r="CA210" s="334"/>
      <c r="CB210" s="334"/>
      <c r="CC210" s="334"/>
      <c r="CD210" s="334"/>
      <c r="CE210" s="334"/>
      <c r="CF210" s="334"/>
      <c r="CG210" s="334"/>
      <c r="CH210" s="334"/>
      <c r="CI210" s="334"/>
      <c r="CJ210" s="334"/>
      <c r="CK210" s="334"/>
      <c r="CL210" s="334"/>
      <c r="CM210" s="334"/>
      <c r="CN210" s="334"/>
      <c r="CO210" s="334"/>
      <c r="CP210" s="334"/>
      <c r="CQ210" s="334"/>
      <c r="CR210" s="334"/>
      <c r="CS210" s="334"/>
      <c r="CT210" s="334"/>
      <c r="CU210" s="334"/>
      <c r="CV210" s="334"/>
      <c r="CW210" s="334"/>
      <c r="CX210" s="334"/>
      <c r="CY210" s="334"/>
      <c r="CZ210" s="334"/>
      <c r="DA210" s="334"/>
      <c r="DB210" s="334"/>
      <c r="DC210" s="334"/>
      <c r="DD210" s="334"/>
      <c r="DE210" s="334"/>
      <c r="DF210" s="334"/>
      <c r="DG210" s="334"/>
      <c r="DH210" s="334"/>
      <c r="DI210" s="334"/>
      <c r="DJ210" s="334"/>
      <c r="DK210" s="334"/>
      <c r="DL210" s="334"/>
      <c r="DM210" s="334"/>
      <c r="DN210" s="334"/>
      <c r="DO210" s="334"/>
      <c r="DP210" s="334"/>
      <c r="DQ210" s="334"/>
      <c r="DR210" s="334"/>
      <c r="DS210" s="334"/>
      <c r="DT210" s="334"/>
      <c r="DU210" s="334"/>
      <c r="DV210" s="334"/>
      <c r="DW210" s="334"/>
      <c r="DX210" s="334"/>
      <c r="DY210" s="334"/>
      <c r="DZ210" s="334"/>
      <c r="EA210" s="334"/>
      <c r="EB210" s="334"/>
      <c r="EC210" s="334"/>
      <c r="ED210" s="334"/>
      <c r="EE210" s="334"/>
      <c r="EF210" s="334"/>
      <c r="EG210" s="334"/>
      <c r="EH210" s="334"/>
      <c r="EI210" s="334"/>
      <c r="EJ210" s="334"/>
      <c r="EK210" s="334"/>
      <c r="EL210" s="334"/>
      <c r="EM210" s="334"/>
      <c r="EN210" s="334"/>
      <c r="EO210" s="334"/>
      <c r="EP210" s="334"/>
      <c r="EQ210" s="334"/>
      <c r="ER210" s="334"/>
      <c r="ES210" s="334"/>
      <c r="ET210" s="334"/>
      <c r="EU210" s="334"/>
      <c r="EV210" s="334"/>
      <c r="EW210" s="334"/>
      <c r="EX210" s="334"/>
      <c r="EY210" s="334"/>
      <c r="EZ210" s="334"/>
      <c r="FA210" s="334"/>
      <c r="FB210" s="334"/>
      <c r="FC210" s="334"/>
      <c r="FD210" s="334"/>
      <c r="FE210" s="334"/>
      <c r="FF210" s="334"/>
      <c r="FG210" s="334"/>
      <c r="FH210" s="334"/>
      <c r="FI210" s="334"/>
      <c r="FJ210" s="334"/>
      <c r="FK210" s="334"/>
      <c r="FL210" s="334"/>
      <c r="FM210" s="334"/>
      <c r="FN210" s="334"/>
      <c r="FO210" s="334"/>
      <c r="FP210" s="334"/>
      <c r="FQ210" s="334"/>
      <c r="FR210" s="334"/>
      <c r="FS210" s="334"/>
      <c r="FT210" s="334"/>
      <c r="FU210" s="334"/>
      <c r="FV210" s="334"/>
      <c r="FW210" s="334"/>
      <c r="FX210" s="334"/>
      <c r="FY210" s="334"/>
      <c r="FZ210" s="334"/>
      <c r="GA210" s="334"/>
      <c r="GB210" s="334"/>
      <c r="GC210" s="334"/>
      <c r="GD210" s="334"/>
      <c r="GE210" s="334"/>
      <c r="GF210" s="334"/>
      <c r="GG210" s="334"/>
      <c r="GH210" s="334"/>
      <c r="GI210" s="334"/>
      <c r="GJ210" s="334"/>
      <c r="GK210" s="334"/>
      <c r="GL210" s="334"/>
      <c r="GM210" s="334"/>
      <c r="GN210" s="334"/>
      <c r="GO210" s="334"/>
      <c r="GP210" s="334"/>
      <c r="GQ210" s="334"/>
      <c r="GR210" s="334"/>
      <c r="GS210" s="334"/>
      <c r="GT210" s="334"/>
      <c r="GU210" s="334"/>
      <c r="GV210" s="334"/>
      <c r="GW210" s="334"/>
      <c r="GX210" s="334"/>
      <c r="GY210" s="334"/>
      <c r="GZ210" s="334"/>
      <c r="HA210" s="334"/>
      <c r="HB210" s="334"/>
      <c r="HC210" s="334"/>
      <c r="HD210" s="334"/>
      <c r="HE210" s="334"/>
      <c r="HF210" s="334"/>
      <c r="HG210" s="334"/>
      <c r="HH210" s="334"/>
      <c r="HI210" s="334"/>
      <c r="HJ210" s="334"/>
      <c r="HK210" s="334"/>
      <c r="HL210" s="334"/>
      <c r="HM210" s="334"/>
      <c r="HN210" s="334"/>
      <c r="HO210" s="334"/>
      <c r="HP210" s="334"/>
      <c r="HQ210" s="334"/>
      <c r="HR210" s="334"/>
      <c r="HS210" s="334"/>
      <c r="HT210" s="334"/>
      <c r="HU210" s="334"/>
      <c r="HV210" s="334"/>
      <c r="HW210" s="334"/>
      <c r="HX210" s="334"/>
      <c r="HY210" s="334"/>
      <c r="HZ210" s="334"/>
      <c r="IA210" s="334"/>
      <c r="IB210" s="334"/>
      <c r="IC210" s="334"/>
      <c r="ID210" s="334"/>
      <c r="IE210" s="334"/>
      <c r="IF210" s="334"/>
      <c r="IG210" s="334"/>
      <c r="IH210" s="334"/>
      <c r="II210" s="334"/>
      <c r="IJ210" s="334"/>
      <c r="IK210" s="334"/>
      <c r="IL210" s="334"/>
      <c r="IM210" s="334"/>
      <c r="IN210" s="334"/>
      <c r="IO210" s="334"/>
      <c r="IP210" s="334"/>
      <c r="IQ210" s="334"/>
      <c r="IR210" s="334"/>
    </row>
    <row r="211" spans="1:252" s="368" customFormat="1" x14ac:dyDescent="0.25">
      <c r="A211" s="366">
        <v>43856</v>
      </c>
      <c r="B211" s="345">
        <v>84.91</v>
      </c>
      <c r="C211" s="345">
        <v>29.22</v>
      </c>
      <c r="D211" s="345">
        <v>147.97999999999999</v>
      </c>
      <c r="E211" s="345">
        <v>83.43</v>
      </c>
      <c r="F211" s="345">
        <v>222.7</v>
      </c>
      <c r="G211" s="345">
        <v>16.91</v>
      </c>
      <c r="H211" s="345">
        <v>26.39</v>
      </c>
      <c r="I211" s="345">
        <v>87.07</v>
      </c>
      <c r="J211" s="345">
        <v>95.45</v>
      </c>
      <c r="K211" s="345">
        <v>302.02999999999997</v>
      </c>
      <c r="L211" s="345">
        <v>167.09</v>
      </c>
      <c r="M211" s="345">
        <v>97.43</v>
      </c>
      <c r="N211" s="345">
        <v>36.33</v>
      </c>
      <c r="O211" s="345">
        <v>13.175000000000001</v>
      </c>
      <c r="P211" s="345">
        <v>27.26</v>
      </c>
      <c r="Q211" s="345">
        <v>36.6</v>
      </c>
      <c r="R211" s="345">
        <v>35.44</v>
      </c>
      <c r="S211" s="345">
        <v>30.46</v>
      </c>
      <c r="T211" s="345">
        <v>26.45</v>
      </c>
      <c r="U211" s="345">
        <v>75.099999999999994</v>
      </c>
      <c r="V211" s="334"/>
      <c r="W211" s="334"/>
      <c r="X211" s="334"/>
      <c r="Y211" s="334"/>
      <c r="Z211" s="334"/>
      <c r="AA211" s="334"/>
      <c r="AB211" s="334"/>
      <c r="AC211" s="334"/>
      <c r="AD211" s="334"/>
      <c r="AE211" s="334"/>
      <c r="AF211" s="334"/>
      <c r="AG211" s="334"/>
      <c r="AH211" s="334"/>
      <c r="AI211" s="334"/>
      <c r="AJ211" s="334"/>
      <c r="AK211" s="334"/>
      <c r="AL211" s="334"/>
      <c r="AM211" s="334"/>
      <c r="AN211" s="334"/>
      <c r="AO211" s="334"/>
      <c r="AP211" s="334"/>
      <c r="AQ211" s="334"/>
      <c r="AR211" s="334"/>
      <c r="AS211" s="334"/>
      <c r="AT211" s="334"/>
      <c r="AU211" s="334"/>
      <c r="AV211" s="334"/>
      <c r="AW211" s="334"/>
      <c r="AX211" s="334"/>
      <c r="AY211" s="334"/>
      <c r="AZ211" s="334"/>
      <c r="BA211" s="334"/>
      <c r="BB211" s="334"/>
      <c r="BC211" s="334"/>
      <c r="BD211" s="334"/>
      <c r="BE211" s="334"/>
      <c r="BF211" s="334"/>
      <c r="BG211" s="334"/>
      <c r="BH211" s="334"/>
      <c r="BI211" s="334"/>
      <c r="BJ211" s="334"/>
      <c r="BK211" s="334"/>
      <c r="BL211" s="334"/>
      <c r="BM211" s="334"/>
      <c r="BN211" s="334"/>
      <c r="BO211" s="334"/>
      <c r="BP211" s="334"/>
      <c r="BQ211" s="334"/>
      <c r="BR211" s="334"/>
      <c r="BS211" s="334"/>
      <c r="BT211" s="334"/>
      <c r="BU211" s="334"/>
      <c r="BV211" s="334"/>
      <c r="BW211" s="334"/>
      <c r="BX211" s="334"/>
      <c r="BY211" s="334"/>
      <c r="BZ211" s="334"/>
      <c r="CA211" s="334"/>
      <c r="CB211" s="334"/>
      <c r="CC211" s="334"/>
      <c r="CD211" s="334"/>
      <c r="CE211" s="334"/>
      <c r="CF211" s="334"/>
      <c r="CG211" s="334"/>
      <c r="CH211" s="334"/>
      <c r="CI211" s="334"/>
      <c r="CJ211" s="334"/>
      <c r="CK211" s="334"/>
      <c r="CL211" s="334"/>
      <c r="CM211" s="334"/>
      <c r="CN211" s="334"/>
      <c r="CO211" s="334"/>
      <c r="CP211" s="334"/>
      <c r="CQ211" s="334"/>
      <c r="CR211" s="334"/>
      <c r="CS211" s="334"/>
      <c r="CT211" s="334"/>
      <c r="CU211" s="334"/>
      <c r="CV211" s="334"/>
      <c r="CW211" s="334"/>
      <c r="CX211" s="334"/>
      <c r="CY211" s="334"/>
      <c r="CZ211" s="334"/>
      <c r="DA211" s="334"/>
      <c r="DB211" s="334"/>
      <c r="DC211" s="334"/>
      <c r="DD211" s="334"/>
      <c r="DE211" s="334"/>
      <c r="DF211" s="334"/>
      <c r="DG211" s="334"/>
      <c r="DH211" s="334"/>
      <c r="DI211" s="334"/>
      <c r="DJ211" s="334"/>
      <c r="DK211" s="334"/>
      <c r="DL211" s="334"/>
      <c r="DM211" s="334"/>
      <c r="DN211" s="334"/>
      <c r="DO211" s="334"/>
      <c r="DP211" s="334"/>
      <c r="DQ211" s="334"/>
      <c r="DR211" s="334"/>
      <c r="DS211" s="334"/>
      <c r="DT211" s="334"/>
      <c r="DU211" s="334"/>
      <c r="DV211" s="334"/>
      <c r="DW211" s="334"/>
      <c r="DX211" s="334"/>
      <c r="DY211" s="334"/>
      <c r="DZ211" s="334"/>
      <c r="EA211" s="334"/>
      <c r="EB211" s="334"/>
      <c r="EC211" s="334"/>
      <c r="ED211" s="334"/>
      <c r="EE211" s="334"/>
      <c r="EF211" s="334"/>
      <c r="EG211" s="334"/>
      <c r="EH211" s="334"/>
      <c r="EI211" s="334"/>
      <c r="EJ211" s="334"/>
      <c r="EK211" s="334"/>
      <c r="EL211" s="334"/>
      <c r="EM211" s="334"/>
      <c r="EN211" s="334"/>
      <c r="EO211" s="334"/>
      <c r="EP211" s="334"/>
      <c r="EQ211" s="334"/>
      <c r="ER211" s="334"/>
      <c r="ES211" s="334"/>
      <c r="ET211" s="334"/>
      <c r="EU211" s="334"/>
      <c r="EV211" s="334"/>
      <c r="EW211" s="334"/>
      <c r="EX211" s="334"/>
      <c r="EY211" s="334"/>
      <c r="EZ211" s="334"/>
      <c r="FA211" s="334"/>
      <c r="FB211" s="334"/>
      <c r="FC211" s="334"/>
      <c r="FD211" s="334"/>
      <c r="FE211" s="334"/>
      <c r="FF211" s="334"/>
      <c r="FG211" s="334"/>
      <c r="FH211" s="334"/>
      <c r="FI211" s="334"/>
      <c r="FJ211" s="334"/>
      <c r="FK211" s="334"/>
      <c r="FL211" s="334"/>
      <c r="FM211" s="334"/>
      <c r="FN211" s="334"/>
      <c r="FO211" s="334"/>
      <c r="FP211" s="334"/>
      <c r="FQ211" s="334"/>
      <c r="FR211" s="334"/>
      <c r="FS211" s="334"/>
      <c r="FT211" s="334"/>
      <c r="FU211" s="334"/>
      <c r="FV211" s="334"/>
      <c r="FW211" s="334"/>
      <c r="FX211" s="334"/>
      <c r="FY211" s="334"/>
      <c r="FZ211" s="334"/>
      <c r="GA211" s="334"/>
      <c r="GB211" s="334"/>
      <c r="GC211" s="334"/>
      <c r="GD211" s="334"/>
      <c r="GE211" s="334"/>
      <c r="GF211" s="334"/>
      <c r="GG211" s="334"/>
      <c r="GH211" s="334"/>
      <c r="GI211" s="334"/>
      <c r="GJ211" s="334"/>
      <c r="GK211" s="334"/>
      <c r="GL211" s="334"/>
      <c r="GM211" s="334"/>
      <c r="GN211" s="334"/>
      <c r="GO211" s="334"/>
      <c r="GP211" s="334"/>
      <c r="GQ211" s="334"/>
      <c r="GR211" s="334"/>
      <c r="GS211" s="334"/>
      <c r="GT211" s="334"/>
      <c r="GU211" s="334"/>
      <c r="GV211" s="334"/>
      <c r="GW211" s="334"/>
      <c r="GX211" s="334"/>
      <c r="GY211" s="334"/>
      <c r="GZ211" s="334"/>
      <c r="HA211" s="334"/>
      <c r="HB211" s="334"/>
      <c r="HC211" s="334"/>
      <c r="HD211" s="334"/>
      <c r="HE211" s="334"/>
      <c r="HF211" s="334"/>
      <c r="HG211" s="334"/>
      <c r="HH211" s="334"/>
      <c r="HI211" s="334"/>
      <c r="HJ211" s="334"/>
      <c r="HK211" s="334"/>
      <c r="HL211" s="334"/>
      <c r="HM211" s="334"/>
      <c r="HN211" s="334"/>
      <c r="HO211" s="334"/>
      <c r="HP211" s="334"/>
      <c r="HQ211" s="334"/>
      <c r="HR211" s="334"/>
      <c r="HS211" s="334"/>
      <c r="HT211" s="334"/>
      <c r="HU211" s="334"/>
      <c r="HV211" s="334"/>
      <c r="HW211" s="334"/>
      <c r="HX211" s="334"/>
      <c r="HY211" s="334"/>
      <c r="HZ211" s="334"/>
      <c r="IA211" s="334"/>
      <c r="IB211" s="334"/>
      <c r="IC211" s="334"/>
      <c r="ID211" s="334"/>
      <c r="IE211" s="334"/>
      <c r="IF211" s="334"/>
      <c r="IG211" s="334"/>
      <c r="IH211" s="334"/>
      <c r="II211" s="334"/>
      <c r="IJ211" s="334"/>
      <c r="IK211" s="334"/>
      <c r="IL211" s="334"/>
      <c r="IM211" s="334"/>
      <c r="IN211" s="334"/>
      <c r="IO211" s="334"/>
      <c r="IP211" s="334"/>
      <c r="IQ211" s="334"/>
      <c r="IR211" s="334"/>
    </row>
    <row r="212" spans="1:252" x14ac:dyDescent="0.25">
      <c r="A212" s="364">
        <v>43857</v>
      </c>
      <c r="B212" s="345">
        <v>85.19</v>
      </c>
      <c r="C212" s="345">
        <v>29.08</v>
      </c>
      <c r="D212" s="345">
        <v>148.99</v>
      </c>
      <c r="E212" s="345">
        <v>82.51</v>
      </c>
      <c r="F212" s="345">
        <v>218.1</v>
      </c>
      <c r="G212" s="345">
        <v>16.89</v>
      </c>
      <c r="H212" s="345">
        <v>26.43</v>
      </c>
      <c r="I212" s="345">
        <v>88.37</v>
      </c>
      <c r="J212" s="345">
        <v>94.99</v>
      </c>
      <c r="K212" s="345">
        <v>297.23</v>
      </c>
      <c r="L212" s="345">
        <v>164.58</v>
      </c>
      <c r="M212" s="345">
        <v>95.11</v>
      </c>
      <c r="N212" s="345">
        <v>35.75</v>
      </c>
      <c r="O212" s="345">
        <v>13.24</v>
      </c>
      <c r="P212" s="345">
        <v>27</v>
      </c>
      <c r="Q212" s="345">
        <v>36.67</v>
      </c>
      <c r="R212" s="345">
        <v>35.18</v>
      </c>
      <c r="S212" s="345">
        <v>30.22</v>
      </c>
      <c r="T212" s="345">
        <v>26.55</v>
      </c>
      <c r="U212" s="345">
        <v>74.849999999999994</v>
      </c>
    </row>
    <row r="213" spans="1:252" x14ac:dyDescent="0.25">
      <c r="A213" s="385">
        <v>43858</v>
      </c>
      <c r="B213" s="345">
        <v>85.04</v>
      </c>
      <c r="C213" s="345">
        <v>28.31</v>
      </c>
      <c r="D213" s="345">
        <v>147.66</v>
      </c>
      <c r="E213" s="345">
        <v>83.1</v>
      </c>
      <c r="F213" s="345">
        <v>221.45</v>
      </c>
      <c r="G213" s="345">
        <v>16.32</v>
      </c>
      <c r="H213" s="345">
        <v>26.43</v>
      </c>
      <c r="I213" s="345">
        <v>87.68</v>
      </c>
      <c r="J213" s="345">
        <v>95.37</v>
      </c>
      <c r="K213" s="345">
        <v>300.45</v>
      </c>
      <c r="L213" s="345">
        <v>166.17</v>
      </c>
      <c r="M213" s="345">
        <v>96.93</v>
      </c>
      <c r="N213" s="345">
        <v>36.1</v>
      </c>
      <c r="O213" s="345">
        <v>13.15</v>
      </c>
      <c r="P213" s="345">
        <v>27.13</v>
      </c>
      <c r="Q213" s="345">
        <v>36.549999999999997</v>
      </c>
      <c r="R213" s="345">
        <v>35.31</v>
      </c>
      <c r="S213" s="345">
        <v>29.66</v>
      </c>
      <c r="T213" s="345">
        <v>26.42</v>
      </c>
      <c r="U213" s="345">
        <v>74.968400000000003</v>
      </c>
    </row>
    <row r="214" spans="1:252" x14ac:dyDescent="0.25">
      <c r="A214" s="364">
        <v>43859</v>
      </c>
      <c r="B214" s="345">
        <v>85.28</v>
      </c>
      <c r="C214" s="345">
        <v>28.86</v>
      </c>
      <c r="D214" s="345">
        <v>148.46</v>
      </c>
      <c r="E214" s="345">
        <v>82.53</v>
      </c>
      <c r="F214" s="345">
        <v>221.81</v>
      </c>
      <c r="G214" s="345">
        <v>16.41</v>
      </c>
      <c r="H214" s="345">
        <v>26.47</v>
      </c>
      <c r="I214" s="345">
        <v>88.58</v>
      </c>
      <c r="J214" s="345">
        <v>95.02</v>
      </c>
      <c r="K214" s="345">
        <v>300.14999999999998</v>
      </c>
      <c r="L214" s="345">
        <v>166.06</v>
      </c>
      <c r="M214" s="345">
        <v>97.18</v>
      </c>
      <c r="N214" s="345">
        <v>36.1</v>
      </c>
      <c r="O214" s="345">
        <v>13.2</v>
      </c>
      <c r="P214" s="345">
        <v>27.18</v>
      </c>
      <c r="Q214" s="345">
        <v>36.61</v>
      </c>
      <c r="R214" s="345">
        <v>35.31</v>
      </c>
      <c r="S214" s="345">
        <v>30.15</v>
      </c>
      <c r="T214" s="345">
        <v>26.54</v>
      </c>
      <c r="U214" s="345">
        <v>74.774199999999993</v>
      </c>
    </row>
    <row r="215" spans="1:252" x14ac:dyDescent="0.25">
      <c r="A215" s="385">
        <v>43860</v>
      </c>
      <c r="B215" s="345">
        <v>85.3</v>
      </c>
      <c r="C215" s="345">
        <v>28.73</v>
      </c>
      <c r="D215" s="345">
        <v>148.47</v>
      </c>
      <c r="E215" s="345">
        <v>82.44</v>
      </c>
      <c r="F215" s="345">
        <v>222.6</v>
      </c>
      <c r="G215" s="345">
        <v>16.68</v>
      </c>
      <c r="H215" s="345">
        <v>26.39</v>
      </c>
      <c r="I215" s="345">
        <v>88.55</v>
      </c>
      <c r="J215" s="345">
        <v>95.09</v>
      </c>
      <c r="K215" s="345">
        <v>301.08999999999997</v>
      </c>
      <c r="L215" s="345">
        <v>166.46</v>
      </c>
      <c r="M215" s="345">
        <v>98.02</v>
      </c>
      <c r="N215" s="345">
        <v>36.19</v>
      </c>
      <c r="O215" s="345">
        <v>13.23</v>
      </c>
      <c r="P215" s="345">
        <v>27.17</v>
      </c>
      <c r="Q215" s="345">
        <v>36.590000000000003</v>
      </c>
      <c r="R215" s="345">
        <v>35.29</v>
      </c>
      <c r="S215" s="345">
        <v>30.01</v>
      </c>
      <c r="T215" s="345">
        <v>26.515000000000001</v>
      </c>
      <c r="U215" s="345">
        <v>74.81</v>
      </c>
    </row>
    <row r="216" spans="1:252" x14ac:dyDescent="0.25">
      <c r="A216" s="364">
        <v>43861</v>
      </c>
      <c r="B216" s="345">
        <v>85.52</v>
      </c>
      <c r="C216" s="345">
        <v>28.99</v>
      </c>
      <c r="D216" s="345">
        <v>149.33000000000001</v>
      </c>
      <c r="E216" s="345">
        <v>80.48</v>
      </c>
      <c r="F216" s="345">
        <v>219.04</v>
      </c>
      <c r="G216" s="345">
        <v>16.82</v>
      </c>
      <c r="H216" s="345">
        <v>26.28</v>
      </c>
      <c r="I216" s="345">
        <v>89.31</v>
      </c>
      <c r="J216" s="345">
        <v>93.93</v>
      </c>
      <c r="K216" s="345">
        <v>295.69</v>
      </c>
      <c r="L216" s="345">
        <v>163.52000000000001</v>
      </c>
      <c r="M216" s="345">
        <v>95.33</v>
      </c>
      <c r="N216" s="345">
        <v>35.54</v>
      </c>
      <c r="O216" s="345">
        <v>13.31</v>
      </c>
      <c r="P216" s="345">
        <v>26.9</v>
      </c>
      <c r="Q216" s="345">
        <v>36.29</v>
      </c>
      <c r="R216" s="345">
        <v>34.94</v>
      </c>
      <c r="S216" s="345">
        <v>30.36</v>
      </c>
      <c r="T216" s="345">
        <v>26.52</v>
      </c>
      <c r="U216" s="345">
        <v>74.581100000000006</v>
      </c>
    </row>
    <row r="217" spans="1:252" s="368" customFormat="1" x14ac:dyDescent="0.25">
      <c r="A217" s="366">
        <v>43862</v>
      </c>
      <c r="B217" s="345">
        <v>85.52</v>
      </c>
      <c r="C217" s="345">
        <v>28.99</v>
      </c>
      <c r="D217" s="345">
        <v>149.33000000000001</v>
      </c>
      <c r="E217" s="345">
        <v>80.48</v>
      </c>
      <c r="F217" s="345">
        <v>219.04</v>
      </c>
      <c r="G217" s="345">
        <v>16.82</v>
      </c>
      <c r="H217" s="345">
        <v>26.28</v>
      </c>
      <c r="I217" s="345">
        <v>89.31</v>
      </c>
      <c r="J217" s="345">
        <v>93.93</v>
      </c>
      <c r="K217" s="345">
        <v>295.69</v>
      </c>
      <c r="L217" s="345">
        <v>163.52000000000001</v>
      </c>
      <c r="M217" s="345">
        <v>95.33</v>
      </c>
      <c r="N217" s="345">
        <v>35.54</v>
      </c>
      <c r="O217" s="345">
        <v>13.31</v>
      </c>
      <c r="P217" s="345">
        <v>26.9</v>
      </c>
      <c r="Q217" s="345">
        <v>36.29</v>
      </c>
      <c r="R217" s="345">
        <v>34.94</v>
      </c>
      <c r="S217" s="345">
        <v>30.36</v>
      </c>
      <c r="T217" s="345">
        <v>26.52</v>
      </c>
      <c r="U217" s="345">
        <v>74.581100000000006</v>
      </c>
      <c r="V217" s="334"/>
      <c r="W217" s="334"/>
      <c r="X217" s="334"/>
      <c r="Y217" s="334"/>
      <c r="Z217" s="334"/>
      <c r="AA217" s="334"/>
      <c r="AB217" s="334"/>
      <c r="AC217" s="334"/>
      <c r="AD217" s="334"/>
      <c r="AE217" s="334"/>
      <c r="AF217" s="334"/>
      <c r="AG217" s="334"/>
      <c r="AH217" s="334"/>
      <c r="AI217" s="334"/>
      <c r="AJ217" s="334"/>
      <c r="AK217" s="334"/>
      <c r="AL217" s="334"/>
      <c r="AM217" s="334"/>
      <c r="AN217" s="334"/>
      <c r="AO217" s="334"/>
      <c r="AP217" s="334"/>
      <c r="AQ217" s="334"/>
      <c r="AR217" s="334"/>
      <c r="AS217" s="334"/>
      <c r="AT217" s="334"/>
      <c r="AU217" s="334"/>
      <c r="AV217" s="334"/>
      <c r="AW217" s="334"/>
      <c r="AX217" s="334"/>
      <c r="AY217" s="334"/>
      <c r="AZ217" s="334"/>
      <c r="BA217" s="334"/>
      <c r="BB217" s="334"/>
      <c r="BC217" s="334"/>
      <c r="BD217" s="334"/>
      <c r="BE217" s="334"/>
      <c r="BF217" s="334"/>
      <c r="BG217" s="334"/>
      <c r="BH217" s="334"/>
      <c r="BI217" s="334"/>
      <c r="BJ217" s="334"/>
      <c r="BK217" s="334"/>
      <c r="BL217" s="334"/>
      <c r="BM217" s="334"/>
      <c r="BN217" s="334"/>
      <c r="BO217" s="334"/>
      <c r="BP217" s="334"/>
      <c r="BQ217" s="334"/>
      <c r="BR217" s="334"/>
      <c r="BS217" s="334"/>
      <c r="BT217" s="334"/>
      <c r="BU217" s="334"/>
      <c r="BV217" s="334"/>
      <c r="BW217" s="334"/>
      <c r="BX217" s="334"/>
      <c r="BY217" s="334"/>
      <c r="BZ217" s="334"/>
      <c r="CA217" s="334"/>
      <c r="CB217" s="334"/>
      <c r="CC217" s="334"/>
      <c r="CD217" s="334"/>
      <c r="CE217" s="334"/>
      <c r="CF217" s="334"/>
      <c r="CG217" s="334"/>
      <c r="CH217" s="334"/>
      <c r="CI217" s="334"/>
      <c r="CJ217" s="334"/>
      <c r="CK217" s="334"/>
      <c r="CL217" s="334"/>
      <c r="CM217" s="334"/>
      <c r="CN217" s="334"/>
      <c r="CO217" s="334"/>
      <c r="CP217" s="334"/>
      <c r="CQ217" s="334"/>
      <c r="CR217" s="334"/>
      <c r="CS217" s="334"/>
      <c r="CT217" s="334"/>
      <c r="CU217" s="334"/>
      <c r="CV217" s="334"/>
      <c r="CW217" s="334"/>
      <c r="CX217" s="334"/>
      <c r="CY217" s="334"/>
      <c r="CZ217" s="334"/>
      <c r="DA217" s="334"/>
      <c r="DB217" s="334"/>
      <c r="DC217" s="334"/>
      <c r="DD217" s="334"/>
      <c r="DE217" s="334"/>
      <c r="DF217" s="334"/>
      <c r="DG217" s="334"/>
      <c r="DH217" s="334"/>
      <c r="DI217" s="334"/>
      <c r="DJ217" s="334"/>
      <c r="DK217" s="334"/>
      <c r="DL217" s="334"/>
      <c r="DM217" s="334"/>
      <c r="DN217" s="334"/>
      <c r="DO217" s="334"/>
      <c r="DP217" s="334"/>
      <c r="DQ217" s="334"/>
      <c r="DR217" s="334"/>
      <c r="DS217" s="334"/>
      <c r="DT217" s="334"/>
      <c r="DU217" s="334"/>
      <c r="DV217" s="334"/>
      <c r="DW217" s="334"/>
      <c r="DX217" s="334"/>
      <c r="DY217" s="334"/>
      <c r="DZ217" s="334"/>
      <c r="EA217" s="334"/>
      <c r="EB217" s="334"/>
      <c r="EC217" s="334"/>
      <c r="ED217" s="334"/>
      <c r="EE217" s="334"/>
      <c r="EF217" s="334"/>
      <c r="EG217" s="334"/>
      <c r="EH217" s="334"/>
      <c r="EI217" s="334"/>
      <c r="EJ217" s="334"/>
      <c r="EK217" s="334"/>
      <c r="EL217" s="334"/>
      <c r="EM217" s="334"/>
      <c r="EN217" s="334"/>
      <c r="EO217" s="334"/>
      <c r="EP217" s="334"/>
      <c r="EQ217" s="334"/>
      <c r="ER217" s="334"/>
      <c r="ES217" s="334"/>
      <c r="ET217" s="334"/>
      <c r="EU217" s="334"/>
      <c r="EV217" s="334"/>
      <c r="EW217" s="334"/>
      <c r="EX217" s="334"/>
      <c r="EY217" s="334"/>
      <c r="EZ217" s="334"/>
      <c r="FA217" s="334"/>
      <c r="FB217" s="334"/>
      <c r="FC217" s="334"/>
      <c r="FD217" s="334"/>
      <c r="FE217" s="334"/>
      <c r="FF217" s="334"/>
      <c r="FG217" s="334"/>
      <c r="FH217" s="334"/>
      <c r="FI217" s="334"/>
      <c r="FJ217" s="334"/>
      <c r="FK217" s="334"/>
      <c r="FL217" s="334"/>
      <c r="FM217" s="334"/>
      <c r="FN217" s="334"/>
      <c r="FO217" s="334"/>
      <c r="FP217" s="334"/>
      <c r="FQ217" s="334"/>
      <c r="FR217" s="334"/>
      <c r="FS217" s="334"/>
      <c r="FT217" s="334"/>
      <c r="FU217" s="334"/>
      <c r="FV217" s="334"/>
      <c r="FW217" s="334"/>
      <c r="FX217" s="334"/>
      <c r="FY217" s="334"/>
      <c r="FZ217" s="334"/>
      <c r="GA217" s="334"/>
      <c r="GB217" s="334"/>
      <c r="GC217" s="334"/>
      <c r="GD217" s="334"/>
      <c r="GE217" s="334"/>
      <c r="GF217" s="334"/>
      <c r="GG217" s="334"/>
      <c r="GH217" s="334"/>
      <c r="GI217" s="334"/>
      <c r="GJ217" s="334"/>
      <c r="GK217" s="334"/>
      <c r="GL217" s="334"/>
      <c r="GM217" s="334"/>
      <c r="GN217" s="334"/>
      <c r="GO217" s="334"/>
      <c r="GP217" s="334"/>
      <c r="GQ217" s="334"/>
      <c r="GR217" s="334"/>
      <c r="GS217" s="334"/>
      <c r="GT217" s="334"/>
      <c r="GU217" s="334"/>
      <c r="GV217" s="334"/>
      <c r="GW217" s="334"/>
      <c r="GX217" s="334"/>
      <c r="GY217" s="334"/>
      <c r="GZ217" s="334"/>
      <c r="HA217" s="334"/>
      <c r="HB217" s="334"/>
      <c r="HC217" s="334"/>
      <c r="HD217" s="334"/>
      <c r="HE217" s="334"/>
      <c r="HF217" s="334"/>
      <c r="HG217" s="334"/>
      <c r="HH217" s="334"/>
      <c r="HI217" s="334"/>
      <c r="HJ217" s="334"/>
      <c r="HK217" s="334"/>
      <c r="HL217" s="334"/>
      <c r="HM217" s="334"/>
      <c r="HN217" s="334"/>
      <c r="HO217" s="334"/>
      <c r="HP217" s="334"/>
      <c r="HQ217" s="334"/>
      <c r="HR217" s="334"/>
      <c r="HS217" s="334"/>
      <c r="HT217" s="334"/>
      <c r="HU217" s="334"/>
      <c r="HV217" s="334"/>
      <c r="HW217" s="334"/>
      <c r="HX217" s="334"/>
      <c r="HY217" s="334"/>
      <c r="HZ217" s="334"/>
      <c r="IA217" s="334"/>
      <c r="IB217" s="334"/>
      <c r="IC217" s="334"/>
      <c r="ID217" s="334"/>
      <c r="IE217" s="334"/>
      <c r="IF217" s="334"/>
      <c r="IG217" s="334"/>
      <c r="IH217" s="334"/>
      <c r="II217" s="334"/>
      <c r="IJ217" s="334"/>
      <c r="IK217" s="334"/>
      <c r="IL217" s="334"/>
      <c r="IM217" s="334"/>
      <c r="IN217" s="334"/>
      <c r="IO217" s="334"/>
      <c r="IP217" s="334"/>
      <c r="IQ217" s="334"/>
      <c r="IR217" s="334"/>
    </row>
    <row r="218" spans="1:252" s="368" customFormat="1" x14ac:dyDescent="0.25">
      <c r="A218" s="366">
        <v>43863</v>
      </c>
      <c r="B218" s="345">
        <v>85.52</v>
      </c>
      <c r="C218" s="345">
        <v>28.99</v>
      </c>
      <c r="D218" s="345">
        <v>149.33000000000001</v>
      </c>
      <c r="E218" s="345">
        <v>80.48</v>
      </c>
      <c r="F218" s="345">
        <v>219.04</v>
      </c>
      <c r="G218" s="345">
        <v>16.82</v>
      </c>
      <c r="H218" s="345">
        <v>26.28</v>
      </c>
      <c r="I218" s="345">
        <v>89.31</v>
      </c>
      <c r="J218" s="345">
        <v>93.93</v>
      </c>
      <c r="K218" s="345">
        <v>295.69</v>
      </c>
      <c r="L218" s="345">
        <v>163.52000000000001</v>
      </c>
      <c r="M218" s="345">
        <v>95.33</v>
      </c>
      <c r="N218" s="345">
        <v>35.54</v>
      </c>
      <c r="O218" s="345">
        <v>13.31</v>
      </c>
      <c r="P218" s="345">
        <v>26.9</v>
      </c>
      <c r="Q218" s="345">
        <v>36.29</v>
      </c>
      <c r="R218" s="345">
        <v>34.94</v>
      </c>
      <c r="S218" s="345">
        <v>30.36</v>
      </c>
      <c r="T218" s="345">
        <v>26.52</v>
      </c>
      <c r="U218" s="345">
        <v>74.581100000000006</v>
      </c>
      <c r="V218" s="334"/>
      <c r="W218" s="334"/>
      <c r="X218" s="334"/>
      <c r="Y218" s="334"/>
      <c r="Z218" s="334"/>
      <c r="AA218" s="334"/>
      <c r="AB218" s="334"/>
      <c r="AC218" s="334"/>
      <c r="AD218" s="334"/>
      <c r="AE218" s="334"/>
      <c r="AF218" s="334"/>
      <c r="AG218" s="334"/>
      <c r="AH218" s="334"/>
      <c r="AI218" s="334"/>
      <c r="AJ218" s="334"/>
      <c r="AK218" s="334"/>
      <c r="AL218" s="334"/>
      <c r="AM218" s="334"/>
      <c r="AN218" s="334"/>
      <c r="AO218" s="334"/>
      <c r="AP218" s="334"/>
      <c r="AQ218" s="334"/>
      <c r="AR218" s="334"/>
      <c r="AS218" s="334"/>
      <c r="AT218" s="334"/>
      <c r="AU218" s="334"/>
      <c r="AV218" s="334"/>
      <c r="AW218" s="334"/>
      <c r="AX218" s="334"/>
      <c r="AY218" s="334"/>
      <c r="AZ218" s="334"/>
      <c r="BA218" s="334"/>
      <c r="BB218" s="334"/>
      <c r="BC218" s="334"/>
      <c r="BD218" s="334"/>
      <c r="BE218" s="334"/>
      <c r="BF218" s="334"/>
      <c r="BG218" s="334"/>
      <c r="BH218" s="334"/>
      <c r="BI218" s="334"/>
      <c r="BJ218" s="334"/>
      <c r="BK218" s="334"/>
      <c r="BL218" s="334"/>
      <c r="BM218" s="334"/>
      <c r="BN218" s="334"/>
      <c r="BO218" s="334"/>
      <c r="BP218" s="334"/>
      <c r="BQ218" s="334"/>
      <c r="BR218" s="334"/>
      <c r="BS218" s="334"/>
      <c r="BT218" s="334"/>
      <c r="BU218" s="334"/>
      <c r="BV218" s="334"/>
      <c r="BW218" s="334"/>
      <c r="BX218" s="334"/>
      <c r="BY218" s="334"/>
      <c r="BZ218" s="334"/>
      <c r="CA218" s="334"/>
      <c r="CB218" s="334"/>
      <c r="CC218" s="334"/>
      <c r="CD218" s="334"/>
      <c r="CE218" s="334"/>
      <c r="CF218" s="334"/>
      <c r="CG218" s="334"/>
      <c r="CH218" s="334"/>
      <c r="CI218" s="334"/>
      <c r="CJ218" s="334"/>
      <c r="CK218" s="334"/>
      <c r="CL218" s="334"/>
      <c r="CM218" s="334"/>
      <c r="CN218" s="334"/>
      <c r="CO218" s="334"/>
      <c r="CP218" s="334"/>
      <c r="CQ218" s="334"/>
      <c r="CR218" s="334"/>
      <c r="CS218" s="334"/>
      <c r="CT218" s="334"/>
      <c r="CU218" s="334"/>
      <c r="CV218" s="334"/>
      <c r="CW218" s="334"/>
      <c r="CX218" s="334"/>
      <c r="CY218" s="334"/>
      <c r="CZ218" s="334"/>
      <c r="DA218" s="334"/>
      <c r="DB218" s="334"/>
      <c r="DC218" s="334"/>
      <c r="DD218" s="334"/>
      <c r="DE218" s="334"/>
      <c r="DF218" s="334"/>
      <c r="DG218" s="334"/>
      <c r="DH218" s="334"/>
      <c r="DI218" s="334"/>
      <c r="DJ218" s="334"/>
      <c r="DK218" s="334"/>
      <c r="DL218" s="334"/>
      <c r="DM218" s="334"/>
      <c r="DN218" s="334"/>
      <c r="DO218" s="334"/>
      <c r="DP218" s="334"/>
      <c r="DQ218" s="334"/>
      <c r="DR218" s="334"/>
      <c r="DS218" s="334"/>
      <c r="DT218" s="334"/>
      <c r="DU218" s="334"/>
      <c r="DV218" s="334"/>
      <c r="DW218" s="334"/>
      <c r="DX218" s="334"/>
      <c r="DY218" s="334"/>
      <c r="DZ218" s="334"/>
      <c r="EA218" s="334"/>
      <c r="EB218" s="334"/>
      <c r="EC218" s="334"/>
      <c r="ED218" s="334"/>
      <c r="EE218" s="334"/>
      <c r="EF218" s="334"/>
      <c r="EG218" s="334"/>
      <c r="EH218" s="334"/>
      <c r="EI218" s="334"/>
      <c r="EJ218" s="334"/>
      <c r="EK218" s="334"/>
      <c r="EL218" s="334"/>
      <c r="EM218" s="334"/>
      <c r="EN218" s="334"/>
      <c r="EO218" s="334"/>
      <c r="EP218" s="334"/>
      <c r="EQ218" s="334"/>
      <c r="ER218" s="334"/>
      <c r="ES218" s="334"/>
      <c r="ET218" s="334"/>
      <c r="EU218" s="334"/>
      <c r="EV218" s="334"/>
      <c r="EW218" s="334"/>
      <c r="EX218" s="334"/>
      <c r="EY218" s="334"/>
      <c r="EZ218" s="334"/>
      <c r="FA218" s="334"/>
      <c r="FB218" s="334"/>
      <c r="FC218" s="334"/>
      <c r="FD218" s="334"/>
      <c r="FE218" s="334"/>
      <c r="FF218" s="334"/>
      <c r="FG218" s="334"/>
      <c r="FH218" s="334"/>
      <c r="FI218" s="334"/>
      <c r="FJ218" s="334"/>
      <c r="FK218" s="334"/>
      <c r="FL218" s="334"/>
      <c r="FM218" s="334"/>
      <c r="FN218" s="334"/>
      <c r="FO218" s="334"/>
      <c r="FP218" s="334"/>
      <c r="FQ218" s="334"/>
      <c r="FR218" s="334"/>
      <c r="FS218" s="334"/>
      <c r="FT218" s="334"/>
      <c r="FU218" s="334"/>
      <c r="FV218" s="334"/>
      <c r="FW218" s="334"/>
      <c r="FX218" s="334"/>
      <c r="FY218" s="334"/>
      <c r="FZ218" s="334"/>
      <c r="GA218" s="334"/>
      <c r="GB218" s="334"/>
      <c r="GC218" s="334"/>
      <c r="GD218" s="334"/>
      <c r="GE218" s="334"/>
      <c r="GF218" s="334"/>
      <c r="GG218" s="334"/>
      <c r="GH218" s="334"/>
      <c r="GI218" s="334"/>
      <c r="GJ218" s="334"/>
      <c r="GK218" s="334"/>
      <c r="GL218" s="334"/>
      <c r="GM218" s="334"/>
      <c r="GN218" s="334"/>
      <c r="GO218" s="334"/>
      <c r="GP218" s="334"/>
      <c r="GQ218" s="334"/>
      <c r="GR218" s="334"/>
      <c r="GS218" s="334"/>
      <c r="GT218" s="334"/>
      <c r="GU218" s="334"/>
      <c r="GV218" s="334"/>
      <c r="GW218" s="334"/>
      <c r="GX218" s="334"/>
      <c r="GY218" s="334"/>
      <c r="GZ218" s="334"/>
      <c r="HA218" s="334"/>
      <c r="HB218" s="334"/>
      <c r="HC218" s="334"/>
      <c r="HD218" s="334"/>
      <c r="HE218" s="334"/>
      <c r="HF218" s="334"/>
      <c r="HG218" s="334"/>
      <c r="HH218" s="334"/>
      <c r="HI218" s="334"/>
      <c r="HJ218" s="334"/>
      <c r="HK218" s="334"/>
      <c r="HL218" s="334"/>
      <c r="HM218" s="334"/>
      <c r="HN218" s="334"/>
      <c r="HO218" s="334"/>
      <c r="HP218" s="334"/>
      <c r="HQ218" s="334"/>
      <c r="HR218" s="334"/>
      <c r="HS218" s="334"/>
      <c r="HT218" s="334"/>
      <c r="HU218" s="334"/>
      <c r="HV218" s="334"/>
      <c r="HW218" s="334"/>
      <c r="HX218" s="334"/>
      <c r="HY218" s="334"/>
      <c r="HZ218" s="334"/>
      <c r="IA218" s="334"/>
      <c r="IB218" s="334"/>
      <c r="IC218" s="334"/>
      <c r="ID218" s="334"/>
      <c r="IE218" s="334"/>
      <c r="IF218" s="334"/>
      <c r="IG218" s="334"/>
      <c r="IH218" s="334"/>
      <c r="II218" s="334"/>
      <c r="IJ218" s="334"/>
      <c r="IK218" s="334"/>
      <c r="IL218" s="334"/>
      <c r="IM218" s="334"/>
      <c r="IN218" s="334"/>
      <c r="IO218" s="334"/>
      <c r="IP218" s="334"/>
      <c r="IQ218" s="334"/>
      <c r="IR218" s="334"/>
    </row>
    <row r="219" spans="1:252" x14ac:dyDescent="0.25">
      <c r="A219" s="385">
        <v>43864</v>
      </c>
      <c r="B219" s="345">
        <v>85.26</v>
      </c>
      <c r="C219" s="345">
        <v>28.56</v>
      </c>
      <c r="D219" s="345">
        <v>148.36000000000001</v>
      </c>
      <c r="E219" s="345">
        <v>81.239999999999995</v>
      </c>
      <c r="F219" s="345">
        <v>222.38</v>
      </c>
      <c r="G219" s="345">
        <v>16.5</v>
      </c>
      <c r="H219" s="345">
        <v>26.41</v>
      </c>
      <c r="I219" s="345">
        <v>89.19</v>
      </c>
      <c r="J219" s="345">
        <v>94.24</v>
      </c>
      <c r="K219" s="345">
        <v>297.83999999999997</v>
      </c>
      <c r="L219" s="345">
        <v>164.96</v>
      </c>
      <c r="M219" s="345">
        <v>96.59</v>
      </c>
      <c r="N219" s="345">
        <v>35.82</v>
      </c>
      <c r="O219" s="345">
        <v>13.22</v>
      </c>
      <c r="P219" s="345">
        <v>27.08</v>
      </c>
      <c r="Q219" s="345">
        <v>36.61</v>
      </c>
      <c r="R219" s="345">
        <v>35.04</v>
      </c>
      <c r="S219" s="345">
        <v>30.06</v>
      </c>
      <c r="T219" s="345">
        <v>26.54</v>
      </c>
      <c r="U219" s="345">
        <v>74.17</v>
      </c>
    </row>
    <row r="220" spans="1:252" x14ac:dyDescent="0.25">
      <c r="A220" s="364">
        <v>43865</v>
      </c>
      <c r="B220" s="345">
        <v>85</v>
      </c>
      <c r="C220" s="345">
        <v>28.05</v>
      </c>
      <c r="D220" s="345">
        <v>146.43</v>
      </c>
      <c r="E220" s="345">
        <v>82.26</v>
      </c>
      <c r="F220" s="345">
        <v>227.47</v>
      </c>
      <c r="G220" s="345">
        <v>16.45</v>
      </c>
      <c r="H220" s="345">
        <v>26.45</v>
      </c>
      <c r="I220" s="345">
        <v>87.96</v>
      </c>
      <c r="J220" s="345">
        <v>95.21</v>
      </c>
      <c r="K220" s="345">
        <v>302.43</v>
      </c>
      <c r="L220" s="345">
        <v>167.56</v>
      </c>
      <c r="M220" s="345">
        <v>99.12</v>
      </c>
      <c r="N220" s="345">
        <v>36.36</v>
      </c>
      <c r="O220" s="345">
        <v>13.05</v>
      </c>
      <c r="P220" s="345">
        <v>27.35</v>
      </c>
      <c r="Q220" s="345">
        <v>36.520000000000003</v>
      </c>
      <c r="R220" s="345">
        <v>35.31</v>
      </c>
      <c r="S220" s="345">
        <v>29.5</v>
      </c>
      <c r="T220" s="345">
        <v>26.45</v>
      </c>
      <c r="U220" s="345">
        <v>74.27</v>
      </c>
    </row>
    <row r="221" spans="1:252" x14ac:dyDescent="0.25">
      <c r="A221" s="385">
        <v>43866</v>
      </c>
      <c r="B221" s="345">
        <v>84.86</v>
      </c>
      <c r="C221" s="345">
        <v>28.05</v>
      </c>
      <c r="D221" s="345">
        <v>146.61000000000001</v>
      </c>
      <c r="E221" s="345">
        <v>83.83</v>
      </c>
      <c r="F221" s="345">
        <v>228.22</v>
      </c>
      <c r="G221" s="345">
        <v>16.46</v>
      </c>
      <c r="H221" s="345">
        <v>26.55</v>
      </c>
      <c r="I221" s="345">
        <v>87.04</v>
      </c>
      <c r="J221" s="345">
        <v>95.27</v>
      </c>
      <c r="K221" s="345">
        <v>305.85000000000002</v>
      </c>
      <c r="L221" s="345">
        <v>169.21</v>
      </c>
      <c r="M221" s="345">
        <v>99.7</v>
      </c>
      <c r="N221" s="345">
        <v>36.78</v>
      </c>
      <c r="O221" s="345">
        <v>13.07</v>
      </c>
      <c r="P221" s="345">
        <v>27.53</v>
      </c>
      <c r="Q221" s="345">
        <v>36.700000000000003</v>
      </c>
      <c r="R221" s="345">
        <v>35.6</v>
      </c>
      <c r="S221" s="345">
        <v>29.5</v>
      </c>
      <c r="T221" s="345">
        <v>26.36</v>
      </c>
      <c r="U221" s="345">
        <v>74.22</v>
      </c>
    </row>
    <row r="222" spans="1:252" x14ac:dyDescent="0.25">
      <c r="A222" s="364">
        <v>43867</v>
      </c>
      <c r="B222" s="345">
        <v>84.94</v>
      </c>
      <c r="C222" s="345">
        <v>28.4</v>
      </c>
      <c r="D222" s="345">
        <v>147.4</v>
      </c>
      <c r="E222" s="345">
        <v>83.6</v>
      </c>
      <c r="F222" s="345">
        <v>230.19</v>
      </c>
      <c r="G222" s="345">
        <v>16.63</v>
      </c>
      <c r="H222" s="345">
        <v>26.6</v>
      </c>
      <c r="I222" s="345">
        <v>87.47</v>
      </c>
      <c r="J222" s="345">
        <v>95.59</v>
      </c>
      <c r="K222" s="345">
        <v>306.89</v>
      </c>
      <c r="L222" s="345">
        <v>169.68</v>
      </c>
      <c r="M222" s="345">
        <v>100.61</v>
      </c>
      <c r="N222" s="345">
        <v>36.880000000000003</v>
      </c>
      <c r="O222" s="345">
        <v>13.12</v>
      </c>
      <c r="P222" s="345">
        <v>27.63</v>
      </c>
      <c r="Q222" s="345">
        <v>37.14</v>
      </c>
      <c r="R222" s="345">
        <v>35.81</v>
      </c>
      <c r="S222" s="345">
        <v>29.66</v>
      </c>
      <c r="T222" s="345">
        <v>26.4</v>
      </c>
      <c r="U222" s="345">
        <v>74.218999999999994</v>
      </c>
    </row>
    <row r="223" spans="1:252" x14ac:dyDescent="0.25">
      <c r="A223" s="385">
        <v>43868</v>
      </c>
      <c r="B223" s="345">
        <v>85.2</v>
      </c>
      <c r="C223" s="345">
        <v>27.93</v>
      </c>
      <c r="D223" s="345">
        <v>147.79</v>
      </c>
      <c r="E223" s="345">
        <v>82.34</v>
      </c>
      <c r="F223" s="345">
        <v>229.2</v>
      </c>
      <c r="G223" s="345">
        <v>16.54</v>
      </c>
      <c r="H223" s="345">
        <v>26.66</v>
      </c>
      <c r="I223" s="345">
        <v>88.45</v>
      </c>
      <c r="J223" s="345">
        <v>95.57</v>
      </c>
      <c r="K223" s="345">
        <v>305.33</v>
      </c>
      <c r="L223" s="345">
        <v>168.71</v>
      </c>
      <c r="M223" s="345">
        <v>99.69</v>
      </c>
      <c r="N223" s="345">
        <v>36.700000000000003</v>
      </c>
      <c r="O223" s="345">
        <v>13.17</v>
      </c>
      <c r="P223" s="345">
        <v>27.5</v>
      </c>
      <c r="Q223" s="345">
        <v>37.25</v>
      </c>
      <c r="R223" s="345">
        <v>35.619999999999997</v>
      </c>
      <c r="S223" s="345">
        <v>29.11</v>
      </c>
      <c r="T223" s="345">
        <v>26.5</v>
      </c>
      <c r="U223" s="345">
        <v>74.1601</v>
      </c>
    </row>
    <row r="224" spans="1:252" s="368" customFormat="1" x14ac:dyDescent="0.25">
      <c r="A224" s="366">
        <v>43869</v>
      </c>
      <c r="B224" s="345">
        <v>85.2</v>
      </c>
      <c r="C224" s="345">
        <v>27.93</v>
      </c>
      <c r="D224" s="345">
        <v>147.79</v>
      </c>
      <c r="E224" s="345">
        <v>82.34</v>
      </c>
      <c r="F224" s="345">
        <v>229.2</v>
      </c>
      <c r="G224" s="345">
        <v>16.54</v>
      </c>
      <c r="H224" s="345">
        <v>26.66</v>
      </c>
      <c r="I224" s="345">
        <v>88.45</v>
      </c>
      <c r="J224" s="345">
        <v>95.57</v>
      </c>
      <c r="K224" s="345">
        <v>305.33</v>
      </c>
      <c r="L224" s="345">
        <v>168.71</v>
      </c>
      <c r="M224" s="345">
        <v>99.69</v>
      </c>
      <c r="N224" s="345">
        <v>36.700000000000003</v>
      </c>
      <c r="O224" s="345">
        <v>13.17</v>
      </c>
      <c r="P224" s="345">
        <v>27.5</v>
      </c>
      <c r="Q224" s="345">
        <v>37.25</v>
      </c>
      <c r="R224" s="345">
        <v>35.619999999999997</v>
      </c>
      <c r="S224" s="345">
        <v>29.11</v>
      </c>
      <c r="T224" s="345">
        <v>26.5</v>
      </c>
      <c r="U224" s="345">
        <v>74.1601</v>
      </c>
      <c r="V224" s="334"/>
      <c r="W224" s="334"/>
      <c r="X224" s="334"/>
      <c r="Y224" s="334"/>
      <c r="Z224" s="334"/>
      <c r="AA224" s="334"/>
      <c r="AB224" s="334"/>
      <c r="AC224" s="334"/>
      <c r="AD224" s="334"/>
      <c r="AE224" s="334"/>
      <c r="AF224" s="334"/>
      <c r="AG224" s="334"/>
      <c r="AH224" s="334"/>
      <c r="AI224" s="334"/>
      <c r="AJ224" s="334"/>
      <c r="AK224" s="334"/>
      <c r="AL224" s="334"/>
      <c r="AM224" s="334"/>
      <c r="AN224" s="334"/>
      <c r="AO224" s="334"/>
      <c r="AP224" s="334"/>
      <c r="AQ224" s="334"/>
      <c r="AR224" s="334"/>
      <c r="AS224" s="334"/>
      <c r="AT224" s="334"/>
      <c r="AU224" s="334"/>
      <c r="AV224" s="334"/>
      <c r="AW224" s="334"/>
      <c r="AX224" s="334"/>
      <c r="AY224" s="334"/>
      <c r="AZ224" s="334"/>
      <c r="BA224" s="334"/>
      <c r="BB224" s="334"/>
      <c r="BC224" s="334"/>
      <c r="BD224" s="334"/>
      <c r="BE224" s="334"/>
      <c r="BF224" s="334"/>
      <c r="BG224" s="334"/>
      <c r="BH224" s="334"/>
      <c r="BI224" s="334"/>
      <c r="BJ224" s="334"/>
      <c r="BK224" s="334"/>
      <c r="BL224" s="334"/>
      <c r="BM224" s="334"/>
      <c r="BN224" s="334"/>
      <c r="BO224" s="334"/>
      <c r="BP224" s="334"/>
      <c r="BQ224" s="334"/>
      <c r="BR224" s="334"/>
      <c r="BS224" s="334"/>
      <c r="BT224" s="334"/>
      <c r="BU224" s="334"/>
      <c r="BV224" s="334"/>
      <c r="BW224" s="334"/>
      <c r="BX224" s="334"/>
      <c r="BY224" s="334"/>
      <c r="BZ224" s="334"/>
      <c r="CA224" s="334"/>
      <c r="CB224" s="334"/>
      <c r="CC224" s="334"/>
      <c r="CD224" s="334"/>
      <c r="CE224" s="334"/>
      <c r="CF224" s="334"/>
      <c r="CG224" s="334"/>
      <c r="CH224" s="334"/>
      <c r="CI224" s="334"/>
      <c r="CJ224" s="334"/>
      <c r="CK224" s="334"/>
      <c r="CL224" s="334"/>
      <c r="CM224" s="334"/>
      <c r="CN224" s="334"/>
      <c r="CO224" s="334"/>
      <c r="CP224" s="334"/>
      <c r="CQ224" s="334"/>
      <c r="CR224" s="334"/>
      <c r="CS224" s="334"/>
      <c r="CT224" s="334"/>
      <c r="CU224" s="334"/>
      <c r="CV224" s="334"/>
      <c r="CW224" s="334"/>
      <c r="CX224" s="334"/>
      <c r="CY224" s="334"/>
      <c r="CZ224" s="334"/>
      <c r="DA224" s="334"/>
      <c r="DB224" s="334"/>
      <c r="DC224" s="334"/>
      <c r="DD224" s="334"/>
      <c r="DE224" s="334"/>
      <c r="DF224" s="334"/>
      <c r="DG224" s="334"/>
      <c r="DH224" s="334"/>
      <c r="DI224" s="334"/>
      <c r="DJ224" s="334"/>
      <c r="DK224" s="334"/>
      <c r="DL224" s="334"/>
      <c r="DM224" s="334"/>
      <c r="DN224" s="334"/>
      <c r="DO224" s="334"/>
      <c r="DP224" s="334"/>
      <c r="DQ224" s="334"/>
      <c r="DR224" s="334"/>
      <c r="DS224" s="334"/>
      <c r="DT224" s="334"/>
      <c r="DU224" s="334"/>
      <c r="DV224" s="334"/>
      <c r="DW224" s="334"/>
      <c r="DX224" s="334"/>
      <c r="DY224" s="334"/>
      <c r="DZ224" s="334"/>
      <c r="EA224" s="334"/>
      <c r="EB224" s="334"/>
      <c r="EC224" s="334"/>
      <c r="ED224" s="334"/>
      <c r="EE224" s="334"/>
      <c r="EF224" s="334"/>
      <c r="EG224" s="334"/>
      <c r="EH224" s="334"/>
      <c r="EI224" s="334"/>
      <c r="EJ224" s="334"/>
      <c r="EK224" s="334"/>
      <c r="EL224" s="334"/>
      <c r="EM224" s="334"/>
      <c r="EN224" s="334"/>
      <c r="EO224" s="334"/>
      <c r="EP224" s="334"/>
      <c r="EQ224" s="334"/>
      <c r="ER224" s="334"/>
      <c r="ES224" s="334"/>
      <c r="ET224" s="334"/>
      <c r="EU224" s="334"/>
      <c r="EV224" s="334"/>
      <c r="EW224" s="334"/>
      <c r="EX224" s="334"/>
      <c r="EY224" s="334"/>
      <c r="EZ224" s="334"/>
      <c r="FA224" s="334"/>
      <c r="FB224" s="334"/>
      <c r="FC224" s="334"/>
      <c r="FD224" s="334"/>
      <c r="FE224" s="334"/>
      <c r="FF224" s="334"/>
      <c r="FG224" s="334"/>
      <c r="FH224" s="334"/>
      <c r="FI224" s="334"/>
      <c r="FJ224" s="334"/>
      <c r="FK224" s="334"/>
      <c r="FL224" s="334"/>
      <c r="FM224" s="334"/>
      <c r="FN224" s="334"/>
      <c r="FO224" s="334"/>
      <c r="FP224" s="334"/>
      <c r="FQ224" s="334"/>
      <c r="FR224" s="334"/>
      <c r="FS224" s="334"/>
      <c r="FT224" s="334"/>
      <c r="FU224" s="334"/>
      <c r="FV224" s="334"/>
      <c r="FW224" s="334"/>
      <c r="FX224" s="334"/>
      <c r="FY224" s="334"/>
      <c r="FZ224" s="334"/>
      <c r="GA224" s="334"/>
      <c r="GB224" s="334"/>
      <c r="GC224" s="334"/>
      <c r="GD224" s="334"/>
      <c r="GE224" s="334"/>
      <c r="GF224" s="334"/>
      <c r="GG224" s="334"/>
      <c r="GH224" s="334"/>
      <c r="GI224" s="334"/>
      <c r="GJ224" s="334"/>
      <c r="GK224" s="334"/>
      <c r="GL224" s="334"/>
      <c r="GM224" s="334"/>
      <c r="GN224" s="334"/>
      <c r="GO224" s="334"/>
      <c r="GP224" s="334"/>
      <c r="GQ224" s="334"/>
      <c r="GR224" s="334"/>
      <c r="GS224" s="334"/>
      <c r="GT224" s="334"/>
      <c r="GU224" s="334"/>
      <c r="GV224" s="334"/>
      <c r="GW224" s="334"/>
      <c r="GX224" s="334"/>
      <c r="GY224" s="334"/>
      <c r="GZ224" s="334"/>
      <c r="HA224" s="334"/>
      <c r="HB224" s="334"/>
      <c r="HC224" s="334"/>
      <c r="HD224" s="334"/>
      <c r="HE224" s="334"/>
      <c r="HF224" s="334"/>
      <c r="HG224" s="334"/>
      <c r="HH224" s="334"/>
      <c r="HI224" s="334"/>
      <c r="HJ224" s="334"/>
      <c r="HK224" s="334"/>
      <c r="HL224" s="334"/>
      <c r="HM224" s="334"/>
      <c r="HN224" s="334"/>
      <c r="HO224" s="334"/>
      <c r="HP224" s="334"/>
      <c r="HQ224" s="334"/>
      <c r="HR224" s="334"/>
      <c r="HS224" s="334"/>
      <c r="HT224" s="334"/>
      <c r="HU224" s="334"/>
      <c r="HV224" s="334"/>
      <c r="HW224" s="334"/>
      <c r="HX224" s="334"/>
      <c r="HY224" s="334"/>
      <c r="HZ224" s="334"/>
      <c r="IA224" s="334"/>
      <c r="IB224" s="334"/>
      <c r="IC224" s="334"/>
      <c r="ID224" s="334"/>
      <c r="IE224" s="334"/>
      <c r="IF224" s="334"/>
      <c r="IG224" s="334"/>
      <c r="IH224" s="334"/>
      <c r="II224" s="334"/>
      <c r="IJ224" s="334"/>
      <c r="IK224" s="334"/>
      <c r="IL224" s="334"/>
      <c r="IM224" s="334"/>
      <c r="IN224" s="334"/>
      <c r="IO224" s="334"/>
      <c r="IP224" s="334"/>
      <c r="IQ224" s="334"/>
      <c r="IR224" s="334"/>
    </row>
    <row r="225" spans="1:252" s="368" customFormat="1" x14ac:dyDescent="0.25">
      <c r="A225" s="366">
        <v>43870</v>
      </c>
      <c r="B225" s="345">
        <v>85.2</v>
      </c>
      <c r="C225" s="345">
        <v>27.93</v>
      </c>
      <c r="D225" s="345">
        <v>147.79</v>
      </c>
      <c r="E225" s="345">
        <v>82.34</v>
      </c>
      <c r="F225" s="345">
        <v>229.2</v>
      </c>
      <c r="G225" s="345">
        <v>16.54</v>
      </c>
      <c r="H225" s="345">
        <v>26.66</v>
      </c>
      <c r="I225" s="345">
        <v>88.45</v>
      </c>
      <c r="J225" s="345">
        <v>95.57</v>
      </c>
      <c r="K225" s="345">
        <v>305.33</v>
      </c>
      <c r="L225" s="345">
        <v>168.71</v>
      </c>
      <c r="M225" s="345">
        <v>99.69</v>
      </c>
      <c r="N225" s="345">
        <v>36.700000000000003</v>
      </c>
      <c r="O225" s="345">
        <v>13.17</v>
      </c>
      <c r="P225" s="345">
        <v>27.5</v>
      </c>
      <c r="Q225" s="345">
        <v>37.25</v>
      </c>
      <c r="R225" s="345">
        <v>35.619999999999997</v>
      </c>
      <c r="S225" s="345">
        <v>29.11</v>
      </c>
      <c r="T225" s="345">
        <v>26.5</v>
      </c>
      <c r="U225" s="345">
        <v>74.1601</v>
      </c>
      <c r="V225" s="334"/>
      <c r="W225" s="334"/>
      <c r="X225" s="334"/>
      <c r="Y225" s="334"/>
      <c r="Z225" s="334"/>
      <c r="AA225" s="334"/>
      <c r="AB225" s="334"/>
      <c r="AC225" s="334"/>
      <c r="AD225" s="334"/>
      <c r="AE225" s="334"/>
      <c r="AF225" s="334"/>
      <c r="AG225" s="334"/>
      <c r="AH225" s="334"/>
      <c r="AI225" s="334"/>
      <c r="AJ225" s="334"/>
      <c r="AK225" s="334"/>
      <c r="AL225" s="334"/>
      <c r="AM225" s="334"/>
      <c r="AN225" s="334"/>
      <c r="AO225" s="334"/>
      <c r="AP225" s="334"/>
      <c r="AQ225" s="334"/>
      <c r="AR225" s="334"/>
      <c r="AS225" s="334"/>
      <c r="AT225" s="334"/>
      <c r="AU225" s="334"/>
      <c r="AV225" s="334"/>
      <c r="AW225" s="334"/>
      <c r="AX225" s="334"/>
      <c r="AY225" s="334"/>
      <c r="AZ225" s="334"/>
      <c r="BA225" s="334"/>
      <c r="BB225" s="334"/>
      <c r="BC225" s="334"/>
      <c r="BD225" s="334"/>
      <c r="BE225" s="334"/>
      <c r="BF225" s="334"/>
      <c r="BG225" s="334"/>
      <c r="BH225" s="334"/>
      <c r="BI225" s="334"/>
      <c r="BJ225" s="334"/>
      <c r="BK225" s="334"/>
      <c r="BL225" s="334"/>
      <c r="BM225" s="334"/>
      <c r="BN225" s="334"/>
      <c r="BO225" s="334"/>
      <c r="BP225" s="334"/>
      <c r="BQ225" s="334"/>
      <c r="BR225" s="334"/>
      <c r="BS225" s="334"/>
      <c r="BT225" s="334"/>
      <c r="BU225" s="334"/>
      <c r="BV225" s="334"/>
      <c r="BW225" s="334"/>
      <c r="BX225" s="334"/>
      <c r="BY225" s="334"/>
      <c r="BZ225" s="334"/>
      <c r="CA225" s="334"/>
      <c r="CB225" s="334"/>
      <c r="CC225" s="334"/>
      <c r="CD225" s="334"/>
      <c r="CE225" s="334"/>
      <c r="CF225" s="334"/>
      <c r="CG225" s="334"/>
      <c r="CH225" s="334"/>
      <c r="CI225" s="334"/>
      <c r="CJ225" s="334"/>
      <c r="CK225" s="334"/>
      <c r="CL225" s="334"/>
      <c r="CM225" s="334"/>
      <c r="CN225" s="334"/>
      <c r="CO225" s="334"/>
      <c r="CP225" s="334"/>
      <c r="CQ225" s="334"/>
      <c r="CR225" s="334"/>
      <c r="CS225" s="334"/>
      <c r="CT225" s="334"/>
      <c r="CU225" s="334"/>
      <c r="CV225" s="334"/>
      <c r="CW225" s="334"/>
      <c r="CX225" s="334"/>
      <c r="CY225" s="334"/>
      <c r="CZ225" s="334"/>
      <c r="DA225" s="334"/>
      <c r="DB225" s="334"/>
      <c r="DC225" s="334"/>
      <c r="DD225" s="334"/>
      <c r="DE225" s="334"/>
      <c r="DF225" s="334"/>
      <c r="DG225" s="334"/>
      <c r="DH225" s="334"/>
      <c r="DI225" s="334"/>
      <c r="DJ225" s="334"/>
      <c r="DK225" s="334"/>
      <c r="DL225" s="334"/>
      <c r="DM225" s="334"/>
      <c r="DN225" s="334"/>
      <c r="DO225" s="334"/>
      <c r="DP225" s="334"/>
      <c r="DQ225" s="334"/>
      <c r="DR225" s="334"/>
      <c r="DS225" s="334"/>
      <c r="DT225" s="334"/>
      <c r="DU225" s="334"/>
      <c r="DV225" s="334"/>
      <c r="DW225" s="334"/>
      <c r="DX225" s="334"/>
      <c r="DY225" s="334"/>
      <c r="DZ225" s="334"/>
      <c r="EA225" s="334"/>
      <c r="EB225" s="334"/>
      <c r="EC225" s="334"/>
      <c r="ED225" s="334"/>
      <c r="EE225" s="334"/>
      <c r="EF225" s="334"/>
      <c r="EG225" s="334"/>
      <c r="EH225" s="334"/>
      <c r="EI225" s="334"/>
      <c r="EJ225" s="334"/>
      <c r="EK225" s="334"/>
      <c r="EL225" s="334"/>
      <c r="EM225" s="334"/>
      <c r="EN225" s="334"/>
      <c r="EO225" s="334"/>
      <c r="EP225" s="334"/>
      <c r="EQ225" s="334"/>
      <c r="ER225" s="334"/>
      <c r="ES225" s="334"/>
      <c r="ET225" s="334"/>
      <c r="EU225" s="334"/>
      <c r="EV225" s="334"/>
      <c r="EW225" s="334"/>
      <c r="EX225" s="334"/>
      <c r="EY225" s="334"/>
      <c r="EZ225" s="334"/>
      <c r="FA225" s="334"/>
      <c r="FB225" s="334"/>
      <c r="FC225" s="334"/>
      <c r="FD225" s="334"/>
      <c r="FE225" s="334"/>
      <c r="FF225" s="334"/>
      <c r="FG225" s="334"/>
      <c r="FH225" s="334"/>
      <c r="FI225" s="334"/>
      <c r="FJ225" s="334"/>
      <c r="FK225" s="334"/>
      <c r="FL225" s="334"/>
      <c r="FM225" s="334"/>
      <c r="FN225" s="334"/>
      <c r="FO225" s="334"/>
      <c r="FP225" s="334"/>
      <c r="FQ225" s="334"/>
      <c r="FR225" s="334"/>
      <c r="FS225" s="334"/>
      <c r="FT225" s="334"/>
      <c r="FU225" s="334"/>
      <c r="FV225" s="334"/>
      <c r="FW225" s="334"/>
      <c r="FX225" s="334"/>
      <c r="FY225" s="334"/>
      <c r="FZ225" s="334"/>
      <c r="GA225" s="334"/>
      <c r="GB225" s="334"/>
      <c r="GC225" s="334"/>
      <c r="GD225" s="334"/>
      <c r="GE225" s="334"/>
      <c r="GF225" s="334"/>
      <c r="GG225" s="334"/>
      <c r="GH225" s="334"/>
      <c r="GI225" s="334"/>
      <c r="GJ225" s="334"/>
      <c r="GK225" s="334"/>
      <c r="GL225" s="334"/>
      <c r="GM225" s="334"/>
      <c r="GN225" s="334"/>
      <c r="GO225" s="334"/>
      <c r="GP225" s="334"/>
      <c r="GQ225" s="334"/>
      <c r="GR225" s="334"/>
      <c r="GS225" s="334"/>
      <c r="GT225" s="334"/>
      <c r="GU225" s="334"/>
      <c r="GV225" s="334"/>
      <c r="GW225" s="334"/>
      <c r="GX225" s="334"/>
      <c r="GY225" s="334"/>
      <c r="GZ225" s="334"/>
      <c r="HA225" s="334"/>
      <c r="HB225" s="334"/>
      <c r="HC225" s="334"/>
      <c r="HD225" s="334"/>
      <c r="HE225" s="334"/>
      <c r="HF225" s="334"/>
      <c r="HG225" s="334"/>
      <c r="HH225" s="334"/>
      <c r="HI225" s="334"/>
      <c r="HJ225" s="334"/>
      <c r="HK225" s="334"/>
      <c r="HL225" s="334"/>
      <c r="HM225" s="334"/>
      <c r="HN225" s="334"/>
      <c r="HO225" s="334"/>
      <c r="HP225" s="334"/>
      <c r="HQ225" s="334"/>
      <c r="HR225" s="334"/>
      <c r="HS225" s="334"/>
      <c r="HT225" s="334"/>
      <c r="HU225" s="334"/>
      <c r="HV225" s="334"/>
      <c r="HW225" s="334"/>
      <c r="HX225" s="334"/>
      <c r="HY225" s="334"/>
      <c r="HZ225" s="334"/>
      <c r="IA225" s="334"/>
      <c r="IB225" s="334"/>
      <c r="IC225" s="334"/>
      <c r="ID225" s="334"/>
      <c r="IE225" s="334"/>
      <c r="IF225" s="334"/>
      <c r="IG225" s="334"/>
      <c r="IH225" s="334"/>
      <c r="II225" s="334"/>
      <c r="IJ225" s="334"/>
      <c r="IK225" s="334"/>
      <c r="IL225" s="334"/>
      <c r="IM225" s="334"/>
      <c r="IN225" s="334"/>
      <c r="IO225" s="334"/>
      <c r="IP225" s="334"/>
      <c r="IQ225" s="334"/>
      <c r="IR225" s="334"/>
    </row>
    <row r="226" spans="1:252" x14ac:dyDescent="0.25">
      <c r="A226" s="364">
        <v>43871</v>
      </c>
      <c r="B226" s="345">
        <v>85.33</v>
      </c>
      <c r="C226" s="345">
        <v>28.39</v>
      </c>
      <c r="D226" s="345">
        <v>148.16999999999999</v>
      </c>
      <c r="E226" s="345">
        <v>82.61</v>
      </c>
      <c r="F226" s="345">
        <v>231.97</v>
      </c>
      <c r="G226" s="345">
        <v>16.61</v>
      </c>
      <c r="H226" s="345">
        <v>26.7</v>
      </c>
      <c r="I226" s="345">
        <v>88.72</v>
      </c>
      <c r="J226" s="345">
        <v>96.64</v>
      </c>
      <c r="K226" s="345">
        <v>307.52</v>
      </c>
      <c r="L226" s="345">
        <v>169.95</v>
      </c>
      <c r="M226" s="345">
        <v>101.04</v>
      </c>
      <c r="N226" s="345">
        <v>36.96</v>
      </c>
      <c r="O226" s="345">
        <v>13.2</v>
      </c>
      <c r="P226" s="345">
        <v>27.65</v>
      </c>
      <c r="Q226" s="345">
        <v>37.33</v>
      </c>
      <c r="R226" s="345">
        <v>35.76</v>
      </c>
      <c r="S226" s="345">
        <v>29.58</v>
      </c>
      <c r="T226" s="345">
        <v>26.55</v>
      </c>
      <c r="U226" s="345">
        <v>74.06</v>
      </c>
    </row>
    <row r="227" spans="1:252" x14ac:dyDescent="0.25">
      <c r="A227" s="385">
        <v>43872</v>
      </c>
      <c r="B227" s="345">
        <v>85.19</v>
      </c>
      <c r="C227" s="345">
        <v>28.43</v>
      </c>
      <c r="D227" s="345">
        <v>147.66</v>
      </c>
      <c r="E227" s="345">
        <v>83.29</v>
      </c>
      <c r="F227" s="345">
        <v>232.01</v>
      </c>
      <c r="G227" s="345">
        <v>16.48</v>
      </c>
      <c r="H227" s="345">
        <v>26.67</v>
      </c>
      <c r="I227" s="345">
        <v>88.28</v>
      </c>
      <c r="J227" s="345">
        <v>97.37</v>
      </c>
      <c r="K227" s="345">
        <v>308.08</v>
      </c>
      <c r="L227" s="345">
        <v>170.42</v>
      </c>
      <c r="M227" s="345">
        <v>100.7</v>
      </c>
      <c r="N227" s="345">
        <v>37.03</v>
      </c>
      <c r="O227" s="345">
        <v>13.17</v>
      </c>
      <c r="P227" s="345">
        <v>27.69</v>
      </c>
      <c r="Q227" s="345">
        <v>37.24</v>
      </c>
      <c r="R227" s="345">
        <v>35.85</v>
      </c>
      <c r="S227" s="345">
        <v>29.52</v>
      </c>
      <c r="T227" s="345">
        <v>26.46</v>
      </c>
      <c r="U227" s="345">
        <v>74.229799999999997</v>
      </c>
    </row>
    <row r="228" spans="1:252" x14ac:dyDescent="0.25">
      <c r="A228" s="364">
        <v>43873</v>
      </c>
      <c r="B228" s="345">
        <v>85.09</v>
      </c>
      <c r="C228" s="345">
        <v>28.12</v>
      </c>
      <c r="D228" s="345">
        <v>147.54</v>
      </c>
      <c r="E228" s="345">
        <v>83.85</v>
      </c>
      <c r="F228" s="345">
        <v>234.27</v>
      </c>
      <c r="G228" s="345">
        <v>16.329999999999998</v>
      </c>
      <c r="H228" s="345">
        <v>26.74</v>
      </c>
      <c r="I228" s="345">
        <v>87.86</v>
      </c>
      <c r="J228" s="345">
        <v>97.95</v>
      </c>
      <c r="K228" s="345">
        <v>310.06</v>
      </c>
      <c r="L228" s="345">
        <v>171.49</v>
      </c>
      <c r="M228" s="345">
        <v>101.79</v>
      </c>
      <c r="N228" s="345">
        <v>37.28</v>
      </c>
      <c r="O228" s="345">
        <v>13.14</v>
      </c>
      <c r="P228" s="345">
        <v>27.76</v>
      </c>
      <c r="Q228" s="345">
        <v>37.4</v>
      </c>
      <c r="R228" s="345">
        <v>35.96</v>
      </c>
      <c r="S228" s="345">
        <v>29.28</v>
      </c>
      <c r="T228" s="345">
        <v>26.37</v>
      </c>
      <c r="U228" s="345">
        <v>74.437799999999996</v>
      </c>
    </row>
    <row r="229" spans="1:252" x14ac:dyDescent="0.25">
      <c r="A229" s="385">
        <v>43874</v>
      </c>
      <c r="B229" s="345">
        <v>85.17</v>
      </c>
      <c r="C229" s="345">
        <v>28.32</v>
      </c>
      <c r="D229" s="345">
        <v>148.38</v>
      </c>
      <c r="E229" s="345">
        <v>84.13</v>
      </c>
      <c r="F229" s="345">
        <v>233.97</v>
      </c>
      <c r="G229" s="345">
        <v>16.46</v>
      </c>
      <c r="H229" s="345">
        <v>26.77</v>
      </c>
      <c r="I229" s="345">
        <v>88.16</v>
      </c>
      <c r="J229" s="345">
        <v>98.54</v>
      </c>
      <c r="K229" s="345">
        <v>309.76</v>
      </c>
      <c r="L229" s="345">
        <v>171.42</v>
      </c>
      <c r="M229" s="345">
        <v>101.52</v>
      </c>
      <c r="N229" s="345">
        <v>37.22</v>
      </c>
      <c r="O229" s="345">
        <v>13.19</v>
      </c>
      <c r="P229" s="345">
        <v>27.7</v>
      </c>
      <c r="Q229" s="345">
        <v>37.549999999999997</v>
      </c>
      <c r="R229" s="345">
        <v>35.92</v>
      </c>
      <c r="S229" s="345">
        <v>29.6</v>
      </c>
      <c r="T229" s="345">
        <v>26.38</v>
      </c>
      <c r="U229" s="345">
        <v>74.41</v>
      </c>
    </row>
    <row r="230" spans="1:252" x14ac:dyDescent="0.25">
      <c r="A230" s="364">
        <v>43875</v>
      </c>
      <c r="B230" s="345">
        <v>85.26</v>
      </c>
      <c r="C230" s="345">
        <v>28.31</v>
      </c>
      <c r="D230" s="345">
        <v>149</v>
      </c>
      <c r="E230" s="345">
        <v>83.68</v>
      </c>
      <c r="F230" s="345">
        <v>234.64</v>
      </c>
      <c r="G230" s="345">
        <v>16.559999999999999</v>
      </c>
      <c r="H230" s="345">
        <v>26.76</v>
      </c>
      <c r="I230" s="345">
        <v>88.53</v>
      </c>
      <c r="J230" s="345">
        <v>99.56</v>
      </c>
      <c r="K230" s="345">
        <v>310.27999999999997</v>
      </c>
      <c r="L230" s="345">
        <v>171.7</v>
      </c>
      <c r="M230" s="345">
        <v>101.96</v>
      </c>
      <c r="N230" s="345">
        <v>37.299999999999997</v>
      </c>
      <c r="O230" s="345">
        <v>13.27</v>
      </c>
      <c r="P230" s="345">
        <v>27.71</v>
      </c>
      <c r="Q230" s="345">
        <v>37.79</v>
      </c>
      <c r="R230" s="345">
        <v>36</v>
      </c>
      <c r="S230" s="345">
        <v>29.39</v>
      </c>
      <c r="T230" s="345">
        <v>26.46</v>
      </c>
      <c r="U230" s="345">
        <v>74.489999999999995</v>
      </c>
    </row>
    <row r="231" spans="1:252" s="368" customFormat="1" x14ac:dyDescent="0.25">
      <c r="A231" s="366">
        <v>43876</v>
      </c>
      <c r="B231" s="345">
        <v>85.26</v>
      </c>
      <c r="C231" s="345">
        <v>28.31</v>
      </c>
      <c r="D231" s="345">
        <v>149</v>
      </c>
      <c r="E231" s="345">
        <v>83.68</v>
      </c>
      <c r="F231" s="345">
        <v>234.64</v>
      </c>
      <c r="G231" s="345">
        <v>16.559999999999999</v>
      </c>
      <c r="H231" s="345">
        <v>26.76</v>
      </c>
      <c r="I231" s="345">
        <v>88.53</v>
      </c>
      <c r="J231" s="345">
        <v>99.56</v>
      </c>
      <c r="K231" s="345">
        <v>310.27999999999997</v>
      </c>
      <c r="L231" s="345">
        <v>171.7</v>
      </c>
      <c r="M231" s="345">
        <v>101.96</v>
      </c>
      <c r="N231" s="345">
        <v>37.299999999999997</v>
      </c>
      <c r="O231" s="345">
        <v>13.27</v>
      </c>
      <c r="P231" s="345">
        <v>27.71</v>
      </c>
      <c r="Q231" s="345">
        <v>37.79</v>
      </c>
      <c r="R231" s="345">
        <v>36</v>
      </c>
      <c r="S231" s="345">
        <v>29.39</v>
      </c>
      <c r="T231" s="345">
        <v>26.46</v>
      </c>
      <c r="U231" s="345">
        <v>74.489999999999995</v>
      </c>
      <c r="V231" s="334"/>
      <c r="W231" s="334"/>
      <c r="X231" s="334"/>
      <c r="Y231" s="334"/>
      <c r="Z231" s="334"/>
      <c r="AA231" s="334"/>
      <c r="AB231" s="334"/>
      <c r="AC231" s="334"/>
      <c r="AD231" s="334"/>
      <c r="AE231" s="334"/>
      <c r="AF231" s="334"/>
      <c r="AG231" s="334"/>
      <c r="AH231" s="334"/>
      <c r="AI231" s="334"/>
      <c r="AJ231" s="334"/>
      <c r="AK231" s="334"/>
      <c r="AL231" s="334"/>
      <c r="AM231" s="334"/>
      <c r="AN231" s="334"/>
      <c r="AO231" s="334"/>
      <c r="AP231" s="334"/>
      <c r="AQ231" s="334"/>
      <c r="AR231" s="334"/>
      <c r="AS231" s="334"/>
      <c r="AT231" s="334"/>
      <c r="AU231" s="334"/>
      <c r="AV231" s="334"/>
      <c r="AW231" s="334"/>
      <c r="AX231" s="334"/>
      <c r="AY231" s="334"/>
      <c r="AZ231" s="334"/>
      <c r="BA231" s="334"/>
      <c r="BB231" s="334"/>
      <c r="BC231" s="334"/>
      <c r="BD231" s="334"/>
      <c r="BE231" s="334"/>
      <c r="BF231" s="334"/>
      <c r="BG231" s="334"/>
      <c r="BH231" s="334"/>
      <c r="BI231" s="334"/>
      <c r="BJ231" s="334"/>
      <c r="BK231" s="334"/>
      <c r="BL231" s="334"/>
      <c r="BM231" s="334"/>
      <c r="BN231" s="334"/>
      <c r="BO231" s="334"/>
      <c r="BP231" s="334"/>
      <c r="BQ231" s="334"/>
      <c r="BR231" s="334"/>
      <c r="BS231" s="334"/>
      <c r="BT231" s="334"/>
      <c r="BU231" s="334"/>
      <c r="BV231" s="334"/>
      <c r="BW231" s="334"/>
      <c r="BX231" s="334"/>
      <c r="BY231" s="334"/>
      <c r="BZ231" s="334"/>
      <c r="CA231" s="334"/>
      <c r="CB231" s="334"/>
      <c r="CC231" s="334"/>
      <c r="CD231" s="334"/>
      <c r="CE231" s="334"/>
      <c r="CF231" s="334"/>
      <c r="CG231" s="334"/>
      <c r="CH231" s="334"/>
      <c r="CI231" s="334"/>
      <c r="CJ231" s="334"/>
      <c r="CK231" s="334"/>
      <c r="CL231" s="334"/>
      <c r="CM231" s="334"/>
      <c r="CN231" s="334"/>
      <c r="CO231" s="334"/>
      <c r="CP231" s="334"/>
      <c r="CQ231" s="334"/>
      <c r="CR231" s="334"/>
      <c r="CS231" s="334"/>
      <c r="CT231" s="334"/>
      <c r="CU231" s="334"/>
      <c r="CV231" s="334"/>
      <c r="CW231" s="334"/>
      <c r="CX231" s="334"/>
      <c r="CY231" s="334"/>
      <c r="CZ231" s="334"/>
      <c r="DA231" s="334"/>
      <c r="DB231" s="334"/>
      <c r="DC231" s="334"/>
      <c r="DD231" s="334"/>
      <c r="DE231" s="334"/>
      <c r="DF231" s="334"/>
      <c r="DG231" s="334"/>
      <c r="DH231" s="334"/>
      <c r="DI231" s="334"/>
      <c r="DJ231" s="334"/>
      <c r="DK231" s="334"/>
      <c r="DL231" s="334"/>
      <c r="DM231" s="334"/>
      <c r="DN231" s="334"/>
      <c r="DO231" s="334"/>
      <c r="DP231" s="334"/>
      <c r="DQ231" s="334"/>
      <c r="DR231" s="334"/>
      <c r="DS231" s="334"/>
      <c r="DT231" s="334"/>
      <c r="DU231" s="334"/>
      <c r="DV231" s="334"/>
      <c r="DW231" s="334"/>
      <c r="DX231" s="334"/>
      <c r="DY231" s="334"/>
      <c r="DZ231" s="334"/>
      <c r="EA231" s="334"/>
      <c r="EB231" s="334"/>
      <c r="EC231" s="334"/>
      <c r="ED231" s="334"/>
      <c r="EE231" s="334"/>
      <c r="EF231" s="334"/>
      <c r="EG231" s="334"/>
      <c r="EH231" s="334"/>
      <c r="EI231" s="334"/>
      <c r="EJ231" s="334"/>
      <c r="EK231" s="334"/>
      <c r="EL231" s="334"/>
      <c r="EM231" s="334"/>
      <c r="EN231" s="334"/>
      <c r="EO231" s="334"/>
      <c r="EP231" s="334"/>
      <c r="EQ231" s="334"/>
      <c r="ER231" s="334"/>
      <c r="ES231" s="334"/>
      <c r="ET231" s="334"/>
      <c r="EU231" s="334"/>
      <c r="EV231" s="334"/>
      <c r="EW231" s="334"/>
      <c r="EX231" s="334"/>
      <c r="EY231" s="334"/>
      <c r="EZ231" s="334"/>
      <c r="FA231" s="334"/>
      <c r="FB231" s="334"/>
      <c r="FC231" s="334"/>
      <c r="FD231" s="334"/>
      <c r="FE231" s="334"/>
      <c r="FF231" s="334"/>
      <c r="FG231" s="334"/>
      <c r="FH231" s="334"/>
      <c r="FI231" s="334"/>
      <c r="FJ231" s="334"/>
      <c r="FK231" s="334"/>
      <c r="FL231" s="334"/>
      <c r="FM231" s="334"/>
      <c r="FN231" s="334"/>
      <c r="FO231" s="334"/>
      <c r="FP231" s="334"/>
      <c r="FQ231" s="334"/>
      <c r="FR231" s="334"/>
      <c r="FS231" s="334"/>
      <c r="FT231" s="334"/>
      <c r="FU231" s="334"/>
      <c r="FV231" s="334"/>
      <c r="FW231" s="334"/>
      <c r="FX231" s="334"/>
      <c r="FY231" s="334"/>
      <c r="FZ231" s="334"/>
      <c r="GA231" s="334"/>
      <c r="GB231" s="334"/>
      <c r="GC231" s="334"/>
      <c r="GD231" s="334"/>
      <c r="GE231" s="334"/>
      <c r="GF231" s="334"/>
      <c r="GG231" s="334"/>
      <c r="GH231" s="334"/>
      <c r="GI231" s="334"/>
      <c r="GJ231" s="334"/>
      <c r="GK231" s="334"/>
      <c r="GL231" s="334"/>
      <c r="GM231" s="334"/>
      <c r="GN231" s="334"/>
      <c r="GO231" s="334"/>
      <c r="GP231" s="334"/>
      <c r="GQ231" s="334"/>
      <c r="GR231" s="334"/>
      <c r="GS231" s="334"/>
      <c r="GT231" s="334"/>
      <c r="GU231" s="334"/>
      <c r="GV231" s="334"/>
      <c r="GW231" s="334"/>
      <c r="GX231" s="334"/>
      <c r="GY231" s="334"/>
      <c r="GZ231" s="334"/>
      <c r="HA231" s="334"/>
      <c r="HB231" s="334"/>
      <c r="HC231" s="334"/>
      <c r="HD231" s="334"/>
      <c r="HE231" s="334"/>
      <c r="HF231" s="334"/>
      <c r="HG231" s="334"/>
      <c r="HH231" s="334"/>
      <c r="HI231" s="334"/>
      <c r="HJ231" s="334"/>
      <c r="HK231" s="334"/>
      <c r="HL231" s="334"/>
      <c r="HM231" s="334"/>
      <c r="HN231" s="334"/>
      <c r="HO231" s="334"/>
      <c r="HP231" s="334"/>
      <c r="HQ231" s="334"/>
      <c r="HR231" s="334"/>
      <c r="HS231" s="334"/>
      <c r="HT231" s="334"/>
      <c r="HU231" s="334"/>
      <c r="HV231" s="334"/>
      <c r="HW231" s="334"/>
      <c r="HX231" s="334"/>
      <c r="HY231" s="334"/>
      <c r="HZ231" s="334"/>
      <c r="IA231" s="334"/>
      <c r="IB231" s="334"/>
      <c r="IC231" s="334"/>
      <c r="ID231" s="334"/>
      <c r="IE231" s="334"/>
      <c r="IF231" s="334"/>
      <c r="IG231" s="334"/>
      <c r="IH231" s="334"/>
      <c r="II231" s="334"/>
      <c r="IJ231" s="334"/>
      <c r="IK231" s="334"/>
      <c r="IL231" s="334"/>
      <c r="IM231" s="334"/>
      <c r="IN231" s="334"/>
      <c r="IO231" s="334"/>
      <c r="IP231" s="334"/>
      <c r="IQ231" s="334"/>
      <c r="IR231" s="334"/>
    </row>
    <row r="232" spans="1:252" s="368" customFormat="1" x14ac:dyDescent="0.25">
      <c r="A232" s="366">
        <v>43877</v>
      </c>
      <c r="B232" s="345">
        <v>85.26</v>
      </c>
      <c r="C232" s="345">
        <v>28.31</v>
      </c>
      <c r="D232" s="345">
        <v>149</v>
      </c>
      <c r="E232" s="345">
        <v>83.68</v>
      </c>
      <c r="F232" s="345">
        <v>234.64</v>
      </c>
      <c r="G232" s="345">
        <v>16.559999999999999</v>
      </c>
      <c r="H232" s="345">
        <v>26.76</v>
      </c>
      <c r="I232" s="345">
        <v>88.53</v>
      </c>
      <c r="J232" s="345">
        <v>99.56</v>
      </c>
      <c r="K232" s="345">
        <v>310.27999999999997</v>
      </c>
      <c r="L232" s="345">
        <v>171.7</v>
      </c>
      <c r="M232" s="345">
        <v>101.96</v>
      </c>
      <c r="N232" s="345">
        <v>37.299999999999997</v>
      </c>
      <c r="O232" s="345">
        <v>13.27</v>
      </c>
      <c r="P232" s="345">
        <v>27.71</v>
      </c>
      <c r="Q232" s="345">
        <v>37.79</v>
      </c>
      <c r="R232" s="345">
        <v>36</v>
      </c>
      <c r="S232" s="345">
        <v>29.39</v>
      </c>
      <c r="T232" s="345">
        <v>26.46</v>
      </c>
      <c r="U232" s="345">
        <v>74.489999999999995</v>
      </c>
      <c r="V232" s="334"/>
      <c r="W232" s="334"/>
      <c r="X232" s="334"/>
      <c r="Y232" s="334"/>
      <c r="Z232" s="334"/>
      <c r="AA232" s="334"/>
      <c r="AB232" s="334"/>
      <c r="AC232" s="334"/>
      <c r="AD232" s="334"/>
      <c r="AE232" s="334"/>
      <c r="AF232" s="334"/>
      <c r="AG232" s="334"/>
      <c r="AH232" s="334"/>
      <c r="AI232" s="334"/>
      <c r="AJ232" s="334"/>
      <c r="AK232" s="334"/>
      <c r="AL232" s="334"/>
      <c r="AM232" s="334"/>
      <c r="AN232" s="334"/>
      <c r="AO232" s="334"/>
      <c r="AP232" s="334"/>
      <c r="AQ232" s="334"/>
      <c r="AR232" s="334"/>
      <c r="AS232" s="334"/>
      <c r="AT232" s="334"/>
      <c r="AU232" s="334"/>
      <c r="AV232" s="334"/>
      <c r="AW232" s="334"/>
      <c r="AX232" s="334"/>
      <c r="AY232" s="334"/>
      <c r="AZ232" s="334"/>
      <c r="BA232" s="334"/>
      <c r="BB232" s="334"/>
      <c r="BC232" s="334"/>
      <c r="BD232" s="334"/>
      <c r="BE232" s="334"/>
      <c r="BF232" s="334"/>
      <c r="BG232" s="334"/>
      <c r="BH232" s="334"/>
      <c r="BI232" s="334"/>
      <c r="BJ232" s="334"/>
      <c r="BK232" s="334"/>
      <c r="BL232" s="334"/>
      <c r="BM232" s="334"/>
      <c r="BN232" s="334"/>
      <c r="BO232" s="334"/>
      <c r="BP232" s="334"/>
      <c r="BQ232" s="334"/>
      <c r="BR232" s="334"/>
      <c r="BS232" s="334"/>
      <c r="BT232" s="334"/>
      <c r="BU232" s="334"/>
      <c r="BV232" s="334"/>
      <c r="BW232" s="334"/>
      <c r="BX232" s="334"/>
      <c r="BY232" s="334"/>
      <c r="BZ232" s="334"/>
      <c r="CA232" s="334"/>
      <c r="CB232" s="334"/>
      <c r="CC232" s="334"/>
      <c r="CD232" s="334"/>
      <c r="CE232" s="334"/>
      <c r="CF232" s="334"/>
      <c r="CG232" s="334"/>
      <c r="CH232" s="334"/>
      <c r="CI232" s="334"/>
      <c r="CJ232" s="334"/>
      <c r="CK232" s="334"/>
      <c r="CL232" s="334"/>
      <c r="CM232" s="334"/>
      <c r="CN232" s="334"/>
      <c r="CO232" s="334"/>
      <c r="CP232" s="334"/>
      <c r="CQ232" s="334"/>
      <c r="CR232" s="334"/>
      <c r="CS232" s="334"/>
      <c r="CT232" s="334"/>
      <c r="CU232" s="334"/>
      <c r="CV232" s="334"/>
      <c r="CW232" s="334"/>
      <c r="CX232" s="334"/>
      <c r="CY232" s="334"/>
      <c r="CZ232" s="334"/>
      <c r="DA232" s="334"/>
      <c r="DB232" s="334"/>
      <c r="DC232" s="334"/>
      <c r="DD232" s="334"/>
      <c r="DE232" s="334"/>
      <c r="DF232" s="334"/>
      <c r="DG232" s="334"/>
      <c r="DH232" s="334"/>
      <c r="DI232" s="334"/>
      <c r="DJ232" s="334"/>
      <c r="DK232" s="334"/>
      <c r="DL232" s="334"/>
      <c r="DM232" s="334"/>
      <c r="DN232" s="334"/>
      <c r="DO232" s="334"/>
      <c r="DP232" s="334"/>
      <c r="DQ232" s="334"/>
      <c r="DR232" s="334"/>
      <c r="DS232" s="334"/>
      <c r="DT232" s="334"/>
      <c r="DU232" s="334"/>
      <c r="DV232" s="334"/>
      <c r="DW232" s="334"/>
      <c r="DX232" s="334"/>
      <c r="DY232" s="334"/>
      <c r="DZ232" s="334"/>
      <c r="EA232" s="334"/>
      <c r="EB232" s="334"/>
      <c r="EC232" s="334"/>
      <c r="ED232" s="334"/>
      <c r="EE232" s="334"/>
      <c r="EF232" s="334"/>
      <c r="EG232" s="334"/>
      <c r="EH232" s="334"/>
      <c r="EI232" s="334"/>
      <c r="EJ232" s="334"/>
      <c r="EK232" s="334"/>
      <c r="EL232" s="334"/>
      <c r="EM232" s="334"/>
      <c r="EN232" s="334"/>
      <c r="EO232" s="334"/>
      <c r="EP232" s="334"/>
      <c r="EQ232" s="334"/>
      <c r="ER232" s="334"/>
      <c r="ES232" s="334"/>
      <c r="ET232" s="334"/>
      <c r="EU232" s="334"/>
      <c r="EV232" s="334"/>
      <c r="EW232" s="334"/>
      <c r="EX232" s="334"/>
      <c r="EY232" s="334"/>
      <c r="EZ232" s="334"/>
      <c r="FA232" s="334"/>
      <c r="FB232" s="334"/>
      <c r="FC232" s="334"/>
      <c r="FD232" s="334"/>
      <c r="FE232" s="334"/>
      <c r="FF232" s="334"/>
      <c r="FG232" s="334"/>
      <c r="FH232" s="334"/>
      <c r="FI232" s="334"/>
      <c r="FJ232" s="334"/>
      <c r="FK232" s="334"/>
      <c r="FL232" s="334"/>
      <c r="FM232" s="334"/>
      <c r="FN232" s="334"/>
      <c r="FO232" s="334"/>
      <c r="FP232" s="334"/>
      <c r="FQ232" s="334"/>
      <c r="FR232" s="334"/>
      <c r="FS232" s="334"/>
      <c r="FT232" s="334"/>
      <c r="FU232" s="334"/>
      <c r="FV232" s="334"/>
      <c r="FW232" s="334"/>
      <c r="FX232" s="334"/>
      <c r="FY232" s="334"/>
      <c r="FZ232" s="334"/>
      <c r="GA232" s="334"/>
      <c r="GB232" s="334"/>
      <c r="GC232" s="334"/>
      <c r="GD232" s="334"/>
      <c r="GE232" s="334"/>
      <c r="GF232" s="334"/>
      <c r="GG232" s="334"/>
      <c r="GH232" s="334"/>
      <c r="GI232" s="334"/>
      <c r="GJ232" s="334"/>
      <c r="GK232" s="334"/>
      <c r="GL232" s="334"/>
      <c r="GM232" s="334"/>
      <c r="GN232" s="334"/>
      <c r="GO232" s="334"/>
      <c r="GP232" s="334"/>
      <c r="GQ232" s="334"/>
      <c r="GR232" s="334"/>
      <c r="GS232" s="334"/>
      <c r="GT232" s="334"/>
      <c r="GU232" s="334"/>
      <c r="GV232" s="334"/>
      <c r="GW232" s="334"/>
      <c r="GX232" s="334"/>
      <c r="GY232" s="334"/>
      <c r="GZ232" s="334"/>
      <c r="HA232" s="334"/>
      <c r="HB232" s="334"/>
      <c r="HC232" s="334"/>
      <c r="HD232" s="334"/>
      <c r="HE232" s="334"/>
      <c r="HF232" s="334"/>
      <c r="HG232" s="334"/>
      <c r="HH232" s="334"/>
      <c r="HI232" s="334"/>
      <c r="HJ232" s="334"/>
      <c r="HK232" s="334"/>
      <c r="HL232" s="334"/>
      <c r="HM232" s="334"/>
      <c r="HN232" s="334"/>
      <c r="HO232" s="334"/>
      <c r="HP232" s="334"/>
      <c r="HQ232" s="334"/>
      <c r="HR232" s="334"/>
      <c r="HS232" s="334"/>
      <c r="HT232" s="334"/>
      <c r="HU232" s="334"/>
      <c r="HV232" s="334"/>
      <c r="HW232" s="334"/>
      <c r="HX232" s="334"/>
      <c r="HY232" s="334"/>
      <c r="HZ232" s="334"/>
      <c r="IA232" s="334"/>
      <c r="IB232" s="334"/>
      <c r="IC232" s="334"/>
      <c r="ID232" s="334"/>
      <c r="IE232" s="334"/>
      <c r="IF232" s="334"/>
      <c r="IG232" s="334"/>
      <c r="IH232" s="334"/>
      <c r="II232" s="334"/>
      <c r="IJ232" s="334"/>
      <c r="IK232" s="334"/>
      <c r="IL232" s="334"/>
      <c r="IM232" s="334"/>
      <c r="IN232" s="334"/>
      <c r="IO232" s="334"/>
      <c r="IP232" s="334"/>
      <c r="IQ232" s="334"/>
      <c r="IR232" s="334"/>
    </row>
    <row r="233" spans="1:252" x14ac:dyDescent="0.25">
      <c r="A233" s="385">
        <v>43878</v>
      </c>
      <c r="B233" s="345">
        <v>85.26</v>
      </c>
      <c r="C233" s="345">
        <v>28.31</v>
      </c>
      <c r="D233" s="345">
        <v>149</v>
      </c>
      <c r="E233" s="345">
        <v>83.68</v>
      </c>
      <c r="F233" s="345">
        <v>234.64</v>
      </c>
      <c r="G233" s="345">
        <v>16.559999999999999</v>
      </c>
      <c r="H233" s="345">
        <v>26.76</v>
      </c>
      <c r="I233" s="345">
        <v>88.53</v>
      </c>
      <c r="J233" s="345">
        <v>99.56</v>
      </c>
      <c r="K233" s="345">
        <v>310.27999999999997</v>
      </c>
      <c r="L233" s="345">
        <v>171.7</v>
      </c>
      <c r="M233" s="345">
        <v>101.96</v>
      </c>
      <c r="N233" s="345">
        <v>37.299999999999997</v>
      </c>
      <c r="O233" s="345">
        <v>13.27</v>
      </c>
      <c r="P233" s="345">
        <v>27.71</v>
      </c>
      <c r="Q233" s="345">
        <v>37.79</v>
      </c>
      <c r="R233" s="345">
        <v>36</v>
      </c>
      <c r="S233" s="345">
        <v>29.39</v>
      </c>
      <c r="T233" s="345">
        <v>26.46</v>
      </c>
      <c r="U233" s="345">
        <v>74.489999999999995</v>
      </c>
    </row>
    <row r="234" spans="1:252" x14ac:dyDescent="0.25">
      <c r="A234" s="364">
        <v>43879</v>
      </c>
      <c r="B234" s="345">
        <v>85.39</v>
      </c>
      <c r="C234" s="345">
        <v>29.23</v>
      </c>
      <c r="D234" s="345">
        <v>150.91</v>
      </c>
      <c r="E234" s="345">
        <v>83.23</v>
      </c>
      <c r="F234" s="345">
        <v>234.73</v>
      </c>
      <c r="G234" s="345">
        <v>17.010000000000002</v>
      </c>
      <c r="H234" s="345">
        <v>26.86</v>
      </c>
      <c r="I234" s="345">
        <v>89.07</v>
      </c>
      <c r="J234" s="345">
        <v>99.45</v>
      </c>
      <c r="K234" s="345">
        <v>309.43</v>
      </c>
      <c r="L234" s="345">
        <v>171.3</v>
      </c>
      <c r="M234" s="345">
        <v>101.58</v>
      </c>
      <c r="N234" s="345">
        <v>37.200000000000003</v>
      </c>
      <c r="O234" s="345">
        <v>13.45</v>
      </c>
      <c r="P234" s="345">
        <v>27.68</v>
      </c>
      <c r="Q234" s="345">
        <v>37.99</v>
      </c>
      <c r="R234" s="345">
        <v>36.01</v>
      </c>
      <c r="S234" s="345">
        <v>30.3</v>
      </c>
      <c r="T234" s="345">
        <v>26.54</v>
      </c>
      <c r="U234" s="345">
        <v>74.45</v>
      </c>
    </row>
    <row r="235" spans="1:252" x14ac:dyDescent="0.25">
      <c r="A235" s="385">
        <v>43880</v>
      </c>
      <c r="B235" s="345">
        <v>85.38</v>
      </c>
      <c r="C235" s="345">
        <v>29.75</v>
      </c>
      <c r="D235" s="345">
        <v>151.79</v>
      </c>
      <c r="E235" s="345">
        <v>83.55</v>
      </c>
      <c r="F235" s="345">
        <v>236.98</v>
      </c>
      <c r="G235" s="345">
        <v>17.23</v>
      </c>
      <c r="H235" s="345">
        <v>26.91</v>
      </c>
      <c r="I235" s="345">
        <v>89.12</v>
      </c>
      <c r="J235" s="345">
        <v>98.11</v>
      </c>
      <c r="K235" s="345">
        <v>310.92</v>
      </c>
      <c r="L235" s="345">
        <v>172.17</v>
      </c>
      <c r="M235" s="345">
        <v>102.79</v>
      </c>
      <c r="N235" s="345">
        <v>37.39</v>
      </c>
      <c r="O235" s="345">
        <v>13.51</v>
      </c>
      <c r="P235" s="345">
        <v>27.74</v>
      </c>
      <c r="Q235" s="345">
        <v>37.92</v>
      </c>
      <c r="R235" s="345">
        <v>36.14</v>
      </c>
      <c r="S235" s="345">
        <v>30.73</v>
      </c>
      <c r="T235" s="345">
        <v>26.48</v>
      </c>
      <c r="U235" s="345">
        <v>74.61</v>
      </c>
    </row>
    <row r="236" spans="1:252" x14ac:dyDescent="0.25">
      <c r="A236" s="385">
        <v>43881</v>
      </c>
      <c r="B236" s="345">
        <v>85.59</v>
      </c>
      <c r="C236" s="345">
        <v>29.75</v>
      </c>
      <c r="D236" s="345">
        <v>152.41</v>
      </c>
      <c r="E236" s="345">
        <v>83.99</v>
      </c>
      <c r="F236" s="345">
        <v>234.78</v>
      </c>
      <c r="G236" s="345">
        <v>17.14</v>
      </c>
      <c r="H236" s="345">
        <v>26.99</v>
      </c>
      <c r="I236" s="345">
        <v>89.8</v>
      </c>
      <c r="J236" s="345">
        <v>99.28</v>
      </c>
      <c r="K236" s="345">
        <v>309.7</v>
      </c>
      <c r="L236" s="345">
        <v>171.65</v>
      </c>
      <c r="M236" s="345">
        <v>101.72</v>
      </c>
      <c r="N236" s="345">
        <v>37.229999999999997</v>
      </c>
      <c r="O236" s="345">
        <v>13.59</v>
      </c>
      <c r="P236" s="345">
        <v>27.72</v>
      </c>
      <c r="Q236" s="345">
        <v>38.18</v>
      </c>
      <c r="R236" s="345">
        <v>36.200000000000003</v>
      </c>
      <c r="S236" s="345">
        <v>30.77</v>
      </c>
      <c r="T236" s="345">
        <v>26.58</v>
      </c>
      <c r="U236" s="345">
        <v>74.417699999999996</v>
      </c>
    </row>
    <row r="237" spans="1:252" x14ac:dyDescent="0.25">
      <c r="A237" s="364">
        <v>43882</v>
      </c>
      <c r="B237" s="345">
        <v>85.8</v>
      </c>
      <c r="C237" s="345">
        <v>30.65</v>
      </c>
      <c r="D237" s="345">
        <v>154.69999999999999</v>
      </c>
      <c r="E237" s="345">
        <v>83.02</v>
      </c>
      <c r="F237" s="345">
        <v>230.27</v>
      </c>
      <c r="G237" s="345">
        <v>17.28</v>
      </c>
      <c r="H237" s="345">
        <v>26.83</v>
      </c>
      <c r="I237" s="345">
        <v>90.62</v>
      </c>
      <c r="J237" s="345">
        <v>99.57</v>
      </c>
      <c r="K237" s="345">
        <v>306.49</v>
      </c>
      <c r="L237" s="345">
        <v>169.89</v>
      </c>
      <c r="M237" s="345">
        <v>99.44</v>
      </c>
      <c r="N237" s="345">
        <v>36.835000000000001</v>
      </c>
      <c r="O237" s="345">
        <v>13.76</v>
      </c>
      <c r="P237" s="345">
        <v>27.52</v>
      </c>
      <c r="Q237" s="345">
        <v>37.99</v>
      </c>
      <c r="R237" s="345">
        <v>36</v>
      </c>
      <c r="S237" s="345">
        <v>31.46</v>
      </c>
      <c r="T237" s="345">
        <v>26.66</v>
      </c>
      <c r="U237" s="345">
        <v>74.650000000000006</v>
      </c>
    </row>
    <row r="238" spans="1:252" s="368" customFormat="1" x14ac:dyDescent="0.25">
      <c r="A238" s="366">
        <v>43883</v>
      </c>
      <c r="B238" s="345">
        <v>85.8</v>
      </c>
      <c r="C238" s="345">
        <v>30.65</v>
      </c>
      <c r="D238" s="345">
        <v>154.69999999999999</v>
      </c>
      <c r="E238" s="345">
        <v>83.02</v>
      </c>
      <c r="F238" s="345">
        <v>230.27</v>
      </c>
      <c r="G238" s="345">
        <v>17.28</v>
      </c>
      <c r="H238" s="345">
        <v>26.83</v>
      </c>
      <c r="I238" s="345">
        <v>90.62</v>
      </c>
      <c r="J238" s="345">
        <v>99.57</v>
      </c>
      <c r="K238" s="345">
        <v>306.49</v>
      </c>
      <c r="L238" s="345">
        <v>169.89</v>
      </c>
      <c r="M238" s="345">
        <v>99.44</v>
      </c>
      <c r="N238" s="345">
        <v>36.835000000000001</v>
      </c>
      <c r="O238" s="345">
        <v>13.76</v>
      </c>
      <c r="P238" s="345">
        <v>27.52</v>
      </c>
      <c r="Q238" s="345">
        <v>37.99</v>
      </c>
      <c r="R238" s="345">
        <v>36</v>
      </c>
      <c r="S238" s="345">
        <v>31.46</v>
      </c>
      <c r="T238" s="345">
        <v>26.66</v>
      </c>
      <c r="U238" s="345">
        <v>74.650000000000006</v>
      </c>
      <c r="V238" s="334"/>
      <c r="W238" s="334"/>
      <c r="X238" s="334"/>
      <c r="Y238" s="334"/>
      <c r="Z238" s="334"/>
      <c r="AA238" s="334"/>
      <c r="AB238" s="334"/>
      <c r="AC238" s="334"/>
      <c r="AD238" s="334"/>
      <c r="AE238" s="334"/>
      <c r="AF238" s="334"/>
      <c r="AG238" s="334"/>
      <c r="AH238" s="334"/>
      <c r="AI238" s="334"/>
      <c r="AJ238" s="334"/>
      <c r="AK238" s="334"/>
      <c r="AL238" s="334"/>
      <c r="AM238" s="334"/>
      <c r="AN238" s="334"/>
      <c r="AO238" s="334"/>
      <c r="AP238" s="334"/>
      <c r="AQ238" s="334"/>
      <c r="AR238" s="334"/>
      <c r="AS238" s="334"/>
      <c r="AT238" s="334"/>
      <c r="AU238" s="334"/>
      <c r="AV238" s="334"/>
      <c r="AW238" s="334"/>
      <c r="AX238" s="334"/>
      <c r="AY238" s="334"/>
      <c r="AZ238" s="334"/>
      <c r="BA238" s="334"/>
      <c r="BB238" s="334"/>
      <c r="BC238" s="334"/>
      <c r="BD238" s="334"/>
      <c r="BE238" s="334"/>
      <c r="BF238" s="334"/>
      <c r="BG238" s="334"/>
      <c r="BH238" s="334"/>
      <c r="BI238" s="334"/>
      <c r="BJ238" s="334"/>
      <c r="BK238" s="334"/>
      <c r="BL238" s="334"/>
      <c r="BM238" s="334"/>
      <c r="BN238" s="334"/>
      <c r="BO238" s="334"/>
      <c r="BP238" s="334"/>
      <c r="BQ238" s="334"/>
      <c r="BR238" s="334"/>
      <c r="BS238" s="334"/>
      <c r="BT238" s="334"/>
      <c r="BU238" s="334"/>
      <c r="BV238" s="334"/>
      <c r="BW238" s="334"/>
      <c r="BX238" s="334"/>
      <c r="BY238" s="334"/>
      <c r="BZ238" s="334"/>
      <c r="CA238" s="334"/>
      <c r="CB238" s="334"/>
      <c r="CC238" s="334"/>
      <c r="CD238" s="334"/>
      <c r="CE238" s="334"/>
      <c r="CF238" s="334"/>
      <c r="CG238" s="334"/>
      <c r="CH238" s="334"/>
      <c r="CI238" s="334"/>
      <c r="CJ238" s="334"/>
      <c r="CK238" s="334"/>
      <c r="CL238" s="334"/>
      <c r="CM238" s="334"/>
      <c r="CN238" s="334"/>
      <c r="CO238" s="334"/>
      <c r="CP238" s="334"/>
      <c r="CQ238" s="334"/>
      <c r="CR238" s="334"/>
      <c r="CS238" s="334"/>
      <c r="CT238" s="334"/>
      <c r="CU238" s="334"/>
      <c r="CV238" s="334"/>
      <c r="CW238" s="334"/>
      <c r="CX238" s="334"/>
      <c r="CY238" s="334"/>
      <c r="CZ238" s="334"/>
      <c r="DA238" s="334"/>
      <c r="DB238" s="334"/>
      <c r="DC238" s="334"/>
      <c r="DD238" s="334"/>
      <c r="DE238" s="334"/>
      <c r="DF238" s="334"/>
      <c r="DG238" s="334"/>
      <c r="DH238" s="334"/>
      <c r="DI238" s="334"/>
      <c r="DJ238" s="334"/>
      <c r="DK238" s="334"/>
      <c r="DL238" s="334"/>
      <c r="DM238" s="334"/>
      <c r="DN238" s="334"/>
      <c r="DO238" s="334"/>
      <c r="DP238" s="334"/>
      <c r="DQ238" s="334"/>
      <c r="DR238" s="334"/>
      <c r="DS238" s="334"/>
      <c r="DT238" s="334"/>
      <c r="DU238" s="334"/>
      <c r="DV238" s="334"/>
      <c r="DW238" s="334"/>
      <c r="DX238" s="334"/>
      <c r="DY238" s="334"/>
      <c r="DZ238" s="334"/>
      <c r="EA238" s="334"/>
      <c r="EB238" s="334"/>
      <c r="EC238" s="334"/>
      <c r="ED238" s="334"/>
      <c r="EE238" s="334"/>
      <c r="EF238" s="334"/>
      <c r="EG238" s="334"/>
      <c r="EH238" s="334"/>
      <c r="EI238" s="334"/>
      <c r="EJ238" s="334"/>
      <c r="EK238" s="334"/>
      <c r="EL238" s="334"/>
      <c r="EM238" s="334"/>
      <c r="EN238" s="334"/>
      <c r="EO238" s="334"/>
      <c r="EP238" s="334"/>
      <c r="EQ238" s="334"/>
      <c r="ER238" s="334"/>
      <c r="ES238" s="334"/>
      <c r="ET238" s="334"/>
      <c r="EU238" s="334"/>
      <c r="EV238" s="334"/>
      <c r="EW238" s="334"/>
      <c r="EX238" s="334"/>
      <c r="EY238" s="334"/>
      <c r="EZ238" s="334"/>
      <c r="FA238" s="334"/>
      <c r="FB238" s="334"/>
      <c r="FC238" s="334"/>
      <c r="FD238" s="334"/>
      <c r="FE238" s="334"/>
      <c r="FF238" s="334"/>
      <c r="FG238" s="334"/>
      <c r="FH238" s="334"/>
      <c r="FI238" s="334"/>
      <c r="FJ238" s="334"/>
      <c r="FK238" s="334"/>
      <c r="FL238" s="334"/>
      <c r="FM238" s="334"/>
      <c r="FN238" s="334"/>
      <c r="FO238" s="334"/>
      <c r="FP238" s="334"/>
      <c r="FQ238" s="334"/>
      <c r="FR238" s="334"/>
      <c r="FS238" s="334"/>
      <c r="FT238" s="334"/>
      <c r="FU238" s="334"/>
      <c r="FV238" s="334"/>
      <c r="FW238" s="334"/>
      <c r="FX238" s="334"/>
      <c r="FY238" s="334"/>
      <c r="FZ238" s="334"/>
      <c r="GA238" s="334"/>
      <c r="GB238" s="334"/>
      <c r="GC238" s="334"/>
      <c r="GD238" s="334"/>
      <c r="GE238" s="334"/>
      <c r="GF238" s="334"/>
      <c r="GG238" s="334"/>
      <c r="GH238" s="334"/>
      <c r="GI238" s="334"/>
      <c r="GJ238" s="334"/>
      <c r="GK238" s="334"/>
      <c r="GL238" s="334"/>
      <c r="GM238" s="334"/>
      <c r="GN238" s="334"/>
      <c r="GO238" s="334"/>
      <c r="GP238" s="334"/>
      <c r="GQ238" s="334"/>
      <c r="GR238" s="334"/>
      <c r="GS238" s="334"/>
      <c r="GT238" s="334"/>
      <c r="GU238" s="334"/>
      <c r="GV238" s="334"/>
      <c r="GW238" s="334"/>
      <c r="GX238" s="334"/>
      <c r="GY238" s="334"/>
      <c r="GZ238" s="334"/>
      <c r="HA238" s="334"/>
      <c r="HB238" s="334"/>
      <c r="HC238" s="334"/>
      <c r="HD238" s="334"/>
      <c r="HE238" s="334"/>
      <c r="HF238" s="334"/>
      <c r="HG238" s="334"/>
      <c r="HH238" s="334"/>
      <c r="HI238" s="334"/>
      <c r="HJ238" s="334"/>
      <c r="HK238" s="334"/>
      <c r="HL238" s="334"/>
      <c r="HM238" s="334"/>
      <c r="HN238" s="334"/>
      <c r="HO238" s="334"/>
      <c r="HP238" s="334"/>
      <c r="HQ238" s="334"/>
      <c r="HR238" s="334"/>
      <c r="HS238" s="334"/>
      <c r="HT238" s="334"/>
      <c r="HU238" s="334"/>
      <c r="HV238" s="334"/>
      <c r="HW238" s="334"/>
      <c r="HX238" s="334"/>
      <c r="HY238" s="334"/>
      <c r="HZ238" s="334"/>
      <c r="IA238" s="334"/>
      <c r="IB238" s="334"/>
      <c r="IC238" s="334"/>
      <c r="ID238" s="334"/>
      <c r="IE238" s="334"/>
      <c r="IF238" s="334"/>
      <c r="IG238" s="334"/>
      <c r="IH238" s="334"/>
      <c r="II238" s="334"/>
      <c r="IJ238" s="334"/>
      <c r="IK238" s="334"/>
      <c r="IL238" s="334"/>
      <c r="IM238" s="334"/>
      <c r="IN238" s="334"/>
      <c r="IO238" s="334"/>
      <c r="IP238" s="334"/>
      <c r="IQ238" s="334"/>
      <c r="IR238" s="334"/>
    </row>
    <row r="239" spans="1:252" s="368" customFormat="1" x14ac:dyDescent="0.25">
      <c r="A239" s="366">
        <v>43884</v>
      </c>
      <c r="B239" s="345">
        <v>85.8</v>
      </c>
      <c r="C239" s="345">
        <v>30.65</v>
      </c>
      <c r="D239" s="345">
        <v>154.69999999999999</v>
      </c>
      <c r="E239" s="345">
        <v>83.02</v>
      </c>
      <c r="F239" s="345">
        <v>230.27</v>
      </c>
      <c r="G239" s="345">
        <v>17.28</v>
      </c>
      <c r="H239" s="345">
        <v>26.83</v>
      </c>
      <c r="I239" s="345">
        <v>90.62</v>
      </c>
      <c r="J239" s="345">
        <v>99.57</v>
      </c>
      <c r="K239" s="345">
        <v>306.49</v>
      </c>
      <c r="L239" s="345">
        <v>169.89</v>
      </c>
      <c r="M239" s="345">
        <v>99.44</v>
      </c>
      <c r="N239" s="345">
        <v>36.835000000000001</v>
      </c>
      <c r="O239" s="345">
        <v>13.76</v>
      </c>
      <c r="P239" s="345">
        <v>27.52</v>
      </c>
      <c r="Q239" s="345">
        <v>37.99</v>
      </c>
      <c r="R239" s="345">
        <v>36</v>
      </c>
      <c r="S239" s="345">
        <v>31.46</v>
      </c>
      <c r="T239" s="345">
        <v>26.66</v>
      </c>
      <c r="U239" s="345">
        <v>74.650000000000006</v>
      </c>
      <c r="V239" s="334"/>
      <c r="W239" s="334"/>
      <c r="X239" s="334"/>
      <c r="Y239" s="334"/>
      <c r="Z239" s="334"/>
      <c r="AA239" s="334"/>
      <c r="AB239" s="334"/>
      <c r="AC239" s="334"/>
      <c r="AD239" s="334"/>
      <c r="AE239" s="334"/>
      <c r="AF239" s="334"/>
      <c r="AG239" s="334"/>
      <c r="AH239" s="334"/>
      <c r="AI239" s="334"/>
      <c r="AJ239" s="334"/>
      <c r="AK239" s="334"/>
      <c r="AL239" s="334"/>
      <c r="AM239" s="334"/>
      <c r="AN239" s="334"/>
      <c r="AO239" s="334"/>
      <c r="AP239" s="334"/>
      <c r="AQ239" s="334"/>
      <c r="AR239" s="334"/>
      <c r="AS239" s="334"/>
      <c r="AT239" s="334"/>
      <c r="AU239" s="334"/>
      <c r="AV239" s="334"/>
      <c r="AW239" s="334"/>
      <c r="AX239" s="334"/>
      <c r="AY239" s="334"/>
      <c r="AZ239" s="334"/>
      <c r="BA239" s="334"/>
      <c r="BB239" s="334"/>
      <c r="BC239" s="334"/>
      <c r="BD239" s="334"/>
      <c r="BE239" s="334"/>
      <c r="BF239" s="334"/>
      <c r="BG239" s="334"/>
      <c r="BH239" s="334"/>
      <c r="BI239" s="334"/>
      <c r="BJ239" s="334"/>
      <c r="BK239" s="334"/>
      <c r="BL239" s="334"/>
      <c r="BM239" s="334"/>
      <c r="BN239" s="334"/>
      <c r="BO239" s="334"/>
      <c r="BP239" s="334"/>
      <c r="BQ239" s="334"/>
      <c r="BR239" s="334"/>
      <c r="BS239" s="334"/>
      <c r="BT239" s="334"/>
      <c r="BU239" s="334"/>
      <c r="BV239" s="334"/>
      <c r="BW239" s="334"/>
      <c r="BX239" s="334"/>
      <c r="BY239" s="334"/>
      <c r="BZ239" s="334"/>
      <c r="CA239" s="334"/>
      <c r="CB239" s="334"/>
      <c r="CC239" s="334"/>
      <c r="CD239" s="334"/>
      <c r="CE239" s="334"/>
      <c r="CF239" s="334"/>
      <c r="CG239" s="334"/>
      <c r="CH239" s="334"/>
      <c r="CI239" s="334"/>
      <c r="CJ239" s="334"/>
      <c r="CK239" s="334"/>
      <c r="CL239" s="334"/>
      <c r="CM239" s="334"/>
      <c r="CN239" s="334"/>
      <c r="CO239" s="334"/>
      <c r="CP239" s="334"/>
      <c r="CQ239" s="334"/>
      <c r="CR239" s="334"/>
      <c r="CS239" s="334"/>
      <c r="CT239" s="334"/>
      <c r="CU239" s="334"/>
      <c r="CV239" s="334"/>
      <c r="CW239" s="334"/>
      <c r="CX239" s="334"/>
      <c r="CY239" s="334"/>
      <c r="CZ239" s="334"/>
      <c r="DA239" s="334"/>
      <c r="DB239" s="334"/>
      <c r="DC239" s="334"/>
      <c r="DD239" s="334"/>
      <c r="DE239" s="334"/>
      <c r="DF239" s="334"/>
      <c r="DG239" s="334"/>
      <c r="DH239" s="334"/>
      <c r="DI239" s="334"/>
      <c r="DJ239" s="334"/>
      <c r="DK239" s="334"/>
      <c r="DL239" s="334"/>
      <c r="DM239" s="334"/>
      <c r="DN239" s="334"/>
      <c r="DO239" s="334"/>
      <c r="DP239" s="334"/>
      <c r="DQ239" s="334"/>
      <c r="DR239" s="334"/>
      <c r="DS239" s="334"/>
      <c r="DT239" s="334"/>
      <c r="DU239" s="334"/>
      <c r="DV239" s="334"/>
      <c r="DW239" s="334"/>
      <c r="DX239" s="334"/>
      <c r="DY239" s="334"/>
      <c r="DZ239" s="334"/>
      <c r="EA239" s="334"/>
      <c r="EB239" s="334"/>
      <c r="EC239" s="334"/>
      <c r="ED239" s="334"/>
      <c r="EE239" s="334"/>
      <c r="EF239" s="334"/>
      <c r="EG239" s="334"/>
      <c r="EH239" s="334"/>
      <c r="EI239" s="334"/>
      <c r="EJ239" s="334"/>
      <c r="EK239" s="334"/>
      <c r="EL239" s="334"/>
      <c r="EM239" s="334"/>
      <c r="EN239" s="334"/>
      <c r="EO239" s="334"/>
      <c r="EP239" s="334"/>
      <c r="EQ239" s="334"/>
      <c r="ER239" s="334"/>
      <c r="ES239" s="334"/>
      <c r="ET239" s="334"/>
      <c r="EU239" s="334"/>
      <c r="EV239" s="334"/>
      <c r="EW239" s="334"/>
      <c r="EX239" s="334"/>
      <c r="EY239" s="334"/>
      <c r="EZ239" s="334"/>
      <c r="FA239" s="334"/>
      <c r="FB239" s="334"/>
      <c r="FC239" s="334"/>
      <c r="FD239" s="334"/>
      <c r="FE239" s="334"/>
      <c r="FF239" s="334"/>
      <c r="FG239" s="334"/>
      <c r="FH239" s="334"/>
      <c r="FI239" s="334"/>
      <c r="FJ239" s="334"/>
      <c r="FK239" s="334"/>
      <c r="FL239" s="334"/>
      <c r="FM239" s="334"/>
      <c r="FN239" s="334"/>
      <c r="FO239" s="334"/>
      <c r="FP239" s="334"/>
      <c r="FQ239" s="334"/>
      <c r="FR239" s="334"/>
      <c r="FS239" s="334"/>
      <c r="FT239" s="334"/>
      <c r="FU239" s="334"/>
      <c r="FV239" s="334"/>
      <c r="FW239" s="334"/>
      <c r="FX239" s="334"/>
      <c r="FY239" s="334"/>
      <c r="FZ239" s="334"/>
      <c r="GA239" s="334"/>
      <c r="GB239" s="334"/>
      <c r="GC239" s="334"/>
      <c r="GD239" s="334"/>
      <c r="GE239" s="334"/>
      <c r="GF239" s="334"/>
      <c r="GG239" s="334"/>
      <c r="GH239" s="334"/>
      <c r="GI239" s="334"/>
      <c r="GJ239" s="334"/>
      <c r="GK239" s="334"/>
      <c r="GL239" s="334"/>
      <c r="GM239" s="334"/>
      <c r="GN239" s="334"/>
      <c r="GO239" s="334"/>
      <c r="GP239" s="334"/>
      <c r="GQ239" s="334"/>
      <c r="GR239" s="334"/>
      <c r="GS239" s="334"/>
      <c r="GT239" s="334"/>
      <c r="GU239" s="334"/>
      <c r="GV239" s="334"/>
      <c r="GW239" s="334"/>
      <c r="GX239" s="334"/>
      <c r="GY239" s="334"/>
      <c r="GZ239" s="334"/>
      <c r="HA239" s="334"/>
      <c r="HB239" s="334"/>
      <c r="HC239" s="334"/>
      <c r="HD239" s="334"/>
      <c r="HE239" s="334"/>
      <c r="HF239" s="334"/>
      <c r="HG239" s="334"/>
      <c r="HH239" s="334"/>
      <c r="HI239" s="334"/>
      <c r="HJ239" s="334"/>
      <c r="HK239" s="334"/>
      <c r="HL239" s="334"/>
      <c r="HM239" s="334"/>
      <c r="HN239" s="334"/>
      <c r="HO239" s="334"/>
      <c r="HP239" s="334"/>
      <c r="HQ239" s="334"/>
      <c r="HR239" s="334"/>
      <c r="HS239" s="334"/>
      <c r="HT239" s="334"/>
      <c r="HU239" s="334"/>
      <c r="HV239" s="334"/>
      <c r="HW239" s="334"/>
      <c r="HX239" s="334"/>
      <c r="HY239" s="334"/>
      <c r="HZ239" s="334"/>
      <c r="IA239" s="334"/>
      <c r="IB239" s="334"/>
      <c r="IC239" s="334"/>
      <c r="ID239" s="334"/>
      <c r="IE239" s="334"/>
      <c r="IF239" s="334"/>
      <c r="IG239" s="334"/>
      <c r="IH239" s="334"/>
      <c r="II239" s="334"/>
      <c r="IJ239" s="334"/>
      <c r="IK239" s="334"/>
      <c r="IL239" s="334"/>
      <c r="IM239" s="334"/>
      <c r="IN239" s="334"/>
      <c r="IO239" s="334"/>
      <c r="IP239" s="334"/>
      <c r="IQ239" s="334"/>
      <c r="IR239" s="334"/>
    </row>
    <row r="240" spans="1:252" x14ac:dyDescent="0.25">
      <c r="A240" s="385">
        <v>43885</v>
      </c>
      <c r="B240" s="345">
        <v>86.07</v>
      </c>
      <c r="C240" s="345">
        <v>31.05</v>
      </c>
      <c r="D240" s="345">
        <v>156.09</v>
      </c>
      <c r="E240" s="345">
        <v>80.569999999999993</v>
      </c>
      <c r="F240" s="345">
        <v>221.39</v>
      </c>
      <c r="G240" s="345">
        <v>17.399999999999999</v>
      </c>
      <c r="H240" s="345">
        <v>26.84</v>
      </c>
      <c r="I240" s="345">
        <v>91.94</v>
      </c>
      <c r="J240" s="345">
        <v>98.21</v>
      </c>
      <c r="K240" s="345">
        <v>296.24</v>
      </c>
      <c r="L240" s="345">
        <v>164.3</v>
      </c>
      <c r="M240" s="345">
        <v>95.33</v>
      </c>
      <c r="N240" s="345">
        <v>35.61</v>
      </c>
      <c r="O240" s="345">
        <v>13.92</v>
      </c>
      <c r="P240" s="345">
        <v>26.98</v>
      </c>
      <c r="Q240" s="345">
        <v>37.54</v>
      </c>
      <c r="R240" s="345">
        <v>35.43</v>
      </c>
      <c r="S240" s="345">
        <v>31.75</v>
      </c>
      <c r="T240" s="345">
        <v>26.76</v>
      </c>
      <c r="U240" s="345">
        <v>74.260000000000005</v>
      </c>
    </row>
    <row r="241" spans="1:252" x14ac:dyDescent="0.25">
      <c r="A241" s="364">
        <v>43886</v>
      </c>
      <c r="B241" s="345">
        <v>86.14</v>
      </c>
      <c r="C241" s="345">
        <v>29.97</v>
      </c>
      <c r="D241" s="345">
        <v>153.30000000000001</v>
      </c>
      <c r="E241" s="345">
        <v>77.849999999999994</v>
      </c>
      <c r="F241" s="345">
        <v>215.37</v>
      </c>
      <c r="G241" s="345">
        <v>16.71</v>
      </c>
      <c r="H241" s="345">
        <v>26.76</v>
      </c>
      <c r="I241" s="345">
        <v>92.59</v>
      </c>
      <c r="J241" s="345">
        <v>95.55</v>
      </c>
      <c r="K241" s="345">
        <v>287.33999999999997</v>
      </c>
      <c r="L241" s="345">
        <v>159.28</v>
      </c>
      <c r="M241" s="345">
        <v>92.28</v>
      </c>
      <c r="N241" s="345">
        <v>34.590000000000003</v>
      </c>
      <c r="O241" s="345">
        <v>13.7</v>
      </c>
      <c r="P241" s="345">
        <v>26.47</v>
      </c>
      <c r="Q241" s="345">
        <v>37.15</v>
      </c>
      <c r="R241" s="345">
        <v>34.65</v>
      </c>
      <c r="S241" s="345">
        <v>30.9</v>
      </c>
      <c r="T241" s="345">
        <v>26.73</v>
      </c>
      <c r="U241" s="345">
        <v>74.274299999999997</v>
      </c>
    </row>
    <row r="242" spans="1:252" x14ac:dyDescent="0.25">
      <c r="A242" s="385">
        <v>43887</v>
      </c>
      <c r="B242" s="345">
        <v>86.09</v>
      </c>
      <c r="C242" s="345">
        <v>29.87</v>
      </c>
      <c r="D242" s="345">
        <v>153.97</v>
      </c>
      <c r="E242" s="345">
        <v>76.86</v>
      </c>
      <c r="F242" s="345">
        <v>216.48</v>
      </c>
      <c r="G242" s="345">
        <v>16.68</v>
      </c>
      <c r="H242" s="345">
        <v>26.78</v>
      </c>
      <c r="I242" s="345">
        <v>92.05</v>
      </c>
      <c r="J242" s="345">
        <v>94.52</v>
      </c>
      <c r="K242" s="345">
        <v>286.07</v>
      </c>
      <c r="L242" s="345">
        <v>158.4</v>
      </c>
      <c r="M242" s="345">
        <v>92.7</v>
      </c>
      <c r="N242" s="345">
        <v>34.39</v>
      </c>
      <c r="O242" s="345">
        <v>13.77</v>
      </c>
      <c r="P242" s="345">
        <v>26.42</v>
      </c>
      <c r="Q242" s="345">
        <v>36.94</v>
      </c>
      <c r="R242" s="345">
        <v>34.369999999999997</v>
      </c>
      <c r="S242" s="345">
        <v>31.03</v>
      </c>
      <c r="T242" s="345">
        <v>26.62</v>
      </c>
      <c r="U242" s="345">
        <v>74.099999999999994</v>
      </c>
    </row>
    <row r="243" spans="1:252" x14ac:dyDescent="0.25">
      <c r="A243" s="364">
        <v>43888</v>
      </c>
      <c r="B243" s="345">
        <v>86.19</v>
      </c>
      <c r="C243" s="345">
        <v>28.15</v>
      </c>
      <c r="D243" s="345">
        <v>154</v>
      </c>
      <c r="E243" s="345">
        <v>74</v>
      </c>
      <c r="F243" s="345">
        <v>205.64</v>
      </c>
      <c r="G243" s="345">
        <v>16.47</v>
      </c>
      <c r="H243" s="345">
        <v>26.62</v>
      </c>
      <c r="I243" s="345">
        <v>93.03</v>
      </c>
      <c r="J243" s="345">
        <v>89.49</v>
      </c>
      <c r="K243" s="345">
        <v>273.39</v>
      </c>
      <c r="L243" s="345">
        <v>151.46</v>
      </c>
      <c r="M243" s="345">
        <v>87.7</v>
      </c>
      <c r="N243" s="345">
        <v>33.89</v>
      </c>
      <c r="O243" s="345">
        <v>13.87</v>
      </c>
      <c r="P243" s="345">
        <v>26.18</v>
      </c>
      <c r="Q243" s="345">
        <v>36.450000000000003</v>
      </c>
      <c r="R243" s="345">
        <v>33.78</v>
      </c>
      <c r="S243" s="345">
        <v>29.74</v>
      </c>
      <c r="T243" s="345">
        <v>26.65</v>
      </c>
      <c r="U243" s="345">
        <v>73.73</v>
      </c>
    </row>
    <row r="244" spans="1:252" x14ac:dyDescent="0.25">
      <c r="A244" s="385">
        <v>43889</v>
      </c>
      <c r="B244" s="345">
        <v>86.82</v>
      </c>
      <c r="C244" s="345">
        <v>26.22</v>
      </c>
      <c r="D244" s="345">
        <v>148.38</v>
      </c>
      <c r="E244" s="345">
        <v>72.790000000000006</v>
      </c>
      <c r="F244" s="345">
        <v>206.24</v>
      </c>
      <c r="G244" s="345">
        <v>15.53</v>
      </c>
      <c r="H244" s="345">
        <v>26.53</v>
      </c>
      <c r="I244" s="345">
        <v>95.02</v>
      </c>
      <c r="J244" s="345">
        <v>87.33</v>
      </c>
      <c r="K244" s="345">
        <v>271.74</v>
      </c>
      <c r="L244" s="345">
        <v>150.44</v>
      </c>
      <c r="M244" s="345">
        <v>88.37</v>
      </c>
      <c r="N244" s="345">
        <v>32.68</v>
      </c>
      <c r="O244" s="345">
        <v>13.23</v>
      </c>
      <c r="P244" s="345">
        <v>25.64</v>
      </c>
      <c r="Q244" s="345">
        <v>34.950000000000003</v>
      </c>
      <c r="R244" s="345">
        <v>32.9</v>
      </c>
      <c r="S244" s="345">
        <v>26.65</v>
      </c>
      <c r="T244" s="345">
        <v>26.65</v>
      </c>
      <c r="U244" s="345">
        <v>73.53</v>
      </c>
    </row>
    <row r="245" spans="1:252" s="368" customFormat="1" x14ac:dyDescent="0.25">
      <c r="A245" s="366">
        <v>43890</v>
      </c>
      <c r="B245" s="345">
        <v>86.82</v>
      </c>
      <c r="C245" s="345">
        <v>26.22</v>
      </c>
      <c r="D245" s="345">
        <v>148.38</v>
      </c>
      <c r="E245" s="345">
        <v>72.790000000000006</v>
      </c>
      <c r="F245" s="345">
        <v>206.24</v>
      </c>
      <c r="G245" s="345">
        <v>15.53</v>
      </c>
      <c r="H245" s="345">
        <v>26.53</v>
      </c>
      <c r="I245" s="345">
        <v>95.02</v>
      </c>
      <c r="J245" s="345">
        <v>87.33</v>
      </c>
      <c r="K245" s="345">
        <v>271.74</v>
      </c>
      <c r="L245" s="345">
        <v>150.44</v>
      </c>
      <c r="M245" s="345">
        <v>88.37</v>
      </c>
      <c r="N245" s="345">
        <v>32.68</v>
      </c>
      <c r="O245" s="345">
        <v>13.23</v>
      </c>
      <c r="P245" s="345">
        <v>25.64</v>
      </c>
      <c r="Q245" s="345">
        <v>34.950000000000003</v>
      </c>
      <c r="R245" s="345">
        <v>32.9</v>
      </c>
      <c r="S245" s="345">
        <v>26.65</v>
      </c>
      <c r="T245" s="345">
        <v>26.65</v>
      </c>
      <c r="U245" s="345">
        <v>73.53</v>
      </c>
      <c r="V245" s="334"/>
      <c r="W245" s="334"/>
      <c r="X245" s="334"/>
      <c r="Y245" s="334"/>
      <c r="Z245" s="334"/>
      <c r="AA245" s="334"/>
      <c r="AB245" s="334"/>
      <c r="AC245" s="334"/>
      <c r="AD245" s="334"/>
      <c r="AE245" s="334"/>
      <c r="AF245" s="334"/>
      <c r="AG245" s="334"/>
      <c r="AH245" s="334"/>
      <c r="AI245" s="334"/>
      <c r="AJ245" s="334"/>
      <c r="AK245" s="334"/>
      <c r="AL245" s="334"/>
      <c r="AM245" s="334"/>
      <c r="AN245" s="334"/>
      <c r="AO245" s="334"/>
      <c r="AP245" s="334"/>
      <c r="AQ245" s="334"/>
      <c r="AR245" s="334"/>
      <c r="AS245" s="334"/>
      <c r="AT245" s="334"/>
      <c r="AU245" s="334"/>
      <c r="AV245" s="334"/>
      <c r="AW245" s="334"/>
      <c r="AX245" s="334"/>
      <c r="AY245" s="334"/>
      <c r="AZ245" s="334"/>
      <c r="BA245" s="334"/>
      <c r="BB245" s="334"/>
      <c r="BC245" s="334"/>
      <c r="BD245" s="334"/>
      <c r="BE245" s="334"/>
      <c r="BF245" s="334"/>
      <c r="BG245" s="334"/>
      <c r="BH245" s="334"/>
      <c r="BI245" s="334"/>
      <c r="BJ245" s="334"/>
      <c r="BK245" s="334"/>
      <c r="BL245" s="334"/>
      <c r="BM245" s="334"/>
      <c r="BN245" s="334"/>
      <c r="BO245" s="334"/>
      <c r="BP245" s="334"/>
      <c r="BQ245" s="334"/>
      <c r="BR245" s="334"/>
      <c r="BS245" s="334"/>
      <c r="BT245" s="334"/>
      <c r="BU245" s="334"/>
      <c r="BV245" s="334"/>
      <c r="BW245" s="334"/>
      <c r="BX245" s="334"/>
      <c r="BY245" s="334"/>
      <c r="BZ245" s="334"/>
      <c r="CA245" s="334"/>
      <c r="CB245" s="334"/>
      <c r="CC245" s="334"/>
      <c r="CD245" s="334"/>
      <c r="CE245" s="334"/>
      <c r="CF245" s="334"/>
      <c r="CG245" s="334"/>
      <c r="CH245" s="334"/>
      <c r="CI245" s="334"/>
      <c r="CJ245" s="334"/>
      <c r="CK245" s="334"/>
      <c r="CL245" s="334"/>
      <c r="CM245" s="334"/>
      <c r="CN245" s="334"/>
      <c r="CO245" s="334"/>
      <c r="CP245" s="334"/>
      <c r="CQ245" s="334"/>
      <c r="CR245" s="334"/>
      <c r="CS245" s="334"/>
      <c r="CT245" s="334"/>
      <c r="CU245" s="334"/>
      <c r="CV245" s="334"/>
      <c r="CW245" s="334"/>
      <c r="CX245" s="334"/>
      <c r="CY245" s="334"/>
      <c r="CZ245" s="334"/>
      <c r="DA245" s="334"/>
      <c r="DB245" s="334"/>
      <c r="DC245" s="334"/>
      <c r="DD245" s="334"/>
      <c r="DE245" s="334"/>
      <c r="DF245" s="334"/>
      <c r="DG245" s="334"/>
      <c r="DH245" s="334"/>
      <c r="DI245" s="334"/>
      <c r="DJ245" s="334"/>
      <c r="DK245" s="334"/>
      <c r="DL245" s="334"/>
      <c r="DM245" s="334"/>
      <c r="DN245" s="334"/>
      <c r="DO245" s="334"/>
      <c r="DP245" s="334"/>
      <c r="DQ245" s="334"/>
      <c r="DR245" s="334"/>
      <c r="DS245" s="334"/>
      <c r="DT245" s="334"/>
      <c r="DU245" s="334"/>
      <c r="DV245" s="334"/>
      <c r="DW245" s="334"/>
      <c r="DX245" s="334"/>
      <c r="DY245" s="334"/>
      <c r="DZ245" s="334"/>
      <c r="EA245" s="334"/>
      <c r="EB245" s="334"/>
      <c r="EC245" s="334"/>
      <c r="ED245" s="334"/>
      <c r="EE245" s="334"/>
      <c r="EF245" s="334"/>
      <c r="EG245" s="334"/>
      <c r="EH245" s="334"/>
      <c r="EI245" s="334"/>
      <c r="EJ245" s="334"/>
      <c r="EK245" s="334"/>
      <c r="EL245" s="334"/>
      <c r="EM245" s="334"/>
      <c r="EN245" s="334"/>
      <c r="EO245" s="334"/>
      <c r="EP245" s="334"/>
      <c r="EQ245" s="334"/>
      <c r="ER245" s="334"/>
      <c r="ES245" s="334"/>
      <c r="ET245" s="334"/>
      <c r="EU245" s="334"/>
      <c r="EV245" s="334"/>
      <c r="EW245" s="334"/>
      <c r="EX245" s="334"/>
      <c r="EY245" s="334"/>
      <c r="EZ245" s="334"/>
      <c r="FA245" s="334"/>
      <c r="FB245" s="334"/>
      <c r="FC245" s="334"/>
      <c r="FD245" s="334"/>
      <c r="FE245" s="334"/>
      <c r="FF245" s="334"/>
      <c r="FG245" s="334"/>
      <c r="FH245" s="334"/>
      <c r="FI245" s="334"/>
      <c r="FJ245" s="334"/>
      <c r="FK245" s="334"/>
      <c r="FL245" s="334"/>
      <c r="FM245" s="334"/>
      <c r="FN245" s="334"/>
      <c r="FO245" s="334"/>
      <c r="FP245" s="334"/>
      <c r="FQ245" s="334"/>
      <c r="FR245" s="334"/>
      <c r="FS245" s="334"/>
      <c r="FT245" s="334"/>
      <c r="FU245" s="334"/>
      <c r="FV245" s="334"/>
      <c r="FW245" s="334"/>
      <c r="FX245" s="334"/>
      <c r="FY245" s="334"/>
      <c r="FZ245" s="334"/>
      <c r="GA245" s="334"/>
      <c r="GB245" s="334"/>
      <c r="GC245" s="334"/>
      <c r="GD245" s="334"/>
      <c r="GE245" s="334"/>
      <c r="GF245" s="334"/>
      <c r="GG245" s="334"/>
      <c r="GH245" s="334"/>
      <c r="GI245" s="334"/>
      <c r="GJ245" s="334"/>
      <c r="GK245" s="334"/>
      <c r="GL245" s="334"/>
      <c r="GM245" s="334"/>
      <c r="GN245" s="334"/>
      <c r="GO245" s="334"/>
      <c r="GP245" s="334"/>
      <c r="GQ245" s="334"/>
      <c r="GR245" s="334"/>
      <c r="GS245" s="334"/>
      <c r="GT245" s="334"/>
      <c r="GU245" s="334"/>
      <c r="GV245" s="334"/>
      <c r="GW245" s="334"/>
      <c r="GX245" s="334"/>
      <c r="GY245" s="334"/>
      <c r="GZ245" s="334"/>
      <c r="HA245" s="334"/>
      <c r="HB245" s="334"/>
      <c r="HC245" s="334"/>
      <c r="HD245" s="334"/>
      <c r="HE245" s="334"/>
      <c r="HF245" s="334"/>
      <c r="HG245" s="334"/>
      <c r="HH245" s="334"/>
      <c r="HI245" s="334"/>
      <c r="HJ245" s="334"/>
      <c r="HK245" s="334"/>
      <c r="HL245" s="334"/>
      <c r="HM245" s="334"/>
      <c r="HN245" s="334"/>
      <c r="HO245" s="334"/>
      <c r="HP245" s="334"/>
      <c r="HQ245" s="334"/>
      <c r="HR245" s="334"/>
      <c r="HS245" s="334"/>
      <c r="HT245" s="334"/>
      <c r="HU245" s="334"/>
      <c r="HV245" s="334"/>
      <c r="HW245" s="334"/>
      <c r="HX245" s="334"/>
      <c r="HY245" s="334"/>
      <c r="HZ245" s="334"/>
      <c r="IA245" s="334"/>
      <c r="IB245" s="334"/>
      <c r="IC245" s="334"/>
      <c r="ID245" s="334"/>
      <c r="IE245" s="334"/>
      <c r="IF245" s="334"/>
      <c r="IG245" s="334"/>
      <c r="IH245" s="334"/>
      <c r="II245" s="334"/>
      <c r="IJ245" s="334"/>
      <c r="IK245" s="334"/>
      <c r="IL245" s="334"/>
      <c r="IM245" s="334"/>
      <c r="IN245" s="334"/>
      <c r="IO245" s="334"/>
      <c r="IP245" s="334"/>
      <c r="IQ245" s="334"/>
      <c r="IR245" s="334"/>
    </row>
    <row r="246" spans="1:252" s="368" customFormat="1" x14ac:dyDescent="0.25">
      <c r="A246" s="366">
        <v>43891</v>
      </c>
      <c r="B246" s="345">
        <v>86.82</v>
      </c>
      <c r="C246" s="345">
        <v>26.22</v>
      </c>
      <c r="D246" s="345">
        <v>148.38</v>
      </c>
      <c r="E246" s="345">
        <v>72.790000000000006</v>
      </c>
      <c r="F246" s="345">
        <v>206.24</v>
      </c>
      <c r="G246" s="345">
        <v>15.53</v>
      </c>
      <c r="H246" s="345">
        <v>26.53</v>
      </c>
      <c r="I246" s="345">
        <v>95.02</v>
      </c>
      <c r="J246" s="345">
        <v>87.33</v>
      </c>
      <c r="K246" s="345">
        <v>271.74</v>
      </c>
      <c r="L246" s="345">
        <v>150.44</v>
      </c>
      <c r="M246" s="345">
        <v>88.37</v>
      </c>
      <c r="N246" s="345">
        <v>32.68</v>
      </c>
      <c r="O246" s="345">
        <v>13.23</v>
      </c>
      <c r="P246" s="345">
        <v>25.64</v>
      </c>
      <c r="Q246" s="345">
        <v>34.950000000000003</v>
      </c>
      <c r="R246" s="345">
        <v>32.9</v>
      </c>
      <c r="S246" s="345">
        <v>26.65</v>
      </c>
      <c r="T246" s="345">
        <v>26.65</v>
      </c>
      <c r="U246" s="345">
        <v>73.53</v>
      </c>
      <c r="V246" s="334"/>
      <c r="W246" s="334"/>
      <c r="X246" s="334"/>
      <c r="Y246" s="334"/>
      <c r="Z246" s="334"/>
      <c r="AA246" s="334"/>
      <c r="AB246" s="334"/>
      <c r="AC246" s="334"/>
      <c r="AD246" s="334"/>
      <c r="AE246" s="334"/>
      <c r="AF246" s="334"/>
      <c r="AG246" s="334"/>
      <c r="AH246" s="334"/>
      <c r="AI246" s="334"/>
      <c r="AJ246" s="334"/>
      <c r="AK246" s="334"/>
      <c r="AL246" s="334"/>
      <c r="AM246" s="334"/>
      <c r="AN246" s="334"/>
      <c r="AO246" s="334"/>
      <c r="AP246" s="334"/>
      <c r="AQ246" s="334"/>
      <c r="AR246" s="334"/>
      <c r="AS246" s="334"/>
      <c r="AT246" s="334"/>
      <c r="AU246" s="334"/>
      <c r="AV246" s="334"/>
      <c r="AW246" s="334"/>
      <c r="AX246" s="334"/>
      <c r="AY246" s="334"/>
      <c r="AZ246" s="334"/>
      <c r="BA246" s="334"/>
      <c r="BB246" s="334"/>
      <c r="BC246" s="334"/>
      <c r="BD246" s="334"/>
      <c r="BE246" s="334"/>
      <c r="BF246" s="334"/>
      <c r="BG246" s="334"/>
      <c r="BH246" s="334"/>
      <c r="BI246" s="334"/>
      <c r="BJ246" s="334"/>
      <c r="BK246" s="334"/>
      <c r="BL246" s="334"/>
      <c r="BM246" s="334"/>
      <c r="BN246" s="334"/>
      <c r="BO246" s="334"/>
      <c r="BP246" s="334"/>
      <c r="BQ246" s="334"/>
      <c r="BR246" s="334"/>
      <c r="BS246" s="334"/>
      <c r="BT246" s="334"/>
      <c r="BU246" s="334"/>
      <c r="BV246" s="334"/>
      <c r="BW246" s="334"/>
      <c r="BX246" s="334"/>
      <c r="BY246" s="334"/>
      <c r="BZ246" s="334"/>
      <c r="CA246" s="334"/>
      <c r="CB246" s="334"/>
      <c r="CC246" s="334"/>
      <c r="CD246" s="334"/>
      <c r="CE246" s="334"/>
      <c r="CF246" s="334"/>
      <c r="CG246" s="334"/>
      <c r="CH246" s="334"/>
      <c r="CI246" s="334"/>
      <c r="CJ246" s="334"/>
      <c r="CK246" s="334"/>
      <c r="CL246" s="334"/>
      <c r="CM246" s="334"/>
      <c r="CN246" s="334"/>
      <c r="CO246" s="334"/>
      <c r="CP246" s="334"/>
      <c r="CQ246" s="334"/>
      <c r="CR246" s="334"/>
      <c r="CS246" s="334"/>
      <c r="CT246" s="334"/>
      <c r="CU246" s="334"/>
      <c r="CV246" s="334"/>
      <c r="CW246" s="334"/>
      <c r="CX246" s="334"/>
      <c r="CY246" s="334"/>
      <c r="CZ246" s="334"/>
      <c r="DA246" s="334"/>
      <c r="DB246" s="334"/>
      <c r="DC246" s="334"/>
      <c r="DD246" s="334"/>
      <c r="DE246" s="334"/>
      <c r="DF246" s="334"/>
      <c r="DG246" s="334"/>
      <c r="DH246" s="334"/>
      <c r="DI246" s="334"/>
      <c r="DJ246" s="334"/>
      <c r="DK246" s="334"/>
      <c r="DL246" s="334"/>
      <c r="DM246" s="334"/>
      <c r="DN246" s="334"/>
      <c r="DO246" s="334"/>
      <c r="DP246" s="334"/>
      <c r="DQ246" s="334"/>
      <c r="DR246" s="334"/>
      <c r="DS246" s="334"/>
      <c r="DT246" s="334"/>
      <c r="DU246" s="334"/>
      <c r="DV246" s="334"/>
      <c r="DW246" s="334"/>
      <c r="DX246" s="334"/>
      <c r="DY246" s="334"/>
      <c r="DZ246" s="334"/>
      <c r="EA246" s="334"/>
      <c r="EB246" s="334"/>
      <c r="EC246" s="334"/>
      <c r="ED246" s="334"/>
      <c r="EE246" s="334"/>
      <c r="EF246" s="334"/>
      <c r="EG246" s="334"/>
      <c r="EH246" s="334"/>
      <c r="EI246" s="334"/>
      <c r="EJ246" s="334"/>
      <c r="EK246" s="334"/>
      <c r="EL246" s="334"/>
      <c r="EM246" s="334"/>
      <c r="EN246" s="334"/>
      <c r="EO246" s="334"/>
      <c r="EP246" s="334"/>
      <c r="EQ246" s="334"/>
      <c r="ER246" s="334"/>
      <c r="ES246" s="334"/>
      <c r="ET246" s="334"/>
      <c r="EU246" s="334"/>
      <c r="EV246" s="334"/>
      <c r="EW246" s="334"/>
      <c r="EX246" s="334"/>
      <c r="EY246" s="334"/>
      <c r="EZ246" s="334"/>
      <c r="FA246" s="334"/>
      <c r="FB246" s="334"/>
      <c r="FC246" s="334"/>
      <c r="FD246" s="334"/>
      <c r="FE246" s="334"/>
      <c r="FF246" s="334"/>
      <c r="FG246" s="334"/>
      <c r="FH246" s="334"/>
      <c r="FI246" s="334"/>
      <c r="FJ246" s="334"/>
      <c r="FK246" s="334"/>
      <c r="FL246" s="334"/>
      <c r="FM246" s="334"/>
      <c r="FN246" s="334"/>
      <c r="FO246" s="334"/>
      <c r="FP246" s="334"/>
      <c r="FQ246" s="334"/>
      <c r="FR246" s="334"/>
      <c r="FS246" s="334"/>
      <c r="FT246" s="334"/>
      <c r="FU246" s="334"/>
      <c r="FV246" s="334"/>
      <c r="FW246" s="334"/>
      <c r="FX246" s="334"/>
      <c r="FY246" s="334"/>
      <c r="FZ246" s="334"/>
      <c r="GA246" s="334"/>
      <c r="GB246" s="334"/>
      <c r="GC246" s="334"/>
      <c r="GD246" s="334"/>
      <c r="GE246" s="334"/>
      <c r="GF246" s="334"/>
      <c r="GG246" s="334"/>
      <c r="GH246" s="334"/>
      <c r="GI246" s="334"/>
      <c r="GJ246" s="334"/>
      <c r="GK246" s="334"/>
      <c r="GL246" s="334"/>
      <c r="GM246" s="334"/>
      <c r="GN246" s="334"/>
      <c r="GO246" s="334"/>
      <c r="GP246" s="334"/>
      <c r="GQ246" s="334"/>
      <c r="GR246" s="334"/>
      <c r="GS246" s="334"/>
      <c r="GT246" s="334"/>
      <c r="GU246" s="334"/>
      <c r="GV246" s="334"/>
      <c r="GW246" s="334"/>
      <c r="GX246" s="334"/>
      <c r="GY246" s="334"/>
      <c r="GZ246" s="334"/>
      <c r="HA246" s="334"/>
      <c r="HB246" s="334"/>
      <c r="HC246" s="334"/>
      <c r="HD246" s="334"/>
      <c r="HE246" s="334"/>
      <c r="HF246" s="334"/>
      <c r="HG246" s="334"/>
      <c r="HH246" s="334"/>
      <c r="HI246" s="334"/>
      <c r="HJ246" s="334"/>
      <c r="HK246" s="334"/>
      <c r="HL246" s="334"/>
      <c r="HM246" s="334"/>
      <c r="HN246" s="334"/>
      <c r="HO246" s="334"/>
      <c r="HP246" s="334"/>
      <c r="HQ246" s="334"/>
      <c r="HR246" s="334"/>
      <c r="HS246" s="334"/>
      <c r="HT246" s="334"/>
      <c r="HU246" s="334"/>
      <c r="HV246" s="334"/>
      <c r="HW246" s="334"/>
      <c r="HX246" s="334"/>
      <c r="HY246" s="334"/>
      <c r="HZ246" s="334"/>
      <c r="IA246" s="334"/>
      <c r="IB246" s="334"/>
      <c r="IC246" s="334"/>
      <c r="ID246" s="334"/>
      <c r="IE246" s="334"/>
      <c r="IF246" s="334"/>
      <c r="IG246" s="334"/>
      <c r="IH246" s="334"/>
      <c r="II246" s="334"/>
      <c r="IJ246" s="334"/>
      <c r="IK246" s="334"/>
      <c r="IL246" s="334"/>
      <c r="IM246" s="334"/>
      <c r="IN246" s="334"/>
      <c r="IO246" s="334"/>
      <c r="IP246" s="334"/>
      <c r="IQ246" s="334"/>
      <c r="IR246" s="334"/>
    </row>
    <row r="247" spans="1:252" x14ac:dyDescent="0.25">
      <c r="A247" s="364">
        <v>43892</v>
      </c>
      <c r="B247" s="345">
        <v>86.53</v>
      </c>
      <c r="C247" s="345">
        <v>27.29</v>
      </c>
      <c r="D247" s="345">
        <v>149.19999999999999</v>
      </c>
      <c r="E247" s="345">
        <v>74.650000000000006</v>
      </c>
      <c r="F247" s="345">
        <v>216.42</v>
      </c>
      <c r="G247" s="345">
        <v>15.56</v>
      </c>
      <c r="H247" s="345">
        <v>26.39</v>
      </c>
      <c r="I247" s="345">
        <v>94.2</v>
      </c>
      <c r="J247" s="345">
        <v>91.06</v>
      </c>
      <c r="K247" s="345">
        <v>283.87</v>
      </c>
      <c r="L247" s="345">
        <v>156.66999999999999</v>
      </c>
      <c r="M247" s="345">
        <v>93.48</v>
      </c>
      <c r="N247" s="345">
        <v>34.06</v>
      </c>
      <c r="O247" s="345">
        <v>13.3</v>
      </c>
      <c r="P247" s="345">
        <v>26.07</v>
      </c>
      <c r="Q247" s="345">
        <v>35.869999999999997</v>
      </c>
      <c r="R247" s="345">
        <v>33.369999999999997</v>
      </c>
      <c r="S247" s="345">
        <v>28.05</v>
      </c>
      <c r="T247" s="345">
        <v>26.58</v>
      </c>
      <c r="U247" s="345">
        <v>73.976100000000002</v>
      </c>
    </row>
    <row r="248" spans="1:252" x14ac:dyDescent="0.25">
      <c r="A248" s="385">
        <v>43893</v>
      </c>
      <c r="B248" s="345">
        <v>87.05</v>
      </c>
      <c r="C248" s="345">
        <v>28.68</v>
      </c>
      <c r="D248" s="345">
        <v>153.88999999999999</v>
      </c>
      <c r="E248" s="345">
        <v>73.08</v>
      </c>
      <c r="F248" s="345">
        <v>209.48</v>
      </c>
      <c r="G248" s="345">
        <v>16.02</v>
      </c>
      <c r="H248" s="345">
        <v>26.28</v>
      </c>
      <c r="I248" s="345">
        <v>95.7</v>
      </c>
      <c r="J248" s="345">
        <v>90.85</v>
      </c>
      <c r="K248" s="345">
        <v>276.04000000000002</v>
      </c>
      <c r="L248" s="345">
        <v>152.63</v>
      </c>
      <c r="M248" s="345">
        <v>89.93</v>
      </c>
      <c r="N248" s="345">
        <v>33.159999999999997</v>
      </c>
      <c r="O248" s="345">
        <v>13.72</v>
      </c>
      <c r="P248" s="345">
        <v>25.82</v>
      </c>
      <c r="Q248" s="345">
        <v>35.950000000000003</v>
      </c>
      <c r="R248" s="345">
        <v>33.11</v>
      </c>
      <c r="S248" s="345">
        <v>29.18</v>
      </c>
      <c r="T248" s="345">
        <v>26.91</v>
      </c>
      <c r="U248" s="345">
        <v>73.760000000000005</v>
      </c>
    </row>
    <row r="249" spans="1:252" x14ac:dyDescent="0.25">
      <c r="A249" s="364">
        <v>43894</v>
      </c>
      <c r="B249" s="345">
        <v>87.03</v>
      </c>
      <c r="C249" s="345">
        <v>29.13</v>
      </c>
      <c r="D249" s="345">
        <v>154.16</v>
      </c>
      <c r="E249" s="345">
        <v>75.34</v>
      </c>
      <c r="F249" s="345">
        <v>218.22</v>
      </c>
      <c r="G249" s="345">
        <v>16.09</v>
      </c>
      <c r="H249" s="345">
        <v>26.37</v>
      </c>
      <c r="I249" s="345">
        <v>94.74</v>
      </c>
      <c r="J249" s="345">
        <v>94.28</v>
      </c>
      <c r="K249" s="345">
        <v>287.48</v>
      </c>
      <c r="L249" s="345">
        <v>158.72999999999999</v>
      </c>
      <c r="M249" s="345">
        <v>93.79</v>
      </c>
      <c r="N249" s="345">
        <v>34.53</v>
      </c>
      <c r="O249" s="345">
        <v>13.75</v>
      </c>
      <c r="P249" s="345">
        <v>26.46</v>
      </c>
      <c r="Q249" s="345">
        <v>37.090000000000003</v>
      </c>
      <c r="R249" s="345">
        <v>33.78</v>
      </c>
      <c r="S249" s="345">
        <v>29.5</v>
      </c>
      <c r="T249" s="345">
        <v>26.89</v>
      </c>
      <c r="U249" s="345">
        <v>73.63</v>
      </c>
    </row>
    <row r="250" spans="1:252" x14ac:dyDescent="0.25">
      <c r="A250" s="385">
        <v>43895</v>
      </c>
      <c r="B250" s="345">
        <v>87.36</v>
      </c>
      <c r="C250" s="345">
        <v>29.82</v>
      </c>
      <c r="D250" s="345">
        <v>157.49</v>
      </c>
      <c r="E250" s="345">
        <v>72.650000000000006</v>
      </c>
      <c r="F250" s="345">
        <v>211.59</v>
      </c>
      <c r="G250" s="345">
        <v>16.3</v>
      </c>
      <c r="H250" s="345">
        <v>26.17</v>
      </c>
      <c r="I250" s="345">
        <v>96.95</v>
      </c>
      <c r="J250" s="345">
        <v>92.26</v>
      </c>
      <c r="K250" s="345">
        <v>277.85000000000002</v>
      </c>
      <c r="L250" s="345">
        <v>153.44</v>
      </c>
      <c r="M250" s="345">
        <v>90.83</v>
      </c>
      <c r="N250" s="345">
        <v>33.380000000000003</v>
      </c>
      <c r="O250" s="345">
        <v>14.03</v>
      </c>
      <c r="P250" s="345">
        <v>26</v>
      </c>
      <c r="Q250" s="345">
        <v>37</v>
      </c>
      <c r="R250" s="345">
        <v>33.33</v>
      </c>
      <c r="S250" s="345">
        <v>30.17</v>
      </c>
      <c r="T250" s="345">
        <v>27.11</v>
      </c>
      <c r="U250" s="345">
        <v>73.511799999999994</v>
      </c>
    </row>
    <row r="251" spans="1:252" x14ac:dyDescent="0.25">
      <c r="A251" s="364">
        <v>43896</v>
      </c>
      <c r="B251" s="345">
        <v>87.96</v>
      </c>
      <c r="C251" s="345">
        <v>29.41</v>
      </c>
      <c r="D251" s="345">
        <v>157.55000000000001</v>
      </c>
      <c r="E251" s="345">
        <v>71.349999999999994</v>
      </c>
      <c r="F251" s="345">
        <v>208.02</v>
      </c>
      <c r="G251" s="345">
        <v>16.18</v>
      </c>
      <c r="H251" s="345">
        <v>26.02</v>
      </c>
      <c r="I251" s="345">
        <v>101.71</v>
      </c>
      <c r="J251" s="345">
        <v>90.67</v>
      </c>
      <c r="K251" s="345">
        <v>273.19</v>
      </c>
      <c r="L251" s="345">
        <v>150.59</v>
      </c>
      <c r="M251" s="345">
        <v>88.91</v>
      </c>
      <c r="N251" s="345">
        <v>32.75</v>
      </c>
      <c r="O251" s="345">
        <v>13.97</v>
      </c>
      <c r="P251" s="345">
        <v>25.62</v>
      </c>
      <c r="Q251" s="345">
        <v>36.42</v>
      </c>
      <c r="R251" s="345">
        <v>32.57</v>
      </c>
      <c r="S251" s="345">
        <v>29.5</v>
      </c>
      <c r="T251" s="345">
        <v>27.34</v>
      </c>
      <c r="U251" s="345">
        <v>73.53</v>
      </c>
    </row>
    <row r="252" spans="1:252" s="368" customFormat="1" x14ac:dyDescent="0.25">
      <c r="A252" s="366">
        <v>43897</v>
      </c>
      <c r="B252" s="345">
        <v>87.96</v>
      </c>
      <c r="C252" s="345">
        <v>29.41</v>
      </c>
      <c r="D252" s="345">
        <v>157.55000000000001</v>
      </c>
      <c r="E252" s="345">
        <v>71.349999999999994</v>
      </c>
      <c r="F252" s="345">
        <v>208.02</v>
      </c>
      <c r="G252" s="345">
        <v>16.18</v>
      </c>
      <c r="H252" s="345">
        <v>26.02</v>
      </c>
      <c r="I252" s="345">
        <v>101.71</v>
      </c>
      <c r="J252" s="345">
        <v>90.67</v>
      </c>
      <c r="K252" s="345">
        <v>273.19</v>
      </c>
      <c r="L252" s="345">
        <v>150.59</v>
      </c>
      <c r="M252" s="345">
        <v>88.91</v>
      </c>
      <c r="N252" s="345">
        <v>32.75</v>
      </c>
      <c r="O252" s="345">
        <v>13.97</v>
      </c>
      <c r="P252" s="345">
        <v>25.62</v>
      </c>
      <c r="Q252" s="345">
        <v>36.42</v>
      </c>
      <c r="R252" s="345">
        <v>32.57</v>
      </c>
      <c r="S252" s="345">
        <v>29.5</v>
      </c>
      <c r="T252" s="345">
        <v>27.34</v>
      </c>
      <c r="U252" s="345">
        <v>73.53</v>
      </c>
      <c r="V252" s="334"/>
      <c r="W252" s="334"/>
      <c r="X252" s="334"/>
      <c r="Y252" s="334"/>
      <c r="Z252" s="334"/>
      <c r="AA252" s="334"/>
      <c r="AB252" s="334"/>
      <c r="AC252" s="334"/>
      <c r="AD252" s="334"/>
      <c r="AE252" s="334"/>
      <c r="AF252" s="334"/>
      <c r="AG252" s="334"/>
      <c r="AH252" s="334"/>
      <c r="AI252" s="334"/>
      <c r="AJ252" s="334"/>
      <c r="AK252" s="334"/>
      <c r="AL252" s="334"/>
      <c r="AM252" s="334"/>
      <c r="AN252" s="334"/>
      <c r="AO252" s="334"/>
      <c r="AP252" s="334"/>
      <c r="AQ252" s="334"/>
      <c r="AR252" s="334"/>
      <c r="AS252" s="334"/>
      <c r="AT252" s="334"/>
      <c r="AU252" s="334"/>
      <c r="AV252" s="334"/>
      <c r="AW252" s="334"/>
      <c r="AX252" s="334"/>
      <c r="AY252" s="334"/>
      <c r="AZ252" s="334"/>
      <c r="BA252" s="334"/>
      <c r="BB252" s="334"/>
      <c r="BC252" s="334"/>
      <c r="BD252" s="334"/>
      <c r="BE252" s="334"/>
      <c r="BF252" s="334"/>
      <c r="BG252" s="334"/>
      <c r="BH252" s="334"/>
      <c r="BI252" s="334"/>
      <c r="BJ252" s="334"/>
      <c r="BK252" s="334"/>
      <c r="BL252" s="334"/>
      <c r="BM252" s="334"/>
      <c r="BN252" s="334"/>
      <c r="BO252" s="334"/>
      <c r="BP252" s="334"/>
      <c r="BQ252" s="334"/>
      <c r="BR252" s="334"/>
      <c r="BS252" s="334"/>
      <c r="BT252" s="334"/>
      <c r="BU252" s="334"/>
      <c r="BV252" s="334"/>
      <c r="BW252" s="334"/>
      <c r="BX252" s="334"/>
      <c r="BY252" s="334"/>
      <c r="BZ252" s="334"/>
      <c r="CA252" s="334"/>
      <c r="CB252" s="334"/>
      <c r="CC252" s="334"/>
      <c r="CD252" s="334"/>
      <c r="CE252" s="334"/>
      <c r="CF252" s="334"/>
      <c r="CG252" s="334"/>
      <c r="CH252" s="334"/>
      <c r="CI252" s="334"/>
      <c r="CJ252" s="334"/>
      <c r="CK252" s="334"/>
      <c r="CL252" s="334"/>
      <c r="CM252" s="334"/>
      <c r="CN252" s="334"/>
      <c r="CO252" s="334"/>
      <c r="CP252" s="334"/>
      <c r="CQ252" s="334"/>
      <c r="CR252" s="334"/>
      <c r="CS252" s="334"/>
      <c r="CT252" s="334"/>
      <c r="CU252" s="334"/>
      <c r="CV252" s="334"/>
      <c r="CW252" s="334"/>
      <c r="CX252" s="334"/>
      <c r="CY252" s="334"/>
      <c r="CZ252" s="334"/>
      <c r="DA252" s="334"/>
      <c r="DB252" s="334"/>
      <c r="DC252" s="334"/>
      <c r="DD252" s="334"/>
      <c r="DE252" s="334"/>
      <c r="DF252" s="334"/>
      <c r="DG252" s="334"/>
      <c r="DH252" s="334"/>
      <c r="DI252" s="334"/>
      <c r="DJ252" s="334"/>
      <c r="DK252" s="334"/>
      <c r="DL252" s="334"/>
      <c r="DM252" s="334"/>
      <c r="DN252" s="334"/>
      <c r="DO252" s="334"/>
      <c r="DP252" s="334"/>
      <c r="DQ252" s="334"/>
      <c r="DR252" s="334"/>
      <c r="DS252" s="334"/>
      <c r="DT252" s="334"/>
      <c r="DU252" s="334"/>
      <c r="DV252" s="334"/>
      <c r="DW252" s="334"/>
      <c r="DX252" s="334"/>
      <c r="DY252" s="334"/>
      <c r="DZ252" s="334"/>
      <c r="EA252" s="334"/>
      <c r="EB252" s="334"/>
      <c r="EC252" s="334"/>
      <c r="ED252" s="334"/>
      <c r="EE252" s="334"/>
      <c r="EF252" s="334"/>
      <c r="EG252" s="334"/>
      <c r="EH252" s="334"/>
      <c r="EI252" s="334"/>
      <c r="EJ252" s="334"/>
      <c r="EK252" s="334"/>
      <c r="EL252" s="334"/>
      <c r="EM252" s="334"/>
      <c r="EN252" s="334"/>
      <c r="EO252" s="334"/>
      <c r="EP252" s="334"/>
      <c r="EQ252" s="334"/>
      <c r="ER252" s="334"/>
      <c r="ES252" s="334"/>
      <c r="ET252" s="334"/>
      <c r="EU252" s="334"/>
      <c r="EV252" s="334"/>
      <c r="EW252" s="334"/>
      <c r="EX252" s="334"/>
      <c r="EY252" s="334"/>
      <c r="EZ252" s="334"/>
      <c r="FA252" s="334"/>
      <c r="FB252" s="334"/>
      <c r="FC252" s="334"/>
      <c r="FD252" s="334"/>
      <c r="FE252" s="334"/>
      <c r="FF252" s="334"/>
      <c r="FG252" s="334"/>
      <c r="FH252" s="334"/>
      <c r="FI252" s="334"/>
      <c r="FJ252" s="334"/>
      <c r="FK252" s="334"/>
      <c r="FL252" s="334"/>
      <c r="FM252" s="334"/>
      <c r="FN252" s="334"/>
      <c r="FO252" s="334"/>
      <c r="FP252" s="334"/>
      <c r="FQ252" s="334"/>
      <c r="FR252" s="334"/>
      <c r="FS252" s="334"/>
      <c r="FT252" s="334"/>
      <c r="FU252" s="334"/>
      <c r="FV252" s="334"/>
      <c r="FW252" s="334"/>
      <c r="FX252" s="334"/>
      <c r="FY252" s="334"/>
      <c r="FZ252" s="334"/>
      <c r="GA252" s="334"/>
      <c r="GB252" s="334"/>
      <c r="GC252" s="334"/>
      <c r="GD252" s="334"/>
      <c r="GE252" s="334"/>
      <c r="GF252" s="334"/>
      <c r="GG252" s="334"/>
      <c r="GH252" s="334"/>
      <c r="GI252" s="334"/>
      <c r="GJ252" s="334"/>
      <c r="GK252" s="334"/>
      <c r="GL252" s="334"/>
      <c r="GM252" s="334"/>
      <c r="GN252" s="334"/>
      <c r="GO252" s="334"/>
      <c r="GP252" s="334"/>
      <c r="GQ252" s="334"/>
      <c r="GR252" s="334"/>
      <c r="GS252" s="334"/>
      <c r="GT252" s="334"/>
      <c r="GU252" s="334"/>
      <c r="GV252" s="334"/>
      <c r="GW252" s="334"/>
      <c r="GX252" s="334"/>
      <c r="GY252" s="334"/>
      <c r="GZ252" s="334"/>
      <c r="HA252" s="334"/>
      <c r="HB252" s="334"/>
      <c r="HC252" s="334"/>
      <c r="HD252" s="334"/>
      <c r="HE252" s="334"/>
      <c r="HF252" s="334"/>
      <c r="HG252" s="334"/>
      <c r="HH252" s="334"/>
      <c r="HI252" s="334"/>
      <c r="HJ252" s="334"/>
      <c r="HK252" s="334"/>
      <c r="HL252" s="334"/>
      <c r="HM252" s="334"/>
      <c r="HN252" s="334"/>
      <c r="HO252" s="334"/>
      <c r="HP252" s="334"/>
      <c r="HQ252" s="334"/>
      <c r="HR252" s="334"/>
      <c r="HS252" s="334"/>
      <c r="HT252" s="334"/>
      <c r="HU252" s="334"/>
      <c r="HV252" s="334"/>
      <c r="HW252" s="334"/>
      <c r="HX252" s="334"/>
      <c r="HY252" s="334"/>
      <c r="HZ252" s="334"/>
      <c r="IA252" s="334"/>
      <c r="IB252" s="334"/>
      <c r="IC252" s="334"/>
      <c r="ID252" s="334"/>
      <c r="IE252" s="334"/>
      <c r="IF252" s="334"/>
      <c r="IG252" s="334"/>
      <c r="IH252" s="334"/>
      <c r="II252" s="334"/>
      <c r="IJ252" s="334"/>
      <c r="IK252" s="334"/>
      <c r="IL252" s="334"/>
      <c r="IM252" s="334"/>
      <c r="IN252" s="334"/>
      <c r="IO252" s="334"/>
      <c r="IP252" s="334"/>
      <c r="IQ252" s="334"/>
      <c r="IR252" s="334"/>
    </row>
    <row r="253" spans="1:252" s="368" customFormat="1" x14ac:dyDescent="0.25">
      <c r="A253" s="366">
        <v>43898</v>
      </c>
      <c r="B253" s="345">
        <v>87.96</v>
      </c>
      <c r="C253" s="345">
        <v>29.41</v>
      </c>
      <c r="D253" s="345">
        <v>157.55000000000001</v>
      </c>
      <c r="E253" s="345">
        <v>71.349999999999994</v>
      </c>
      <c r="F253" s="345">
        <v>208.02</v>
      </c>
      <c r="G253" s="345">
        <v>16.18</v>
      </c>
      <c r="H253" s="345">
        <v>26.02</v>
      </c>
      <c r="I253" s="345">
        <v>101.71</v>
      </c>
      <c r="J253" s="345">
        <v>90.67</v>
      </c>
      <c r="K253" s="345">
        <v>273.19</v>
      </c>
      <c r="L253" s="345">
        <v>150.59</v>
      </c>
      <c r="M253" s="345">
        <v>88.91</v>
      </c>
      <c r="N253" s="345">
        <v>32.75</v>
      </c>
      <c r="O253" s="345">
        <v>13.97</v>
      </c>
      <c r="P253" s="345">
        <v>25.62</v>
      </c>
      <c r="Q253" s="345">
        <v>36.42</v>
      </c>
      <c r="R253" s="345">
        <v>32.57</v>
      </c>
      <c r="S253" s="345">
        <v>29.5</v>
      </c>
      <c r="T253" s="345">
        <v>27.34</v>
      </c>
      <c r="U253" s="345">
        <v>73.53</v>
      </c>
      <c r="V253" s="334"/>
      <c r="W253" s="334"/>
      <c r="X253" s="334"/>
      <c r="Y253" s="334"/>
      <c r="Z253" s="334"/>
      <c r="AA253" s="334"/>
      <c r="AB253" s="334"/>
      <c r="AC253" s="334"/>
      <c r="AD253" s="334"/>
      <c r="AE253" s="334"/>
      <c r="AF253" s="334"/>
      <c r="AG253" s="334"/>
      <c r="AH253" s="334"/>
      <c r="AI253" s="334"/>
      <c r="AJ253" s="334"/>
      <c r="AK253" s="334"/>
      <c r="AL253" s="334"/>
      <c r="AM253" s="334"/>
      <c r="AN253" s="334"/>
      <c r="AO253" s="334"/>
      <c r="AP253" s="334"/>
      <c r="AQ253" s="334"/>
      <c r="AR253" s="334"/>
      <c r="AS253" s="334"/>
      <c r="AT253" s="334"/>
      <c r="AU253" s="334"/>
      <c r="AV253" s="334"/>
      <c r="AW253" s="334"/>
      <c r="AX253" s="334"/>
      <c r="AY253" s="334"/>
      <c r="AZ253" s="334"/>
      <c r="BA253" s="334"/>
      <c r="BB253" s="334"/>
      <c r="BC253" s="334"/>
      <c r="BD253" s="334"/>
      <c r="BE253" s="334"/>
      <c r="BF253" s="334"/>
      <c r="BG253" s="334"/>
      <c r="BH253" s="334"/>
      <c r="BI253" s="334"/>
      <c r="BJ253" s="334"/>
      <c r="BK253" s="334"/>
      <c r="BL253" s="334"/>
      <c r="BM253" s="334"/>
      <c r="BN253" s="334"/>
      <c r="BO253" s="334"/>
      <c r="BP253" s="334"/>
      <c r="BQ253" s="334"/>
      <c r="BR253" s="334"/>
      <c r="BS253" s="334"/>
      <c r="BT253" s="334"/>
      <c r="BU253" s="334"/>
      <c r="BV253" s="334"/>
      <c r="BW253" s="334"/>
      <c r="BX253" s="334"/>
      <c r="BY253" s="334"/>
      <c r="BZ253" s="334"/>
      <c r="CA253" s="334"/>
      <c r="CB253" s="334"/>
      <c r="CC253" s="334"/>
      <c r="CD253" s="334"/>
      <c r="CE253" s="334"/>
      <c r="CF253" s="334"/>
      <c r="CG253" s="334"/>
      <c r="CH253" s="334"/>
      <c r="CI253" s="334"/>
      <c r="CJ253" s="334"/>
      <c r="CK253" s="334"/>
      <c r="CL253" s="334"/>
      <c r="CM253" s="334"/>
      <c r="CN253" s="334"/>
      <c r="CO253" s="334"/>
      <c r="CP253" s="334"/>
      <c r="CQ253" s="334"/>
      <c r="CR253" s="334"/>
      <c r="CS253" s="334"/>
      <c r="CT253" s="334"/>
      <c r="CU253" s="334"/>
      <c r="CV253" s="334"/>
      <c r="CW253" s="334"/>
      <c r="CX253" s="334"/>
      <c r="CY253" s="334"/>
      <c r="CZ253" s="334"/>
      <c r="DA253" s="334"/>
      <c r="DB253" s="334"/>
      <c r="DC253" s="334"/>
      <c r="DD253" s="334"/>
      <c r="DE253" s="334"/>
      <c r="DF253" s="334"/>
      <c r="DG253" s="334"/>
      <c r="DH253" s="334"/>
      <c r="DI253" s="334"/>
      <c r="DJ253" s="334"/>
      <c r="DK253" s="334"/>
      <c r="DL253" s="334"/>
      <c r="DM253" s="334"/>
      <c r="DN253" s="334"/>
      <c r="DO253" s="334"/>
      <c r="DP253" s="334"/>
      <c r="DQ253" s="334"/>
      <c r="DR253" s="334"/>
      <c r="DS253" s="334"/>
      <c r="DT253" s="334"/>
      <c r="DU253" s="334"/>
      <c r="DV253" s="334"/>
      <c r="DW253" s="334"/>
      <c r="DX253" s="334"/>
      <c r="DY253" s="334"/>
      <c r="DZ253" s="334"/>
      <c r="EA253" s="334"/>
      <c r="EB253" s="334"/>
      <c r="EC253" s="334"/>
      <c r="ED253" s="334"/>
      <c r="EE253" s="334"/>
      <c r="EF253" s="334"/>
      <c r="EG253" s="334"/>
      <c r="EH253" s="334"/>
      <c r="EI253" s="334"/>
      <c r="EJ253" s="334"/>
      <c r="EK253" s="334"/>
      <c r="EL253" s="334"/>
      <c r="EM253" s="334"/>
      <c r="EN253" s="334"/>
      <c r="EO253" s="334"/>
      <c r="EP253" s="334"/>
      <c r="EQ253" s="334"/>
      <c r="ER253" s="334"/>
      <c r="ES253" s="334"/>
      <c r="ET253" s="334"/>
      <c r="EU253" s="334"/>
      <c r="EV253" s="334"/>
      <c r="EW253" s="334"/>
      <c r="EX253" s="334"/>
      <c r="EY253" s="334"/>
      <c r="EZ253" s="334"/>
      <c r="FA253" s="334"/>
      <c r="FB253" s="334"/>
      <c r="FC253" s="334"/>
      <c r="FD253" s="334"/>
      <c r="FE253" s="334"/>
      <c r="FF253" s="334"/>
      <c r="FG253" s="334"/>
      <c r="FH253" s="334"/>
      <c r="FI253" s="334"/>
      <c r="FJ253" s="334"/>
      <c r="FK253" s="334"/>
      <c r="FL253" s="334"/>
      <c r="FM253" s="334"/>
      <c r="FN253" s="334"/>
      <c r="FO253" s="334"/>
      <c r="FP253" s="334"/>
      <c r="FQ253" s="334"/>
      <c r="FR253" s="334"/>
      <c r="FS253" s="334"/>
      <c r="FT253" s="334"/>
      <c r="FU253" s="334"/>
      <c r="FV253" s="334"/>
      <c r="FW253" s="334"/>
      <c r="FX253" s="334"/>
      <c r="FY253" s="334"/>
      <c r="FZ253" s="334"/>
      <c r="GA253" s="334"/>
      <c r="GB253" s="334"/>
      <c r="GC253" s="334"/>
      <c r="GD253" s="334"/>
      <c r="GE253" s="334"/>
      <c r="GF253" s="334"/>
      <c r="GG253" s="334"/>
      <c r="GH253" s="334"/>
      <c r="GI253" s="334"/>
      <c r="GJ253" s="334"/>
      <c r="GK253" s="334"/>
      <c r="GL253" s="334"/>
      <c r="GM253" s="334"/>
      <c r="GN253" s="334"/>
      <c r="GO253" s="334"/>
      <c r="GP253" s="334"/>
      <c r="GQ253" s="334"/>
      <c r="GR253" s="334"/>
      <c r="GS253" s="334"/>
      <c r="GT253" s="334"/>
      <c r="GU253" s="334"/>
      <c r="GV253" s="334"/>
      <c r="GW253" s="334"/>
      <c r="GX253" s="334"/>
      <c r="GY253" s="334"/>
      <c r="GZ253" s="334"/>
      <c r="HA253" s="334"/>
      <c r="HB253" s="334"/>
      <c r="HC253" s="334"/>
      <c r="HD253" s="334"/>
      <c r="HE253" s="334"/>
      <c r="HF253" s="334"/>
      <c r="HG253" s="334"/>
      <c r="HH253" s="334"/>
      <c r="HI253" s="334"/>
      <c r="HJ253" s="334"/>
      <c r="HK253" s="334"/>
      <c r="HL253" s="334"/>
      <c r="HM253" s="334"/>
      <c r="HN253" s="334"/>
      <c r="HO253" s="334"/>
      <c r="HP253" s="334"/>
      <c r="HQ253" s="334"/>
      <c r="HR253" s="334"/>
      <c r="HS253" s="334"/>
      <c r="HT253" s="334"/>
      <c r="HU253" s="334"/>
      <c r="HV253" s="334"/>
      <c r="HW253" s="334"/>
      <c r="HX253" s="334"/>
      <c r="HY253" s="334"/>
      <c r="HZ253" s="334"/>
      <c r="IA253" s="334"/>
      <c r="IB253" s="334"/>
      <c r="IC253" s="334"/>
      <c r="ID253" s="334"/>
      <c r="IE253" s="334"/>
      <c r="IF253" s="334"/>
      <c r="IG253" s="334"/>
      <c r="IH253" s="334"/>
      <c r="II253" s="334"/>
      <c r="IJ253" s="334"/>
      <c r="IK253" s="334"/>
      <c r="IL253" s="334"/>
      <c r="IM253" s="334"/>
      <c r="IN253" s="334"/>
      <c r="IO253" s="334"/>
      <c r="IP253" s="334"/>
      <c r="IQ253" s="334"/>
      <c r="IR253" s="334"/>
    </row>
    <row r="254" spans="1:252" x14ac:dyDescent="0.25">
      <c r="A254" s="385">
        <v>43899</v>
      </c>
      <c r="B254" s="345">
        <v>87.77</v>
      </c>
      <c r="C254" s="345">
        <v>27.31</v>
      </c>
      <c r="D254" s="345">
        <v>157.81</v>
      </c>
      <c r="E254" s="345">
        <v>64.37</v>
      </c>
      <c r="F254" s="345">
        <v>193.57</v>
      </c>
      <c r="G254" s="345">
        <v>15.88</v>
      </c>
      <c r="H254" s="345">
        <v>25.74</v>
      </c>
      <c r="I254" s="345">
        <v>105.03</v>
      </c>
      <c r="J254" s="345">
        <v>83.68</v>
      </c>
      <c r="K254" s="345">
        <v>252.11</v>
      </c>
      <c r="L254" s="345">
        <v>138.5</v>
      </c>
      <c r="M254" s="345">
        <v>82.16</v>
      </c>
      <c r="N254" s="345">
        <v>30.2</v>
      </c>
      <c r="O254" s="345">
        <v>14.05</v>
      </c>
      <c r="P254" s="345">
        <v>24.13</v>
      </c>
      <c r="Q254" s="345">
        <v>34.15</v>
      </c>
      <c r="R254" s="345">
        <v>29.14</v>
      </c>
      <c r="S254" s="345">
        <v>28.1</v>
      </c>
      <c r="T254" s="345">
        <v>27.25</v>
      </c>
      <c r="U254" s="345">
        <v>72.180000000000007</v>
      </c>
    </row>
    <row r="255" spans="1:252" x14ac:dyDescent="0.25">
      <c r="A255" s="364">
        <v>43900</v>
      </c>
      <c r="B255" s="345">
        <v>86.59</v>
      </c>
      <c r="C255" s="345">
        <v>27.49</v>
      </c>
      <c r="D255" s="345">
        <v>154.47999999999999</v>
      </c>
      <c r="E255" s="345">
        <v>66.28</v>
      </c>
      <c r="F255" s="345">
        <v>204.11</v>
      </c>
      <c r="G255" s="345">
        <v>15.73</v>
      </c>
      <c r="H255" s="345">
        <v>26.12</v>
      </c>
      <c r="I255" s="345">
        <v>100.07</v>
      </c>
      <c r="J255" s="345">
        <v>86.54</v>
      </c>
      <c r="K255" s="345">
        <v>263.81</v>
      </c>
      <c r="L255" s="345">
        <v>145.37</v>
      </c>
      <c r="M255" s="345">
        <v>87.64</v>
      </c>
      <c r="N255" s="345">
        <v>31.75</v>
      </c>
      <c r="O255" s="345">
        <v>13.78</v>
      </c>
      <c r="P255" s="345">
        <v>24.97</v>
      </c>
      <c r="Q255" s="345">
        <v>34.36</v>
      </c>
      <c r="R255" s="345">
        <v>30.05</v>
      </c>
      <c r="S255" s="345">
        <v>28.1</v>
      </c>
      <c r="T255" s="345">
        <v>27.37</v>
      </c>
      <c r="U255" s="345">
        <v>71.77</v>
      </c>
    </row>
    <row r="256" spans="1:252" x14ac:dyDescent="0.25">
      <c r="A256" s="385">
        <v>43901</v>
      </c>
      <c r="B256" s="345">
        <v>84.95</v>
      </c>
      <c r="C256" s="345">
        <v>25.17</v>
      </c>
      <c r="D256" s="345">
        <v>153.93</v>
      </c>
      <c r="E256" s="345">
        <v>62.31</v>
      </c>
      <c r="F256" s="345">
        <v>195.22</v>
      </c>
      <c r="G256" s="345">
        <v>15.63</v>
      </c>
      <c r="H256" s="345">
        <v>26.16</v>
      </c>
      <c r="I256" s="345">
        <v>97.38</v>
      </c>
      <c r="J256" s="345">
        <v>81.34</v>
      </c>
      <c r="K256" s="345">
        <v>250.73</v>
      </c>
      <c r="L256" s="345">
        <v>138.01</v>
      </c>
      <c r="M256" s="345">
        <v>83.5</v>
      </c>
      <c r="N256" s="345">
        <v>30.16</v>
      </c>
      <c r="O256" s="345">
        <v>13.74</v>
      </c>
      <c r="P256" s="345">
        <v>23.85</v>
      </c>
      <c r="Q256" s="345">
        <v>32.700000000000003</v>
      </c>
      <c r="R256" s="345">
        <v>28.65</v>
      </c>
      <c r="S256" s="345">
        <v>26.2</v>
      </c>
      <c r="T256" s="345">
        <v>26.8</v>
      </c>
      <c r="U256" s="345">
        <v>71.760000000000005</v>
      </c>
    </row>
    <row r="257" spans="1:21" x14ac:dyDescent="0.25">
      <c r="A257" s="364">
        <v>43902</v>
      </c>
      <c r="B257" s="345">
        <v>80.33</v>
      </c>
      <c r="C257" s="345">
        <v>22.31</v>
      </c>
      <c r="D257" s="345">
        <v>147.79</v>
      </c>
      <c r="E257" s="345">
        <v>55.24</v>
      </c>
      <c r="F257" s="345">
        <v>177.32</v>
      </c>
      <c r="G257" s="345">
        <v>14.62</v>
      </c>
      <c r="H257" s="345">
        <v>26.44</v>
      </c>
      <c r="I257" s="345">
        <v>96.135000000000005</v>
      </c>
      <c r="J257" s="345">
        <v>73.099999999999994</v>
      </c>
      <c r="K257" s="345">
        <v>226.48</v>
      </c>
      <c r="L257" s="345">
        <v>124.59</v>
      </c>
      <c r="M257" s="345">
        <v>75.349999999999994</v>
      </c>
      <c r="N257" s="345">
        <v>27.05</v>
      </c>
      <c r="O257" s="345">
        <v>13.13</v>
      </c>
      <c r="P257" s="345">
        <v>21.91</v>
      </c>
      <c r="Q257" s="345">
        <v>29.75</v>
      </c>
      <c r="R257" s="345">
        <v>25.23</v>
      </c>
      <c r="S257" s="345">
        <v>23.48</v>
      </c>
      <c r="T257" s="345">
        <v>25.7</v>
      </c>
      <c r="U257" s="345">
        <v>71.12</v>
      </c>
    </row>
    <row r="258" spans="1:21" x14ac:dyDescent="0.25">
      <c r="A258" s="385">
        <v>43903</v>
      </c>
      <c r="B258" s="345">
        <v>83.72</v>
      </c>
      <c r="C258" s="345">
        <v>19</v>
      </c>
      <c r="D258" s="345">
        <v>143.28</v>
      </c>
      <c r="E258" s="345">
        <v>59.48</v>
      </c>
      <c r="F258" s="345">
        <v>192.34</v>
      </c>
      <c r="G258" s="345">
        <v>13.69</v>
      </c>
      <c r="H258" s="345">
        <v>27.44</v>
      </c>
      <c r="I258" s="345">
        <v>94.8</v>
      </c>
      <c r="J258" s="345">
        <v>79.48</v>
      </c>
      <c r="K258" s="345">
        <v>247.64</v>
      </c>
      <c r="L258" s="345">
        <v>135.93</v>
      </c>
      <c r="M258" s="345">
        <v>84.19</v>
      </c>
      <c r="N258" s="345">
        <v>29.73</v>
      </c>
      <c r="O258" s="345">
        <v>12.71</v>
      </c>
      <c r="P258" s="345">
        <v>23.29</v>
      </c>
      <c r="Q258" s="345">
        <v>30.655000000000001</v>
      </c>
      <c r="R258" s="345">
        <v>27.59</v>
      </c>
      <c r="S258" s="345">
        <v>21.12</v>
      </c>
      <c r="T258" s="345">
        <v>25.53</v>
      </c>
      <c r="U258" s="345">
        <v>71.297300000000007</v>
      </c>
    </row>
    <row r="259" spans="1:21" s="368" customFormat="1" x14ac:dyDescent="0.25">
      <c r="A259" s="366">
        <v>43904</v>
      </c>
      <c r="B259" s="345">
        <v>83.72</v>
      </c>
      <c r="C259" s="345">
        <v>19</v>
      </c>
      <c r="D259" s="345">
        <v>143.28</v>
      </c>
      <c r="E259" s="345">
        <v>59.48</v>
      </c>
      <c r="F259" s="345">
        <v>192.34</v>
      </c>
      <c r="G259" s="345">
        <v>13.69</v>
      </c>
      <c r="H259" s="345">
        <v>27.44</v>
      </c>
      <c r="I259" s="345">
        <v>94.8</v>
      </c>
      <c r="J259" s="345">
        <v>79.48</v>
      </c>
      <c r="K259" s="345">
        <v>247.64</v>
      </c>
      <c r="L259" s="345">
        <v>135.93</v>
      </c>
      <c r="M259" s="345">
        <v>84.19</v>
      </c>
      <c r="N259" s="345">
        <v>29.73</v>
      </c>
      <c r="O259" s="345">
        <v>12.71</v>
      </c>
      <c r="P259" s="345">
        <v>23.29</v>
      </c>
      <c r="Q259" s="345">
        <v>30.655000000000001</v>
      </c>
      <c r="R259" s="345">
        <v>27.59</v>
      </c>
      <c r="S259" s="345">
        <v>21.12</v>
      </c>
      <c r="T259" s="345">
        <v>25.53</v>
      </c>
      <c r="U259" s="345">
        <v>71.297300000000007</v>
      </c>
    </row>
    <row r="260" spans="1:21" s="368" customFormat="1" x14ac:dyDescent="0.25">
      <c r="A260" s="366">
        <v>43905</v>
      </c>
      <c r="B260" s="345">
        <v>83.72</v>
      </c>
      <c r="C260" s="345">
        <v>19</v>
      </c>
      <c r="D260" s="345">
        <v>143.28</v>
      </c>
      <c r="E260" s="345">
        <v>59.48</v>
      </c>
      <c r="F260" s="345">
        <v>192.34</v>
      </c>
      <c r="G260" s="345">
        <v>13.69</v>
      </c>
      <c r="H260" s="345">
        <v>27.44</v>
      </c>
      <c r="I260" s="345">
        <v>94.8</v>
      </c>
      <c r="J260" s="345">
        <v>79.48</v>
      </c>
      <c r="K260" s="345">
        <v>247.64</v>
      </c>
      <c r="L260" s="345">
        <v>135.93</v>
      </c>
      <c r="M260" s="345">
        <v>84.19</v>
      </c>
      <c r="N260" s="345">
        <v>29.73</v>
      </c>
      <c r="O260" s="345">
        <v>12.71</v>
      </c>
      <c r="P260" s="345">
        <v>23.29</v>
      </c>
      <c r="Q260" s="345">
        <v>30.655000000000001</v>
      </c>
      <c r="R260" s="345">
        <v>27.59</v>
      </c>
      <c r="S260" s="345">
        <v>21.12</v>
      </c>
      <c r="T260" s="345">
        <v>25.53</v>
      </c>
      <c r="U260" s="345">
        <v>71.297300000000007</v>
      </c>
    </row>
    <row r="261" spans="1:21" x14ac:dyDescent="0.25">
      <c r="A261" s="364">
        <v>43906</v>
      </c>
      <c r="B261" s="345">
        <v>84.6</v>
      </c>
      <c r="C261" s="345">
        <v>22.49</v>
      </c>
      <c r="D261" s="345">
        <v>141.63999999999999</v>
      </c>
      <c r="E261" s="345">
        <v>52.48</v>
      </c>
      <c r="F261" s="345">
        <v>169.3</v>
      </c>
      <c r="G261" s="345">
        <v>12</v>
      </c>
      <c r="H261" s="345">
        <v>26.56</v>
      </c>
      <c r="I261" s="345">
        <v>100.5</v>
      </c>
      <c r="J261" s="345">
        <v>65.39</v>
      </c>
      <c r="K261" s="345">
        <v>218.57</v>
      </c>
      <c r="L261" s="345">
        <v>120.46</v>
      </c>
      <c r="M261" s="345">
        <v>72.56</v>
      </c>
      <c r="N261" s="345">
        <v>26.05</v>
      </c>
      <c r="O261" s="345">
        <v>12.55</v>
      </c>
      <c r="P261" s="345">
        <v>21.19</v>
      </c>
      <c r="Q261" s="345">
        <v>26.95</v>
      </c>
      <c r="R261" s="345">
        <v>24.91</v>
      </c>
      <c r="S261" s="345">
        <v>23.4</v>
      </c>
      <c r="T261" s="345">
        <v>24.67</v>
      </c>
      <c r="U261" s="345">
        <v>70.5</v>
      </c>
    </row>
    <row r="262" spans="1:21" x14ac:dyDescent="0.25">
      <c r="A262" s="385">
        <v>43907</v>
      </c>
      <c r="B262" s="345">
        <v>82.85</v>
      </c>
      <c r="C262" s="345">
        <v>25.5</v>
      </c>
      <c r="D262" s="345">
        <v>143.56</v>
      </c>
      <c r="E262" s="345">
        <v>55.11</v>
      </c>
      <c r="F262" s="345">
        <v>182.14</v>
      </c>
      <c r="G262" s="345">
        <v>11.88</v>
      </c>
      <c r="H262" s="345">
        <v>27.03</v>
      </c>
      <c r="I262" s="345">
        <v>93.89</v>
      </c>
      <c r="J262" s="345">
        <v>69.17</v>
      </c>
      <c r="K262" s="345">
        <v>232.88</v>
      </c>
      <c r="L262" s="345">
        <v>126.5</v>
      </c>
      <c r="M262" s="345">
        <v>77.5</v>
      </c>
      <c r="N262" s="345">
        <v>27.61</v>
      </c>
      <c r="O262" s="345">
        <v>12.74</v>
      </c>
      <c r="P262" s="345">
        <v>22.11</v>
      </c>
      <c r="Q262" s="345">
        <v>26.65</v>
      </c>
      <c r="R262" s="345">
        <v>25.6</v>
      </c>
      <c r="S262" s="345">
        <v>26.32</v>
      </c>
      <c r="T262" s="345">
        <v>25.08</v>
      </c>
      <c r="U262" s="345">
        <v>69.290000000000006</v>
      </c>
    </row>
    <row r="263" spans="1:21" x14ac:dyDescent="0.25">
      <c r="A263" s="364">
        <v>43908</v>
      </c>
      <c r="B263" s="345">
        <v>80.849999999999994</v>
      </c>
      <c r="C263" s="345">
        <v>19.68</v>
      </c>
      <c r="D263" s="345">
        <v>140.69999999999999</v>
      </c>
      <c r="E263" s="345">
        <v>50</v>
      </c>
      <c r="F263" s="345">
        <v>176.6</v>
      </c>
      <c r="G263" s="345">
        <v>11.21</v>
      </c>
      <c r="H263" s="345">
        <v>27.44</v>
      </c>
      <c r="I263" s="345">
        <v>90.11</v>
      </c>
      <c r="J263" s="345">
        <v>62.59</v>
      </c>
      <c r="K263" s="345">
        <v>220.15</v>
      </c>
      <c r="L263" s="345">
        <v>119.21</v>
      </c>
      <c r="M263" s="345">
        <v>74.58</v>
      </c>
      <c r="N263" s="345">
        <v>26.14</v>
      </c>
      <c r="O263" s="345">
        <v>12.36</v>
      </c>
      <c r="P263" s="345">
        <v>21.5</v>
      </c>
      <c r="Q263" s="345">
        <v>23</v>
      </c>
      <c r="R263" s="345">
        <v>23.79</v>
      </c>
      <c r="S263" s="345">
        <v>23.25</v>
      </c>
      <c r="T263" s="345">
        <v>23.61</v>
      </c>
      <c r="U263" s="345">
        <v>68.37</v>
      </c>
    </row>
    <row r="264" spans="1:21" x14ac:dyDescent="0.25">
      <c r="A264" s="385">
        <v>43909</v>
      </c>
      <c r="B264" s="345">
        <v>80.8</v>
      </c>
      <c r="C264" s="345">
        <v>21.27</v>
      </c>
      <c r="D264" s="345">
        <v>138.04</v>
      </c>
      <c r="E264" s="345">
        <v>51.72</v>
      </c>
      <c r="F264" s="345">
        <v>177.66</v>
      </c>
      <c r="G264" s="345">
        <v>11.32</v>
      </c>
      <c r="H264" s="345">
        <v>28.09</v>
      </c>
      <c r="I264" s="345">
        <v>91.01</v>
      </c>
      <c r="J264" s="345">
        <v>62.81</v>
      </c>
      <c r="K264" s="345">
        <v>220.34</v>
      </c>
      <c r="L264" s="345">
        <v>120.09</v>
      </c>
      <c r="M264" s="345">
        <v>74.849999999999994</v>
      </c>
      <c r="N264" s="345">
        <v>26.15</v>
      </c>
      <c r="O264" s="345">
        <v>12.16</v>
      </c>
      <c r="P264" s="345">
        <v>21.52</v>
      </c>
      <c r="Q264" s="345">
        <v>22.94</v>
      </c>
      <c r="R264" s="345">
        <v>24.49</v>
      </c>
      <c r="S264" s="345">
        <v>24.5</v>
      </c>
      <c r="T264" s="345">
        <v>25.05</v>
      </c>
      <c r="U264" s="345">
        <v>68.066900000000004</v>
      </c>
    </row>
    <row r="265" spans="1:21" x14ac:dyDescent="0.25">
      <c r="A265" s="364">
        <v>43910</v>
      </c>
      <c r="B265" s="345">
        <v>82.17</v>
      </c>
      <c r="C265" s="345">
        <v>20.55</v>
      </c>
      <c r="D265" s="345">
        <v>140.11000000000001</v>
      </c>
      <c r="E265" s="345">
        <v>49.78</v>
      </c>
      <c r="F265" s="345">
        <v>170.7</v>
      </c>
      <c r="G265" s="345">
        <v>11.62</v>
      </c>
      <c r="H265" s="345">
        <v>28.01</v>
      </c>
      <c r="I265" s="345">
        <v>97.05</v>
      </c>
      <c r="J265" s="345">
        <v>59.68</v>
      </c>
      <c r="K265" s="345">
        <v>210.74</v>
      </c>
      <c r="L265" s="345">
        <v>115.19</v>
      </c>
      <c r="M265" s="345">
        <v>71.42</v>
      </c>
      <c r="N265" s="345">
        <v>24.82</v>
      </c>
      <c r="O265" s="345">
        <v>12.41</v>
      </c>
      <c r="P265" s="345">
        <v>21.06</v>
      </c>
      <c r="Q265" s="345">
        <v>23.11</v>
      </c>
      <c r="R265" s="345">
        <v>23.93</v>
      </c>
      <c r="S265" s="345">
        <v>22.65</v>
      </c>
      <c r="T265" s="345">
        <v>25.13</v>
      </c>
      <c r="U265" s="345">
        <v>68.459999999999994</v>
      </c>
    </row>
    <row r="266" spans="1:21" s="368" customFormat="1" x14ac:dyDescent="0.25">
      <c r="A266" s="366">
        <v>43911</v>
      </c>
      <c r="B266" s="345">
        <v>82.17</v>
      </c>
      <c r="C266" s="345">
        <v>20.55</v>
      </c>
      <c r="D266" s="345">
        <v>140.11000000000001</v>
      </c>
      <c r="E266" s="345">
        <v>49.78</v>
      </c>
      <c r="F266" s="345">
        <v>170.7</v>
      </c>
      <c r="G266" s="345">
        <v>11.62</v>
      </c>
      <c r="H266" s="345">
        <v>28.01</v>
      </c>
      <c r="I266" s="345">
        <v>97.05</v>
      </c>
      <c r="J266" s="345">
        <v>59.68</v>
      </c>
      <c r="K266" s="345">
        <v>210.74</v>
      </c>
      <c r="L266" s="345">
        <v>115.19</v>
      </c>
      <c r="M266" s="345">
        <v>71.42</v>
      </c>
      <c r="N266" s="345">
        <v>24.82</v>
      </c>
      <c r="O266" s="345">
        <v>12.41</v>
      </c>
      <c r="P266" s="345">
        <v>21.06</v>
      </c>
      <c r="Q266" s="345">
        <v>23.11</v>
      </c>
      <c r="R266" s="345">
        <v>23.93</v>
      </c>
      <c r="S266" s="345">
        <v>22.65</v>
      </c>
      <c r="T266" s="345">
        <v>25.13</v>
      </c>
      <c r="U266" s="345">
        <v>68.459999999999994</v>
      </c>
    </row>
    <row r="267" spans="1:21" s="368" customFormat="1" x14ac:dyDescent="0.25">
      <c r="A267" s="366">
        <v>43912</v>
      </c>
      <c r="B267" s="345">
        <v>82.17</v>
      </c>
      <c r="C267" s="345">
        <v>20.55</v>
      </c>
      <c r="D267" s="345">
        <v>140.11000000000001</v>
      </c>
      <c r="E267" s="345">
        <v>49.78</v>
      </c>
      <c r="F267" s="345">
        <v>170.7</v>
      </c>
      <c r="G267" s="345">
        <v>11.62</v>
      </c>
      <c r="H267" s="345">
        <v>28.01</v>
      </c>
      <c r="I267" s="345">
        <v>97.05</v>
      </c>
      <c r="J267" s="345">
        <v>59.68</v>
      </c>
      <c r="K267" s="345">
        <v>210.74</v>
      </c>
      <c r="L267" s="345">
        <v>115.19</v>
      </c>
      <c r="M267" s="345">
        <v>71.42</v>
      </c>
      <c r="N267" s="345">
        <v>24.82</v>
      </c>
      <c r="O267" s="345">
        <v>12.41</v>
      </c>
      <c r="P267" s="345">
        <v>21.06</v>
      </c>
      <c r="Q267" s="345">
        <v>23.11</v>
      </c>
      <c r="R267" s="345">
        <v>23.93</v>
      </c>
      <c r="S267" s="345">
        <v>22.65</v>
      </c>
      <c r="T267" s="345">
        <v>25.13</v>
      </c>
      <c r="U267" s="345">
        <v>68.459999999999994</v>
      </c>
    </row>
    <row r="268" spans="1:21" x14ac:dyDescent="0.25">
      <c r="A268" s="385">
        <v>43913</v>
      </c>
      <c r="B268" s="345">
        <v>83.99</v>
      </c>
      <c r="C268" s="345">
        <v>21.93</v>
      </c>
      <c r="D268" s="345">
        <v>146.30000000000001</v>
      </c>
      <c r="E268" s="345">
        <v>49.11</v>
      </c>
      <c r="F268" s="345">
        <v>170.46</v>
      </c>
      <c r="G268" s="345">
        <v>12.31</v>
      </c>
      <c r="H268" s="345">
        <v>27.97</v>
      </c>
      <c r="I268" s="345">
        <v>100.94</v>
      </c>
      <c r="J268" s="345">
        <v>56.91</v>
      </c>
      <c r="K268" s="345">
        <v>204.27</v>
      </c>
      <c r="L268" s="345">
        <v>111.91</v>
      </c>
      <c r="M268" s="345">
        <v>70.400000000000006</v>
      </c>
      <c r="N268" s="345">
        <v>23.91</v>
      </c>
      <c r="O268" s="345">
        <v>13.07</v>
      </c>
      <c r="P268" s="345">
        <v>20.72</v>
      </c>
      <c r="Q268" s="345">
        <v>19.78</v>
      </c>
      <c r="R268" s="345">
        <v>22.69</v>
      </c>
      <c r="S268" s="345">
        <v>24.64</v>
      </c>
      <c r="T268" s="345">
        <v>25.23</v>
      </c>
      <c r="U268" s="345">
        <v>67.875</v>
      </c>
    </row>
    <row r="269" spans="1:21" x14ac:dyDescent="0.25">
      <c r="A269" s="364">
        <v>43914</v>
      </c>
      <c r="B269" s="345">
        <v>84.08</v>
      </c>
      <c r="C269" s="345">
        <v>25.15</v>
      </c>
      <c r="D269" s="345">
        <v>153.4</v>
      </c>
      <c r="E269" s="345">
        <v>53.38</v>
      </c>
      <c r="F269" s="345">
        <v>183.66</v>
      </c>
      <c r="G269" s="345">
        <v>13.29</v>
      </c>
      <c r="H269" s="345">
        <v>27.65</v>
      </c>
      <c r="I269" s="345">
        <v>99.74</v>
      </c>
      <c r="J269" s="345">
        <v>62.03</v>
      </c>
      <c r="K269" s="345">
        <v>223.75</v>
      </c>
      <c r="L269" s="345">
        <v>122.53</v>
      </c>
      <c r="M269" s="345">
        <v>77.61</v>
      </c>
      <c r="N269" s="345">
        <v>26.53</v>
      </c>
      <c r="O269" s="345">
        <v>13.71</v>
      </c>
      <c r="P269" s="345">
        <v>22.27</v>
      </c>
      <c r="Q269" s="345">
        <v>21.72</v>
      </c>
      <c r="R269" s="345">
        <v>25.46</v>
      </c>
      <c r="S269" s="345">
        <v>27.8</v>
      </c>
      <c r="T269" s="345">
        <v>25.35</v>
      </c>
      <c r="U269" s="345">
        <v>68.09</v>
      </c>
    </row>
    <row r="270" spans="1:21" x14ac:dyDescent="0.25">
      <c r="A270" s="385">
        <v>43915</v>
      </c>
      <c r="B270" s="345">
        <v>85.21</v>
      </c>
      <c r="C270" s="345">
        <v>26.31</v>
      </c>
      <c r="D270" s="345">
        <v>151.30000000000001</v>
      </c>
      <c r="E270" s="345">
        <v>53.59</v>
      </c>
      <c r="F270" s="345">
        <v>182.3</v>
      </c>
      <c r="G270" s="345">
        <v>13.51</v>
      </c>
      <c r="H270" s="345">
        <v>27.39</v>
      </c>
      <c r="I270" s="345">
        <v>99.69</v>
      </c>
      <c r="J270" s="345">
        <v>65.37</v>
      </c>
      <c r="K270" s="345">
        <v>226.62</v>
      </c>
      <c r="L270" s="345">
        <v>124.22</v>
      </c>
      <c r="M270" s="345">
        <v>77.510000000000005</v>
      </c>
      <c r="N270" s="345">
        <v>26.93</v>
      </c>
      <c r="O270" s="345">
        <v>13.53</v>
      </c>
      <c r="P270" s="345">
        <v>22.57</v>
      </c>
      <c r="Q270" s="345">
        <v>23.99</v>
      </c>
      <c r="R270" s="345">
        <v>26.42</v>
      </c>
      <c r="S270" s="345">
        <v>27.48</v>
      </c>
      <c r="T270" s="345">
        <v>25.47</v>
      </c>
      <c r="U270" s="345">
        <v>69.45</v>
      </c>
    </row>
    <row r="271" spans="1:21" x14ac:dyDescent="0.25">
      <c r="A271" s="364">
        <v>43916</v>
      </c>
      <c r="B271" s="345">
        <v>85.6</v>
      </c>
      <c r="C271" s="345">
        <v>25.85</v>
      </c>
      <c r="D271" s="345">
        <v>153.24</v>
      </c>
      <c r="E271" s="345">
        <v>57.27</v>
      </c>
      <c r="F271" s="345">
        <v>191.9</v>
      </c>
      <c r="G271" s="345">
        <v>13.53</v>
      </c>
      <c r="H271" s="345">
        <v>26.95</v>
      </c>
      <c r="I271" s="345">
        <v>99.97</v>
      </c>
      <c r="J271" s="345">
        <v>69.98</v>
      </c>
      <c r="K271" s="345">
        <v>240.24</v>
      </c>
      <c r="L271" s="345">
        <v>131.11000000000001</v>
      </c>
      <c r="M271" s="345">
        <v>82.31</v>
      </c>
      <c r="N271" s="345">
        <v>28.77</v>
      </c>
      <c r="O271" s="345">
        <v>13.75</v>
      </c>
      <c r="P271" s="345">
        <v>23.14</v>
      </c>
      <c r="Q271" s="345">
        <v>24.4</v>
      </c>
      <c r="R271" s="345">
        <v>27.02</v>
      </c>
      <c r="S271" s="345">
        <v>26.91</v>
      </c>
      <c r="T271" s="345">
        <v>25.7</v>
      </c>
      <c r="U271" s="345">
        <v>70.23</v>
      </c>
    </row>
    <row r="272" spans="1:21" x14ac:dyDescent="0.25">
      <c r="A272" s="385">
        <v>43917</v>
      </c>
      <c r="B272" s="345">
        <v>86.06</v>
      </c>
      <c r="C272" s="345">
        <v>24.37</v>
      </c>
      <c r="D272" s="345">
        <v>152.25</v>
      </c>
      <c r="E272" s="345">
        <v>54.96</v>
      </c>
      <c r="F272" s="345">
        <v>185.3</v>
      </c>
      <c r="G272" s="345">
        <v>13.44</v>
      </c>
      <c r="H272" s="345">
        <v>26.73</v>
      </c>
      <c r="I272" s="345">
        <v>102.41</v>
      </c>
      <c r="J272" s="345">
        <v>70.05</v>
      </c>
      <c r="K272" s="345">
        <v>232.86</v>
      </c>
      <c r="L272" s="345">
        <v>126.93</v>
      </c>
      <c r="M272" s="345">
        <v>78.59</v>
      </c>
      <c r="N272" s="345">
        <v>27.8</v>
      </c>
      <c r="O272" s="345">
        <v>13.61</v>
      </c>
      <c r="P272" s="345">
        <v>22.32</v>
      </c>
      <c r="Q272" s="345">
        <v>24.43</v>
      </c>
      <c r="R272" s="345">
        <v>25.63</v>
      </c>
      <c r="S272" s="345">
        <v>25.5</v>
      </c>
      <c r="T272" s="345">
        <v>25.55</v>
      </c>
      <c r="U272" s="345">
        <v>70.531099999999995</v>
      </c>
    </row>
    <row r="273" spans="1:21" s="368" customFormat="1" x14ac:dyDescent="0.25">
      <c r="A273" s="366">
        <v>43918</v>
      </c>
      <c r="B273" s="345">
        <v>86.06</v>
      </c>
      <c r="C273" s="345">
        <v>24.37</v>
      </c>
      <c r="D273" s="345">
        <v>152.25</v>
      </c>
      <c r="E273" s="345">
        <v>54.96</v>
      </c>
      <c r="F273" s="345">
        <v>185.3</v>
      </c>
      <c r="G273" s="345">
        <v>13.44</v>
      </c>
      <c r="H273" s="345">
        <v>26.73</v>
      </c>
      <c r="I273" s="345">
        <v>102.41</v>
      </c>
      <c r="J273" s="345">
        <v>70.05</v>
      </c>
      <c r="K273" s="345">
        <v>232.86</v>
      </c>
      <c r="L273" s="345">
        <v>126.93</v>
      </c>
      <c r="M273" s="345">
        <v>78.59</v>
      </c>
      <c r="N273" s="345">
        <v>27.8</v>
      </c>
      <c r="O273" s="345">
        <v>13.61</v>
      </c>
      <c r="P273" s="345">
        <v>22.32</v>
      </c>
      <c r="Q273" s="345">
        <v>24.43</v>
      </c>
      <c r="R273" s="345">
        <v>25.63</v>
      </c>
      <c r="S273" s="345">
        <v>25.5</v>
      </c>
      <c r="T273" s="345">
        <v>25.55</v>
      </c>
      <c r="U273" s="345">
        <v>70.531099999999995</v>
      </c>
    </row>
    <row r="274" spans="1:21" s="368" customFormat="1" x14ac:dyDescent="0.25">
      <c r="A274" s="366">
        <v>43919</v>
      </c>
      <c r="B274" s="345">
        <v>86.06</v>
      </c>
      <c r="C274" s="345">
        <v>24.37</v>
      </c>
      <c r="D274" s="345">
        <v>152.25</v>
      </c>
      <c r="E274" s="345">
        <v>54.96</v>
      </c>
      <c r="F274" s="345">
        <v>185.3</v>
      </c>
      <c r="G274" s="345">
        <v>13.44</v>
      </c>
      <c r="H274" s="345">
        <v>26.73</v>
      </c>
      <c r="I274" s="345">
        <v>102.41</v>
      </c>
      <c r="J274" s="345">
        <v>70.05</v>
      </c>
      <c r="K274" s="345">
        <v>232.86</v>
      </c>
      <c r="L274" s="345">
        <v>126.93</v>
      </c>
      <c r="M274" s="345">
        <v>78.59</v>
      </c>
      <c r="N274" s="345">
        <v>27.8</v>
      </c>
      <c r="O274" s="345">
        <v>13.61</v>
      </c>
      <c r="P274" s="345">
        <v>22.32</v>
      </c>
      <c r="Q274" s="345">
        <v>24.43</v>
      </c>
      <c r="R274" s="345">
        <v>25.63</v>
      </c>
      <c r="S274" s="345">
        <v>25.5</v>
      </c>
      <c r="T274" s="345">
        <v>25.55</v>
      </c>
      <c r="U274" s="345">
        <v>70.531099999999995</v>
      </c>
    </row>
    <row r="275" spans="1:21" x14ac:dyDescent="0.25">
      <c r="A275" s="364">
        <v>43920</v>
      </c>
      <c r="B275" s="345">
        <v>86.15</v>
      </c>
      <c r="C275" s="345">
        <v>23.93</v>
      </c>
      <c r="D275" s="345">
        <v>152.91999999999999</v>
      </c>
      <c r="E275" s="345">
        <v>56.25</v>
      </c>
      <c r="F275" s="345">
        <v>192.04</v>
      </c>
      <c r="G275" s="345">
        <v>13.16</v>
      </c>
      <c r="H275" s="345">
        <v>26.85</v>
      </c>
      <c r="I275" s="345">
        <v>101.49</v>
      </c>
      <c r="J275" s="345">
        <v>71.58</v>
      </c>
      <c r="K275" s="345">
        <v>240.39</v>
      </c>
      <c r="L275" s="345">
        <v>130.78</v>
      </c>
      <c r="M275" s="345">
        <v>81.900000000000006</v>
      </c>
      <c r="N275" s="345">
        <v>28.73</v>
      </c>
      <c r="O275" s="345">
        <v>13.65</v>
      </c>
      <c r="P275" s="345">
        <v>23</v>
      </c>
      <c r="Q275" s="345">
        <v>24.41</v>
      </c>
      <c r="R275" s="345">
        <v>26.38</v>
      </c>
      <c r="S275" s="345">
        <v>25.25</v>
      </c>
      <c r="T275" s="345">
        <v>25.86</v>
      </c>
      <c r="U275" s="345">
        <v>69.78</v>
      </c>
    </row>
    <row r="276" spans="1:21" x14ac:dyDescent="0.25">
      <c r="A276" s="385">
        <v>43921</v>
      </c>
      <c r="B276" s="345">
        <v>85.35</v>
      </c>
      <c r="C276" s="345">
        <v>23.04</v>
      </c>
      <c r="D276" s="345">
        <v>148.05000000000001</v>
      </c>
      <c r="E276" s="345">
        <v>56.11</v>
      </c>
      <c r="F276" s="345">
        <v>190.4</v>
      </c>
      <c r="G276" s="345">
        <v>13.05</v>
      </c>
      <c r="H276" s="345">
        <v>26.83</v>
      </c>
      <c r="I276" s="345">
        <v>101.01</v>
      </c>
      <c r="J276" s="345">
        <v>69.849999999999994</v>
      </c>
      <c r="K276" s="345">
        <v>236.82</v>
      </c>
      <c r="L276" s="345">
        <v>128.91</v>
      </c>
      <c r="M276" s="345">
        <v>80.37</v>
      </c>
      <c r="N276" s="345">
        <v>28.22</v>
      </c>
      <c r="O276" s="345">
        <v>13.18</v>
      </c>
      <c r="P276" s="345">
        <v>22.83</v>
      </c>
      <c r="Q276" s="345">
        <v>24.65</v>
      </c>
      <c r="R276" s="345">
        <v>26.89</v>
      </c>
      <c r="S276" s="345">
        <v>24.7</v>
      </c>
      <c r="T276" s="345">
        <v>25.8</v>
      </c>
      <c r="U276" s="345">
        <v>70.08</v>
      </c>
    </row>
    <row r="277" spans="1:21" x14ac:dyDescent="0.25">
      <c r="A277" s="364">
        <v>43922</v>
      </c>
      <c r="B277" s="345">
        <v>85.6</v>
      </c>
      <c r="C277" s="345">
        <v>24.03</v>
      </c>
      <c r="D277" s="345">
        <v>149.44999999999999</v>
      </c>
      <c r="E277" s="345">
        <v>52.19</v>
      </c>
      <c r="F277" s="345">
        <v>182.31</v>
      </c>
      <c r="G277" s="345">
        <v>13.02</v>
      </c>
      <c r="H277" s="345">
        <v>27</v>
      </c>
      <c r="I277" s="345">
        <v>101.7</v>
      </c>
      <c r="J277" s="345">
        <v>65.260000000000005</v>
      </c>
      <c r="K277" s="345">
        <v>226.15</v>
      </c>
      <c r="L277" s="345">
        <v>122.96</v>
      </c>
      <c r="M277" s="345">
        <v>76.540000000000006</v>
      </c>
      <c r="N277" s="345">
        <v>27.02</v>
      </c>
      <c r="O277" s="345">
        <v>13.35</v>
      </c>
      <c r="P277" s="345">
        <v>22.18</v>
      </c>
      <c r="Q277" s="345">
        <v>23.44</v>
      </c>
      <c r="R277" s="345">
        <v>25.93</v>
      </c>
      <c r="S277" s="345">
        <v>25.61</v>
      </c>
      <c r="T277" s="345">
        <v>25.83</v>
      </c>
      <c r="U277" s="345">
        <v>69.38</v>
      </c>
    </row>
    <row r="278" spans="1:21" x14ac:dyDescent="0.25">
      <c r="A278" s="385">
        <v>43923</v>
      </c>
      <c r="B278" s="345">
        <v>86</v>
      </c>
      <c r="C278" s="345">
        <v>25.04</v>
      </c>
      <c r="D278" s="345">
        <v>151.9</v>
      </c>
      <c r="E278" s="345">
        <v>52.92</v>
      </c>
      <c r="F278" s="345">
        <v>186.01</v>
      </c>
      <c r="G278" s="345">
        <v>13.53</v>
      </c>
      <c r="H278" s="345">
        <v>27.14</v>
      </c>
      <c r="I278" s="345">
        <v>102.66</v>
      </c>
      <c r="J278" s="345">
        <v>65.48</v>
      </c>
      <c r="K278" s="345">
        <v>231.44</v>
      </c>
      <c r="L278" s="345">
        <v>125.52</v>
      </c>
      <c r="M278" s="345">
        <v>78.33</v>
      </c>
      <c r="N278" s="345">
        <v>27.58</v>
      </c>
      <c r="O278" s="345">
        <v>13.57</v>
      </c>
      <c r="P278" s="345">
        <v>22.53</v>
      </c>
      <c r="Q278" s="345">
        <v>23.63</v>
      </c>
      <c r="R278" s="345">
        <v>26.31</v>
      </c>
      <c r="S278" s="345">
        <v>26.72</v>
      </c>
      <c r="T278" s="345">
        <v>25.88</v>
      </c>
      <c r="U278" s="345">
        <v>69.540999999999997</v>
      </c>
    </row>
    <row r="279" spans="1:21" x14ac:dyDescent="0.25">
      <c r="A279" s="364">
        <v>43924</v>
      </c>
      <c r="B279" s="345">
        <v>85.96</v>
      </c>
      <c r="C279" s="345">
        <v>24.95</v>
      </c>
      <c r="D279" s="345">
        <v>152.65</v>
      </c>
      <c r="E279" s="345">
        <v>50.99</v>
      </c>
      <c r="F279" s="345">
        <v>183.37</v>
      </c>
      <c r="G279" s="345">
        <v>13.46</v>
      </c>
      <c r="H279" s="345">
        <v>27.29</v>
      </c>
      <c r="I279" s="345">
        <v>102.75</v>
      </c>
      <c r="J279" s="345">
        <v>64.53</v>
      </c>
      <c r="K279" s="345">
        <v>228.02</v>
      </c>
      <c r="L279" s="345">
        <v>123.38</v>
      </c>
      <c r="M279" s="345">
        <v>77.12</v>
      </c>
      <c r="N279" s="345">
        <v>27.2</v>
      </c>
      <c r="O279" s="345">
        <v>13.6</v>
      </c>
      <c r="P279" s="345">
        <v>22.18</v>
      </c>
      <c r="Q279" s="345">
        <v>23.35</v>
      </c>
      <c r="R279" s="345">
        <v>26.03</v>
      </c>
      <c r="S279" s="345">
        <v>26.5</v>
      </c>
      <c r="T279" s="345">
        <v>25.95</v>
      </c>
      <c r="U279" s="345">
        <v>69.73</v>
      </c>
    </row>
    <row r="280" spans="1:21" s="368" customFormat="1" x14ac:dyDescent="0.25">
      <c r="A280" s="366">
        <v>43925</v>
      </c>
      <c r="B280" s="345">
        <v>85.96</v>
      </c>
      <c r="C280" s="345">
        <v>24.95</v>
      </c>
      <c r="D280" s="345">
        <v>152.65</v>
      </c>
      <c r="E280" s="345">
        <v>50.99</v>
      </c>
      <c r="F280" s="345">
        <v>183.37</v>
      </c>
      <c r="G280" s="345">
        <v>13.46</v>
      </c>
      <c r="H280" s="345">
        <v>27.29</v>
      </c>
      <c r="I280" s="345">
        <v>102.75</v>
      </c>
      <c r="J280" s="345">
        <v>64.53</v>
      </c>
      <c r="K280" s="345">
        <v>228.02</v>
      </c>
      <c r="L280" s="345">
        <v>123.38</v>
      </c>
      <c r="M280" s="345">
        <v>77.12</v>
      </c>
      <c r="N280" s="345">
        <v>27.2</v>
      </c>
      <c r="O280" s="345">
        <v>13.6</v>
      </c>
      <c r="P280" s="345">
        <v>22.18</v>
      </c>
      <c r="Q280" s="345">
        <v>23.35</v>
      </c>
      <c r="R280" s="345">
        <v>26.03</v>
      </c>
      <c r="S280" s="345">
        <v>26.5</v>
      </c>
      <c r="T280" s="345">
        <v>25.95</v>
      </c>
      <c r="U280" s="345">
        <v>69.73</v>
      </c>
    </row>
    <row r="281" spans="1:21" s="368" customFormat="1" x14ac:dyDescent="0.25">
      <c r="A281" s="366">
        <v>43926</v>
      </c>
      <c r="B281" s="345">
        <v>85.96</v>
      </c>
      <c r="C281" s="345">
        <v>24.95</v>
      </c>
      <c r="D281" s="345">
        <v>152.65</v>
      </c>
      <c r="E281" s="345">
        <v>50.99</v>
      </c>
      <c r="F281" s="345">
        <v>183.37</v>
      </c>
      <c r="G281" s="345">
        <v>13.46</v>
      </c>
      <c r="H281" s="345">
        <v>27.29</v>
      </c>
      <c r="I281" s="345">
        <v>102.75</v>
      </c>
      <c r="J281" s="345">
        <v>64.53</v>
      </c>
      <c r="K281" s="345">
        <v>228.02</v>
      </c>
      <c r="L281" s="345">
        <v>123.38</v>
      </c>
      <c r="M281" s="345">
        <v>77.12</v>
      </c>
      <c r="N281" s="345">
        <v>27.2</v>
      </c>
      <c r="O281" s="345">
        <v>13.6</v>
      </c>
      <c r="P281" s="345">
        <v>22.18</v>
      </c>
      <c r="Q281" s="345">
        <v>23.35</v>
      </c>
      <c r="R281" s="345">
        <v>26.03</v>
      </c>
      <c r="S281" s="345">
        <v>26.5</v>
      </c>
      <c r="T281" s="345">
        <v>25.95</v>
      </c>
      <c r="U281" s="345">
        <v>69.73</v>
      </c>
    </row>
    <row r="282" spans="1:21" x14ac:dyDescent="0.25">
      <c r="A282" s="385">
        <v>43927</v>
      </c>
      <c r="B282" s="345">
        <v>86.23</v>
      </c>
      <c r="C282" s="345">
        <v>26.34</v>
      </c>
      <c r="D282" s="345">
        <v>156.88</v>
      </c>
      <c r="E282" s="345">
        <v>55.15</v>
      </c>
      <c r="F282" s="345">
        <v>196.48</v>
      </c>
      <c r="G282" s="345">
        <v>14.03</v>
      </c>
      <c r="H282" s="345">
        <v>27.3</v>
      </c>
      <c r="I282" s="345">
        <v>102.37</v>
      </c>
      <c r="J282" s="345">
        <v>69.31</v>
      </c>
      <c r="K282" s="345">
        <v>243.53</v>
      </c>
      <c r="L282" s="345">
        <v>132.01</v>
      </c>
      <c r="M282" s="345">
        <v>83.7</v>
      </c>
      <c r="N282" s="345">
        <v>29.02</v>
      </c>
      <c r="O282" s="345">
        <v>13.96</v>
      </c>
      <c r="P282" s="345">
        <v>23.24</v>
      </c>
      <c r="Q282" s="345">
        <v>24.24</v>
      </c>
      <c r="R282" s="345">
        <v>27.39</v>
      </c>
      <c r="S282" s="345">
        <v>27.25</v>
      </c>
      <c r="T282" s="345">
        <v>25.85</v>
      </c>
      <c r="U282" s="345">
        <v>69.901700000000005</v>
      </c>
    </row>
    <row r="283" spans="1:21" x14ac:dyDescent="0.25">
      <c r="A283" s="364">
        <v>43928</v>
      </c>
      <c r="B283" s="345">
        <v>86.31</v>
      </c>
      <c r="C283" s="345">
        <v>26.09</v>
      </c>
      <c r="D283" s="345">
        <v>156.04</v>
      </c>
      <c r="E283" s="345">
        <v>55.48</v>
      </c>
      <c r="F283" s="345">
        <v>196.4</v>
      </c>
      <c r="G283" s="345">
        <v>13.99</v>
      </c>
      <c r="H283" s="345">
        <v>27.05</v>
      </c>
      <c r="I283" s="345">
        <v>101.37</v>
      </c>
      <c r="J283" s="345">
        <v>69.95</v>
      </c>
      <c r="K283" s="345">
        <v>243.66</v>
      </c>
      <c r="L283" s="345">
        <v>132.16</v>
      </c>
      <c r="M283" s="345">
        <v>82.95</v>
      </c>
      <c r="N283" s="345">
        <v>29.01</v>
      </c>
      <c r="O283" s="345">
        <v>13.9</v>
      </c>
      <c r="P283" s="345">
        <v>23.13</v>
      </c>
      <c r="Q283" s="345">
        <v>24.87</v>
      </c>
      <c r="R283" s="345">
        <v>27.42</v>
      </c>
      <c r="S283" s="345">
        <v>27.44</v>
      </c>
      <c r="T283" s="345">
        <v>25.91</v>
      </c>
      <c r="U283" s="345">
        <v>70.56</v>
      </c>
    </row>
    <row r="284" spans="1:21" x14ac:dyDescent="0.25">
      <c r="A284" s="385">
        <v>43929</v>
      </c>
      <c r="B284" s="345">
        <v>86.53</v>
      </c>
      <c r="C284" s="345">
        <v>26.2</v>
      </c>
      <c r="D284" s="345">
        <v>154.65</v>
      </c>
      <c r="E284" s="345">
        <v>58.01</v>
      </c>
      <c r="F284" s="345">
        <v>200.57</v>
      </c>
      <c r="G284" s="345">
        <v>13.94</v>
      </c>
      <c r="H284" s="345">
        <v>27.15</v>
      </c>
      <c r="I284" s="345">
        <v>100.71</v>
      </c>
      <c r="J284" s="345">
        <v>74.72</v>
      </c>
      <c r="K284" s="345">
        <v>251.93</v>
      </c>
      <c r="L284" s="345">
        <v>136.80000000000001</v>
      </c>
      <c r="M284" s="345">
        <v>85.18</v>
      </c>
      <c r="N284" s="345">
        <v>29.99</v>
      </c>
      <c r="O284" s="345">
        <v>13.78</v>
      </c>
      <c r="P284" s="345">
        <v>23.64</v>
      </c>
      <c r="Q284" s="345">
        <v>26.43</v>
      </c>
      <c r="R284" s="345">
        <v>28.08</v>
      </c>
      <c r="S284" s="345">
        <v>27.48</v>
      </c>
      <c r="T284" s="345">
        <v>25.7</v>
      </c>
      <c r="U284" s="345">
        <v>70.260000000000005</v>
      </c>
    </row>
    <row r="285" spans="1:21" x14ac:dyDescent="0.25">
      <c r="A285" s="364">
        <v>43930</v>
      </c>
      <c r="B285" s="345">
        <v>87.48</v>
      </c>
      <c r="C285" s="345">
        <v>28.95</v>
      </c>
      <c r="D285" s="345">
        <v>158.69</v>
      </c>
      <c r="E285" s="345">
        <v>61.02</v>
      </c>
      <c r="F285" s="345">
        <v>200.86</v>
      </c>
      <c r="G285" s="345">
        <v>14.34</v>
      </c>
      <c r="H285" s="345">
        <v>26.95</v>
      </c>
      <c r="I285" s="345">
        <v>100.7</v>
      </c>
      <c r="J285" s="345">
        <v>78.91</v>
      </c>
      <c r="K285" s="345">
        <v>255.67</v>
      </c>
      <c r="L285" s="345">
        <v>139.36000000000001</v>
      </c>
      <c r="M285" s="345">
        <v>85.2</v>
      </c>
      <c r="N285" s="345">
        <v>30.43</v>
      </c>
      <c r="O285" s="345">
        <v>14.1</v>
      </c>
      <c r="P285" s="345">
        <v>23.93</v>
      </c>
      <c r="Q285" s="345">
        <v>27</v>
      </c>
      <c r="R285" s="345">
        <v>28.55</v>
      </c>
      <c r="S285" s="345">
        <v>29.5</v>
      </c>
      <c r="T285" s="345">
        <v>26.07</v>
      </c>
      <c r="U285" s="345">
        <v>70.510000000000005</v>
      </c>
    </row>
    <row r="286" spans="1:21" x14ac:dyDescent="0.25">
      <c r="A286" s="385">
        <v>43931</v>
      </c>
      <c r="B286" s="345">
        <v>87.48</v>
      </c>
      <c r="C286" s="345">
        <v>28.95</v>
      </c>
      <c r="D286" s="345">
        <v>158.69</v>
      </c>
      <c r="E286" s="345">
        <v>61.02</v>
      </c>
      <c r="F286" s="345">
        <v>200.86</v>
      </c>
      <c r="G286" s="345">
        <v>14.34</v>
      </c>
      <c r="H286" s="345">
        <v>26.95</v>
      </c>
      <c r="I286" s="345">
        <v>100.7</v>
      </c>
      <c r="J286" s="345">
        <v>78.91</v>
      </c>
      <c r="K286" s="345">
        <v>255.67</v>
      </c>
      <c r="L286" s="345">
        <v>139.36000000000001</v>
      </c>
      <c r="M286" s="345">
        <v>85.2</v>
      </c>
      <c r="N286" s="345">
        <v>30.43</v>
      </c>
      <c r="O286" s="345">
        <v>14.1</v>
      </c>
      <c r="P286" s="345">
        <v>23.93</v>
      </c>
      <c r="Q286" s="345">
        <v>27</v>
      </c>
      <c r="R286" s="345">
        <v>28.55</v>
      </c>
      <c r="S286" s="345">
        <v>29.5</v>
      </c>
      <c r="T286" s="345">
        <v>26.07</v>
      </c>
      <c r="U286" s="345">
        <v>70.510000000000005</v>
      </c>
    </row>
    <row r="287" spans="1:21" s="368" customFormat="1" x14ac:dyDescent="0.25">
      <c r="A287" s="366">
        <v>43932</v>
      </c>
      <c r="B287" s="345">
        <v>87.48</v>
      </c>
      <c r="C287" s="345">
        <v>28.95</v>
      </c>
      <c r="D287" s="345">
        <v>158.69</v>
      </c>
      <c r="E287" s="345">
        <v>61.02</v>
      </c>
      <c r="F287" s="345">
        <v>200.86</v>
      </c>
      <c r="G287" s="345">
        <v>14.34</v>
      </c>
      <c r="H287" s="345">
        <v>26.95</v>
      </c>
      <c r="I287" s="345">
        <v>100.7</v>
      </c>
      <c r="J287" s="345">
        <v>78.91</v>
      </c>
      <c r="K287" s="345">
        <v>255.67</v>
      </c>
      <c r="L287" s="345">
        <v>139.36000000000001</v>
      </c>
      <c r="M287" s="345">
        <v>85.2</v>
      </c>
      <c r="N287" s="345">
        <v>30.43</v>
      </c>
      <c r="O287" s="345">
        <v>14.1</v>
      </c>
      <c r="P287" s="345">
        <v>23.93</v>
      </c>
      <c r="Q287" s="345">
        <v>27</v>
      </c>
      <c r="R287" s="345">
        <v>28.55</v>
      </c>
      <c r="S287" s="345">
        <v>29.5</v>
      </c>
      <c r="T287" s="345">
        <v>26.07</v>
      </c>
      <c r="U287" s="345">
        <v>70.510000000000005</v>
      </c>
    </row>
    <row r="288" spans="1:21" s="368" customFormat="1" x14ac:dyDescent="0.25">
      <c r="A288" s="366">
        <v>43933</v>
      </c>
      <c r="B288" s="345">
        <v>87.48</v>
      </c>
      <c r="C288" s="345">
        <v>28.95</v>
      </c>
      <c r="D288" s="345">
        <v>158.69</v>
      </c>
      <c r="E288" s="345">
        <v>61.02</v>
      </c>
      <c r="F288" s="345">
        <v>200.86</v>
      </c>
      <c r="G288" s="345">
        <v>14.34</v>
      </c>
      <c r="H288" s="345">
        <v>26.95</v>
      </c>
      <c r="I288" s="345">
        <v>100.7</v>
      </c>
      <c r="J288" s="345">
        <v>78.91</v>
      </c>
      <c r="K288" s="345">
        <v>255.67</v>
      </c>
      <c r="L288" s="345">
        <v>139.36000000000001</v>
      </c>
      <c r="M288" s="345">
        <v>85.2</v>
      </c>
      <c r="N288" s="345">
        <v>30.43</v>
      </c>
      <c r="O288" s="345">
        <v>14.1</v>
      </c>
      <c r="P288" s="345">
        <v>23.93</v>
      </c>
      <c r="Q288" s="345">
        <v>27</v>
      </c>
      <c r="R288" s="345">
        <v>28.55</v>
      </c>
      <c r="S288" s="345">
        <v>29.5</v>
      </c>
      <c r="T288" s="345">
        <v>26.07</v>
      </c>
      <c r="U288" s="345">
        <v>70.510000000000005</v>
      </c>
    </row>
    <row r="289" spans="1:21" x14ac:dyDescent="0.25">
      <c r="A289" s="364">
        <v>43934</v>
      </c>
      <c r="B289" s="345">
        <v>87.2</v>
      </c>
      <c r="C289" s="345">
        <v>30.78</v>
      </c>
      <c r="D289" s="345">
        <v>161.41</v>
      </c>
      <c r="E289" s="345">
        <v>58.92</v>
      </c>
      <c r="F289" s="345">
        <v>203.03</v>
      </c>
      <c r="G289" s="345">
        <v>14.4</v>
      </c>
      <c r="H289" s="345">
        <v>26.91</v>
      </c>
      <c r="I289" s="345">
        <v>100.14</v>
      </c>
      <c r="J289" s="345">
        <v>75.59</v>
      </c>
      <c r="K289" s="345">
        <v>253.19</v>
      </c>
      <c r="L289" s="345">
        <v>137.69999999999999</v>
      </c>
      <c r="M289" s="345">
        <v>85.39</v>
      </c>
      <c r="N289" s="345">
        <v>30.15</v>
      </c>
      <c r="O289" s="345">
        <v>14.42</v>
      </c>
      <c r="P289" s="345">
        <v>23.69</v>
      </c>
      <c r="Q289" s="345">
        <v>25.94</v>
      </c>
      <c r="R289" s="345">
        <v>28.37</v>
      </c>
      <c r="S289" s="345">
        <v>30.85</v>
      </c>
      <c r="T289" s="345">
        <v>26.12</v>
      </c>
      <c r="U289" s="345">
        <v>71.140799999999999</v>
      </c>
    </row>
    <row r="290" spans="1:21" x14ac:dyDescent="0.25">
      <c r="A290" s="385">
        <v>43935</v>
      </c>
      <c r="B290" s="345">
        <v>87.2</v>
      </c>
      <c r="C290" s="345">
        <v>30.75</v>
      </c>
      <c r="D290" s="345">
        <v>162.68</v>
      </c>
      <c r="E290" s="345">
        <v>59.95</v>
      </c>
      <c r="F290" s="345">
        <v>211.86</v>
      </c>
      <c r="G290" s="345">
        <v>14.65</v>
      </c>
      <c r="H290" s="345">
        <v>26.76</v>
      </c>
      <c r="I290" s="345">
        <v>100.03</v>
      </c>
      <c r="J290" s="345">
        <v>77.709999999999994</v>
      </c>
      <c r="K290" s="345">
        <v>260.92</v>
      </c>
      <c r="L290" s="345">
        <v>141.88</v>
      </c>
      <c r="M290" s="345">
        <v>88.97</v>
      </c>
      <c r="N290" s="345">
        <v>31.04</v>
      </c>
      <c r="O290" s="345">
        <v>14.5</v>
      </c>
      <c r="P290" s="345">
        <v>24.12</v>
      </c>
      <c r="Q290" s="345">
        <v>26.27</v>
      </c>
      <c r="R290" s="345">
        <v>28.72</v>
      </c>
      <c r="S290" s="345">
        <v>31</v>
      </c>
      <c r="T290" s="345">
        <v>26.25</v>
      </c>
      <c r="U290" s="345">
        <v>70.97</v>
      </c>
    </row>
    <row r="291" spans="1:21" x14ac:dyDescent="0.25">
      <c r="A291" s="364">
        <v>43936</v>
      </c>
      <c r="B291" s="345">
        <v>87.63</v>
      </c>
      <c r="C291" s="345">
        <v>30.15</v>
      </c>
      <c r="D291" s="345">
        <v>161.85</v>
      </c>
      <c r="E291" s="345">
        <v>57.2</v>
      </c>
      <c r="F291" s="345">
        <v>209.43</v>
      </c>
      <c r="G291" s="345">
        <v>14.49</v>
      </c>
      <c r="H291" s="345">
        <v>26.96</v>
      </c>
      <c r="I291" s="345">
        <v>102.55</v>
      </c>
      <c r="J291" s="345">
        <v>74.63</v>
      </c>
      <c r="K291" s="345">
        <v>255.24</v>
      </c>
      <c r="L291" s="345">
        <v>138.55000000000001</v>
      </c>
      <c r="M291" s="345">
        <v>87.03</v>
      </c>
      <c r="N291" s="345">
        <v>30.39</v>
      </c>
      <c r="O291" s="345">
        <v>14.45</v>
      </c>
      <c r="P291" s="345">
        <v>23.92</v>
      </c>
      <c r="Q291" s="345">
        <v>25.79</v>
      </c>
      <c r="R291" s="345">
        <v>28.13</v>
      </c>
      <c r="S291" s="345">
        <v>31</v>
      </c>
      <c r="T291" s="345">
        <v>26.68</v>
      </c>
      <c r="U291" s="345">
        <v>69.97</v>
      </c>
    </row>
    <row r="292" spans="1:21" x14ac:dyDescent="0.25">
      <c r="A292" s="385">
        <v>43937</v>
      </c>
      <c r="B292" s="345">
        <v>87.68</v>
      </c>
      <c r="C292" s="345">
        <v>30.92</v>
      </c>
      <c r="D292" s="345">
        <v>161.71</v>
      </c>
      <c r="E292" s="345">
        <v>56.74</v>
      </c>
      <c r="F292" s="345">
        <v>213.25</v>
      </c>
      <c r="G292" s="345">
        <v>14.51</v>
      </c>
      <c r="H292" s="345">
        <v>27.08</v>
      </c>
      <c r="I292" s="345">
        <v>103.56</v>
      </c>
      <c r="J292" s="345">
        <v>73.78</v>
      </c>
      <c r="K292" s="345">
        <v>256.52999999999997</v>
      </c>
      <c r="L292" s="345">
        <v>139.19999999999999</v>
      </c>
      <c r="M292" s="345">
        <v>88.09</v>
      </c>
      <c r="N292" s="345">
        <v>30.57</v>
      </c>
      <c r="O292" s="345">
        <v>14.43</v>
      </c>
      <c r="P292" s="345">
        <v>23.97</v>
      </c>
      <c r="Q292" s="345">
        <v>25.49</v>
      </c>
      <c r="R292" s="345">
        <v>27.99</v>
      </c>
      <c r="S292" s="345">
        <v>31.4</v>
      </c>
      <c r="T292" s="345">
        <v>26.89</v>
      </c>
      <c r="U292" s="345">
        <v>69.92</v>
      </c>
    </row>
    <row r="293" spans="1:21" x14ac:dyDescent="0.25">
      <c r="A293" s="364">
        <v>43938</v>
      </c>
      <c r="B293" s="345">
        <v>87.56</v>
      </c>
      <c r="C293" s="345">
        <v>29.94</v>
      </c>
      <c r="D293" s="345">
        <v>158.57</v>
      </c>
      <c r="E293" s="345">
        <v>59.32</v>
      </c>
      <c r="F293" s="345">
        <v>215.29</v>
      </c>
      <c r="G293" s="345">
        <v>14.15</v>
      </c>
      <c r="H293" s="345">
        <v>27.01</v>
      </c>
      <c r="I293" s="345">
        <v>102.36</v>
      </c>
      <c r="J293" s="345">
        <v>76.11</v>
      </c>
      <c r="K293" s="345">
        <v>263.61</v>
      </c>
      <c r="L293" s="345">
        <v>143.13999999999999</v>
      </c>
      <c r="M293" s="345">
        <v>89.26</v>
      </c>
      <c r="N293" s="345">
        <v>31.35</v>
      </c>
      <c r="O293" s="345">
        <v>14.14</v>
      </c>
      <c r="P293" s="345">
        <v>24.41</v>
      </c>
      <c r="Q293" s="345">
        <v>26.2</v>
      </c>
      <c r="R293" s="345">
        <v>28.9</v>
      </c>
      <c r="S293" s="345">
        <v>30.75</v>
      </c>
      <c r="T293" s="345">
        <v>26.81</v>
      </c>
      <c r="U293" s="345">
        <v>70.293099999999995</v>
      </c>
    </row>
    <row r="294" spans="1:21" s="368" customFormat="1" x14ac:dyDescent="0.25">
      <c r="A294" s="366">
        <v>43939</v>
      </c>
      <c r="B294" s="367">
        <f>IF(AND(_xll.Close_Historical(INDEX(Quotes[#Headers],1,COLUMN(B294)),Quotes[[#This Row],[Date]])&lt;&gt;"NA",_xll.Close_Historical(INDEX(Quotes[#Headers],1,COLUMN(B294)),Quotes[[#This Row],[Date]])&lt;&gt;"'close'"),_xll.Close_Historical(INDEX(Quotes[#Headers],1,COLUMN(B294)),Quotes[[#This Row],[Date]]),B293)</f>
        <v>87.56</v>
      </c>
      <c r="C294" s="367">
        <f>IF(AND(_xll.Close_Historical(INDEX(Quotes[#Headers],1,COLUMN(C294)),Quotes[[#This Row],[Date]])&lt;&gt;"NA",_xll.Close_Historical(INDEX(Quotes[#Headers],1,COLUMN(C294)),Quotes[[#This Row],[Date]])&lt;&gt;"'close'"),_xll.Close_Historical(INDEX(Quotes[#Headers],1,COLUMN(C294)),Quotes[[#This Row],[Date]]),C293)</f>
        <v>29.94</v>
      </c>
      <c r="D294" s="367">
        <f>IF(AND(_xll.Close_Historical(INDEX(Quotes[#Headers],1,COLUMN(D294)),Quotes[[#This Row],[Date]])&lt;&gt;"NA",_xll.Close_Historical(INDEX(Quotes[#Headers],1,COLUMN(D294)),Quotes[[#This Row],[Date]])&lt;&gt;"'close'"),_xll.Close_Historical(INDEX(Quotes[#Headers],1,COLUMN(D294)),Quotes[[#This Row],[Date]]),D293)</f>
        <v>158.57</v>
      </c>
      <c r="E294" s="367">
        <f>IF(AND(_xll.Close_Historical(INDEX(Quotes[#Headers],1,COLUMN(E294)),Quotes[[#This Row],[Date]])&lt;&gt;"NA",_xll.Close_Historical(INDEX(Quotes[#Headers],1,COLUMN(E294)),Quotes[[#This Row],[Date]])&lt;&gt;"'close'"),_xll.Close_Historical(INDEX(Quotes[#Headers],1,COLUMN(E294)),Quotes[[#This Row],[Date]]),E293)</f>
        <v>59.32</v>
      </c>
      <c r="F294" s="367">
        <f>IF(AND(_xll.Close_Historical(INDEX(Quotes[#Headers],1,COLUMN(F294)),Quotes[[#This Row],[Date]])&lt;&gt;"NA",_xll.Close_Historical(INDEX(Quotes[#Headers],1,COLUMN(F294)),Quotes[[#This Row],[Date]])&lt;&gt;"'close'"),_xll.Close_Historical(INDEX(Quotes[#Headers],1,COLUMN(F294)),Quotes[[#This Row],[Date]]),F293)</f>
        <v>215.29</v>
      </c>
      <c r="G294" s="367">
        <f>IF(AND(_xll.Close_Historical(INDEX(Quotes[#Headers],1,COLUMN(G294)),Quotes[[#This Row],[Date]])&lt;&gt;"NA",_xll.Close_Historical(INDEX(Quotes[#Headers],1,COLUMN(G294)),Quotes[[#This Row],[Date]])&lt;&gt;"'close'"),_xll.Close_Historical(INDEX(Quotes[#Headers],1,COLUMN(G294)),Quotes[[#This Row],[Date]]),G293)</f>
        <v>14.15</v>
      </c>
      <c r="H294" s="367">
        <f>IF(AND(_xll.Close_Historical(INDEX(Quotes[#Headers],1,COLUMN(H294)),Quotes[[#This Row],[Date]])&lt;&gt;"NA",_xll.Close_Historical(INDEX(Quotes[#Headers],1,COLUMN(H294)),Quotes[[#This Row],[Date]])&lt;&gt;"'close'"),_xll.Close_Historical(INDEX(Quotes[#Headers],1,COLUMN(H294)),Quotes[[#This Row],[Date]]),H293)</f>
        <v>27.01</v>
      </c>
      <c r="I294" s="367">
        <f>IF(AND(_xll.Close_Historical(INDEX(Quotes[#Headers],1,COLUMN(I294)),Quotes[[#This Row],[Date]])&lt;&gt;"NA",_xll.Close_Historical(INDEX(Quotes[#Headers],1,COLUMN(I294)),Quotes[[#This Row],[Date]])&lt;&gt;"'close'"),_xll.Close_Historical(INDEX(Quotes[#Headers],1,COLUMN(I294)),Quotes[[#This Row],[Date]]),I293)</f>
        <v>102.36</v>
      </c>
      <c r="J294" s="367">
        <f>IF(AND(_xll.Close_Historical(INDEX(Quotes[#Headers],1,COLUMN(J294)),Quotes[[#This Row],[Date]])&lt;&gt;"NA",_xll.Close_Historical(INDEX(Quotes[#Headers],1,COLUMN(J294)),Quotes[[#This Row],[Date]])&lt;&gt;"'close'"),_xll.Close_Historical(INDEX(Quotes[#Headers],1,COLUMN(J294)),Quotes[[#This Row],[Date]]),J293)</f>
        <v>76.11</v>
      </c>
      <c r="K294" s="367">
        <f>IF(AND(_xll.Close_Historical(INDEX(Quotes[#Headers],1,COLUMN(K294)),Quotes[[#This Row],[Date]])&lt;&gt;"NA",_xll.Close_Historical(INDEX(Quotes[#Headers],1,COLUMN(K294)),Quotes[[#This Row],[Date]])&lt;&gt;"'close'"),_xll.Close_Historical(INDEX(Quotes[#Headers],1,COLUMN(K294)),Quotes[[#This Row],[Date]]),K293)</f>
        <v>263.61</v>
      </c>
      <c r="L294" s="367">
        <f>IF(AND(_xll.Close_Historical(INDEX(Quotes[#Headers],1,COLUMN(L294)),Quotes[[#This Row],[Date]])&lt;&gt;"NA",_xll.Close_Historical(INDEX(Quotes[#Headers],1,COLUMN(L294)),Quotes[[#This Row],[Date]])&lt;&gt;"'close'"),_xll.Close_Historical(INDEX(Quotes[#Headers],1,COLUMN(L294)),Quotes[[#This Row],[Date]]),L293)</f>
        <v>143.13999999999999</v>
      </c>
      <c r="M294" s="367">
        <f>IF(AND(_xll.Close_Historical(INDEX(Quotes[#Headers],1,COLUMN(M294)),Quotes[[#This Row],[Date]])&lt;&gt;"NA",_xll.Close_Historical(INDEX(Quotes[#Headers],1,COLUMN(M294)),Quotes[[#This Row],[Date]])&lt;&gt;"'close'"),_xll.Close_Historical(INDEX(Quotes[#Headers],1,COLUMN(M294)),Quotes[[#This Row],[Date]]),M293)</f>
        <v>89.26</v>
      </c>
      <c r="N294" s="367">
        <f>IF(AND(_xll.Close_Historical(INDEX(Quotes[#Headers],1,COLUMN(N294)),Quotes[[#This Row],[Date]])&lt;&gt;"NA",_xll.Close_Historical(INDEX(Quotes[#Headers],1,COLUMN(N294)),Quotes[[#This Row],[Date]])&lt;&gt;"'close'"),_xll.Close_Historical(INDEX(Quotes[#Headers],1,COLUMN(N294)),Quotes[[#This Row],[Date]]),N293)</f>
        <v>31.35</v>
      </c>
      <c r="O294" s="367">
        <f>IF(AND(_xll.Close_Historical(INDEX(Quotes[#Headers],1,COLUMN(O294)),Quotes[[#This Row],[Date]])&lt;&gt;"NA",_xll.Close_Historical(INDEX(Quotes[#Headers],1,COLUMN(O294)),Quotes[[#This Row],[Date]])&lt;&gt;"'close'"),_xll.Close_Historical(INDEX(Quotes[#Headers],1,COLUMN(O294)),Quotes[[#This Row],[Date]]),O293)</f>
        <v>14.14</v>
      </c>
      <c r="P294" s="367">
        <f>IF(AND(_xll.Close_Historical(INDEX(Quotes[#Headers],1,COLUMN(P294)),Quotes[[#This Row],[Date]])&lt;&gt;"NA",_xll.Close_Historical(INDEX(Quotes[#Headers],1,COLUMN(P294)),Quotes[[#This Row],[Date]])&lt;&gt;"'close'"),_xll.Close_Historical(INDEX(Quotes[#Headers],1,COLUMN(P294)),Quotes[[#This Row],[Date]]),P293)</f>
        <v>24.41</v>
      </c>
      <c r="Q294" s="367">
        <f>IF(AND(_xll.Close_Historical(INDEX(Quotes[#Headers],1,COLUMN(Q294)),Quotes[[#This Row],[Date]])&lt;&gt;"NA",_xll.Close_Historical(INDEX(Quotes[#Headers],1,COLUMN(Q294)),Quotes[[#This Row],[Date]])&lt;&gt;"'close'"),_xll.Close_Historical(INDEX(Quotes[#Headers],1,COLUMN(Q294)),Quotes[[#This Row],[Date]]),Q293)</f>
        <v>26.2</v>
      </c>
      <c r="R294" s="367">
        <f>IF(AND(_xll.Close_Historical(INDEX(Quotes[#Headers],1,COLUMN(R294)),Quotes[[#This Row],[Date]])&lt;&gt;"NA",_xll.Close_Historical(INDEX(Quotes[#Headers],1,COLUMN(R294)),Quotes[[#This Row],[Date]])&lt;&gt;"'close'"),_xll.Close_Historical(INDEX(Quotes[#Headers],1,COLUMN(R294)),Quotes[[#This Row],[Date]]),R293)</f>
        <v>28.9</v>
      </c>
      <c r="S294" s="367">
        <f>IF(AND(_xll.Close_Historical(INDEX(Quotes[#Headers],1,COLUMN(S294)),Quotes[[#This Row],[Date]])&lt;&gt;"NA",_xll.Close_Historical(INDEX(Quotes[#Headers],1,COLUMN(S294)),Quotes[[#This Row],[Date]])&lt;&gt;"'close'"),_xll.Close_Historical(INDEX(Quotes[#Headers],1,COLUMN(S294)),Quotes[[#This Row],[Date]]),S293)</f>
        <v>30.75</v>
      </c>
      <c r="T294" s="367">
        <f>IF(AND(_xll.Close_Historical(INDEX(Quotes[#Headers],1,COLUMN(T294)),Quotes[[#This Row],[Date]])&lt;&gt;"NA",_xll.Close_Historical(INDEX(Quotes[#Headers],1,COLUMN(T294)),Quotes[[#This Row],[Date]])&lt;&gt;"'close'"),_xll.Close_Historical(INDEX(Quotes[#Headers],1,COLUMN(T294)),Quotes[[#This Row],[Date]]),T293)</f>
        <v>26.81</v>
      </c>
      <c r="U294" s="367">
        <f>IF(AND(_xll.Close_Historical(INDEX(Quotes[#Headers],1,COLUMN(U294)),Quotes[[#This Row],[Date]])&lt;&gt;"NA",_xll.Close_Historical(INDEX(Quotes[#Headers],1,COLUMN(U294)),Quotes[[#This Row],[Date]])&lt;&gt;"'close'"),_xll.Close_Historical(INDEX(Quotes[#Headers],1,COLUMN(U294)),Quotes[[#This Row],[Date]]),U293)</f>
        <v>70.293099999999995</v>
      </c>
    </row>
    <row r="295" spans="1:21" s="368" customFormat="1" x14ac:dyDescent="0.25">
      <c r="A295" s="366">
        <v>43940</v>
      </c>
      <c r="B295" s="367">
        <f>IF(AND(_xll.Close_Historical(INDEX(Quotes[#Headers],1,COLUMN(B295)),Quotes[[#This Row],[Date]])&lt;&gt;"NA",_xll.Close_Historical(INDEX(Quotes[#Headers],1,COLUMN(B295)),Quotes[[#This Row],[Date]])&lt;&gt;"'close'"),_xll.Close_Historical(INDEX(Quotes[#Headers],1,COLUMN(B295)),Quotes[[#This Row],[Date]]),B294)</f>
        <v>87.56</v>
      </c>
      <c r="C295" s="367">
        <f>IF(AND(_xll.Close_Historical(INDEX(Quotes[#Headers],1,COLUMN(C295)),Quotes[[#This Row],[Date]])&lt;&gt;"NA",_xll.Close_Historical(INDEX(Quotes[#Headers],1,COLUMN(C295)),Quotes[[#This Row],[Date]])&lt;&gt;"'close'"),_xll.Close_Historical(INDEX(Quotes[#Headers],1,COLUMN(C295)),Quotes[[#This Row],[Date]]),C294)</f>
        <v>29.94</v>
      </c>
      <c r="D295" s="367">
        <f>IF(AND(_xll.Close_Historical(INDEX(Quotes[#Headers],1,COLUMN(D295)),Quotes[[#This Row],[Date]])&lt;&gt;"NA",_xll.Close_Historical(INDEX(Quotes[#Headers],1,COLUMN(D295)),Quotes[[#This Row],[Date]])&lt;&gt;"'close'"),_xll.Close_Historical(INDEX(Quotes[#Headers],1,COLUMN(D295)),Quotes[[#This Row],[Date]]),D294)</f>
        <v>158.57</v>
      </c>
      <c r="E295" s="367">
        <f>IF(AND(_xll.Close_Historical(INDEX(Quotes[#Headers],1,COLUMN(E295)),Quotes[[#This Row],[Date]])&lt;&gt;"NA",_xll.Close_Historical(INDEX(Quotes[#Headers],1,COLUMN(E295)),Quotes[[#This Row],[Date]])&lt;&gt;"'close'"),_xll.Close_Historical(INDEX(Quotes[#Headers],1,COLUMN(E295)),Quotes[[#This Row],[Date]]),E294)</f>
        <v>59.32</v>
      </c>
      <c r="F295" s="367">
        <f>IF(AND(_xll.Close_Historical(INDEX(Quotes[#Headers],1,COLUMN(F295)),Quotes[[#This Row],[Date]])&lt;&gt;"NA",_xll.Close_Historical(INDEX(Quotes[#Headers],1,COLUMN(F295)),Quotes[[#This Row],[Date]])&lt;&gt;"'close'"),_xll.Close_Historical(INDEX(Quotes[#Headers],1,COLUMN(F295)),Quotes[[#This Row],[Date]]),F294)</f>
        <v>215.29</v>
      </c>
      <c r="G295" s="367">
        <f>IF(AND(_xll.Close_Historical(INDEX(Quotes[#Headers],1,COLUMN(G295)),Quotes[[#This Row],[Date]])&lt;&gt;"NA",_xll.Close_Historical(INDEX(Quotes[#Headers],1,COLUMN(G295)),Quotes[[#This Row],[Date]])&lt;&gt;"'close'"),_xll.Close_Historical(INDEX(Quotes[#Headers],1,COLUMN(G295)),Quotes[[#This Row],[Date]]),G294)</f>
        <v>14.15</v>
      </c>
      <c r="H295" s="367">
        <f>IF(AND(_xll.Close_Historical(INDEX(Quotes[#Headers],1,COLUMN(H295)),Quotes[[#This Row],[Date]])&lt;&gt;"NA",_xll.Close_Historical(INDEX(Quotes[#Headers],1,COLUMN(H295)),Quotes[[#This Row],[Date]])&lt;&gt;"'close'"),_xll.Close_Historical(INDEX(Quotes[#Headers],1,COLUMN(H295)),Quotes[[#This Row],[Date]]),H294)</f>
        <v>27.01</v>
      </c>
      <c r="I295" s="367">
        <f>IF(AND(_xll.Close_Historical(INDEX(Quotes[#Headers],1,COLUMN(I295)),Quotes[[#This Row],[Date]])&lt;&gt;"NA",_xll.Close_Historical(INDEX(Quotes[#Headers],1,COLUMN(I295)),Quotes[[#This Row],[Date]])&lt;&gt;"'close'"),_xll.Close_Historical(INDEX(Quotes[#Headers],1,COLUMN(I295)),Quotes[[#This Row],[Date]]),I294)</f>
        <v>102.36</v>
      </c>
      <c r="J295" s="367">
        <f>IF(AND(_xll.Close_Historical(INDEX(Quotes[#Headers],1,COLUMN(J295)),Quotes[[#This Row],[Date]])&lt;&gt;"NA",_xll.Close_Historical(INDEX(Quotes[#Headers],1,COLUMN(J295)),Quotes[[#This Row],[Date]])&lt;&gt;"'close'"),_xll.Close_Historical(INDEX(Quotes[#Headers],1,COLUMN(J295)),Quotes[[#This Row],[Date]]),J294)</f>
        <v>76.11</v>
      </c>
      <c r="K295" s="367">
        <f>IF(AND(_xll.Close_Historical(INDEX(Quotes[#Headers],1,COLUMN(K295)),Quotes[[#This Row],[Date]])&lt;&gt;"NA",_xll.Close_Historical(INDEX(Quotes[#Headers],1,COLUMN(K295)),Quotes[[#This Row],[Date]])&lt;&gt;"'close'"),_xll.Close_Historical(INDEX(Quotes[#Headers],1,COLUMN(K295)),Quotes[[#This Row],[Date]]),K294)</f>
        <v>263.61</v>
      </c>
      <c r="L295" s="367">
        <f>IF(AND(_xll.Close_Historical(INDEX(Quotes[#Headers],1,COLUMN(L295)),Quotes[[#This Row],[Date]])&lt;&gt;"NA",_xll.Close_Historical(INDEX(Quotes[#Headers],1,COLUMN(L295)),Quotes[[#This Row],[Date]])&lt;&gt;"'close'"),_xll.Close_Historical(INDEX(Quotes[#Headers],1,COLUMN(L295)),Quotes[[#This Row],[Date]]),L294)</f>
        <v>143.13999999999999</v>
      </c>
      <c r="M295" s="367">
        <f>IF(AND(_xll.Close_Historical(INDEX(Quotes[#Headers],1,COLUMN(M295)),Quotes[[#This Row],[Date]])&lt;&gt;"NA",_xll.Close_Historical(INDEX(Quotes[#Headers],1,COLUMN(M295)),Quotes[[#This Row],[Date]])&lt;&gt;"'close'"),_xll.Close_Historical(INDEX(Quotes[#Headers],1,COLUMN(M295)),Quotes[[#This Row],[Date]]),M294)</f>
        <v>89.26</v>
      </c>
      <c r="N295" s="367">
        <f>IF(AND(_xll.Close_Historical(INDEX(Quotes[#Headers],1,COLUMN(N295)),Quotes[[#This Row],[Date]])&lt;&gt;"NA",_xll.Close_Historical(INDEX(Quotes[#Headers],1,COLUMN(N295)),Quotes[[#This Row],[Date]])&lt;&gt;"'close'"),_xll.Close_Historical(INDEX(Quotes[#Headers],1,COLUMN(N295)),Quotes[[#This Row],[Date]]),N294)</f>
        <v>31.35</v>
      </c>
      <c r="O295" s="367">
        <f>IF(AND(_xll.Close_Historical(INDEX(Quotes[#Headers],1,COLUMN(O295)),Quotes[[#This Row],[Date]])&lt;&gt;"NA",_xll.Close_Historical(INDEX(Quotes[#Headers],1,COLUMN(O295)),Quotes[[#This Row],[Date]])&lt;&gt;"'close'"),_xll.Close_Historical(INDEX(Quotes[#Headers],1,COLUMN(O295)),Quotes[[#This Row],[Date]]),O294)</f>
        <v>14.14</v>
      </c>
      <c r="P295" s="367">
        <f>IF(AND(_xll.Close_Historical(INDEX(Quotes[#Headers],1,COLUMN(P295)),Quotes[[#This Row],[Date]])&lt;&gt;"NA",_xll.Close_Historical(INDEX(Quotes[#Headers],1,COLUMN(P295)),Quotes[[#This Row],[Date]])&lt;&gt;"'close'"),_xll.Close_Historical(INDEX(Quotes[#Headers],1,COLUMN(P295)),Quotes[[#This Row],[Date]]),P294)</f>
        <v>24.41</v>
      </c>
      <c r="Q295" s="367">
        <f>IF(AND(_xll.Close_Historical(INDEX(Quotes[#Headers],1,COLUMN(Q295)),Quotes[[#This Row],[Date]])&lt;&gt;"NA",_xll.Close_Historical(INDEX(Quotes[#Headers],1,COLUMN(Q295)),Quotes[[#This Row],[Date]])&lt;&gt;"'close'"),_xll.Close_Historical(INDEX(Quotes[#Headers],1,COLUMN(Q295)),Quotes[[#This Row],[Date]]),Q294)</f>
        <v>26.2</v>
      </c>
      <c r="R295" s="367">
        <f>IF(AND(_xll.Close_Historical(INDEX(Quotes[#Headers],1,COLUMN(R295)),Quotes[[#This Row],[Date]])&lt;&gt;"NA",_xll.Close_Historical(INDEX(Quotes[#Headers],1,COLUMN(R295)),Quotes[[#This Row],[Date]])&lt;&gt;"'close'"),_xll.Close_Historical(INDEX(Quotes[#Headers],1,COLUMN(R295)),Quotes[[#This Row],[Date]]),R294)</f>
        <v>28.9</v>
      </c>
      <c r="S295" s="367">
        <f>IF(AND(_xll.Close_Historical(INDEX(Quotes[#Headers],1,COLUMN(S295)),Quotes[[#This Row],[Date]])&lt;&gt;"NA",_xll.Close_Historical(INDEX(Quotes[#Headers],1,COLUMN(S295)),Quotes[[#This Row],[Date]])&lt;&gt;"'close'"),_xll.Close_Historical(INDEX(Quotes[#Headers],1,COLUMN(S295)),Quotes[[#This Row],[Date]]),S294)</f>
        <v>30.75</v>
      </c>
      <c r="T295" s="367">
        <f>IF(AND(_xll.Close_Historical(INDEX(Quotes[#Headers],1,COLUMN(T295)),Quotes[[#This Row],[Date]])&lt;&gt;"NA",_xll.Close_Historical(INDEX(Quotes[#Headers],1,COLUMN(T295)),Quotes[[#This Row],[Date]])&lt;&gt;"'close'"),_xll.Close_Historical(INDEX(Quotes[#Headers],1,COLUMN(T295)),Quotes[[#This Row],[Date]]),T294)</f>
        <v>26.81</v>
      </c>
      <c r="U295" s="367">
        <f>IF(AND(_xll.Close_Historical(INDEX(Quotes[#Headers],1,COLUMN(U295)),Quotes[[#This Row],[Date]])&lt;&gt;"NA",_xll.Close_Historical(INDEX(Quotes[#Headers],1,COLUMN(U295)),Quotes[[#This Row],[Date]])&lt;&gt;"'close'"),_xll.Close_Historical(INDEX(Quotes[#Headers],1,COLUMN(U295)),Quotes[[#This Row],[Date]]),U294)</f>
        <v>70.293099999999995</v>
      </c>
    </row>
    <row r="296" spans="1:21" x14ac:dyDescent="0.25">
      <c r="A296" s="385">
        <v>43941</v>
      </c>
      <c r="B296" s="336">
        <f>IF(AND(_xll.Close_Historical(INDEX(Quotes[#Headers],1,COLUMN(B296)),Quotes[[#This Row],[Date]])&lt;&gt;"NA",_xll.Close_Historical(INDEX(Quotes[#Headers],1,COLUMN(B296)),Quotes[[#This Row],[Date]])&lt;&gt;"'close'"),_xll.Close_Historical(INDEX(Quotes[#Headers],1,COLUMN(B296)),Quotes[[#This Row],[Date]]),B295)</f>
        <v>87.42</v>
      </c>
      <c r="C296" s="336">
        <f>IF(AND(_xll.Close_Historical(INDEX(Quotes[#Headers],1,COLUMN(C296)),Quotes[[#This Row],[Date]])&lt;&gt;"NA",_xll.Close_Historical(INDEX(Quotes[#Headers],1,COLUMN(C296)),Quotes[[#This Row],[Date]])&lt;&gt;"'close'"),_xll.Close_Historical(INDEX(Quotes[#Headers],1,COLUMN(C296)),Quotes[[#This Row],[Date]]),C295)</f>
        <v>30.74</v>
      </c>
      <c r="D296" s="336">
        <f>IF(AND(_xll.Close_Historical(INDEX(Quotes[#Headers],1,COLUMN(D296)),Quotes[[#This Row],[Date]])&lt;&gt;"NA",_xll.Close_Historical(INDEX(Quotes[#Headers],1,COLUMN(D296)),Quotes[[#This Row],[Date]])&lt;&gt;"'close'"),_xll.Close_Historical(INDEX(Quotes[#Headers],1,COLUMN(D296)),Quotes[[#This Row],[Date]]),D295)</f>
        <v>159.69999999999999</v>
      </c>
      <c r="E296" s="336">
        <f>IF(AND(_xll.Close_Historical(INDEX(Quotes[#Headers],1,COLUMN(E296)),Quotes[[#This Row],[Date]])&lt;&gt;"NA",_xll.Close_Historical(INDEX(Quotes[#Headers],1,COLUMN(E296)),Quotes[[#This Row],[Date]])&lt;&gt;"'close'"),_xll.Close_Historical(INDEX(Quotes[#Headers],1,COLUMN(E296)),Quotes[[#This Row],[Date]]),E295)</f>
        <v>58.13</v>
      </c>
      <c r="F296" s="336">
        <f>IF(AND(_xll.Close_Historical(INDEX(Quotes[#Headers],1,COLUMN(F296)),Quotes[[#This Row],[Date]])&lt;&gt;"NA",_xll.Close_Historical(INDEX(Quotes[#Headers],1,COLUMN(F296)),Quotes[[#This Row],[Date]])&lt;&gt;"'close'"),_xll.Close_Historical(INDEX(Quotes[#Headers],1,COLUMN(F296)),Quotes[[#This Row],[Date]]),F295)</f>
        <v>212.74</v>
      </c>
      <c r="G296" s="336">
        <f>IF(AND(_xll.Close_Historical(INDEX(Quotes[#Headers],1,COLUMN(G296)),Quotes[[#This Row],[Date]])&lt;&gt;"NA",_xll.Close_Historical(INDEX(Quotes[#Headers],1,COLUMN(G296)),Quotes[[#This Row],[Date]])&lt;&gt;"'close'"),_xll.Close_Historical(INDEX(Quotes[#Headers],1,COLUMN(G296)),Quotes[[#This Row],[Date]]),G295)</f>
        <v>14.26</v>
      </c>
      <c r="H296" s="336">
        <f>IF(AND(_xll.Close_Historical(INDEX(Quotes[#Headers],1,COLUMN(H296)),Quotes[[#This Row],[Date]])&lt;&gt;"NA",_xll.Close_Historical(INDEX(Quotes[#Headers],1,COLUMN(H296)),Quotes[[#This Row],[Date]])&lt;&gt;"'close'"),_xll.Close_Historical(INDEX(Quotes[#Headers],1,COLUMN(H296)),Quotes[[#This Row],[Date]]),H295)</f>
        <v>27.1</v>
      </c>
      <c r="I296" s="336">
        <f>IF(AND(_xll.Close_Historical(INDEX(Quotes[#Headers],1,COLUMN(I296)),Quotes[[#This Row],[Date]])&lt;&gt;"NA",_xll.Close_Historical(INDEX(Quotes[#Headers],1,COLUMN(I296)),Quotes[[#This Row],[Date]])&lt;&gt;"'close'"),_xll.Close_Historical(INDEX(Quotes[#Headers],1,COLUMN(I296)),Quotes[[#This Row],[Date]]),I295)</f>
        <v>103.18</v>
      </c>
      <c r="J296" s="336">
        <f>IF(AND(_xll.Close_Historical(INDEX(Quotes[#Headers],1,COLUMN(J296)),Quotes[[#This Row],[Date]])&lt;&gt;"NA",_xll.Close_Historical(INDEX(Quotes[#Headers],1,COLUMN(J296)),Quotes[[#This Row],[Date]])&lt;&gt;"'close'"),_xll.Close_Historical(INDEX(Quotes[#Headers],1,COLUMN(J296)),Quotes[[#This Row],[Date]]),J295)</f>
        <v>73.28</v>
      </c>
      <c r="K296" s="365">
        <f>IF(AND(_xll.Close_Historical(INDEX(Quotes[#Headers],1,COLUMN(K296)),Quotes[[#This Row],[Date]])&lt;&gt;"NA",_xll.Close_Historical(INDEX(Quotes[#Headers],1,COLUMN(K296)),Quotes[[#This Row],[Date]])&lt;&gt;"'close'"),_xll.Close_Historical(INDEX(Quotes[#Headers],1,COLUMN(K296)),Quotes[[#This Row],[Date]]),K295)</f>
        <v>258.86</v>
      </c>
      <c r="L296" s="336">
        <f>IF(AND(_xll.Close_Historical(INDEX(Quotes[#Headers],1,COLUMN(L296)),Quotes[[#This Row],[Date]])&lt;&gt;"NA",_xll.Close_Historical(INDEX(Quotes[#Headers],1,COLUMN(L296)),Quotes[[#This Row],[Date]])&lt;&gt;"'close'"),_xll.Close_Historical(INDEX(Quotes[#Headers],1,COLUMN(L296)),Quotes[[#This Row],[Date]]),L295)</f>
        <v>140.82</v>
      </c>
      <c r="M296" s="336">
        <f>IF(AND(_xll.Close_Historical(INDEX(Quotes[#Headers],1,COLUMN(M296)),Quotes[[#This Row],[Date]])&lt;&gt;"NA",_xll.Close_Historical(INDEX(Quotes[#Headers],1,COLUMN(M296)),Quotes[[#This Row],[Date]])&lt;&gt;"'close'"),_xll.Close_Historical(INDEX(Quotes[#Headers],1,COLUMN(M296)),Quotes[[#This Row],[Date]]),M295)</f>
        <v>87.83</v>
      </c>
      <c r="N296" s="336">
        <f>IF(AND(_xll.Close_Historical(INDEX(Quotes[#Headers],1,COLUMN(N296)),Quotes[[#This Row],[Date]])&lt;&gt;"NA",_xll.Close_Historical(INDEX(Quotes[#Headers],1,COLUMN(N296)),Quotes[[#This Row],[Date]])&lt;&gt;"'close'"),_xll.Close_Historical(INDEX(Quotes[#Headers],1,COLUMN(N296)),Quotes[[#This Row],[Date]]),N295)</f>
        <v>30.85</v>
      </c>
      <c r="O296" s="336">
        <f>IF(AND(_xll.Close_Historical(INDEX(Quotes[#Headers],1,COLUMN(O296)),Quotes[[#This Row],[Date]])&lt;&gt;"NA",_xll.Close_Historical(INDEX(Quotes[#Headers],1,COLUMN(O296)),Quotes[[#This Row],[Date]])&lt;&gt;"'close'"),_xll.Close_Historical(INDEX(Quotes[#Headers],1,COLUMN(O296)),Quotes[[#This Row],[Date]]),O295)</f>
        <v>14.18</v>
      </c>
      <c r="P296" s="336">
        <f>IF(AND(_xll.Close_Historical(INDEX(Quotes[#Headers],1,COLUMN(P296)),Quotes[[#This Row],[Date]])&lt;&gt;"NA",_xll.Close_Historical(INDEX(Quotes[#Headers],1,COLUMN(P296)),Quotes[[#This Row],[Date]])&lt;&gt;"'close'"),_xll.Close_Historical(INDEX(Quotes[#Headers],1,COLUMN(P296)),Quotes[[#This Row],[Date]]),P295)</f>
        <v>24.31</v>
      </c>
      <c r="Q296" s="336">
        <f>IF(AND(_xll.Close_Historical(INDEX(Quotes[#Headers],1,COLUMN(Q296)),Quotes[[#This Row],[Date]])&lt;&gt;"NA",_xll.Close_Historical(INDEX(Quotes[#Headers],1,COLUMN(Q296)),Quotes[[#This Row],[Date]])&lt;&gt;"'close'"),_xll.Close_Historical(INDEX(Quotes[#Headers],1,COLUMN(Q296)),Quotes[[#This Row],[Date]]),Q295)</f>
        <v>26.38</v>
      </c>
      <c r="R296" s="336">
        <f>IF(AND(_xll.Close_Historical(INDEX(Quotes[#Headers],1,COLUMN(R296)),Quotes[[#This Row],[Date]])&lt;&gt;"NA",_xll.Close_Historical(INDEX(Quotes[#Headers],1,COLUMN(R296)),Quotes[[#This Row],[Date]])&lt;&gt;"'close'"),_xll.Close_Historical(INDEX(Quotes[#Headers],1,COLUMN(R296)),Quotes[[#This Row],[Date]]),R295)</f>
        <v>28.99</v>
      </c>
      <c r="S296" s="336">
        <f>IF(AND(_xll.Close_Historical(INDEX(Quotes[#Headers],1,COLUMN(S296)),Quotes[[#This Row],[Date]])&lt;&gt;"NA",_xll.Close_Historical(INDEX(Quotes[#Headers],1,COLUMN(S296)),Quotes[[#This Row],[Date]])&lt;&gt;"'close'"),_xll.Close_Historical(INDEX(Quotes[#Headers],1,COLUMN(S296)),Quotes[[#This Row],[Date]]),S295)</f>
        <v>31.63</v>
      </c>
      <c r="T296" s="336">
        <f>IF(AND(_xll.Close_Historical(INDEX(Quotes[#Headers],1,COLUMN(T296)),Quotes[[#This Row],[Date]])&lt;&gt;"NA",_xll.Close_Historical(INDEX(Quotes[#Headers],1,COLUMN(T296)),Quotes[[#This Row],[Date]])&lt;&gt;"'close'"),_xll.Close_Historical(INDEX(Quotes[#Headers],1,COLUMN(T296)),Quotes[[#This Row],[Date]]),T295)</f>
        <v>26.64</v>
      </c>
      <c r="U296" s="336">
        <f>IF(AND(_xll.Close_Historical(INDEX(Quotes[#Headers],1,COLUMN(U296)),Quotes[[#This Row],[Date]])&lt;&gt;"NA",_xll.Close_Historical(INDEX(Quotes[#Headers],1,COLUMN(U296)),Quotes[[#This Row],[Date]])&lt;&gt;"'close'"),_xll.Close_Historical(INDEX(Quotes[#Headers],1,COLUMN(U296)),Quotes[[#This Row],[Date]]),U295)</f>
        <v>69.808899999999994</v>
      </c>
    </row>
    <row r="297" spans="1:21" x14ac:dyDescent="0.25">
      <c r="A297" s="364">
        <v>43942</v>
      </c>
      <c r="B297" s="365">
        <f>IF(AND(_xll.Close_Historical(INDEX(Quotes[#Headers],1,COLUMN(B297)),Quotes[[#This Row],[Date]])&lt;&gt;"NA",_xll.Close_Historical(INDEX(Quotes[#Headers],1,COLUMN(B297)),Quotes[[#This Row],[Date]])&lt;&gt;"'close'"),_xll.Close_Historical(INDEX(Quotes[#Headers],1,COLUMN(B297)),Quotes[[#This Row],[Date]]),B296)</f>
        <v>87.53</v>
      </c>
      <c r="C297" s="365">
        <f>IF(AND(_xll.Close_Historical(INDEX(Quotes[#Headers],1,COLUMN(C297)),Quotes[[#This Row],[Date]])&lt;&gt;"NA",_xll.Close_Historical(INDEX(Quotes[#Headers],1,COLUMN(C297)),Quotes[[#This Row],[Date]])&lt;&gt;"'close'"),_xll.Close_Historical(INDEX(Quotes[#Headers],1,COLUMN(C297)),Quotes[[#This Row],[Date]]),C296)</f>
        <v>30.56</v>
      </c>
      <c r="D297" s="365">
        <f>IF(AND(_xll.Close_Historical(INDEX(Quotes[#Headers],1,COLUMN(D297)),Quotes[[#This Row],[Date]])&lt;&gt;"NA",_xll.Close_Historical(INDEX(Quotes[#Headers],1,COLUMN(D297)),Quotes[[#This Row],[Date]])&lt;&gt;"'close'"),_xll.Close_Historical(INDEX(Quotes[#Headers],1,COLUMN(D297)),Quotes[[#This Row],[Date]]),D296)</f>
        <v>158.61000000000001</v>
      </c>
      <c r="E297" s="365">
        <f>IF(AND(_xll.Close_Historical(INDEX(Quotes[#Headers],1,COLUMN(E297)),Quotes[[#This Row],[Date]])&lt;&gt;"NA",_xll.Close_Historical(INDEX(Quotes[#Headers],1,COLUMN(E297)),Quotes[[#This Row],[Date]])&lt;&gt;"'close'"),_xll.Close_Historical(INDEX(Quotes[#Headers],1,COLUMN(E297)),Quotes[[#This Row],[Date]]),E296)</f>
        <v>56.89</v>
      </c>
      <c r="F297" s="365">
        <f>IF(AND(_xll.Close_Historical(INDEX(Quotes[#Headers],1,COLUMN(F297)),Quotes[[#This Row],[Date]])&lt;&gt;"NA",_xll.Close_Historical(INDEX(Quotes[#Headers],1,COLUMN(F297)),Quotes[[#This Row],[Date]])&lt;&gt;"'close'"),_xll.Close_Historical(INDEX(Quotes[#Headers],1,COLUMN(F297)),Quotes[[#This Row],[Date]]),F296)</f>
        <v>204.89</v>
      </c>
      <c r="G297" s="365">
        <f>IF(AND(_xll.Close_Historical(INDEX(Quotes[#Headers],1,COLUMN(G297)),Quotes[[#This Row],[Date]])&lt;&gt;"NA",_xll.Close_Historical(INDEX(Quotes[#Headers],1,COLUMN(G297)),Quotes[[#This Row],[Date]])&lt;&gt;"'close'"),_xll.Close_Historical(INDEX(Quotes[#Headers],1,COLUMN(G297)),Quotes[[#This Row],[Date]]),G296)</f>
        <v>13.88</v>
      </c>
      <c r="H297" s="365">
        <f>IF(AND(_xll.Close_Historical(INDEX(Quotes[#Headers],1,COLUMN(H297)),Quotes[[#This Row],[Date]])&lt;&gt;"NA",_xll.Close_Historical(INDEX(Quotes[#Headers],1,COLUMN(H297)),Quotes[[#This Row],[Date]])&lt;&gt;"'close'"),_xll.Close_Historical(INDEX(Quotes[#Headers],1,COLUMN(H297)),Quotes[[#This Row],[Date]]),H296)</f>
        <v>27.14</v>
      </c>
      <c r="I297" s="365">
        <f>IF(AND(_xll.Close_Historical(INDEX(Quotes[#Headers],1,COLUMN(I297)),Quotes[[#This Row],[Date]])&lt;&gt;"NA",_xll.Close_Historical(INDEX(Quotes[#Headers],1,COLUMN(I297)),Quotes[[#This Row],[Date]])&lt;&gt;"'close'"),_xll.Close_Historical(INDEX(Quotes[#Headers],1,COLUMN(I297)),Quotes[[#This Row],[Date]]),I296)</f>
        <v>104.36</v>
      </c>
      <c r="J297" s="365">
        <f>IF(AND(_xll.Close_Historical(INDEX(Quotes[#Headers],1,COLUMN(J297)),Quotes[[#This Row],[Date]])&lt;&gt;"NA",_xll.Close_Historical(INDEX(Quotes[#Headers],1,COLUMN(J297)),Quotes[[#This Row],[Date]])&lt;&gt;"'close'"),_xll.Close_Historical(INDEX(Quotes[#Headers],1,COLUMN(J297)),Quotes[[#This Row],[Date]]),J296)</f>
        <v>71.95</v>
      </c>
      <c r="K297" s="365">
        <f>IF(AND(_xll.Close_Historical(INDEX(Quotes[#Headers],1,COLUMN(K297)),Quotes[[#This Row],[Date]])&lt;&gt;"NA",_xll.Close_Historical(INDEX(Quotes[#Headers],1,COLUMN(K297)),Quotes[[#This Row],[Date]])&lt;&gt;"'close'"),_xll.Close_Historical(INDEX(Quotes[#Headers],1,COLUMN(K297)),Quotes[[#This Row],[Date]]),K296)</f>
        <v>250.95</v>
      </c>
      <c r="L297" s="365">
        <f>IF(AND(_xll.Close_Historical(INDEX(Quotes[#Headers],1,COLUMN(L297)),Quotes[[#This Row],[Date]])&lt;&gt;"NA",_xll.Close_Historical(INDEX(Quotes[#Headers],1,COLUMN(L297)),Quotes[[#This Row],[Date]])&lt;&gt;"'close'"),_xll.Close_Historical(INDEX(Quotes[#Headers],1,COLUMN(L297)),Quotes[[#This Row],[Date]]),L296)</f>
        <v>136.44999999999999</v>
      </c>
      <c r="M297" s="365">
        <f>IF(AND(_xll.Close_Historical(INDEX(Quotes[#Headers],1,COLUMN(M297)),Quotes[[#This Row],[Date]])&lt;&gt;"NA",_xll.Close_Historical(INDEX(Quotes[#Headers],1,COLUMN(M297)),Quotes[[#This Row],[Date]])&lt;&gt;"'close'"),_xll.Close_Historical(INDEX(Quotes[#Headers],1,COLUMN(M297)),Quotes[[#This Row],[Date]]),M296)</f>
        <v>84.15</v>
      </c>
      <c r="N297" s="365">
        <f>IF(AND(_xll.Close_Historical(INDEX(Quotes[#Headers],1,COLUMN(N297)),Quotes[[#This Row],[Date]])&lt;&gt;"NA",_xll.Close_Historical(INDEX(Quotes[#Headers],1,COLUMN(N297)),Quotes[[#This Row],[Date]])&lt;&gt;"'close'"),_xll.Close_Historical(INDEX(Quotes[#Headers],1,COLUMN(N297)),Quotes[[#This Row],[Date]]),N296)</f>
        <v>29.94</v>
      </c>
      <c r="O297" s="365">
        <f>IF(AND(_xll.Close_Historical(INDEX(Quotes[#Headers],1,COLUMN(O297)),Quotes[[#This Row],[Date]])&lt;&gt;"NA",_xll.Close_Historical(INDEX(Quotes[#Headers],1,COLUMN(O297)),Quotes[[#This Row],[Date]])&lt;&gt;"'close'"),_xll.Close_Historical(INDEX(Quotes[#Headers],1,COLUMN(O297)),Quotes[[#This Row],[Date]]),O296)</f>
        <v>14.12</v>
      </c>
      <c r="P297" s="365">
        <f>IF(AND(_xll.Close_Historical(INDEX(Quotes[#Headers],1,COLUMN(P297)),Quotes[[#This Row],[Date]])&lt;&gt;"NA",_xll.Close_Historical(INDEX(Quotes[#Headers],1,COLUMN(P297)),Quotes[[#This Row],[Date]])&lt;&gt;"'close'"),_xll.Close_Historical(INDEX(Quotes[#Headers],1,COLUMN(P297)),Quotes[[#This Row],[Date]]),P296)</f>
        <v>23.82</v>
      </c>
      <c r="Q297" s="365">
        <f>IF(AND(_xll.Close_Historical(INDEX(Quotes[#Headers],1,COLUMN(Q297)),Quotes[[#This Row],[Date]])&lt;&gt;"NA",_xll.Close_Historical(INDEX(Quotes[#Headers],1,COLUMN(Q297)),Quotes[[#This Row],[Date]])&lt;&gt;"'close'"),_xll.Close_Historical(INDEX(Quotes[#Headers],1,COLUMN(Q297)),Quotes[[#This Row],[Date]]),Q296)</f>
        <v>25.15</v>
      </c>
      <c r="R297" s="365">
        <f>IF(AND(_xll.Close_Historical(INDEX(Quotes[#Headers],1,COLUMN(R297)),Quotes[[#This Row],[Date]])&lt;&gt;"NA",_xll.Close_Historical(INDEX(Quotes[#Headers],1,COLUMN(R297)),Quotes[[#This Row],[Date]])&lt;&gt;"'close'"),_xll.Close_Historical(INDEX(Quotes[#Headers],1,COLUMN(R297)),Quotes[[#This Row],[Date]]),R296)</f>
        <v>28.12</v>
      </c>
      <c r="S297" s="365">
        <f>IF(AND(_xll.Close_Historical(INDEX(Quotes[#Headers],1,COLUMN(S297)),Quotes[[#This Row],[Date]])&lt;&gt;"NA",_xll.Close_Historical(INDEX(Quotes[#Headers],1,COLUMN(S297)),Quotes[[#This Row],[Date]])&lt;&gt;"'close'"),_xll.Close_Historical(INDEX(Quotes[#Headers],1,COLUMN(S297)),Quotes[[#This Row],[Date]]),S296)</f>
        <v>31.8</v>
      </c>
      <c r="T297" s="365">
        <f>IF(AND(_xll.Close_Historical(INDEX(Quotes[#Headers],1,COLUMN(T297)),Quotes[[#This Row],[Date]])&lt;&gt;"NA",_xll.Close_Historical(INDEX(Quotes[#Headers],1,COLUMN(T297)),Quotes[[#This Row],[Date]])&lt;&gt;"'close'"),_xll.Close_Historical(INDEX(Quotes[#Headers],1,COLUMN(T297)),Quotes[[#This Row],[Date]]),T296)</f>
        <v>26.73</v>
      </c>
      <c r="U297" s="365">
        <f>IF(AND(_xll.Close_Historical(INDEX(Quotes[#Headers],1,COLUMN(U297)),Quotes[[#This Row],[Date]])&lt;&gt;"NA",_xll.Close_Historical(INDEX(Quotes[#Headers],1,COLUMN(U297)),Quotes[[#This Row],[Date]])&lt;&gt;"'close'"),_xll.Close_Historical(INDEX(Quotes[#Headers],1,COLUMN(U297)),Quotes[[#This Row],[Date]]),U296)</f>
        <v>69.538700000000006</v>
      </c>
    </row>
    <row r="298" spans="1:21" x14ac:dyDescent="0.25">
      <c r="A298" s="385">
        <v>43943</v>
      </c>
      <c r="B298" s="336">
        <f>IF(AND(_xll.Close_Historical(INDEX(Quotes[#Headers],1,COLUMN(B298)),Quotes[[#This Row],[Date]])&lt;&gt;"NA",_xll.Close_Historical(INDEX(Quotes[#Headers],1,COLUMN(B298)),Quotes[[#This Row],[Date]])&lt;&gt;"'close'"),_xll.Close_Historical(INDEX(Quotes[#Headers],1,COLUMN(B298)),Quotes[[#This Row],[Date]]),B297)</f>
        <v>87.46</v>
      </c>
      <c r="C298" s="336">
        <f>IF(AND(_xll.Close_Historical(INDEX(Quotes[#Headers],1,COLUMN(C298)),Quotes[[#This Row],[Date]])&lt;&gt;"NA",_xll.Close_Historical(INDEX(Quotes[#Headers],1,COLUMN(C298)),Quotes[[#This Row],[Date]])&lt;&gt;"'close'"),_xll.Close_Historical(INDEX(Quotes[#Headers],1,COLUMN(C298)),Quotes[[#This Row],[Date]]),C297)</f>
        <v>32.51</v>
      </c>
      <c r="D298" s="336">
        <f>IF(AND(_xll.Close_Historical(INDEX(Quotes[#Headers],1,COLUMN(D298)),Quotes[[#This Row],[Date]])&lt;&gt;"NA",_xll.Close_Historical(INDEX(Quotes[#Headers],1,COLUMN(D298)),Quotes[[#This Row],[Date]])&lt;&gt;"'close'"),_xll.Close_Historical(INDEX(Quotes[#Headers],1,COLUMN(D298)),Quotes[[#This Row],[Date]]),D297)</f>
        <v>161.72999999999999</v>
      </c>
      <c r="E298" s="336">
        <f>IF(AND(_xll.Close_Historical(INDEX(Quotes[#Headers],1,COLUMN(E298)),Quotes[[#This Row],[Date]])&lt;&gt;"NA",_xll.Close_Historical(INDEX(Quotes[#Headers],1,COLUMN(E298)),Quotes[[#This Row],[Date]])&lt;&gt;"'close'"),_xll.Close_Historical(INDEX(Quotes[#Headers],1,COLUMN(E298)),Quotes[[#This Row],[Date]]),E297)</f>
        <v>57.29</v>
      </c>
      <c r="F298" s="336">
        <f>IF(AND(_xll.Close_Historical(INDEX(Quotes[#Headers],1,COLUMN(F298)),Quotes[[#This Row],[Date]])&lt;&gt;"NA",_xll.Close_Historical(INDEX(Quotes[#Headers],1,COLUMN(F298)),Quotes[[#This Row],[Date]])&lt;&gt;"'close'"),_xll.Close_Historical(INDEX(Quotes[#Headers],1,COLUMN(F298)),Quotes[[#This Row],[Date]]),F297)</f>
        <v>210.97</v>
      </c>
      <c r="G298" s="336">
        <f>IF(AND(_xll.Close_Historical(INDEX(Quotes[#Headers],1,COLUMN(G298)),Quotes[[#This Row],[Date]])&lt;&gt;"NA",_xll.Close_Historical(INDEX(Quotes[#Headers],1,COLUMN(G298)),Quotes[[#This Row],[Date]])&lt;&gt;"'close'"),_xll.Close_Historical(INDEX(Quotes[#Headers],1,COLUMN(G298)),Quotes[[#This Row],[Date]]),G297)</f>
        <v>14.09</v>
      </c>
      <c r="H298" s="336">
        <f>IF(AND(_xll.Close_Historical(INDEX(Quotes[#Headers],1,COLUMN(H298)),Quotes[[#This Row],[Date]])&lt;&gt;"NA",_xll.Close_Historical(INDEX(Quotes[#Headers],1,COLUMN(H298)),Quotes[[#This Row],[Date]])&lt;&gt;"'close'"),_xll.Close_Historical(INDEX(Quotes[#Headers],1,COLUMN(H298)),Quotes[[#This Row],[Date]]),H297)</f>
        <v>27.22</v>
      </c>
      <c r="I298" s="336">
        <f>IF(AND(_xll.Close_Historical(INDEX(Quotes[#Headers],1,COLUMN(I298)),Quotes[[#This Row],[Date]])&lt;&gt;"NA",_xll.Close_Historical(INDEX(Quotes[#Headers],1,COLUMN(I298)),Quotes[[#This Row],[Date]])&lt;&gt;"'close'"),_xll.Close_Historical(INDEX(Quotes[#Headers],1,COLUMN(I298)),Quotes[[#This Row],[Date]]),I297)</f>
        <v>103.27</v>
      </c>
      <c r="J298" s="336">
        <f>IF(AND(_xll.Close_Historical(INDEX(Quotes[#Headers],1,COLUMN(J298)),Quotes[[#This Row],[Date]])&lt;&gt;"NA",_xll.Close_Historical(INDEX(Quotes[#Headers],1,COLUMN(J298)),Quotes[[#This Row],[Date]])&lt;&gt;"'close'"),_xll.Close_Historical(INDEX(Quotes[#Headers],1,COLUMN(J298)),Quotes[[#This Row],[Date]]),J297)</f>
        <v>73.05</v>
      </c>
      <c r="K298" s="365">
        <f>IF(AND(_xll.Close_Historical(INDEX(Quotes[#Headers],1,COLUMN(K298)),Quotes[[#This Row],[Date]])&lt;&gt;"NA",_xll.Close_Historical(INDEX(Quotes[#Headers],1,COLUMN(K298)),Quotes[[#This Row],[Date]])&lt;&gt;"'close'"),_xll.Close_Historical(INDEX(Quotes[#Headers],1,COLUMN(K298)),Quotes[[#This Row],[Date]]),K297)</f>
        <v>256.47000000000003</v>
      </c>
      <c r="L298" s="336">
        <f>IF(AND(_xll.Close_Historical(INDEX(Quotes[#Headers],1,COLUMN(L298)),Quotes[[#This Row],[Date]])&lt;&gt;"NA",_xll.Close_Historical(INDEX(Quotes[#Headers],1,COLUMN(L298)),Quotes[[#This Row],[Date]])&lt;&gt;"'close'"),_xll.Close_Historical(INDEX(Quotes[#Headers],1,COLUMN(L298)),Quotes[[#This Row],[Date]]),L297)</f>
        <v>139.53</v>
      </c>
      <c r="M298" s="336">
        <f>IF(AND(_xll.Close_Historical(INDEX(Quotes[#Headers],1,COLUMN(M298)),Quotes[[#This Row],[Date]])&lt;&gt;"NA",_xll.Close_Historical(INDEX(Quotes[#Headers],1,COLUMN(M298)),Quotes[[#This Row],[Date]])&lt;&gt;"'close'"),_xll.Close_Historical(INDEX(Quotes[#Headers],1,COLUMN(M298)),Quotes[[#This Row],[Date]]),M297)</f>
        <v>87.39</v>
      </c>
      <c r="N298" s="336">
        <f>IF(AND(_xll.Close_Historical(INDEX(Quotes[#Headers],1,COLUMN(N298)),Quotes[[#This Row],[Date]])&lt;&gt;"NA",_xll.Close_Historical(INDEX(Quotes[#Headers],1,COLUMN(N298)),Quotes[[#This Row],[Date]])&lt;&gt;"'close'"),_xll.Close_Historical(INDEX(Quotes[#Headers],1,COLUMN(N298)),Quotes[[#This Row],[Date]]),N297)</f>
        <v>30.57</v>
      </c>
      <c r="O298" s="336">
        <f>IF(AND(_xll.Close_Historical(INDEX(Quotes[#Headers],1,COLUMN(O298)),Quotes[[#This Row],[Date]])&lt;&gt;"NA",_xll.Close_Historical(INDEX(Quotes[#Headers],1,COLUMN(O298)),Quotes[[#This Row],[Date]])&lt;&gt;"'close'"),_xll.Close_Historical(INDEX(Quotes[#Headers],1,COLUMN(O298)),Quotes[[#This Row],[Date]]),O297)</f>
        <v>14.4</v>
      </c>
      <c r="P298" s="336">
        <f>IF(AND(_xll.Close_Historical(INDEX(Quotes[#Headers],1,COLUMN(P298)),Quotes[[#This Row],[Date]])&lt;&gt;"NA",_xll.Close_Historical(INDEX(Quotes[#Headers],1,COLUMN(P298)),Quotes[[#This Row],[Date]])&lt;&gt;"'close'"),_xll.Close_Historical(INDEX(Quotes[#Headers],1,COLUMN(P298)),Quotes[[#This Row],[Date]]),P297)</f>
        <v>24.26</v>
      </c>
      <c r="Q298" s="336">
        <f>IF(AND(_xll.Close_Historical(INDEX(Quotes[#Headers],1,COLUMN(Q298)),Quotes[[#This Row],[Date]])&lt;&gt;"NA",_xll.Close_Historical(INDEX(Quotes[#Headers],1,COLUMN(Q298)),Quotes[[#This Row],[Date]])&lt;&gt;"'close'"),_xll.Close_Historical(INDEX(Quotes[#Headers],1,COLUMN(Q298)),Quotes[[#This Row],[Date]]),Q297)</f>
        <v>25.06</v>
      </c>
      <c r="R298" s="336">
        <f>IF(AND(_xll.Close_Historical(INDEX(Quotes[#Headers],1,COLUMN(R298)),Quotes[[#This Row],[Date]])&lt;&gt;"NA",_xll.Close_Historical(INDEX(Quotes[#Headers],1,COLUMN(R298)),Quotes[[#This Row],[Date]])&lt;&gt;"'close'"),_xll.Close_Historical(INDEX(Quotes[#Headers],1,COLUMN(R298)),Quotes[[#This Row],[Date]]),R297)</f>
        <v>28.82</v>
      </c>
      <c r="S298" s="336">
        <f>IF(AND(_xll.Close_Historical(INDEX(Quotes[#Headers],1,COLUMN(S298)),Quotes[[#This Row],[Date]])&lt;&gt;"NA",_xll.Close_Historical(INDEX(Quotes[#Headers],1,COLUMN(S298)),Quotes[[#This Row],[Date]])&lt;&gt;"'close'"),_xll.Close_Historical(INDEX(Quotes[#Headers],1,COLUMN(S298)),Quotes[[#This Row],[Date]]),S297)</f>
        <v>33.43</v>
      </c>
      <c r="T298" s="336">
        <f>IF(AND(_xll.Close_Historical(INDEX(Quotes[#Headers],1,COLUMN(T298)),Quotes[[#This Row],[Date]])&lt;&gt;"NA",_xll.Close_Historical(INDEX(Quotes[#Headers],1,COLUMN(T298)),Quotes[[#This Row],[Date]])&lt;&gt;"'close'"),_xll.Close_Historical(INDEX(Quotes[#Headers],1,COLUMN(T298)),Quotes[[#This Row],[Date]]),T297)</f>
        <v>26.75</v>
      </c>
      <c r="U298" s="336">
        <f>IF(AND(_xll.Close_Historical(INDEX(Quotes[#Headers],1,COLUMN(U298)),Quotes[[#This Row],[Date]])&lt;&gt;"NA",_xll.Close_Historical(INDEX(Quotes[#Headers],1,COLUMN(U298)),Quotes[[#This Row],[Date]])&lt;&gt;"'close'"),_xll.Close_Historical(INDEX(Quotes[#Headers],1,COLUMN(U298)),Quotes[[#This Row],[Date]]),U297)</f>
        <v>69.53</v>
      </c>
    </row>
    <row r="299" spans="1:21" x14ac:dyDescent="0.25">
      <c r="A299" s="364">
        <v>43944</v>
      </c>
      <c r="B299" s="365">
        <f>IF(AND(_xll.Close_Historical(INDEX(Quotes[#Headers],1,COLUMN(B299)),Quotes[[#This Row],[Date]])&lt;&gt;"NA",_xll.Close_Historical(INDEX(Quotes[#Headers],1,COLUMN(B299)),Quotes[[#This Row],[Date]])&lt;&gt;"'close'"),_xll.Close_Historical(INDEX(Quotes[#Headers],1,COLUMN(B299)),Quotes[[#This Row],[Date]]),B298)</f>
        <v>87.6</v>
      </c>
      <c r="C299" s="365">
        <f>IF(AND(_xll.Close_Historical(INDEX(Quotes[#Headers],1,COLUMN(C299)),Quotes[[#This Row],[Date]])&lt;&gt;"NA",_xll.Close_Historical(INDEX(Quotes[#Headers],1,COLUMN(C299)),Quotes[[#This Row],[Date]])&lt;&gt;"'close'"),_xll.Close_Historical(INDEX(Quotes[#Headers],1,COLUMN(C299)),Quotes[[#This Row],[Date]]),C298)</f>
        <v>33.42</v>
      </c>
      <c r="D299" s="365">
        <f>IF(AND(_xll.Close_Historical(INDEX(Quotes[#Headers],1,COLUMN(D299)),Quotes[[#This Row],[Date]])&lt;&gt;"NA",_xll.Close_Historical(INDEX(Quotes[#Headers],1,COLUMN(D299)),Quotes[[#This Row],[Date]])&lt;&gt;"'close'"),_xll.Close_Historical(INDEX(Quotes[#Headers],1,COLUMN(D299)),Quotes[[#This Row],[Date]]),D298)</f>
        <v>163.34</v>
      </c>
      <c r="E299" s="365">
        <f>IF(AND(_xll.Close_Historical(INDEX(Quotes[#Headers],1,COLUMN(E299)),Quotes[[#This Row],[Date]])&lt;&gt;"NA",_xll.Close_Historical(INDEX(Quotes[#Headers],1,COLUMN(E299)),Quotes[[#This Row],[Date]])&lt;&gt;"'close'"),_xll.Close_Historical(INDEX(Quotes[#Headers],1,COLUMN(E299)),Quotes[[#This Row],[Date]]),E298)</f>
        <v>58.01</v>
      </c>
      <c r="F299" s="365">
        <f>IF(AND(_xll.Close_Historical(INDEX(Quotes[#Headers],1,COLUMN(F299)),Quotes[[#This Row],[Date]])&lt;&gt;"NA",_xll.Close_Historical(INDEX(Quotes[#Headers],1,COLUMN(F299)),Quotes[[#This Row],[Date]])&lt;&gt;"'close'"),_xll.Close_Historical(INDEX(Quotes[#Headers],1,COLUMN(F299)),Quotes[[#This Row],[Date]]),F298)</f>
        <v>210.52</v>
      </c>
      <c r="G299" s="365">
        <f>IF(AND(_xll.Close_Historical(INDEX(Quotes[#Headers],1,COLUMN(G299)),Quotes[[#This Row],[Date]])&lt;&gt;"NA",_xll.Close_Historical(INDEX(Quotes[#Headers],1,COLUMN(G299)),Quotes[[#This Row],[Date]])&lt;&gt;"'close'"),_xll.Close_Historical(INDEX(Quotes[#Headers],1,COLUMN(G299)),Quotes[[#This Row],[Date]]),G298)</f>
        <v>14.21</v>
      </c>
      <c r="H299" s="365">
        <f>IF(AND(_xll.Close_Historical(INDEX(Quotes[#Headers],1,COLUMN(H299)),Quotes[[#This Row],[Date]])&lt;&gt;"NA",_xll.Close_Historical(INDEX(Quotes[#Headers],1,COLUMN(H299)),Quotes[[#This Row],[Date]])&lt;&gt;"'close'"),_xll.Close_Historical(INDEX(Quotes[#Headers],1,COLUMN(H299)),Quotes[[#This Row],[Date]]),H298)</f>
        <v>27.23</v>
      </c>
      <c r="I299" s="365">
        <f>IF(AND(_xll.Close_Historical(INDEX(Quotes[#Headers],1,COLUMN(I299)),Quotes[[#This Row],[Date]])&lt;&gt;"NA",_xll.Close_Historical(INDEX(Quotes[#Headers],1,COLUMN(I299)),Quotes[[#This Row],[Date]])&lt;&gt;"'close'"),_xll.Close_Historical(INDEX(Quotes[#Headers],1,COLUMN(I299)),Quotes[[#This Row],[Date]]),I298)</f>
        <v>103.9</v>
      </c>
      <c r="J299" s="365">
        <f>IF(AND(_xll.Close_Historical(INDEX(Quotes[#Headers],1,COLUMN(J299)),Quotes[[#This Row],[Date]])&lt;&gt;"NA",_xll.Close_Historical(INDEX(Quotes[#Headers],1,COLUMN(J299)),Quotes[[#This Row],[Date]])&lt;&gt;"'close'"),_xll.Close_Historical(INDEX(Quotes[#Headers],1,COLUMN(J299)),Quotes[[#This Row],[Date]]),J298)</f>
        <v>72.44</v>
      </c>
      <c r="K299" s="365">
        <f>IF(AND(_xll.Close_Historical(INDEX(Quotes[#Headers],1,COLUMN(K299)),Quotes[[#This Row],[Date]])&lt;&gt;"NA",_xll.Close_Historical(INDEX(Quotes[#Headers],1,COLUMN(K299)),Quotes[[#This Row],[Date]])&lt;&gt;"'close'"),_xll.Close_Historical(INDEX(Quotes[#Headers],1,COLUMN(K299)),Quotes[[#This Row],[Date]]),K298)</f>
        <v>256.42</v>
      </c>
      <c r="L299" s="365">
        <f>IF(AND(_xll.Close_Historical(INDEX(Quotes[#Headers],1,COLUMN(L299)),Quotes[[#This Row],[Date]])&lt;&gt;"NA",_xll.Close_Historical(INDEX(Quotes[#Headers],1,COLUMN(L299)),Quotes[[#This Row],[Date]])&lt;&gt;"'close'"),_xll.Close_Historical(INDEX(Quotes[#Headers],1,COLUMN(L299)),Quotes[[#This Row],[Date]]),L298)</f>
        <v>139.55000000000001</v>
      </c>
      <c r="M299" s="365">
        <f>IF(AND(_xll.Close_Historical(INDEX(Quotes[#Headers],1,COLUMN(M299)),Quotes[[#This Row],[Date]])&lt;&gt;"NA",_xll.Close_Historical(INDEX(Quotes[#Headers],1,COLUMN(M299)),Quotes[[#This Row],[Date]])&lt;&gt;"'close'"),_xll.Close_Historical(INDEX(Quotes[#Headers],1,COLUMN(M299)),Quotes[[#This Row],[Date]]),M298)</f>
        <v>86.79</v>
      </c>
      <c r="N299" s="365">
        <f>IF(AND(_xll.Close_Historical(INDEX(Quotes[#Headers],1,COLUMN(N299)),Quotes[[#This Row],[Date]])&lt;&gt;"NA",_xll.Close_Historical(INDEX(Quotes[#Headers],1,COLUMN(N299)),Quotes[[#This Row],[Date]])&lt;&gt;"'close'"),_xll.Close_Historical(INDEX(Quotes[#Headers],1,COLUMN(N299)),Quotes[[#This Row],[Date]]),N298)</f>
        <v>30.56</v>
      </c>
      <c r="O299" s="365">
        <f>IF(AND(_xll.Close_Historical(INDEX(Quotes[#Headers],1,COLUMN(O299)),Quotes[[#This Row],[Date]])&lt;&gt;"NA",_xll.Close_Historical(INDEX(Quotes[#Headers],1,COLUMN(O299)),Quotes[[#This Row],[Date]])&lt;&gt;"'close'"),_xll.Close_Historical(INDEX(Quotes[#Headers],1,COLUMN(O299)),Quotes[[#This Row],[Date]]),O298)</f>
        <v>14.5</v>
      </c>
      <c r="P299" s="365">
        <f>IF(AND(_xll.Close_Historical(INDEX(Quotes[#Headers],1,COLUMN(P299)),Quotes[[#This Row],[Date]])&lt;&gt;"NA",_xll.Close_Historical(INDEX(Quotes[#Headers],1,COLUMN(P299)),Quotes[[#This Row],[Date]])&lt;&gt;"'close'"),_xll.Close_Historical(INDEX(Quotes[#Headers],1,COLUMN(P299)),Quotes[[#This Row],[Date]]),P298)</f>
        <v>24.13</v>
      </c>
      <c r="Q299" s="365">
        <f>IF(AND(_xll.Close_Historical(INDEX(Quotes[#Headers],1,COLUMN(Q299)),Quotes[[#This Row],[Date]])&lt;&gt;"NA",_xll.Close_Historical(INDEX(Quotes[#Headers],1,COLUMN(Q299)),Quotes[[#This Row],[Date]])&lt;&gt;"'close'"),_xll.Close_Historical(INDEX(Quotes[#Headers],1,COLUMN(Q299)),Quotes[[#This Row],[Date]]),Q298)</f>
        <v>24.72</v>
      </c>
      <c r="R299" s="365">
        <f>IF(AND(_xll.Close_Historical(INDEX(Quotes[#Headers],1,COLUMN(R299)),Quotes[[#This Row],[Date]])&lt;&gt;"NA",_xll.Close_Historical(INDEX(Quotes[#Headers],1,COLUMN(R299)),Quotes[[#This Row],[Date]])&lt;&gt;"'close'"),_xll.Close_Historical(INDEX(Quotes[#Headers],1,COLUMN(R299)),Quotes[[#This Row],[Date]]),R298)</f>
        <v>28.73</v>
      </c>
      <c r="S299" s="365">
        <f>IF(AND(_xll.Close_Historical(INDEX(Quotes[#Headers],1,COLUMN(S299)),Quotes[[#This Row],[Date]])&lt;&gt;"NA",_xll.Close_Historical(INDEX(Quotes[#Headers],1,COLUMN(S299)),Quotes[[#This Row],[Date]])&lt;&gt;"'close'"),_xll.Close_Historical(INDEX(Quotes[#Headers],1,COLUMN(S299)),Quotes[[#This Row],[Date]]),S298)</f>
        <v>34.21</v>
      </c>
      <c r="T299" s="365">
        <f>IF(AND(_xll.Close_Historical(INDEX(Quotes[#Headers],1,COLUMN(T299)),Quotes[[#This Row],[Date]])&lt;&gt;"NA",_xll.Close_Historical(INDEX(Quotes[#Headers],1,COLUMN(T299)),Quotes[[#This Row],[Date]])&lt;&gt;"'close'"),_xll.Close_Historical(INDEX(Quotes[#Headers],1,COLUMN(T299)),Quotes[[#This Row],[Date]]),T298)</f>
        <v>26.82</v>
      </c>
      <c r="U299" s="365">
        <f>IF(AND(_xll.Close_Historical(INDEX(Quotes[#Headers],1,COLUMN(U299)),Quotes[[#This Row],[Date]])&lt;&gt;"NA",_xll.Close_Historical(INDEX(Quotes[#Headers],1,COLUMN(U299)),Quotes[[#This Row],[Date]])&lt;&gt;"'close'"),_xll.Close_Historical(INDEX(Quotes[#Headers],1,COLUMN(U299)),Quotes[[#This Row],[Date]]),U298)</f>
        <v>70.098399999999998</v>
      </c>
    </row>
    <row r="300" spans="1:21" x14ac:dyDescent="0.25">
      <c r="A300" s="385">
        <v>43945</v>
      </c>
      <c r="B300" s="336">
        <f>IF(AND(_xll.Close_Historical(INDEX(Quotes[#Headers],1,COLUMN(B300)),Quotes[[#This Row],[Date]])&lt;&gt;"NA",_xll.Close_Historical(INDEX(Quotes[#Headers],1,COLUMN(B300)),Quotes[[#This Row],[Date]])&lt;&gt;"'close'"),_xll.Close_Historical(INDEX(Quotes[#Headers],1,COLUMN(B300)),Quotes[[#This Row],[Date]]),B299)</f>
        <v>87.57</v>
      </c>
      <c r="C300" s="336">
        <f>IF(AND(_xll.Close_Historical(INDEX(Quotes[#Headers],1,COLUMN(C300)),Quotes[[#This Row],[Date]])&lt;&gt;"NA",_xll.Close_Historical(INDEX(Quotes[#Headers],1,COLUMN(C300)),Quotes[[#This Row],[Date]])&lt;&gt;"'close'"),_xll.Close_Historical(INDEX(Quotes[#Headers],1,COLUMN(C300)),Quotes[[#This Row],[Date]]),C299)</f>
        <v>33.93</v>
      </c>
      <c r="D300" s="336">
        <f>IF(AND(_xll.Close_Historical(INDEX(Quotes[#Headers],1,COLUMN(D300)),Quotes[[#This Row],[Date]])&lt;&gt;"NA",_xll.Close_Historical(INDEX(Quotes[#Headers],1,COLUMN(D300)),Quotes[[#This Row],[Date]])&lt;&gt;"'close'"),_xll.Close_Historical(INDEX(Quotes[#Headers],1,COLUMN(D300)),Quotes[[#This Row],[Date]]),D299)</f>
        <v>162.63999999999999</v>
      </c>
      <c r="E300" s="336">
        <f>IF(AND(_xll.Close_Historical(INDEX(Quotes[#Headers],1,COLUMN(E300)),Quotes[[#This Row],[Date]])&lt;&gt;"NA",_xll.Close_Historical(INDEX(Quotes[#Headers],1,COLUMN(E300)),Quotes[[#This Row],[Date]])&lt;&gt;"'close'"),_xll.Close_Historical(INDEX(Quotes[#Headers],1,COLUMN(E300)),Quotes[[#This Row],[Date]]),E299)</f>
        <v>58.72</v>
      </c>
      <c r="F300" s="336">
        <f>IF(AND(_xll.Close_Historical(INDEX(Quotes[#Headers],1,COLUMN(F300)),Quotes[[#This Row],[Date]])&lt;&gt;"NA",_xll.Close_Historical(INDEX(Quotes[#Headers],1,COLUMN(F300)),Quotes[[#This Row],[Date]])&lt;&gt;"'close'"),_xll.Close_Historical(INDEX(Quotes[#Headers],1,COLUMN(F300)),Quotes[[#This Row],[Date]]),F299)</f>
        <v>213.84</v>
      </c>
      <c r="G300" s="336">
        <f>IF(AND(_xll.Close_Historical(INDEX(Quotes[#Headers],1,COLUMN(G300)),Quotes[[#This Row],[Date]])&lt;&gt;"NA",_xll.Close_Historical(INDEX(Quotes[#Headers],1,COLUMN(G300)),Quotes[[#This Row],[Date]])&lt;&gt;"'close'"),_xll.Close_Historical(INDEX(Quotes[#Headers],1,COLUMN(G300)),Quotes[[#This Row],[Date]]),G299)</f>
        <v>14.21</v>
      </c>
      <c r="H300" s="336">
        <f>IF(AND(_xll.Close_Historical(INDEX(Quotes[#Headers],1,COLUMN(H300)),Quotes[[#This Row],[Date]])&lt;&gt;"NA",_xll.Close_Historical(INDEX(Quotes[#Headers],1,COLUMN(H300)),Quotes[[#This Row],[Date]])&lt;&gt;"'close'"),_xll.Close_Historical(INDEX(Quotes[#Headers],1,COLUMN(H300)),Quotes[[#This Row],[Date]]),H299)</f>
        <v>27.17</v>
      </c>
      <c r="I300" s="336">
        <f>IF(AND(_xll.Close_Historical(INDEX(Quotes[#Headers],1,COLUMN(I300)),Quotes[[#This Row],[Date]])&lt;&gt;"NA",_xll.Close_Historical(INDEX(Quotes[#Headers],1,COLUMN(I300)),Quotes[[#This Row],[Date]])&lt;&gt;"'close'"),_xll.Close_Historical(INDEX(Quotes[#Headers],1,COLUMN(I300)),Quotes[[#This Row],[Date]]),I299)</f>
        <v>104.06</v>
      </c>
      <c r="J300" s="336">
        <f>IF(AND(_xll.Close_Historical(INDEX(Quotes[#Headers],1,COLUMN(J300)),Quotes[[#This Row],[Date]])&lt;&gt;"NA",_xll.Close_Historical(INDEX(Quotes[#Headers],1,COLUMN(J300)),Quotes[[#This Row],[Date]])&lt;&gt;"'close'"),_xll.Close_Historical(INDEX(Quotes[#Headers],1,COLUMN(J300)),Quotes[[#This Row],[Date]]),J299)</f>
        <v>72.75</v>
      </c>
      <c r="K300" s="365">
        <f>IF(AND(_xll.Close_Historical(INDEX(Quotes[#Headers],1,COLUMN(K300)),Quotes[[#This Row],[Date]])&lt;&gt;"NA",_xll.Close_Historical(INDEX(Quotes[#Headers],1,COLUMN(K300)),Quotes[[#This Row],[Date]])&lt;&gt;"'close'"),_xll.Close_Historical(INDEX(Quotes[#Headers],1,COLUMN(K300)),Quotes[[#This Row],[Date]]),K299)</f>
        <v>260.14</v>
      </c>
      <c r="L300" s="336">
        <f>IF(AND(_xll.Close_Historical(INDEX(Quotes[#Headers],1,COLUMN(L300)),Quotes[[#This Row],[Date]])&lt;&gt;"NA",_xll.Close_Historical(INDEX(Quotes[#Headers],1,COLUMN(L300)),Quotes[[#This Row],[Date]])&lt;&gt;"'close'"),_xll.Close_Historical(INDEX(Quotes[#Headers],1,COLUMN(L300)),Quotes[[#This Row],[Date]]),L299)</f>
        <v>141.63</v>
      </c>
      <c r="M300" s="336">
        <f>IF(AND(_xll.Close_Historical(INDEX(Quotes[#Headers],1,COLUMN(M300)),Quotes[[#This Row],[Date]])&lt;&gt;"NA",_xll.Close_Historical(INDEX(Quotes[#Headers],1,COLUMN(M300)),Quotes[[#This Row],[Date]])&lt;&gt;"'close'"),_xll.Close_Historical(INDEX(Quotes[#Headers],1,COLUMN(M300)),Quotes[[#This Row],[Date]]),M299)</f>
        <v>88.63</v>
      </c>
      <c r="N300" s="336">
        <f>IF(AND(_xll.Close_Historical(INDEX(Quotes[#Headers],1,COLUMN(N300)),Quotes[[#This Row],[Date]])&lt;&gt;"NA",_xll.Close_Historical(INDEX(Quotes[#Headers],1,COLUMN(N300)),Quotes[[#This Row],[Date]])&lt;&gt;"'close'"),_xll.Close_Historical(INDEX(Quotes[#Headers],1,COLUMN(N300)),Quotes[[#This Row],[Date]]),N299)</f>
        <v>30.97</v>
      </c>
      <c r="O300" s="336">
        <f>IF(AND(_xll.Close_Historical(INDEX(Quotes[#Headers],1,COLUMN(O300)),Quotes[[#This Row],[Date]])&lt;&gt;"NA",_xll.Close_Historical(INDEX(Quotes[#Headers],1,COLUMN(O300)),Quotes[[#This Row],[Date]])&lt;&gt;"'close'"),_xll.Close_Historical(INDEX(Quotes[#Headers],1,COLUMN(O300)),Quotes[[#This Row],[Date]]),O299)</f>
        <v>14.46</v>
      </c>
      <c r="P300" s="336">
        <f>IF(AND(_xll.Close_Historical(INDEX(Quotes[#Headers],1,COLUMN(P300)),Quotes[[#This Row],[Date]])&lt;&gt;"NA",_xll.Close_Historical(INDEX(Quotes[#Headers],1,COLUMN(P300)),Quotes[[#This Row],[Date]])&lt;&gt;"'close'"),_xll.Close_Historical(INDEX(Quotes[#Headers],1,COLUMN(P300)),Quotes[[#This Row],[Date]]),P299)</f>
        <v>24.37</v>
      </c>
      <c r="Q300" s="336">
        <f>IF(AND(_xll.Close_Historical(INDEX(Quotes[#Headers],1,COLUMN(Q300)),Quotes[[#This Row],[Date]])&lt;&gt;"NA",_xll.Close_Historical(INDEX(Quotes[#Headers],1,COLUMN(Q300)),Quotes[[#This Row],[Date]])&lt;&gt;"'close'"),_xll.Close_Historical(INDEX(Quotes[#Headers],1,COLUMN(Q300)),Quotes[[#This Row],[Date]]),Q299)</f>
        <v>25.05</v>
      </c>
      <c r="R300" s="336">
        <f>IF(AND(_xll.Close_Historical(INDEX(Quotes[#Headers],1,COLUMN(R300)),Quotes[[#This Row],[Date]])&lt;&gt;"NA",_xll.Close_Historical(INDEX(Quotes[#Headers],1,COLUMN(R300)),Quotes[[#This Row],[Date]])&lt;&gt;"'close'"),_xll.Close_Historical(INDEX(Quotes[#Headers],1,COLUMN(R300)),Quotes[[#This Row],[Date]]),R299)</f>
        <v>29.14</v>
      </c>
      <c r="S300" s="336">
        <f>IF(AND(_xll.Close_Historical(INDEX(Quotes[#Headers],1,COLUMN(S300)),Quotes[[#This Row],[Date]])&lt;&gt;"NA",_xll.Close_Historical(INDEX(Quotes[#Headers],1,COLUMN(S300)),Quotes[[#This Row],[Date]])&lt;&gt;"'close'"),_xll.Close_Historical(INDEX(Quotes[#Headers],1,COLUMN(S300)),Quotes[[#This Row],[Date]]),S299)</f>
        <v>34.549999999999997</v>
      </c>
      <c r="T300" s="336">
        <f>IF(AND(_xll.Close_Historical(INDEX(Quotes[#Headers],1,COLUMN(T300)),Quotes[[#This Row],[Date]])&lt;&gt;"NA",_xll.Close_Historical(INDEX(Quotes[#Headers],1,COLUMN(T300)),Quotes[[#This Row],[Date]])&lt;&gt;"'close'"),_xll.Close_Historical(INDEX(Quotes[#Headers],1,COLUMN(T300)),Quotes[[#This Row],[Date]]),T299)</f>
        <v>26.83</v>
      </c>
      <c r="U300" s="336">
        <f>IF(AND(_xll.Close_Historical(INDEX(Quotes[#Headers],1,COLUMN(U300)),Quotes[[#This Row],[Date]])&lt;&gt;"NA",_xll.Close_Historical(INDEX(Quotes[#Headers],1,COLUMN(U300)),Quotes[[#This Row],[Date]])&lt;&gt;"'close'"),_xll.Close_Historical(INDEX(Quotes[#Headers],1,COLUMN(U300)),Quotes[[#This Row],[Date]]),U299)</f>
        <v>69.966899999999995</v>
      </c>
    </row>
    <row r="301" spans="1:21" s="368" customFormat="1" x14ac:dyDescent="0.25">
      <c r="A301" s="366">
        <v>43946</v>
      </c>
      <c r="B301" s="367">
        <f>IF(AND(_xll.Close_Historical(INDEX(Quotes[#Headers],1,COLUMN(B301)),Quotes[[#This Row],[Date]])&lt;&gt;"NA",_xll.Close_Historical(INDEX(Quotes[#Headers],1,COLUMN(B301)),Quotes[[#This Row],[Date]])&lt;&gt;"'close'"),_xll.Close_Historical(INDEX(Quotes[#Headers],1,COLUMN(B301)),Quotes[[#This Row],[Date]]),B300)</f>
        <v>87.57</v>
      </c>
      <c r="C301" s="367">
        <f>IF(AND(_xll.Close_Historical(INDEX(Quotes[#Headers],1,COLUMN(C301)),Quotes[[#This Row],[Date]])&lt;&gt;"NA",_xll.Close_Historical(INDEX(Quotes[#Headers],1,COLUMN(C301)),Quotes[[#This Row],[Date]])&lt;&gt;"'close'"),_xll.Close_Historical(INDEX(Quotes[#Headers],1,COLUMN(C301)),Quotes[[#This Row],[Date]]),C300)</f>
        <v>33.93</v>
      </c>
      <c r="D301" s="367">
        <f>IF(AND(_xll.Close_Historical(INDEX(Quotes[#Headers],1,COLUMN(D301)),Quotes[[#This Row],[Date]])&lt;&gt;"NA",_xll.Close_Historical(INDEX(Quotes[#Headers],1,COLUMN(D301)),Quotes[[#This Row],[Date]])&lt;&gt;"'close'"),_xll.Close_Historical(INDEX(Quotes[#Headers],1,COLUMN(D301)),Quotes[[#This Row],[Date]]),D300)</f>
        <v>162.63999999999999</v>
      </c>
      <c r="E301" s="367">
        <f>IF(AND(_xll.Close_Historical(INDEX(Quotes[#Headers],1,COLUMN(E301)),Quotes[[#This Row],[Date]])&lt;&gt;"NA",_xll.Close_Historical(INDEX(Quotes[#Headers],1,COLUMN(E301)),Quotes[[#This Row],[Date]])&lt;&gt;"'close'"),_xll.Close_Historical(INDEX(Quotes[#Headers],1,COLUMN(E301)),Quotes[[#This Row],[Date]]),E300)</f>
        <v>58.72</v>
      </c>
      <c r="F301" s="367">
        <f>IF(AND(_xll.Close_Historical(INDEX(Quotes[#Headers],1,COLUMN(F301)),Quotes[[#This Row],[Date]])&lt;&gt;"NA",_xll.Close_Historical(INDEX(Quotes[#Headers],1,COLUMN(F301)),Quotes[[#This Row],[Date]])&lt;&gt;"'close'"),_xll.Close_Historical(INDEX(Quotes[#Headers],1,COLUMN(F301)),Quotes[[#This Row],[Date]]),F300)</f>
        <v>213.84</v>
      </c>
      <c r="G301" s="367">
        <f>IF(AND(_xll.Close_Historical(INDEX(Quotes[#Headers],1,COLUMN(G301)),Quotes[[#This Row],[Date]])&lt;&gt;"NA",_xll.Close_Historical(INDEX(Quotes[#Headers],1,COLUMN(G301)),Quotes[[#This Row],[Date]])&lt;&gt;"'close'"),_xll.Close_Historical(INDEX(Quotes[#Headers],1,COLUMN(G301)),Quotes[[#This Row],[Date]]),G300)</f>
        <v>14.21</v>
      </c>
      <c r="H301" s="367">
        <f>IF(AND(_xll.Close_Historical(INDEX(Quotes[#Headers],1,COLUMN(H301)),Quotes[[#This Row],[Date]])&lt;&gt;"NA",_xll.Close_Historical(INDEX(Quotes[#Headers],1,COLUMN(H301)),Quotes[[#This Row],[Date]])&lt;&gt;"'close'"),_xll.Close_Historical(INDEX(Quotes[#Headers],1,COLUMN(H301)),Quotes[[#This Row],[Date]]),H300)</f>
        <v>27.17</v>
      </c>
      <c r="I301" s="367">
        <f>IF(AND(_xll.Close_Historical(INDEX(Quotes[#Headers],1,COLUMN(I301)),Quotes[[#This Row],[Date]])&lt;&gt;"NA",_xll.Close_Historical(INDEX(Quotes[#Headers],1,COLUMN(I301)),Quotes[[#This Row],[Date]])&lt;&gt;"'close'"),_xll.Close_Historical(INDEX(Quotes[#Headers],1,COLUMN(I301)),Quotes[[#This Row],[Date]]),I300)</f>
        <v>104.06</v>
      </c>
      <c r="J301" s="367">
        <f>IF(AND(_xll.Close_Historical(INDEX(Quotes[#Headers],1,COLUMN(J301)),Quotes[[#This Row],[Date]])&lt;&gt;"NA",_xll.Close_Historical(INDEX(Quotes[#Headers],1,COLUMN(J301)),Quotes[[#This Row],[Date]])&lt;&gt;"'close'"),_xll.Close_Historical(INDEX(Quotes[#Headers],1,COLUMN(J301)),Quotes[[#This Row],[Date]]),J300)</f>
        <v>72.75</v>
      </c>
      <c r="K301" s="367">
        <f>IF(AND(_xll.Close_Historical(INDEX(Quotes[#Headers],1,COLUMN(K301)),Quotes[[#This Row],[Date]])&lt;&gt;"NA",_xll.Close_Historical(INDEX(Quotes[#Headers],1,COLUMN(K301)),Quotes[[#This Row],[Date]])&lt;&gt;"'close'"),_xll.Close_Historical(INDEX(Quotes[#Headers],1,COLUMN(K301)),Quotes[[#This Row],[Date]]),K300)</f>
        <v>260.14</v>
      </c>
      <c r="L301" s="367">
        <f>IF(AND(_xll.Close_Historical(INDEX(Quotes[#Headers],1,COLUMN(L301)),Quotes[[#This Row],[Date]])&lt;&gt;"NA",_xll.Close_Historical(INDEX(Quotes[#Headers],1,COLUMN(L301)),Quotes[[#This Row],[Date]])&lt;&gt;"'close'"),_xll.Close_Historical(INDEX(Quotes[#Headers],1,COLUMN(L301)),Quotes[[#This Row],[Date]]),L300)</f>
        <v>141.63</v>
      </c>
      <c r="M301" s="367">
        <f>IF(AND(_xll.Close_Historical(INDEX(Quotes[#Headers],1,COLUMN(M301)),Quotes[[#This Row],[Date]])&lt;&gt;"NA",_xll.Close_Historical(INDEX(Quotes[#Headers],1,COLUMN(M301)),Quotes[[#This Row],[Date]])&lt;&gt;"'close'"),_xll.Close_Historical(INDEX(Quotes[#Headers],1,COLUMN(M301)),Quotes[[#This Row],[Date]]),M300)</f>
        <v>88.63</v>
      </c>
      <c r="N301" s="367">
        <f>IF(AND(_xll.Close_Historical(INDEX(Quotes[#Headers],1,COLUMN(N301)),Quotes[[#This Row],[Date]])&lt;&gt;"NA",_xll.Close_Historical(INDEX(Quotes[#Headers],1,COLUMN(N301)),Quotes[[#This Row],[Date]])&lt;&gt;"'close'"),_xll.Close_Historical(INDEX(Quotes[#Headers],1,COLUMN(N301)),Quotes[[#This Row],[Date]]),N300)</f>
        <v>30.97</v>
      </c>
      <c r="O301" s="367">
        <f>IF(AND(_xll.Close_Historical(INDEX(Quotes[#Headers],1,COLUMN(O301)),Quotes[[#This Row],[Date]])&lt;&gt;"NA",_xll.Close_Historical(INDEX(Quotes[#Headers],1,COLUMN(O301)),Quotes[[#This Row],[Date]])&lt;&gt;"'close'"),_xll.Close_Historical(INDEX(Quotes[#Headers],1,COLUMN(O301)),Quotes[[#This Row],[Date]]),O300)</f>
        <v>14.46</v>
      </c>
      <c r="P301" s="367">
        <f>IF(AND(_xll.Close_Historical(INDEX(Quotes[#Headers],1,COLUMN(P301)),Quotes[[#This Row],[Date]])&lt;&gt;"NA",_xll.Close_Historical(INDEX(Quotes[#Headers],1,COLUMN(P301)),Quotes[[#This Row],[Date]])&lt;&gt;"'close'"),_xll.Close_Historical(INDEX(Quotes[#Headers],1,COLUMN(P301)),Quotes[[#This Row],[Date]]),P300)</f>
        <v>24.37</v>
      </c>
      <c r="Q301" s="367">
        <f>IF(AND(_xll.Close_Historical(INDEX(Quotes[#Headers],1,COLUMN(Q301)),Quotes[[#This Row],[Date]])&lt;&gt;"NA",_xll.Close_Historical(INDEX(Quotes[#Headers],1,COLUMN(Q301)),Quotes[[#This Row],[Date]])&lt;&gt;"'close'"),_xll.Close_Historical(INDEX(Quotes[#Headers],1,COLUMN(Q301)),Quotes[[#This Row],[Date]]),Q300)</f>
        <v>25.05</v>
      </c>
      <c r="R301" s="367">
        <f>IF(AND(_xll.Close_Historical(INDEX(Quotes[#Headers],1,COLUMN(R301)),Quotes[[#This Row],[Date]])&lt;&gt;"NA",_xll.Close_Historical(INDEX(Quotes[#Headers],1,COLUMN(R301)),Quotes[[#This Row],[Date]])&lt;&gt;"'close'"),_xll.Close_Historical(INDEX(Quotes[#Headers],1,COLUMN(R301)),Quotes[[#This Row],[Date]]),R300)</f>
        <v>29.14</v>
      </c>
      <c r="S301" s="367">
        <f>IF(AND(_xll.Close_Historical(INDEX(Quotes[#Headers],1,COLUMN(S301)),Quotes[[#This Row],[Date]])&lt;&gt;"NA",_xll.Close_Historical(INDEX(Quotes[#Headers],1,COLUMN(S301)),Quotes[[#This Row],[Date]])&lt;&gt;"'close'"),_xll.Close_Historical(INDEX(Quotes[#Headers],1,COLUMN(S301)),Quotes[[#This Row],[Date]]),S300)</f>
        <v>34.549999999999997</v>
      </c>
      <c r="T301" s="367">
        <f>IF(AND(_xll.Close_Historical(INDEX(Quotes[#Headers],1,COLUMN(T301)),Quotes[[#This Row],[Date]])&lt;&gt;"NA",_xll.Close_Historical(INDEX(Quotes[#Headers],1,COLUMN(T301)),Quotes[[#This Row],[Date]])&lt;&gt;"'close'"),_xll.Close_Historical(INDEX(Quotes[#Headers],1,COLUMN(T301)),Quotes[[#This Row],[Date]]),T300)</f>
        <v>26.83</v>
      </c>
      <c r="U301" s="367">
        <f>IF(AND(_xll.Close_Historical(INDEX(Quotes[#Headers],1,COLUMN(U301)),Quotes[[#This Row],[Date]])&lt;&gt;"NA",_xll.Close_Historical(INDEX(Quotes[#Headers],1,COLUMN(U301)),Quotes[[#This Row],[Date]])&lt;&gt;"'close'"),_xll.Close_Historical(INDEX(Quotes[#Headers],1,COLUMN(U301)),Quotes[[#This Row],[Date]]),U300)</f>
        <v>69.966899999999995</v>
      </c>
    </row>
    <row r="302" spans="1:21" s="368" customFormat="1" x14ac:dyDescent="0.25">
      <c r="A302" s="366">
        <v>43947</v>
      </c>
      <c r="B302" s="367">
        <f>IF(AND(_xll.Close_Historical(INDEX(Quotes[#Headers],1,COLUMN(B302)),Quotes[[#This Row],[Date]])&lt;&gt;"NA",_xll.Close_Historical(INDEX(Quotes[#Headers],1,COLUMN(B302)),Quotes[[#This Row],[Date]])&lt;&gt;"'close'"),_xll.Close_Historical(INDEX(Quotes[#Headers],1,COLUMN(B302)),Quotes[[#This Row],[Date]]),B301)</f>
        <v>87.57</v>
      </c>
      <c r="C302" s="367">
        <f>IF(AND(_xll.Close_Historical(INDEX(Quotes[#Headers],1,COLUMN(C302)),Quotes[[#This Row],[Date]])&lt;&gt;"NA",_xll.Close_Historical(INDEX(Quotes[#Headers],1,COLUMN(C302)),Quotes[[#This Row],[Date]])&lt;&gt;"'close'"),_xll.Close_Historical(INDEX(Quotes[#Headers],1,COLUMN(C302)),Quotes[[#This Row],[Date]]),C301)</f>
        <v>33.93</v>
      </c>
      <c r="D302" s="367">
        <f>IF(AND(_xll.Close_Historical(INDEX(Quotes[#Headers],1,COLUMN(D302)),Quotes[[#This Row],[Date]])&lt;&gt;"NA",_xll.Close_Historical(INDEX(Quotes[#Headers],1,COLUMN(D302)),Quotes[[#This Row],[Date]])&lt;&gt;"'close'"),_xll.Close_Historical(INDEX(Quotes[#Headers],1,COLUMN(D302)),Quotes[[#This Row],[Date]]),D301)</f>
        <v>162.63999999999999</v>
      </c>
      <c r="E302" s="367">
        <f>IF(AND(_xll.Close_Historical(INDEX(Quotes[#Headers],1,COLUMN(E302)),Quotes[[#This Row],[Date]])&lt;&gt;"NA",_xll.Close_Historical(INDEX(Quotes[#Headers],1,COLUMN(E302)),Quotes[[#This Row],[Date]])&lt;&gt;"'close'"),_xll.Close_Historical(INDEX(Quotes[#Headers],1,COLUMN(E302)),Quotes[[#This Row],[Date]]),E301)</f>
        <v>58.72</v>
      </c>
      <c r="F302" s="367">
        <f>IF(AND(_xll.Close_Historical(INDEX(Quotes[#Headers],1,COLUMN(F302)),Quotes[[#This Row],[Date]])&lt;&gt;"NA",_xll.Close_Historical(INDEX(Quotes[#Headers],1,COLUMN(F302)),Quotes[[#This Row],[Date]])&lt;&gt;"'close'"),_xll.Close_Historical(INDEX(Quotes[#Headers],1,COLUMN(F302)),Quotes[[#This Row],[Date]]),F301)</f>
        <v>213.84</v>
      </c>
      <c r="G302" s="367">
        <f>IF(AND(_xll.Close_Historical(INDEX(Quotes[#Headers],1,COLUMN(G302)),Quotes[[#This Row],[Date]])&lt;&gt;"NA",_xll.Close_Historical(INDEX(Quotes[#Headers],1,COLUMN(G302)),Quotes[[#This Row],[Date]])&lt;&gt;"'close'"),_xll.Close_Historical(INDEX(Quotes[#Headers],1,COLUMN(G302)),Quotes[[#This Row],[Date]]),G301)</f>
        <v>14.21</v>
      </c>
      <c r="H302" s="367">
        <f>IF(AND(_xll.Close_Historical(INDEX(Quotes[#Headers],1,COLUMN(H302)),Quotes[[#This Row],[Date]])&lt;&gt;"NA",_xll.Close_Historical(INDEX(Quotes[#Headers],1,COLUMN(H302)),Quotes[[#This Row],[Date]])&lt;&gt;"'close'"),_xll.Close_Historical(INDEX(Quotes[#Headers],1,COLUMN(H302)),Quotes[[#This Row],[Date]]),H301)</f>
        <v>27.17</v>
      </c>
      <c r="I302" s="367">
        <f>IF(AND(_xll.Close_Historical(INDEX(Quotes[#Headers],1,COLUMN(I302)),Quotes[[#This Row],[Date]])&lt;&gt;"NA",_xll.Close_Historical(INDEX(Quotes[#Headers],1,COLUMN(I302)),Quotes[[#This Row],[Date]])&lt;&gt;"'close'"),_xll.Close_Historical(INDEX(Quotes[#Headers],1,COLUMN(I302)),Quotes[[#This Row],[Date]]),I301)</f>
        <v>104.06</v>
      </c>
      <c r="J302" s="367">
        <f>IF(AND(_xll.Close_Historical(INDEX(Quotes[#Headers],1,COLUMN(J302)),Quotes[[#This Row],[Date]])&lt;&gt;"NA",_xll.Close_Historical(INDEX(Quotes[#Headers],1,COLUMN(J302)),Quotes[[#This Row],[Date]])&lt;&gt;"'close'"),_xll.Close_Historical(INDEX(Quotes[#Headers],1,COLUMN(J302)),Quotes[[#This Row],[Date]]),J301)</f>
        <v>72.75</v>
      </c>
      <c r="K302" s="367">
        <f>IF(AND(_xll.Close_Historical(INDEX(Quotes[#Headers],1,COLUMN(K302)),Quotes[[#This Row],[Date]])&lt;&gt;"NA",_xll.Close_Historical(INDEX(Quotes[#Headers],1,COLUMN(K302)),Quotes[[#This Row],[Date]])&lt;&gt;"'close'"),_xll.Close_Historical(INDEX(Quotes[#Headers],1,COLUMN(K302)),Quotes[[#This Row],[Date]]),K301)</f>
        <v>260.14</v>
      </c>
      <c r="L302" s="367">
        <f>IF(AND(_xll.Close_Historical(INDEX(Quotes[#Headers],1,COLUMN(L302)),Quotes[[#This Row],[Date]])&lt;&gt;"NA",_xll.Close_Historical(INDEX(Quotes[#Headers],1,COLUMN(L302)),Quotes[[#This Row],[Date]])&lt;&gt;"'close'"),_xll.Close_Historical(INDEX(Quotes[#Headers],1,COLUMN(L302)),Quotes[[#This Row],[Date]]),L301)</f>
        <v>141.63</v>
      </c>
      <c r="M302" s="367">
        <f>IF(AND(_xll.Close_Historical(INDEX(Quotes[#Headers],1,COLUMN(M302)),Quotes[[#This Row],[Date]])&lt;&gt;"NA",_xll.Close_Historical(INDEX(Quotes[#Headers],1,COLUMN(M302)),Quotes[[#This Row],[Date]])&lt;&gt;"'close'"),_xll.Close_Historical(INDEX(Quotes[#Headers],1,COLUMN(M302)),Quotes[[#This Row],[Date]]),M301)</f>
        <v>88.63</v>
      </c>
      <c r="N302" s="367">
        <f>IF(AND(_xll.Close_Historical(INDEX(Quotes[#Headers],1,COLUMN(N302)),Quotes[[#This Row],[Date]])&lt;&gt;"NA",_xll.Close_Historical(INDEX(Quotes[#Headers],1,COLUMN(N302)),Quotes[[#This Row],[Date]])&lt;&gt;"'close'"),_xll.Close_Historical(INDEX(Quotes[#Headers],1,COLUMN(N302)),Quotes[[#This Row],[Date]]),N301)</f>
        <v>30.97</v>
      </c>
      <c r="O302" s="367">
        <f>IF(AND(_xll.Close_Historical(INDEX(Quotes[#Headers],1,COLUMN(O302)),Quotes[[#This Row],[Date]])&lt;&gt;"NA",_xll.Close_Historical(INDEX(Quotes[#Headers],1,COLUMN(O302)),Quotes[[#This Row],[Date]])&lt;&gt;"'close'"),_xll.Close_Historical(INDEX(Quotes[#Headers],1,COLUMN(O302)),Quotes[[#This Row],[Date]]),O301)</f>
        <v>14.46</v>
      </c>
      <c r="P302" s="367">
        <f>IF(AND(_xll.Close_Historical(INDEX(Quotes[#Headers],1,COLUMN(P302)),Quotes[[#This Row],[Date]])&lt;&gt;"NA",_xll.Close_Historical(INDEX(Quotes[#Headers],1,COLUMN(P302)),Quotes[[#This Row],[Date]])&lt;&gt;"'close'"),_xll.Close_Historical(INDEX(Quotes[#Headers],1,COLUMN(P302)),Quotes[[#This Row],[Date]]),P301)</f>
        <v>24.37</v>
      </c>
      <c r="Q302" s="367">
        <f>IF(AND(_xll.Close_Historical(INDEX(Quotes[#Headers],1,COLUMN(Q302)),Quotes[[#This Row],[Date]])&lt;&gt;"NA",_xll.Close_Historical(INDEX(Quotes[#Headers],1,COLUMN(Q302)),Quotes[[#This Row],[Date]])&lt;&gt;"'close'"),_xll.Close_Historical(INDEX(Quotes[#Headers],1,COLUMN(Q302)),Quotes[[#This Row],[Date]]),Q301)</f>
        <v>25.05</v>
      </c>
      <c r="R302" s="367">
        <f>IF(AND(_xll.Close_Historical(INDEX(Quotes[#Headers],1,COLUMN(R302)),Quotes[[#This Row],[Date]])&lt;&gt;"NA",_xll.Close_Historical(INDEX(Quotes[#Headers],1,COLUMN(R302)),Quotes[[#This Row],[Date]])&lt;&gt;"'close'"),_xll.Close_Historical(INDEX(Quotes[#Headers],1,COLUMN(R302)),Quotes[[#This Row],[Date]]),R301)</f>
        <v>29.14</v>
      </c>
      <c r="S302" s="367">
        <f>IF(AND(_xll.Close_Historical(INDEX(Quotes[#Headers],1,COLUMN(S302)),Quotes[[#This Row],[Date]])&lt;&gt;"NA",_xll.Close_Historical(INDEX(Quotes[#Headers],1,COLUMN(S302)),Quotes[[#This Row],[Date]])&lt;&gt;"'close'"),_xll.Close_Historical(INDEX(Quotes[#Headers],1,COLUMN(S302)),Quotes[[#This Row],[Date]]),S301)</f>
        <v>34.549999999999997</v>
      </c>
      <c r="T302" s="367">
        <f>IF(AND(_xll.Close_Historical(INDEX(Quotes[#Headers],1,COLUMN(T302)),Quotes[[#This Row],[Date]])&lt;&gt;"NA",_xll.Close_Historical(INDEX(Quotes[#Headers],1,COLUMN(T302)),Quotes[[#This Row],[Date]])&lt;&gt;"'close'"),_xll.Close_Historical(INDEX(Quotes[#Headers],1,COLUMN(T302)),Quotes[[#This Row],[Date]]),T301)</f>
        <v>26.83</v>
      </c>
      <c r="U302" s="367">
        <f>IF(AND(_xll.Close_Historical(INDEX(Quotes[#Headers],1,COLUMN(U302)),Quotes[[#This Row],[Date]])&lt;&gt;"NA",_xll.Close_Historical(INDEX(Quotes[#Headers],1,COLUMN(U302)),Quotes[[#This Row],[Date]])&lt;&gt;"'close'"),_xll.Close_Historical(INDEX(Quotes[#Headers],1,COLUMN(U302)),Quotes[[#This Row],[Date]]),U301)</f>
        <v>69.966899999999995</v>
      </c>
    </row>
    <row r="303" spans="1:21" x14ac:dyDescent="0.25">
      <c r="A303" s="364">
        <v>43948</v>
      </c>
      <c r="B303" s="365">
        <f>IF(AND(_xll.Close_Historical(INDEX(Quotes[#Headers],1,COLUMN(B303)),Quotes[[#This Row],[Date]])&lt;&gt;"NA",_xll.Close_Historical(INDEX(Quotes[#Headers],1,COLUMN(B303)),Quotes[[#This Row],[Date]])&lt;&gt;"'close'"),_xll.Close_Historical(INDEX(Quotes[#Headers],1,COLUMN(B303)),Quotes[[#This Row],[Date]]),B302)</f>
        <v>87.26</v>
      </c>
      <c r="C303" s="365">
        <f>IF(AND(_xll.Close_Historical(INDEX(Quotes[#Headers],1,COLUMN(C303)),Quotes[[#This Row],[Date]])&lt;&gt;"NA",_xll.Close_Historical(INDEX(Quotes[#Headers],1,COLUMN(C303)),Quotes[[#This Row],[Date]])&lt;&gt;"'close'"),_xll.Close_Historical(INDEX(Quotes[#Headers],1,COLUMN(C303)),Quotes[[#This Row],[Date]]),C302)</f>
        <v>33.79</v>
      </c>
      <c r="D303" s="365">
        <f>IF(AND(_xll.Close_Historical(INDEX(Quotes[#Headers],1,COLUMN(D303)),Quotes[[#This Row],[Date]])&lt;&gt;"NA",_xll.Close_Historical(INDEX(Quotes[#Headers],1,COLUMN(D303)),Quotes[[#This Row],[Date]])&lt;&gt;"'close'"),_xll.Close_Historical(INDEX(Quotes[#Headers],1,COLUMN(D303)),Quotes[[#This Row],[Date]]),D302)</f>
        <v>161.56</v>
      </c>
      <c r="E303" s="365">
        <f>IF(AND(_xll.Close_Historical(INDEX(Quotes[#Headers],1,COLUMN(E303)),Quotes[[#This Row],[Date]])&lt;&gt;"NA",_xll.Close_Historical(INDEX(Quotes[#Headers],1,COLUMN(E303)),Quotes[[#This Row],[Date]])&lt;&gt;"'close'"),_xll.Close_Historical(INDEX(Quotes[#Headers],1,COLUMN(E303)),Quotes[[#This Row],[Date]]),E302)</f>
        <v>61.22</v>
      </c>
      <c r="F303" s="365">
        <f>IF(AND(_xll.Close_Historical(INDEX(Quotes[#Headers],1,COLUMN(F303)),Quotes[[#This Row],[Date]])&lt;&gt;"NA",_xll.Close_Historical(INDEX(Quotes[#Headers],1,COLUMN(F303)),Quotes[[#This Row],[Date]])&lt;&gt;"'close'"),_xll.Close_Historical(INDEX(Quotes[#Headers],1,COLUMN(F303)),Quotes[[#This Row],[Date]]),F302)</f>
        <v>215.56</v>
      </c>
      <c r="G303" s="365">
        <f>IF(AND(_xll.Close_Historical(INDEX(Quotes[#Headers],1,COLUMN(G303)),Quotes[[#This Row],[Date]])&lt;&gt;"NA",_xll.Close_Historical(INDEX(Quotes[#Headers],1,COLUMN(G303)),Quotes[[#This Row],[Date]])&lt;&gt;"'close'"),_xll.Close_Historical(INDEX(Quotes[#Headers],1,COLUMN(G303)),Quotes[[#This Row],[Date]]),G302)</f>
        <v>14.21</v>
      </c>
      <c r="H303" s="365">
        <f>IF(AND(_xll.Close_Historical(INDEX(Quotes[#Headers],1,COLUMN(H303)),Quotes[[#This Row],[Date]])&lt;&gt;"NA",_xll.Close_Historical(INDEX(Quotes[#Headers],1,COLUMN(H303)),Quotes[[#This Row],[Date]])&lt;&gt;"'close'"),_xll.Close_Historical(INDEX(Quotes[#Headers],1,COLUMN(H303)),Quotes[[#This Row],[Date]]),H302)</f>
        <v>27.1</v>
      </c>
      <c r="I303" s="365">
        <f>IF(AND(_xll.Close_Historical(INDEX(Quotes[#Headers],1,COLUMN(I303)),Quotes[[#This Row],[Date]])&lt;&gt;"NA",_xll.Close_Historical(INDEX(Quotes[#Headers],1,COLUMN(I303)),Quotes[[#This Row],[Date]])&lt;&gt;"'close'"),_xll.Close_Historical(INDEX(Quotes[#Headers],1,COLUMN(I303)),Quotes[[#This Row],[Date]]),I302)</f>
        <v>102.28</v>
      </c>
      <c r="J303" s="365">
        <f>IF(AND(_xll.Close_Historical(INDEX(Quotes[#Headers],1,COLUMN(J303)),Quotes[[#This Row],[Date]])&lt;&gt;"NA",_xll.Close_Historical(INDEX(Quotes[#Headers],1,COLUMN(J303)),Quotes[[#This Row],[Date]])&lt;&gt;"'close'"),_xll.Close_Historical(INDEX(Quotes[#Headers],1,COLUMN(J303)),Quotes[[#This Row],[Date]]),J302)</f>
        <v>75.239999999999995</v>
      </c>
      <c r="K303" s="365">
        <f>IF(AND(_xll.Close_Historical(INDEX(Quotes[#Headers],1,COLUMN(K303)),Quotes[[#This Row],[Date]])&lt;&gt;"NA",_xll.Close_Historical(INDEX(Quotes[#Headers],1,COLUMN(K303)),Quotes[[#This Row],[Date]])&lt;&gt;"'close'"),_xll.Close_Historical(INDEX(Quotes[#Headers],1,COLUMN(K303)),Quotes[[#This Row],[Date]]),K302)</f>
        <v>263.89999999999998</v>
      </c>
      <c r="L303" s="365">
        <f>IF(AND(_xll.Close_Historical(INDEX(Quotes[#Headers],1,COLUMN(L303)),Quotes[[#This Row],[Date]])&lt;&gt;"NA",_xll.Close_Historical(INDEX(Quotes[#Headers],1,COLUMN(L303)),Quotes[[#This Row],[Date]])&lt;&gt;"'close'"),_xll.Close_Historical(INDEX(Quotes[#Headers],1,COLUMN(L303)),Quotes[[#This Row],[Date]]),L302)</f>
        <v>144.13999999999999</v>
      </c>
      <c r="M303" s="365">
        <f>IF(AND(_xll.Close_Historical(INDEX(Quotes[#Headers],1,COLUMN(M303)),Quotes[[#This Row],[Date]])&lt;&gt;"NA",_xll.Close_Historical(INDEX(Quotes[#Headers],1,COLUMN(M303)),Quotes[[#This Row],[Date]])&lt;&gt;"'close'"),_xll.Close_Historical(INDEX(Quotes[#Headers],1,COLUMN(M303)),Quotes[[#This Row],[Date]]),M302)</f>
        <v>89.39</v>
      </c>
      <c r="N303" s="365">
        <f>IF(AND(_xll.Close_Historical(INDEX(Quotes[#Headers],1,COLUMN(N303)),Quotes[[#This Row],[Date]])&lt;&gt;"NA",_xll.Close_Historical(INDEX(Quotes[#Headers],1,COLUMN(N303)),Quotes[[#This Row],[Date]])&lt;&gt;"'close'"),_xll.Close_Historical(INDEX(Quotes[#Headers],1,COLUMN(N303)),Quotes[[#This Row],[Date]]),N302)</f>
        <v>31.414999999999999</v>
      </c>
      <c r="O303" s="365">
        <f>IF(AND(_xll.Close_Historical(INDEX(Quotes[#Headers],1,COLUMN(O303)),Quotes[[#This Row],[Date]])&lt;&gt;"NA",_xll.Close_Historical(INDEX(Quotes[#Headers],1,COLUMN(O303)),Quotes[[#This Row],[Date]])&lt;&gt;"'close'"),_xll.Close_Historical(INDEX(Quotes[#Headers],1,COLUMN(O303)),Quotes[[#This Row],[Date]]),O302)</f>
        <v>14.37</v>
      </c>
      <c r="P303" s="365">
        <f>IF(AND(_xll.Close_Historical(INDEX(Quotes[#Headers],1,COLUMN(P303)),Quotes[[#This Row],[Date]])&lt;&gt;"NA",_xll.Close_Historical(INDEX(Quotes[#Headers],1,COLUMN(P303)),Quotes[[#This Row],[Date]])&lt;&gt;"'close'"),_xll.Close_Historical(INDEX(Quotes[#Headers],1,COLUMN(P303)),Quotes[[#This Row],[Date]]),P302)</f>
        <v>24.64</v>
      </c>
      <c r="Q303" s="365">
        <f>IF(AND(_xll.Close_Historical(INDEX(Quotes[#Headers],1,COLUMN(Q303)),Quotes[[#This Row],[Date]])&lt;&gt;"NA",_xll.Close_Historical(INDEX(Quotes[#Headers],1,COLUMN(Q303)),Quotes[[#This Row],[Date]])&lt;&gt;"'close'"),_xll.Close_Historical(INDEX(Quotes[#Headers],1,COLUMN(Q303)),Quotes[[#This Row],[Date]]),Q302)</f>
        <v>26.3</v>
      </c>
      <c r="R303" s="365">
        <f>IF(AND(_xll.Close_Historical(INDEX(Quotes[#Headers],1,COLUMN(R303)),Quotes[[#This Row],[Date]])&lt;&gt;"NA",_xll.Close_Historical(INDEX(Quotes[#Headers],1,COLUMN(R303)),Quotes[[#This Row],[Date]])&lt;&gt;"'close'"),_xll.Close_Historical(INDEX(Quotes[#Headers],1,COLUMN(R303)),Quotes[[#This Row],[Date]]),R302)</f>
        <v>29.54</v>
      </c>
      <c r="S303" s="365">
        <f>IF(AND(_xll.Close_Historical(INDEX(Quotes[#Headers],1,COLUMN(S303)),Quotes[[#This Row],[Date]])&lt;&gt;"NA",_xll.Close_Historical(INDEX(Quotes[#Headers],1,COLUMN(S303)),Quotes[[#This Row],[Date]])&lt;&gt;"'close'"),_xll.Close_Historical(INDEX(Quotes[#Headers],1,COLUMN(S303)),Quotes[[#This Row],[Date]]),S302)</f>
        <v>34.56</v>
      </c>
      <c r="T303" s="365">
        <f>IF(AND(_xll.Close_Historical(INDEX(Quotes[#Headers],1,COLUMN(T303)),Quotes[[#This Row],[Date]])&lt;&gt;"NA",_xll.Close_Historical(INDEX(Quotes[#Headers],1,COLUMN(T303)),Quotes[[#This Row],[Date]])&lt;&gt;"'close'"),_xll.Close_Historical(INDEX(Quotes[#Headers],1,COLUMN(T303)),Quotes[[#This Row],[Date]]),T302)</f>
        <v>26.78</v>
      </c>
      <c r="U303" s="365">
        <f>IF(AND(_xll.Close_Historical(INDEX(Quotes[#Headers],1,COLUMN(U303)),Quotes[[#This Row],[Date]])&lt;&gt;"NA",_xll.Close_Historical(INDEX(Quotes[#Headers],1,COLUMN(U303)),Quotes[[#This Row],[Date]])&lt;&gt;"'close'"),_xll.Close_Historical(INDEX(Quotes[#Headers],1,COLUMN(U303)),Quotes[[#This Row],[Date]]),U302)</f>
        <v>70.25</v>
      </c>
    </row>
    <row r="304" spans="1:21" x14ac:dyDescent="0.25">
      <c r="A304" s="385">
        <v>43949</v>
      </c>
      <c r="B304" s="336">
        <f>IF(AND(_xll.Close_Historical(INDEX(Quotes[#Headers],1,COLUMN(B304)),Quotes[[#This Row],[Date]])&lt;&gt;"NA",_xll.Close_Historical(INDEX(Quotes[#Headers],1,COLUMN(B304)),Quotes[[#This Row],[Date]])&lt;&gt;"'close'"),_xll.Close_Historical(INDEX(Quotes[#Headers],1,COLUMN(B304)),Quotes[[#This Row],[Date]]),B303)</f>
        <v>87.52</v>
      </c>
      <c r="C304" s="336">
        <f>IF(AND(_xll.Close_Historical(INDEX(Quotes[#Headers],1,COLUMN(C304)),Quotes[[#This Row],[Date]])&lt;&gt;"NA",_xll.Close_Historical(INDEX(Quotes[#Headers],1,COLUMN(C304)),Quotes[[#This Row],[Date]])&lt;&gt;"'close'"),_xll.Close_Historical(INDEX(Quotes[#Headers],1,COLUMN(C304)),Quotes[[#This Row],[Date]]),C303)</f>
        <v>33.81</v>
      </c>
      <c r="D304" s="336">
        <f>IF(AND(_xll.Close_Historical(INDEX(Quotes[#Headers],1,COLUMN(D304)),Quotes[[#This Row],[Date]])&lt;&gt;"NA",_xll.Close_Historical(INDEX(Quotes[#Headers],1,COLUMN(D304)),Quotes[[#This Row],[Date]])&lt;&gt;"'close'"),_xll.Close_Historical(INDEX(Quotes[#Headers],1,COLUMN(D304)),Quotes[[#This Row],[Date]]),D303)</f>
        <v>160.84</v>
      </c>
      <c r="E304" s="336">
        <f>IF(AND(_xll.Close_Historical(INDEX(Quotes[#Headers],1,COLUMN(E304)),Quotes[[#This Row],[Date]])&lt;&gt;"NA",_xll.Close_Historical(INDEX(Quotes[#Headers],1,COLUMN(E304)),Quotes[[#This Row],[Date]])&lt;&gt;"'close'"),_xll.Close_Historical(INDEX(Quotes[#Headers],1,COLUMN(E304)),Quotes[[#This Row],[Date]]),E303)</f>
        <v>62.58</v>
      </c>
      <c r="F304" s="336">
        <f>IF(AND(_xll.Close_Historical(INDEX(Quotes[#Headers],1,COLUMN(F304)),Quotes[[#This Row],[Date]])&lt;&gt;"NA",_xll.Close_Historical(INDEX(Quotes[#Headers],1,COLUMN(F304)),Quotes[[#This Row],[Date]])&lt;&gt;"'close'"),_xll.Close_Historical(INDEX(Quotes[#Headers],1,COLUMN(F304)),Quotes[[#This Row],[Date]]),F303)</f>
        <v>211.5</v>
      </c>
      <c r="G304" s="336">
        <f>IF(AND(_xll.Close_Historical(INDEX(Quotes[#Headers],1,COLUMN(G304)),Quotes[[#This Row],[Date]])&lt;&gt;"NA",_xll.Close_Historical(INDEX(Quotes[#Headers],1,COLUMN(G304)),Quotes[[#This Row],[Date]])&lt;&gt;"'close'"),_xll.Close_Historical(INDEX(Quotes[#Headers],1,COLUMN(G304)),Quotes[[#This Row],[Date]]),G303)</f>
        <v>14.1</v>
      </c>
      <c r="H304" s="336">
        <f>IF(AND(_xll.Close_Historical(INDEX(Quotes[#Headers],1,COLUMN(H304)),Quotes[[#This Row],[Date]])&lt;&gt;"NA",_xll.Close_Historical(INDEX(Quotes[#Headers],1,COLUMN(H304)),Quotes[[#This Row],[Date]])&lt;&gt;"'close'"),_xll.Close_Historical(INDEX(Quotes[#Headers],1,COLUMN(H304)),Quotes[[#This Row],[Date]]),H303)</f>
        <v>27.07</v>
      </c>
      <c r="I304" s="336">
        <f>IF(AND(_xll.Close_Historical(INDEX(Quotes[#Headers],1,COLUMN(I304)),Quotes[[#This Row],[Date]])&lt;&gt;"NA",_xll.Close_Historical(INDEX(Quotes[#Headers],1,COLUMN(I304)),Quotes[[#This Row],[Date]])&lt;&gt;"'close'"),_xll.Close_Historical(INDEX(Quotes[#Headers],1,COLUMN(I304)),Quotes[[#This Row],[Date]]),I303)</f>
        <v>103.42</v>
      </c>
      <c r="J304" s="336">
        <f>IF(AND(_xll.Close_Historical(INDEX(Quotes[#Headers],1,COLUMN(J304)),Quotes[[#This Row],[Date]])&lt;&gt;"NA",_xll.Close_Historical(INDEX(Quotes[#Headers],1,COLUMN(J304)),Quotes[[#This Row],[Date]])&lt;&gt;"'close'"),_xll.Close_Historical(INDEX(Quotes[#Headers],1,COLUMN(J304)),Quotes[[#This Row],[Date]]),J303)</f>
        <v>75.86</v>
      </c>
      <c r="K304" s="365">
        <f>IF(AND(_xll.Close_Historical(INDEX(Quotes[#Headers],1,COLUMN(K304)),Quotes[[#This Row],[Date]])&lt;&gt;"NA",_xll.Close_Historical(INDEX(Quotes[#Headers],1,COLUMN(K304)),Quotes[[#This Row],[Date]])&lt;&gt;"'close'"),_xll.Close_Historical(INDEX(Quotes[#Headers],1,COLUMN(K304)),Quotes[[#This Row],[Date]]),K303)</f>
        <v>262.68</v>
      </c>
      <c r="L304" s="336">
        <f>IF(AND(_xll.Close_Historical(INDEX(Quotes[#Headers],1,COLUMN(L304)),Quotes[[#This Row],[Date]])&lt;&gt;"NA",_xll.Close_Historical(INDEX(Quotes[#Headers],1,COLUMN(L304)),Quotes[[#This Row],[Date]])&lt;&gt;"'close'"),_xll.Close_Historical(INDEX(Quotes[#Headers],1,COLUMN(L304)),Quotes[[#This Row],[Date]]),L303)</f>
        <v>143.69</v>
      </c>
      <c r="M304" s="336">
        <f>IF(AND(_xll.Close_Historical(INDEX(Quotes[#Headers],1,COLUMN(M304)),Quotes[[#This Row],[Date]])&lt;&gt;"NA",_xll.Close_Historical(INDEX(Quotes[#Headers],1,COLUMN(M304)),Quotes[[#This Row],[Date]])&lt;&gt;"'close'"),_xll.Close_Historical(INDEX(Quotes[#Headers],1,COLUMN(M304)),Quotes[[#This Row],[Date]]),M303)</f>
        <v>88.2</v>
      </c>
      <c r="N304" s="336">
        <f>IF(AND(_xll.Close_Historical(INDEX(Quotes[#Headers],1,COLUMN(N304)),Quotes[[#This Row],[Date]])&lt;&gt;"NA",_xll.Close_Historical(INDEX(Quotes[#Headers],1,COLUMN(N304)),Quotes[[#This Row],[Date]])&lt;&gt;"'close'"),_xll.Close_Historical(INDEX(Quotes[#Headers],1,COLUMN(N304)),Quotes[[#This Row],[Date]]),N303)</f>
        <v>31.23</v>
      </c>
      <c r="O304" s="336">
        <f>IF(AND(_xll.Close_Historical(INDEX(Quotes[#Headers],1,COLUMN(O304)),Quotes[[#This Row],[Date]])&lt;&gt;"NA",_xll.Close_Historical(INDEX(Quotes[#Headers],1,COLUMN(O304)),Quotes[[#This Row],[Date]])&lt;&gt;"'close'"),_xll.Close_Historical(INDEX(Quotes[#Headers],1,COLUMN(O304)),Quotes[[#This Row],[Date]]),O303)</f>
        <v>14.31</v>
      </c>
      <c r="P304" s="336">
        <f>IF(AND(_xll.Close_Historical(INDEX(Quotes[#Headers],1,COLUMN(P304)),Quotes[[#This Row],[Date]])&lt;&gt;"NA",_xll.Close_Historical(INDEX(Quotes[#Headers],1,COLUMN(P304)),Quotes[[#This Row],[Date]])&lt;&gt;"'close'"),_xll.Close_Historical(INDEX(Quotes[#Headers],1,COLUMN(P304)),Quotes[[#This Row],[Date]]),P303)</f>
        <v>24.67</v>
      </c>
      <c r="Q304" s="336">
        <f>IF(AND(_xll.Close_Historical(INDEX(Quotes[#Headers],1,COLUMN(Q304)),Quotes[[#This Row],[Date]])&lt;&gt;"NA",_xll.Close_Historical(INDEX(Quotes[#Headers],1,COLUMN(Q304)),Quotes[[#This Row],[Date]])&lt;&gt;"'close'"),_xll.Close_Historical(INDEX(Quotes[#Headers],1,COLUMN(Q304)),Quotes[[#This Row],[Date]]),Q303)</f>
        <v>26.49</v>
      </c>
      <c r="R304" s="336">
        <f>IF(AND(_xll.Close_Historical(INDEX(Quotes[#Headers],1,COLUMN(R304)),Quotes[[#This Row],[Date]])&lt;&gt;"NA",_xll.Close_Historical(INDEX(Quotes[#Headers],1,COLUMN(R304)),Quotes[[#This Row],[Date]])&lt;&gt;"'close'"),_xll.Close_Historical(INDEX(Quotes[#Headers],1,COLUMN(R304)),Quotes[[#This Row],[Date]]),R303)</f>
        <v>29.86</v>
      </c>
      <c r="S304" s="336">
        <f>IF(AND(_xll.Close_Historical(INDEX(Quotes[#Headers],1,COLUMN(S304)),Quotes[[#This Row],[Date]])&lt;&gt;"NA",_xll.Close_Historical(INDEX(Quotes[#Headers],1,COLUMN(S304)),Quotes[[#This Row],[Date]])&lt;&gt;"'close'"),_xll.Close_Historical(INDEX(Quotes[#Headers],1,COLUMN(S304)),Quotes[[#This Row],[Date]]),S303)</f>
        <v>34.200000000000003</v>
      </c>
      <c r="T304" s="336">
        <f>IF(AND(_xll.Close_Historical(INDEX(Quotes[#Headers],1,COLUMN(T304)),Quotes[[#This Row],[Date]])&lt;&gt;"NA",_xll.Close_Historical(INDEX(Quotes[#Headers],1,COLUMN(T304)),Quotes[[#This Row],[Date]])&lt;&gt;"'close'"),_xll.Close_Historical(INDEX(Quotes[#Headers],1,COLUMN(T304)),Quotes[[#This Row],[Date]]),T303)</f>
        <v>26.86</v>
      </c>
      <c r="U304" s="336">
        <f>IF(AND(_xll.Close_Historical(INDEX(Quotes[#Headers],1,COLUMN(U304)),Quotes[[#This Row],[Date]])&lt;&gt;"NA",_xll.Close_Historical(INDEX(Quotes[#Headers],1,COLUMN(U304)),Quotes[[#This Row],[Date]])&lt;&gt;"'close'"),_xll.Close_Historical(INDEX(Quotes[#Headers],1,COLUMN(U304)),Quotes[[#This Row],[Date]]),U303)</f>
        <v>70.469499999999996</v>
      </c>
    </row>
    <row r="305" spans="1:21" x14ac:dyDescent="0.25">
      <c r="A305" s="364">
        <v>43950</v>
      </c>
      <c r="B305" s="365">
        <f>IF(AND(_xll.Close_Historical(INDEX(Quotes[#Headers],1,COLUMN(B305)),Quotes[[#This Row],[Date]])&lt;&gt;"NA",_xll.Close_Historical(INDEX(Quotes[#Headers],1,COLUMN(B305)),Quotes[[#This Row],[Date]])&lt;&gt;"'close'"),_xll.Close_Historical(INDEX(Quotes[#Headers],1,COLUMN(B305)),Quotes[[#This Row],[Date]]),B304)</f>
        <v>87.58</v>
      </c>
      <c r="C305" s="365">
        <f>IF(AND(_xll.Close_Historical(INDEX(Quotes[#Headers],1,COLUMN(C305)),Quotes[[#This Row],[Date]])&lt;&gt;"NA",_xll.Close_Historical(INDEX(Quotes[#Headers],1,COLUMN(C305)),Quotes[[#This Row],[Date]])&lt;&gt;"'close'"),_xll.Close_Historical(INDEX(Quotes[#Headers],1,COLUMN(C305)),Quotes[[#This Row],[Date]]),C304)</f>
        <v>34.03</v>
      </c>
      <c r="D305" s="365">
        <f>IF(AND(_xll.Close_Historical(INDEX(Quotes[#Headers],1,COLUMN(D305)),Quotes[[#This Row],[Date]])&lt;&gt;"NA",_xll.Close_Historical(INDEX(Quotes[#Headers],1,COLUMN(D305)),Quotes[[#This Row],[Date]])&lt;&gt;"'close'"),_xll.Close_Historical(INDEX(Quotes[#Headers],1,COLUMN(D305)),Quotes[[#This Row],[Date]]),D304)</f>
        <v>161.72999999999999</v>
      </c>
      <c r="E305" s="365">
        <f>IF(AND(_xll.Close_Historical(INDEX(Quotes[#Headers],1,COLUMN(E305)),Quotes[[#This Row],[Date]])&lt;&gt;"NA",_xll.Close_Historical(INDEX(Quotes[#Headers],1,COLUMN(E305)),Quotes[[#This Row],[Date]])&lt;&gt;"'close'"),_xll.Close_Historical(INDEX(Quotes[#Headers],1,COLUMN(E305)),Quotes[[#This Row],[Date]]),E304)</f>
        <v>66.069999999999993</v>
      </c>
      <c r="F305" s="365">
        <f>IF(AND(_xll.Close_Historical(INDEX(Quotes[#Headers],1,COLUMN(F305)),Quotes[[#This Row],[Date]])&lt;&gt;"NA",_xll.Close_Historical(INDEX(Quotes[#Headers],1,COLUMN(F305)),Quotes[[#This Row],[Date]])&lt;&gt;"'close'"),_xll.Close_Historical(INDEX(Quotes[#Headers],1,COLUMN(F305)),Quotes[[#This Row],[Date]]),F304)</f>
        <v>219</v>
      </c>
      <c r="G305" s="365">
        <f>IF(AND(_xll.Close_Historical(INDEX(Quotes[#Headers],1,COLUMN(G305)),Quotes[[#This Row],[Date]])&lt;&gt;"NA",_xll.Close_Historical(INDEX(Quotes[#Headers],1,COLUMN(G305)),Quotes[[#This Row],[Date]])&lt;&gt;"'close'"),_xll.Close_Historical(INDEX(Quotes[#Headers],1,COLUMN(G305)),Quotes[[#This Row],[Date]]),G304)</f>
        <v>14.28</v>
      </c>
      <c r="H305" s="365">
        <f>IF(AND(_xll.Close_Historical(INDEX(Quotes[#Headers],1,COLUMN(H305)),Quotes[[#This Row],[Date]])&lt;&gt;"NA",_xll.Close_Historical(INDEX(Quotes[#Headers],1,COLUMN(H305)),Quotes[[#This Row],[Date]])&lt;&gt;"'close'"),_xll.Close_Historical(INDEX(Quotes[#Headers],1,COLUMN(H305)),Quotes[[#This Row],[Date]]),H304)</f>
        <v>26.96</v>
      </c>
      <c r="I305" s="365">
        <f>IF(AND(_xll.Close_Historical(INDEX(Quotes[#Headers],1,COLUMN(I305)),Quotes[[#This Row],[Date]])&lt;&gt;"NA",_xll.Close_Historical(INDEX(Quotes[#Headers],1,COLUMN(I305)),Quotes[[#This Row],[Date]])&lt;&gt;"'close'"),_xll.Close_Historical(INDEX(Quotes[#Headers],1,COLUMN(I305)),Quotes[[#This Row],[Date]]),I304)</f>
        <v>102.84</v>
      </c>
      <c r="J305" s="365">
        <f>IF(AND(_xll.Close_Historical(INDEX(Quotes[#Headers],1,COLUMN(J305)),Quotes[[#This Row],[Date]])&lt;&gt;"NA",_xll.Close_Historical(INDEX(Quotes[#Headers],1,COLUMN(J305)),Quotes[[#This Row],[Date]])&lt;&gt;"'close'"),_xll.Close_Historical(INDEX(Quotes[#Headers],1,COLUMN(J305)),Quotes[[#This Row],[Date]]),J304)</f>
        <v>77</v>
      </c>
      <c r="K305" s="365">
        <f>IF(AND(_xll.Close_Historical(INDEX(Quotes[#Headers],1,COLUMN(K305)),Quotes[[#This Row],[Date]])&lt;&gt;"NA",_xll.Close_Historical(INDEX(Quotes[#Headers],1,COLUMN(K305)),Quotes[[#This Row],[Date]])&lt;&gt;"'close'"),_xll.Close_Historical(INDEX(Quotes[#Headers],1,COLUMN(K305)),Quotes[[#This Row],[Date]]),K304)</f>
        <v>269.45</v>
      </c>
      <c r="L305" s="365">
        <f>IF(AND(_xll.Close_Historical(INDEX(Quotes[#Headers],1,COLUMN(L305)),Quotes[[#This Row],[Date]])&lt;&gt;"NA",_xll.Close_Historical(INDEX(Quotes[#Headers],1,COLUMN(L305)),Quotes[[#This Row],[Date]])&lt;&gt;"'close'"),_xll.Close_Historical(INDEX(Quotes[#Headers],1,COLUMN(L305)),Quotes[[#This Row],[Date]]),L304)</f>
        <v>147.76</v>
      </c>
      <c r="M305" s="365">
        <f>IF(AND(_xll.Close_Historical(INDEX(Quotes[#Headers],1,COLUMN(M305)),Quotes[[#This Row],[Date]])&lt;&gt;"NA",_xll.Close_Historical(INDEX(Quotes[#Headers],1,COLUMN(M305)),Quotes[[#This Row],[Date]])&lt;&gt;"'close'"),_xll.Close_Historical(INDEX(Quotes[#Headers],1,COLUMN(M305)),Quotes[[#This Row],[Date]]),M304)</f>
        <v>91.82</v>
      </c>
      <c r="N305" s="365">
        <f>IF(AND(_xll.Close_Historical(INDEX(Quotes[#Headers],1,COLUMN(N305)),Quotes[[#This Row],[Date]])&lt;&gt;"NA",_xll.Close_Historical(INDEX(Quotes[#Headers],1,COLUMN(N305)),Quotes[[#This Row],[Date]])&lt;&gt;"'close'"),_xll.Close_Historical(INDEX(Quotes[#Headers],1,COLUMN(N305)),Quotes[[#This Row],[Date]]),N304)</f>
        <v>32.020000000000003</v>
      </c>
      <c r="O305" s="365">
        <f>IF(AND(_xll.Close_Historical(INDEX(Quotes[#Headers],1,COLUMN(O305)),Quotes[[#This Row],[Date]])&lt;&gt;"NA",_xll.Close_Historical(INDEX(Quotes[#Headers],1,COLUMN(O305)),Quotes[[#This Row],[Date]])&lt;&gt;"'close'"),_xll.Close_Historical(INDEX(Quotes[#Headers],1,COLUMN(O305)),Quotes[[#This Row],[Date]]),O304)</f>
        <v>14.36</v>
      </c>
      <c r="P305" s="365">
        <f>IF(AND(_xll.Close_Historical(INDEX(Quotes[#Headers],1,COLUMN(P305)),Quotes[[#This Row],[Date]])&lt;&gt;"NA",_xll.Close_Historical(INDEX(Quotes[#Headers],1,COLUMN(P305)),Quotes[[#This Row],[Date]])&lt;&gt;"'close'"),_xll.Close_Historical(INDEX(Quotes[#Headers],1,COLUMN(P305)),Quotes[[#This Row],[Date]]),P304)</f>
        <v>25.14</v>
      </c>
      <c r="Q305" s="365">
        <f>IF(AND(_xll.Close_Historical(INDEX(Quotes[#Headers],1,COLUMN(Q305)),Quotes[[#This Row],[Date]])&lt;&gt;"NA",_xll.Close_Historical(INDEX(Quotes[#Headers],1,COLUMN(Q305)),Quotes[[#This Row],[Date]])&lt;&gt;"'close'"),_xll.Close_Historical(INDEX(Quotes[#Headers],1,COLUMN(Q305)),Quotes[[#This Row],[Date]]),Q304)</f>
        <v>26.81</v>
      </c>
      <c r="R305" s="365">
        <f>IF(AND(_xll.Close_Historical(INDEX(Quotes[#Headers],1,COLUMN(R305)),Quotes[[#This Row],[Date]])&lt;&gt;"NA",_xll.Close_Historical(INDEX(Quotes[#Headers],1,COLUMN(R305)),Quotes[[#This Row],[Date]])&lt;&gt;"'close'"),_xll.Close_Historical(INDEX(Quotes[#Headers],1,COLUMN(R305)),Quotes[[#This Row],[Date]]),R304)</f>
        <v>30.75</v>
      </c>
      <c r="S305" s="365">
        <f>IF(AND(_xll.Close_Historical(INDEX(Quotes[#Headers],1,COLUMN(S305)),Quotes[[#This Row],[Date]])&lt;&gt;"NA",_xll.Close_Historical(INDEX(Quotes[#Headers],1,COLUMN(S305)),Quotes[[#This Row],[Date]])&lt;&gt;"'close'"),_xll.Close_Historical(INDEX(Quotes[#Headers],1,COLUMN(S305)),Quotes[[#This Row],[Date]]),S304)</f>
        <v>34.15</v>
      </c>
      <c r="T305" s="365">
        <f>IF(AND(_xll.Close_Historical(INDEX(Quotes[#Headers],1,COLUMN(T305)),Quotes[[#This Row],[Date]])&lt;&gt;"NA",_xll.Close_Historical(INDEX(Quotes[#Headers],1,COLUMN(T305)),Quotes[[#This Row],[Date]])&lt;&gt;"'close'"),_xll.Close_Historical(INDEX(Quotes[#Headers],1,COLUMN(T305)),Quotes[[#This Row],[Date]]),T304)</f>
        <v>26.91</v>
      </c>
      <c r="U305" s="365">
        <f>IF(AND(_xll.Close_Historical(INDEX(Quotes[#Headers],1,COLUMN(U305)),Quotes[[#This Row],[Date]])&lt;&gt;"NA",_xll.Close_Historical(INDEX(Quotes[#Headers],1,COLUMN(U305)),Quotes[[#This Row],[Date]])&lt;&gt;"'close'"),_xll.Close_Historical(INDEX(Quotes[#Headers],1,COLUMN(U305)),Quotes[[#This Row],[Date]]),U304)</f>
        <v>71.048400000000001</v>
      </c>
    </row>
    <row r="306" spans="1:21" x14ac:dyDescent="0.25">
      <c r="A306" s="385">
        <v>43951</v>
      </c>
      <c r="B306" s="336">
        <f>IF(AND(_xll.Close_Historical(INDEX(Quotes[#Headers],1,COLUMN(B306)),Quotes[[#This Row],[Date]])&lt;&gt;"NA",_xll.Close_Historical(INDEX(Quotes[#Headers],1,COLUMN(B306)),Quotes[[#This Row],[Date]])&lt;&gt;"'close'"),_xll.Close_Historical(INDEX(Quotes[#Headers],1,COLUMN(B306)),Quotes[[#This Row],[Date]]),B305)</f>
        <v>87.51</v>
      </c>
      <c r="C306" s="336">
        <f>IF(AND(_xll.Close_Historical(INDEX(Quotes[#Headers],1,COLUMN(C306)),Quotes[[#This Row],[Date]])&lt;&gt;"NA",_xll.Close_Historical(INDEX(Quotes[#Headers],1,COLUMN(C306)),Quotes[[#This Row],[Date]])&lt;&gt;"'close'"),_xll.Close_Historical(INDEX(Quotes[#Headers],1,COLUMN(C306)),Quotes[[#This Row],[Date]]),C305)</f>
        <v>32.26</v>
      </c>
      <c r="D306" s="336">
        <f>IF(AND(_xll.Close_Historical(INDEX(Quotes[#Headers],1,COLUMN(D306)),Quotes[[#This Row],[Date]])&lt;&gt;"NA",_xll.Close_Historical(INDEX(Quotes[#Headers],1,COLUMN(D306)),Quotes[[#This Row],[Date]])&lt;&gt;"'close'"),_xll.Close_Historical(INDEX(Quotes[#Headers],1,COLUMN(D306)),Quotes[[#This Row],[Date]]),D305)</f>
        <v>158.80000000000001</v>
      </c>
      <c r="E306" s="336">
        <f>IF(AND(_xll.Close_Historical(INDEX(Quotes[#Headers],1,COLUMN(E306)),Quotes[[#This Row],[Date]])&lt;&gt;"NA",_xll.Close_Historical(INDEX(Quotes[#Headers],1,COLUMN(E306)),Quotes[[#This Row],[Date]])&lt;&gt;"'close'"),_xll.Close_Historical(INDEX(Quotes[#Headers],1,COLUMN(E306)),Quotes[[#This Row],[Date]]),E305)</f>
        <v>63.35</v>
      </c>
      <c r="F306" s="336">
        <f>IF(AND(_xll.Close_Historical(INDEX(Quotes[#Headers],1,COLUMN(F306)),Quotes[[#This Row],[Date]])&lt;&gt;"NA",_xll.Close_Historical(INDEX(Quotes[#Headers],1,COLUMN(F306)),Quotes[[#This Row],[Date]])&lt;&gt;"'close'"),_xll.Close_Historical(INDEX(Quotes[#Headers],1,COLUMN(F306)),Quotes[[#This Row],[Date]]),F305)</f>
        <v>218.91</v>
      </c>
      <c r="G306" s="336">
        <f>IF(AND(_xll.Close_Historical(INDEX(Quotes[#Headers],1,COLUMN(G306)),Quotes[[#This Row],[Date]])&lt;&gt;"NA",_xll.Close_Historical(INDEX(Quotes[#Headers],1,COLUMN(G306)),Quotes[[#This Row],[Date]])&lt;&gt;"'close'"),_xll.Close_Historical(INDEX(Quotes[#Headers],1,COLUMN(G306)),Quotes[[#This Row],[Date]]),G305)</f>
        <v>13.98</v>
      </c>
      <c r="H306" s="336">
        <f>IF(AND(_xll.Close_Historical(INDEX(Quotes[#Headers],1,COLUMN(H306)),Quotes[[#This Row],[Date]])&lt;&gt;"NA",_xll.Close_Historical(INDEX(Quotes[#Headers],1,COLUMN(H306)),Quotes[[#This Row],[Date]])&lt;&gt;"'close'"),_xll.Close_Historical(INDEX(Quotes[#Headers],1,COLUMN(H306)),Quotes[[#This Row],[Date]]),H305)</f>
        <v>26.79</v>
      </c>
      <c r="I306" s="336">
        <f>IF(AND(_xll.Close_Historical(INDEX(Quotes[#Headers],1,COLUMN(I306)),Quotes[[#This Row],[Date]])&lt;&gt;"NA",_xll.Close_Historical(INDEX(Quotes[#Headers],1,COLUMN(I306)),Quotes[[#This Row],[Date]])&lt;&gt;"'close'"),_xll.Close_Historical(INDEX(Quotes[#Headers],1,COLUMN(I306)),Quotes[[#This Row],[Date]]),I305)</f>
        <v>101.82</v>
      </c>
      <c r="J306" s="336">
        <f>IF(AND(_xll.Close_Historical(INDEX(Quotes[#Headers],1,COLUMN(J306)),Quotes[[#This Row],[Date]])&lt;&gt;"NA",_xll.Close_Historical(INDEX(Quotes[#Headers],1,COLUMN(J306)),Quotes[[#This Row],[Date]])&lt;&gt;"'close'"),_xll.Close_Historical(INDEX(Quotes[#Headers],1,COLUMN(J306)),Quotes[[#This Row],[Date]]),J305)</f>
        <v>76.11</v>
      </c>
      <c r="K306" s="365">
        <f>IF(AND(_xll.Close_Historical(INDEX(Quotes[#Headers],1,COLUMN(K306)),Quotes[[#This Row],[Date]])&lt;&gt;"NA",_xll.Close_Historical(INDEX(Quotes[#Headers],1,COLUMN(K306)),Quotes[[#This Row],[Date]])&lt;&gt;"'close'"),_xll.Close_Historical(INDEX(Quotes[#Headers],1,COLUMN(K306)),Quotes[[#This Row],[Date]]),K305)</f>
        <v>267.10000000000002</v>
      </c>
      <c r="L306" s="336">
        <f>IF(AND(_xll.Close_Historical(INDEX(Quotes[#Headers],1,COLUMN(L306)),Quotes[[#This Row],[Date]])&lt;&gt;"NA",_xll.Close_Historical(INDEX(Quotes[#Headers],1,COLUMN(L306)),Quotes[[#This Row],[Date]])&lt;&gt;"'close'"),_xll.Close_Historical(INDEX(Quotes[#Headers],1,COLUMN(L306)),Quotes[[#This Row],[Date]]),L305)</f>
        <v>145.84</v>
      </c>
      <c r="M306" s="336">
        <f>IF(AND(_xll.Close_Historical(INDEX(Quotes[#Headers],1,COLUMN(M306)),Quotes[[#This Row],[Date]])&lt;&gt;"NA",_xll.Close_Historical(INDEX(Quotes[#Headers],1,COLUMN(M306)),Quotes[[#This Row],[Date]])&lt;&gt;"'close'"),_xll.Close_Historical(INDEX(Quotes[#Headers],1,COLUMN(M306)),Quotes[[#This Row],[Date]]),M305)</f>
        <v>91.41</v>
      </c>
      <c r="N306" s="336">
        <f>IF(AND(_xll.Close_Historical(INDEX(Quotes[#Headers],1,COLUMN(N306)),Quotes[[#This Row],[Date]])&lt;&gt;"NA",_xll.Close_Historical(INDEX(Quotes[#Headers],1,COLUMN(N306)),Quotes[[#This Row],[Date]])&lt;&gt;"'close'"),_xll.Close_Historical(INDEX(Quotes[#Headers],1,COLUMN(N306)),Quotes[[#This Row],[Date]]),N305)</f>
        <v>31.72</v>
      </c>
      <c r="O306" s="336">
        <f>IF(AND(_xll.Close_Historical(INDEX(Quotes[#Headers],1,COLUMN(O306)),Quotes[[#This Row],[Date]])&lt;&gt;"NA",_xll.Close_Historical(INDEX(Quotes[#Headers],1,COLUMN(O306)),Quotes[[#This Row],[Date]])&lt;&gt;"'close'"),_xll.Close_Historical(INDEX(Quotes[#Headers],1,COLUMN(O306)),Quotes[[#This Row],[Date]]),O305)</f>
        <v>14.15</v>
      </c>
      <c r="P306" s="336">
        <f>IF(AND(_xll.Close_Historical(INDEX(Quotes[#Headers],1,COLUMN(P306)),Quotes[[#This Row],[Date]])&lt;&gt;"NA",_xll.Close_Historical(INDEX(Quotes[#Headers],1,COLUMN(P306)),Quotes[[#This Row],[Date]])&lt;&gt;"'close'"),_xll.Close_Historical(INDEX(Quotes[#Headers],1,COLUMN(P306)),Quotes[[#This Row],[Date]]),P305)</f>
        <v>24.81</v>
      </c>
      <c r="Q306" s="336">
        <f>IF(AND(_xll.Close_Historical(INDEX(Quotes[#Headers],1,COLUMN(Q306)),Quotes[[#This Row],[Date]])&lt;&gt;"NA",_xll.Close_Historical(INDEX(Quotes[#Headers],1,COLUMN(Q306)),Quotes[[#This Row],[Date]])&lt;&gt;"'close'"),_xll.Close_Historical(INDEX(Quotes[#Headers],1,COLUMN(Q306)),Quotes[[#This Row],[Date]]),Q305)</f>
        <v>26.26</v>
      </c>
      <c r="R306" s="336">
        <f>IF(AND(_xll.Close_Historical(INDEX(Quotes[#Headers],1,COLUMN(R306)),Quotes[[#This Row],[Date]])&lt;&gt;"NA",_xll.Close_Historical(INDEX(Quotes[#Headers],1,COLUMN(R306)),Quotes[[#This Row],[Date]])&lt;&gt;"'close'"),_xll.Close_Historical(INDEX(Quotes[#Headers],1,COLUMN(R306)),Quotes[[#This Row],[Date]]),R305)</f>
        <v>29.9</v>
      </c>
      <c r="S306" s="336">
        <f>IF(AND(_xll.Close_Historical(INDEX(Quotes[#Headers],1,COLUMN(S306)),Quotes[[#This Row],[Date]])&lt;&gt;"NA",_xll.Close_Historical(INDEX(Quotes[#Headers],1,COLUMN(S306)),Quotes[[#This Row],[Date]])&lt;&gt;"'close'"),_xll.Close_Historical(INDEX(Quotes[#Headers],1,COLUMN(S306)),Quotes[[#This Row],[Date]]),S305)</f>
        <v>32.97</v>
      </c>
      <c r="T306" s="336">
        <f>IF(AND(_xll.Close_Historical(INDEX(Quotes[#Headers],1,COLUMN(T306)),Quotes[[#This Row],[Date]])&lt;&gt;"NA",_xll.Close_Historical(INDEX(Quotes[#Headers],1,COLUMN(T306)),Quotes[[#This Row],[Date]])&lt;&gt;"'close'"),_xll.Close_Historical(INDEX(Quotes[#Headers],1,COLUMN(T306)),Quotes[[#This Row],[Date]]),T305)</f>
        <v>26.97</v>
      </c>
      <c r="U306" s="336">
        <f>IF(AND(_xll.Close_Historical(INDEX(Quotes[#Headers],1,COLUMN(U306)),Quotes[[#This Row],[Date]])&lt;&gt;"NA",_xll.Close_Historical(INDEX(Quotes[#Headers],1,COLUMN(U306)),Quotes[[#This Row],[Date]])&lt;&gt;"'close'"),_xll.Close_Historical(INDEX(Quotes[#Headers],1,COLUMN(U306)),Quotes[[#This Row],[Date]]),U305)</f>
        <v>70.855000000000004</v>
      </c>
    </row>
    <row r="307" spans="1:21" x14ac:dyDescent="0.25">
      <c r="A307" s="364">
        <v>43952</v>
      </c>
      <c r="B307" s="365">
        <f>IF(AND(_xll.Close_Historical(INDEX(Quotes[#Headers],1,COLUMN(B307)),Quotes[[#This Row],[Date]])&lt;&gt;"NA",_xll.Close_Historical(INDEX(Quotes[#Headers],1,COLUMN(B307)),Quotes[[#This Row],[Date]])&lt;&gt;"'close'"),_xll.Close_Historical(INDEX(Quotes[#Headers],1,COLUMN(B307)),Quotes[[#This Row],[Date]]),B306)</f>
        <v>87.3</v>
      </c>
      <c r="C307" s="365">
        <f>IF(AND(_xll.Close_Historical(INDEX(Quotes[#Headers],1,COLUMN(C307)),Quotes[[#This Row],[Date]])&lt;&gt;"NA",_xll.Close_Historical(INDEX(Quotes[#Headers],1,COLUMN(C307)),Quotes[[#This Row],[Date]])&lt;&gt;"'close'"),_xll.Close_Historical(INDEX(Quotes[#Headers],1,COLUMN(C307)),Quotes[[#This Row],[Date]]),C306)</f>
        <v>33.29</v>
      </c>
      <c r="D307" s="365">
        <f>IF(AND(_xll.Close_Historical(INDEX(Quotes[#Headers],1,COLUMN(D307)),Quotes[[#This Row],[Date]])&lt;&gt;"NA",_xll.Close_Historical(INDEX(Quotes[#Headers],1,COLUMN(D307)),Quotes[[#This Row],[Date]])&lt;&gt;"'close'"),_xll.Close_Historical(INDEX(Quotes[#Headers],1,COLUMN(D307)),Quotes[[#This Row],[Date]]),D306)</f>
        <v>159.78</v>
      </c>
      <c r="E307" s="365">
        <f>IF(AND(_xll.Close_Historical(INDEX(Quotes[#Headers],1,COLUMN(E307)),Quotes[[#This Row],[Date]])&lt;&gt;"NA",_xll.Close_Historical(INDEX(Quotes[#Headers],1,COLUMN(E307)),Quotes[[#This Row],[Date]])&lt;&gt;"'close'"),_xll.Close_Historical(INDEX(Quotes[#Headers],1,COLUMN(E307)),Quotes[[#This Row],[Date]]),E306)</f>
        <v>60.74</v>
      </c>
      <c r="F307" s="365">
        <f>IF(AND(_xll.Close_Historical(INDEX(Quotes[#Headers],1,COLUMN(F307)),Quotes[[#This Row],[Date]])&lt;&gt;"NA",_xll.Close_Historical(INDEX(Quotes[#Headers],1,COLUMN(F307)),Quotes[[#This Row],[Date]])&lt;&gt;"'close'"),_xll.Close_Historical(INDEX(Quotes[#Headers],1,COLUMN(F307)),Quotes[[#This Row],[Date]]),F306)</f>
        <v>212.74</v>
      </c>
      <c r="G307" s="365">
        <f>IF(AND(_xll.Close_Historical(INDEX(Quotes[#Headers],1,COLUMN(G307)),Quotes[[#This Row],[Date]])&lt;&gt;"NA",_xll.Close_Historical(INDEX(Quotes[#Headers],1,COLUMN(G307)),Quotes[[#This Row],[Date]])&lt;&gt;"'close'"),_xll.Close_Historical(INDEX(Quotes[#Headers],1,COLUMN(G307)),Quotes[[#This Row],[Date]]),G306)</f>
        <v>13.92</v>
      </c>
      <c r="H307" s="365">
        <f>IF(AND(_xll.Close_Historical(INDEX(Quotes[#Headers],1,COLUMN(H307)),Quotes[[#This Row],[Date]])&lt;&gt;"NA",_xll.Close_Historical(INDEX(Quotes[#Headers],1,COLUMN(H307)),Quotes[[#This Row],[Date]])&lt;&gt;"'close'"),_xll.Close_Historical(INDEX(Quotes[#Headers],1,COLUMN(H307)),Quotes[[#This Row],[Date]]),H306)</f>
        <v>26.82</v>
      </c>
      <c r="I307" s="365">
        <f>IF(AND(_xll.Close_Historical(INDEX(Quotes[#Headers],1,COLUMN(I307)),Quotes[[#This Row],[Date]])&lt;&gt;"NA",_xll.Close_Historical(INDEX(Quotes[#Headers],1,COLUMN(I307)),Quotes[[#This Row],[Date]])&lt;&gt;"'close'"),_xll.Close_Historical(INDEX(Quotes[#Headers],1,COLUMN(I307)),Quotes[[#This Row],[Date]]),I306)</f>
        <v>102.39</v>
      </c>
      <c r="J307" s="365">
        <f>IF(AND(_xll.Close_Historical(INDEX(Quotes[#Headers],1,COLUMN(J307)),Quotes[[#This Row],[Date]])&lt;&gt;"NA",_xll.Close_Historical(INDEX(Quotes[#Headers],1,COLUMN(J307)),Quotes[[#This Row],[Date]])&lt;&gt;"'close'"),_xll.Close_Historical(INDEX(Quotes[#Headers],1,COLUMN(J307)),Quotes[[#This Row],[Date]]),J306)</f>
        <v>73.540000000000006</v>
      </c>
      <c r="K307" s="365">
        <f>IF(AND(_xll.Close_Historical(INDEX(Quotes[#Headers],1,COLUMN(K307)),Quotes[[#This Row],[Date]])&lt;&gt;"NA",_xll.Close_Historical(INDEX(Quotes[#Headers],1,COLUMN(K307)),Quotes[[#This Row],[Date]])&lt;&gt;"'close'"),_xll.Close_Historical(INDEX(Quotes[#Headers],1,COLUMN(K307)),Quotes[[#This Row],[Date]]),K306)</f>
        <v>259.82</v>
      </c>
      <c r="L307" s="365">
        <f>IF(AND(_xll.Close_Historical(INDEX(Quotes[#Headers],1,COLUMN(L307)),Quotes[[#This Row],[Date]])&lt;&gt;"NA",_xll.Close_Historical(INDEX(Quotes[#Headers],1,COLUMN(L307)),Quotes[[#This Row],[Date]])&lt;&gt;"'close'"),_xll.Close_Historical(INDEX(Quotes[#Headers],1,COLUMN(L307)),Quotes[[#This Row],[Date]]),L306)</f>
        <v>141.81</v>
      </c>
      <c r="M307" s="365">
        <f>IF(AND(_xll.Close_Historical(INDEX(Quotes[#Headers],1,COLUMN(M307)),Quotes[[#This Row],[Date]])&lt;&gt;"NA",_xll.Close_Historical(INDEX(Quotes[#Headers],1,COLUMN(M307)),Quotes[[#This Row],[Date]])&lt;&gt;"'close'"),_xll.Close_Historical(INDEX(Quotes[#Headers],1,COLUMN(M307)),Quotes[[#This Row],[Date]]),M306)</f>
        <v>88.9</v>
      </c>
      <c r="N307" s="365">
        <f>IF(AND(_xll.Close_Historical(INDEX(Quotes[#Headers],1,COLUMN(N307)),Quotes[[#This Row],[Date]])&lt;&gt;"NA",_xll.Close_Historical(INDEX(Quotes[#Headers],1,COLUMN(N307)),Quotes[[#This Row],[Date]])&lt;&gt;"'close'"),_xll.Close_Historical(INDEX(Quotes[#Headers],1,COLUMN(N307)),Quotes[[#This Row],[Date]]),N306)</f>
        <v>30.84</v>
      </c>
      <c r="O307" s="365">
        <f>IF(AND(_xll.Close_Historical(INDEX(Quotes[#Headers],1,COLUMN(O307)),Quotes[[#This Row],[Date]])&lt;&gt;"NA",_xll.Close_Historical(INDEX(Quotes[#Headers],1,COLUMN(O307)),Quotes[[#This Row],[Date]])&lt;&gt;"'close'"),_xll.Close_Historical(INDEX(Quotes[#Headers],1,COLUMN(O307)),Quotes[[#This Row],[Date]]),O306)</f>
        <v>14.25</v>
      </c>
      <c r="P307" s="365">
        <f>IF(AND(_xll.Close_Historical(INDEX(Quotes[#Headers],1,COLUMN(P307)),Quotes[[#This Row],[Date]])&lt;&gt;"NA",_xll.Close_Historical(INDEX(Quotes[#Headers],1,COLUMN(P307)),Quotes[[#This Row],[Date]])&lt;&gt;"'close'"),_xll.Close_Historical(INDEX(Quotes[#Headers],1,COLUMN(P307)),Quotes[[#This Row],[Date]]),P306)</f>
        <v>24.49</v>
      </c>
      <c r="Q307" s="365">
        <f>IF(AND(_xll.Close_Historical(INDEX(Quotes[#Headers],1,COLUMN(Q307)),Quotes[[#This Row],[Date]])&lt;&gt;"NA",_xll.Close_Historical(INDEX(Quotes[#Headers],1,COLUMN(Q307)),Quotes[[#This Row],[Date]])&lt;&gt;"'close'"),_xll.Close_Historical(INDEX(Quotes[#Headers],1,COLUMN(Q307)),Quotes[[#This Row],[Date]]),Q306)</f>
        <v>25.5</v>
      </c>
      <c r="R307" s="365">
        <f>IF(AND(_xll.Close_Historical(INDEX(Quotes[#Headers],1,COLUMN(R307)),Quotes[[#This Row],[Date]])&lt;&gt;"NA",_xll.Close_Historical(INDEX(Quotes[#Headers],1,COLUMN(R307)),Quotes[[#This Row],[Date]])&lt;&gt;"'close'"),_xll.Close_Historical(INDEX(Quotes[#Headers],1,COLUMN(R307)),Quotes[[#This Row],[Date]]),R306)</f>
        <v>29.51</v>
      </c>
      <c r="S307" s="365">
        <f>IF(AND(_xll.Close_Historical(INDEX(Quotes[#Headers],1,COLUMN(S307)),Quotes[[#This Row],[Date]])&lt;&gt;"NA",_xll.Close_Historical(INDEX(Quotes[#Headers],1,COLUMN(S307)),Quotes[[#This Row],[Date]])&lt;&gt;"'close'"),_xll.Close_Historical(INDEX(Quotes[#Headers],1,COLUMN(S307)),Quotes[[#This Row],[Date]]),S306)</f>
        <v>34</v>
      </c>
      <c r="T307" s="365">
        <f>IF(AND(_xll.Close_Historical(INDEX(Quotes[#Headers],1,COLUMN(T307)),Quotes[[#This Row],[Date]])&lt;&gt;"NA",_xll.Close_Historical(INDEX(Quotes[#Headers],1,COLUMN(T307)),Quotes[[#This Row],[Date]])&lt;&gt;"'close'"),_xll.Close_Historical(INDEX(Quotes[#Headers],1,COLUMN(T307)),Quotes[[#This Row],[Date]]),T306)</f>
        <v>27.06</v>
      </c>
      <c r="U307" s="365">
        <f>IF(AND(_xll.Close_Historical(INDEX(Quotes[#Headers],1,COLUMN(U307)),Quotes[[#This Row],[Date]])&lt;&gt;"NA",_xll.Close_Historical(INDEX(Quotes[#Headers],1,COLUMN(U307)),Quotes[[#This Row],[Date]])&lt;&gt;"'close'"),_xll.Close_Historical(INDEX(Quotes[#Headers],1,COLUMN(U307)),Quotes[[#This Row],[Date]]),U306)</f>
        <v>70.119799999999998</v>
      </c>
    </row>
    <row r="308" spans="1:21" x14ac:dyDescent="0.25">
      <c r="A308" s="385">
        <v>43953</v>
      </c>
      <c r="B308" s="336">
        <f>IF(AND(_xll.Close_Historical(INDEX(Quotes[#Headers],1,COLUMN(B308)),Quotes[[#This Row],[Date]])&lt;&gt;"NA",_xll.Close_Historical(INDEX(Quotes[#Headers],1,COLUMN(B308)),Quotes[[#This Row],[Date]])&lt;&gt;"'close'"),_xll.Close_Historical(INDEX(Quotes[#Headers],1,COLUMN(B308)),Quotes[[#This Row],[Date]]),B307)</f>
        <v>87.3</v>
      </c>
      <c r="C308" s="336">
        <f>IF(AND(_xll.Close_Historical(INDEX(Quotes[#Headers],1,COLUMN(C308)),Quotes[[#This Row],[Date]])&lt;&gt;"NA",_xll.Close_Historical(INDEX(Quotes[#Headers],1,COLUMN(C308)),Quotes[[#This Row],[Date]])&lt;&gt;"'close'"),_xll.Close_Historical(INDEX(Quotes[#Headers],1,COLUMN(C308)),Quotes[[#This Row],[Date]]),C307)</f>
        <v>33.29</v>
      </c>
      <c r="D308" s="336">
        <f>IF(AND(_xll.Close_Historical(INDEX(Quotes[#Headers],1,COLUMN(D308)),Quotes[[#This Row],[Date]])&lt;&gt;"NA",_xll.Close_Historical(INDEX(Quotes[#Headers],1,COLUMN(D308)),Quotes[[#This Row],[Date]])&lt;&gt;"'close'"),_xll.Close_Historical(INDEX(Quotes[#Headers],1,COLUMN(D308)),Quotes[[#This Row],[Date]]),D307)</f>
        <v>159.78</v>
      </c>
      <c r="E308" s="336">
        <f>IF(AND(_xll.Close_Historical(INDEX(Quotes[#Headers],1,COLUMN(E308)),Quotes[[#This Row],[Date]])&lt;&gt;"NA",_xll.Close_Historical(INDEX(Quotes[#Headers],1,COLUMN(E308)),Quotes[[#This Row],[Date]])&lt;&gt;"'close'"),_xll.Close_Historical(INDEX(Quotes[#Headers],1,COLUMN(E308)),Quotes[[#This Row],[Date]]),E307)</f>
        <v>60.74</v>
      </c>
      <c r="F308" s="336">
        <f>IF(AND(_xll.Close_Historical(INDEX(Quotes[#Headers],1,COLUMN(F308)),Quotes[[#This Row],[Date]])&lt;&gt;"NA",_xll.Close_Historical(INDEX(Quotes[#Headers],1,COLUMN(F308)),Quotes[[#This Row],[Date]])&lt;&gt;"'close'"),_xll.Close_Historical(INDEX(Quotes[#Headers],1,COLUMN(F308)),Quotes[[#This Row],[Date]]),F307)</f>
        <v>212.74</v>
      </c>
      <c r="G308" s="336">
        <f>IF(AND(_xll.Close_Historical(INDEX(Quotes[#Headers],1,COLUMN(G308)),Quotes[[#This Row],[Date]])&lt;&gt;"NA",_xll.Close_Historical(INDEX(Quotes[#Headers],1,COLUMN(G308)),Quotes[[#This Row],[Date]])&lt;&gt;"'close'"),_xll.Close_Historical(INDEX(Quotes[#Headers],1,COLUMN(G308)),Quotes[[#This Row],[Date]]),G307)</f>
        <v>13.92</v>
      </c>
      <c r="H308" s="336">
        <f>IF(AND(_xll.Close_Historical(INDEX(Quotes[#Headers],1,COLUMN(H308)),Quotes[[#This Row],[Date]])&lt;&gt;"NA",_xll.Close_Historical(INDEX(Quotes[#Headers],1,COLUMN(H308)),Quotes[[#This Row],[Date]])&lt;&gt;"'close'"),_xll.Close_Historical(INDEX(Quotes[#Headers],1,COLUMN(H308)),Quotes[[#This Row],[Date]]),H307)</f>
        <v>26.82</v>
      </c>
      <c r="I308" s="336">
        <f>IF(AND(_xll.Close_Historical(INDEX(Quotes[#Headers],1,COLUMN(I308)),Quotes[[#This Row],[Date]])&lt;&gt;"NA",_xll.Close_Historical(INDEX(Quotes[#Headers],1,COLUMN(I308)),Quotes[[#This Row],[Date]])&lt;&gt;"'close'"),_xll.Close_Historical(INDEX(Quotes[#Headers],1,COLUMN(I308)),Quotes[[#This Row],[Date]]),I307)</f>
        <v>102.39</v>
      </c>
      <c r="J308" s="336">
        <f>IF(AND(_xll.Close_Historical(INDEX(Quotes[#Headers],1,COLUMN(J308)),Quotes[[#This Row],[Date]])&lt;&gt;"NA",_xll.Close_Historical(INDEX(Quotes[#Headers],1,COLUMN(J308)),Quotes[[#This Row],[Date]])&lt;&gt;"'close'"),_xll.Close_Historical(INDEX(Quotes[#Headers],1,COLUMN(J308)),Quotes[[#This Row],[Date]]),J307)</f>
        <v>73.540000000000006</v>
      </c>
      <c r="K308" s="365">
        <f>IF(AND(_xll.Close_Historical(INDEX(Quotes[#Headers],1,COLUMN(K308)),Quotes[[#This Row],[Date]])&lt;&gt;"NA",_xll.Close_Historical(INDEX(Quotes[#Headers],1,COLUMN(K308)),Quotes[[#This Row],[Date]])&lt;&gt;"'close'"),_xll.Close_Historical(INDEX(Quotes[#Headers],1,COLUMN(K308)),Quotes[[#This Row],[Date]]),K307)</f>
        <v>259.82</v>
      </c>
      <c r="L308" s="336">
        <f>IF(AND(_xll.Close_Historical(INDEX(Quotes[#Headers],1,COLUMN(L308)),Quotes[[#This Row],[Date]])&lt;&gt;"NA",_xll.Close_Historical(INDEX(Quotes[#Headers],1,COLUMN(L308)),Quotes[[#This Row],[Date]])&lt;&gt;"'close'"),_xll.Close_Historical(INDEX(Quotes[#Headers],1,COLUMN(L308)),Quotes[[#This Row],[Date]]),L307)</f>
        <v>141.81</v>
      </c>
      <c r="M308" s="336">
        <f>IF(AND(_xll.Close_Historical(INDEX(Quotes[#Headers],1,COLUMN(M308)),Quotes[[#This Row],[Date]])&lt;&gt;"NA",_xll.Close_Historical(INDEX(Quotes[#Headers],1,COLUMN(M308)),Quotes[[#This Row],[Date]])&lt;&gt;"'close'"),_xll.Close_Historical(INDEX(Quotes[#Headers],1,COLUMN(M308)),Quotes[[#This Row],[Date]]),M307)</f>
        <v>88.9</v>
      </c>
      <c r="N308" s="336">
        <f>IF(AND(_xll.Close_Historical(INDEX(Quotes[#Headers],1,COLUMN(N308)),Quotes[[#This Row],[Date]])&lt;&gt;"NA",_xll.Close_Historical(INDEX(Quotes[#Headers],1,COLUMN(N308)),Quotes[[#This Row],[Date]])&lt;&gt;"'close'"),_xll.Close_Historical(INDEX(Quotes[#Headers],1,COLUMN(N308)),Quotes[[#This Row],[Date]]),N307)</f>
        <v>30.84</v>
      </c>
      <c r="O308" s="336">
        <f>IF(AND(_xll.Close_Historical(INDEX(Quotes[#Headers],1,COLUMN(O308)),Quotes[[#This Row],[Date]])&lt;&gt;"NA",_xll.Close_Historical(INDEX(Quotes[#Headers],1,COLUMN(O308)),Quotes[[#This Row],[Date]])&lt;&gt;"'close'"),_xll.Close_Historical(INDEX(Quotes[#Headers],1,COLUMN(O308)),Quotes[[#This Row],[Date]]),O307)</f>
        <v>14.25</v>
      </c>
      <c r="P308" s="336">
        <f>IF(AND(_xll.Close_Historical(INDEX(Quotes[#Headers],1,COLUMN(P308)),Quotes[[#This Row],[Date]])&lt;&gt;"NA",_xll.Close_Historical(INDEX(Quotes[#Headers],1,COLUMN(P308)),Quotes[[#This Row],[Date]])&lt;&gt;"'close'"),_xll.Close_Historical(INDEX(Quotes[#Headers],1,COLUMN(P308)),Quotes[[#This Row],[Date]]),P307)</f>
        <v>24.49</v>
      </c>
      <c r="Q308" s="336">
        <f>IF(AND(_xll.Close_Historical(INDEX(Quotes[#Headers],1,COLUMN(Q308)),Quotes[[#This Row],[Date]])&lt;&gt;"NA",_xll.Close_Historical(INDEX(Quotes[#Headers],1,COLUMN(Q308)),Quotes[[#This Row],[Date]])&lt;&gt;"'close'"),_xll.Close_Historical(INDEX(Quotes[#Headers],1,COLUMN(Q308)),Quotes[[#This Row],[Date]]),Q307)</f>
        <v>25.5</v>
      </c>
      <c r="R308" s="336">
        <f>IF(AND(_xll.Close_Historical(INDEX(Quotes[#Headers],1,COLUMN(R308)),Quotes[[#This Row],[Date]])&lt;&gt;"NA",_xll.Close_Historical(INDEX(Quotes[#Headers],1,COLUMN(R308)),Quotes[[#This Row],[Date]])&lt;&gt;"'close'"),_xll.Close_Historical(INDEX(Quotes[#Headers],1,COLUMN(R308)),Quotes[[#This Row],[Date]]),R307)</f>
        <v>29.51</v>
      </c>
      <c r="S308" s="336">
        <f>IF(AND(_xll.Close_Historical(INDEX(Quotes[#Headers],1,COLUMN(S308)),Quotes[[#This Row],[Date]])&lt;&gt;"NA",_xll.Close_Historical(INDEX(Quotes[#Headers],1,COLUMN(S308)),Quotes[[#This Row],[Date]])&lt;&gt;"'close'"),_xll.Close_Historical(INDEX(Quotes[#Headers],1,COLUMN(S308)),Quotes[[#This Row],[Date]]),S307)</f>
        <v>34</v>
      </c>
      <c r="T308" s="336">
        <f>IF(AND(_xll.Close_Historical(INDEX(Quotes[#Headers],1,COLUMN(T308)),Quotes[[#This Row],[Date]])&lt;&gt;"NA",_xll.Close_Historical(INDEX(Quotes[#Headers],1,COLUMN(T308)),Quotes[[#This Row],[Date]])&lt;&gt;"'close'"),_xll.Close_Historical(INDEX(Quotes[#Headers],1,COLUMN(T308)),Quotes[[#This Row],[Date]]),T307)</f>
        <v>27.06</v>
      </c>
      <c r="U308" s="336">
        <f>IF(AND(_xll.Close_Historical(INDEX(Quotes[#Headers],1,COLUMN(U308)),Quotes[[#This Row],[Date]])&lt;&gt;"NA",_xll.Close_Historical(INDEX(Quotes[#Headers],1,COLUMN(U308)),Quotes[[#This Row],[Date]])&lt;&gt;"'close'"),_xll.Close_Historical(INDEX(Quotes[#Headers],1,COLUMN(U308)),Quotes[[#This Row],[Date]]),U307)</f>
        <v>70.119799999999998</v>
      </c>
    </row>
    <row r="309" spans="1:21" x14ac:dyDescent="0.25">
      <c r="A309" s="364">
        <v>43954</v>
      </c>
      <c r="B309" s="365">
        <f>IF(AND(_xll.Close_Historical(INDEX(Quotes[#Headers],1,COLUMN(B309)),Quotes[[#This Row],[Date]])&lt;&gt;"NA",_xll.Close_Historical(INDEX(Quotes[#Headers],1,COLUMN(B309)),Quotes[[#This Row],[Date]])&lt;&gt;"'close'"),_xll.Close_Historical(INDEX(Quotes[#Headers],1,COLUMN(B309)),Quotes[[#This Row],[Date]]),B308)</f>
        <v>87.3</v>
      </c>
      <c r="C309" s="365">
        <f>IF(AND(_xll.Close_Historical(INDEX(Quotes[#Headers],1,COLUMN(C309)),Quotes[[#This Row],[Date]])&lt;&gt;"NA",_xll.Close_Historical(INDEX(Quotes[#Headers],1,COLUMN(C309)),Quotes[[#This Row],[Date]])&lt;&gt;"'close'"),_xll.Close_Historical(INDEX(Quotes[#Headers],1,COLUMN(C309)),Quotes[[#This Row],[Date]]),C308)</f>
        <v>33.29</v>
      </c>
      <c r="D309" s="365">
        <f>IF(AND(_xll.Close_Historical(INDEX(Quotes[#Headers],1,COLUMN(D309)),Quotes[[#This Row],[Date]])&lt;&gt;"NA",_xll.Close_Historical(INDEX(Quotes[#Headers],1,COLUMN(D309)),Quotes[[#This Row],[Date]])&lt;&gt;"'close'"),_xll.Close_Historical(INDEX(Quotes[#Headers],1,COLUMN(D309)),Quotes[[#This Row],[Date]]),D308)</f>
        <v>159.78</v>
      </c>
      <c r="E309" s="365">
        <f>IF(AND(_xll.Close_Historical(INDEX(Quotes[#Headers],1,COLUMN(E309)),Quotes[[#This Row],[Date]])&lt;&gt;"NA",_xll.Close_Historical(INDEX(Quotes[#Headers],1,COLUMN(E309)),Quotes[[#This Row],[Date]])&lt;&gt;"'close'"),_xll.Close_Historical(INDEX(Quotes[#Headers],1,COLUMN(E309)),Quotes[[#This Row],[Date]]),E308)</f>
        <v>60.74</v>
      </c>
      <c r="F309" s="365">
        <f>IF(AND(_xll.Close_Historical(INDEX(Quotes[#Headers],1,COLUMN(F309)),Quotes[[#This Row],[Date]])&lt;&gt;"NA",_xll.Close_Historical(INDEX(Quotes[#Headers],1,COLUMN(F309)),Quotes[[#This Row],[Date]])&lt;&gt;"'close'"),_xll.Close_Historical(INDEX(Quotes[#Headers],1,COLUMN(F309)),Quotes[[#This Row],[Date]]),F308)</f>
        <v>212.74</v>
      </c>
      <c r="G309" s="365">
        <f>IF(AND(_xll.Close_Historical(INDEX(Quotes[#Headers],1,COLUMN(G309)),Quotes[[#This Row],[Date]])&lt;&gt;"NA",_xll.Close_Historical(INDEX(Quotes[#Headers],1,COLUMN(G309)),Quotes[[#This Row],[Date]])&lt;&gt;"'close'"),_xll.Close_Historical(INDEX(Quotes[#Headers],1,COLUMN(G309)),Quotes[[#This Row],[Date]]),G308)</f>
        <v>13.92</v>
      </c>
      <c r="H309" s="365">
        <f>IF(AND(_xll.Close_Historical(INDEX(Quotes[#Headers],1,COLUMN(H309)),Quotes[[#This Row],[Date]])&lt;&gt;"NA",_xll.Close_Historical(INDEX(Quotes[#Headers],1,COLUMN(H309)),Quotes[[#This Row],[Date]])&lt;&gt;"'close'"),_xll.Close_Historical(INDEX(Quotes[#Headers],1,COLUMN(H309)),Quotes[[#This Row],[Date]]),H308)</f>
        <v>26.82</v>
      </c>
      <c r="I309" s="365">
        <f>IF(AND(_xll.Close_Historical(INDEX(Quotes[#Headers],1,COLUMN(I309)),Quotes[[#This Row],[Date]])&lt;&gt;"NA",_xll.Close_Historical(INDEX(Quotes[#Headers],1,COLUMN(I309)),Quotes[[#This Row],[Date]])&lt;&gt;"'close'"),_xll.Close_Historical(INDEX(Quotes[#Headers],1,COLUMN(I309)),Quotes[[#This Row],[Date]]),I308)</f>
        <v>102.39</v>
      </c>
      <c r="J309" s="365">
        <f>IF(AND(_xll.Close_Historical(INDEX(Quotes[#Headers],1,COLUMN(J309)),Quotes[[#This Row],[Date]])&lt;&gt;"NA",_xll.Close_Historical(INDEX(Quotes[#Headers],1,COLUMN(J309)),Quotes[[#This Row],[Date]])&lt;&gt;"'close'"),_xll.Close_Historical(INDEX(Quotes[#Headers],1,COLUMN(J309)),Quotes[[#This Row],[Date]]),J308)</f>
        <v>73.540000000000006</v>
      </c>
      <c r="K309" s="365">
        <f>IF(AND(_xll.Close_Historical(INDEX(Quotes[#Headers],1,COLUMN(K309)),Quotes[[#This Row],[Date]])&lt;&gt;"NA",_xll.Close_Historical(INDEX(Quotes[#Headers],1,COLUMN(K309)),Quotes[[#This Row],[Date]])&lt;&gt;"'close'"),_xll.Close_Historical(INDEX(Quotes[#Headers],1,COLUMN(K309)),Quotes[[#This Row],[Date]]),K308)</f>
        <v>259.82</v>
      </c>
      <c r="L309" s="365">
        <f>IF(AND(_xll.Close_Historical(INDEX(Quotes[#Headers],1,COLUMN(L309)),Quotes[[#This Row],[Date]])&lt;&gt;"NA",_xll.Close_Historical(INDEX(Quotes[#Headers],1,COLUMN(L309)),Quotes[[#This Row],[Date]])&lt;&gt;"'close'"),_xll.Close_Historical(INDEX(Quotes[#Headers],1,COLUMN(L309)),Quotes[[#This Row],[Date]]),L308)</f>
        <v>141.81</v>
      </c>
      <c r="M309" s="365">
        <f>IF(AND(_xll.Close_Historical(INDEX(Quotes[#Headers],1,COLUMN(M309)),Quotes[[#This Row],[Date]])&lt;&gt;"NA",_xll.Close_Historical(INDEX(Quotes[#Headers],1,COLUMN(M309)),Quotes[[#This Row],[Date]])&lt;&gt;"'close'"),_xll.Close_Historical(INDEX(Quotes[#Headers],1,COLUMN(M309)),Quotes[[#This Row],[Date]]),M308)</f>
        <v>88.9</v>
      </c>
      <c r="N309" s="365">
        <f>IF(AND(_xll.Close_Historical(INDEX(Quotes[#Headers],1,COLUMN(N309)),Quotes[[#This Row],[Date]])&lt;&gt;"NA",_xll.Close_Historical(INDEX(Quotes[#Headers],1,COLUMN(N309)),Quotes[[#This Row],[Date]])&lt;&gt;"'close'"),_xll.Close_Historical(INDEX(Quotes[#Headers],1,COLUMN(N309)),Quotes[[#This Row],[Date]]),N308)</f>
        <v>30.84</v>
      </c>
      <c r="O309" s="365">
        <f>IF(AND(_xll.Close_Historical(INDEX(Quotes[#Headers],1,COLUMN(O309)),Quotes[[#This Row],[Date]])&lt;&gt;"NA",_xll.Close_Historical(INDEX(Quotes[#Headers],1,COLUMN(O309)),Quotes[[#This Row],[Date]])&lt;&gt;"'close'"),_xll.Close_Historical(INDEX(Quotes[#Headers],1,COLUMN(O309)),Quotes[[#This Row],[Date]]),O308)</f>
        <v>14.25</v>
      </c>
      <c r="P309" s="365">
        <f>IF(AND(_xll.Close_Historical(INDEX(Quotes[#Headers],1,COLUMN(P309)),Quotes[[#This Row],[Date]])&lt;&gt;"NA",_xll.Close_Historical(INDEX(Quotes[#Headers],1,COLUMN(P309)),Quotes[[#This Row],[Date]])&lt;&gt;"'close'"),_xll.Close_Historical(INDEX(Quotes[#Headers],1,COLUMN(P309)),Quotes[[#This Row],[Date]]),P308)</f>
        <v>24.49</v>
      </c>
      <c r="Q309" s="365">
        <f>IF(AND(_xll.Close_Historical(INDEX(Quotes[#Headers],1,COLUMN(Q309)),Quotes[[#This Row],[Date]])&lt;&gt;"NA",_xll.Close_Historical(INDEX(Quotes[#Headers],1,COLUMN(Q309)),Quotes[[#This Row],[Date]])&lt;&gt;"'close'"),_xll.Close_Historical(INDEX(Quotes[#Headers],1,COLUMN(Q309)),Quotes[[#This Row],[Date]]),Q308)</f>
        <v>25.5</v>
      </c>
      <c r="R309" s="365">
        <f>IF(AND(_xll.Close_Historical(INDEX(Quotes[#Headers],1,COLUMN(R309)),Quotes[[#This Row],[Date]])&lt;&gt;"NA",_xll.Close_Historical(INDEX(Quotes[#Headers],1,COLUMN(R309)),Quotes[[#This Row],[Date]])&lt;&gt;"'close'"),_xll.Close_Historical(INDEX(Quotes[#Headers],1,COLUMN(R309)),Quotes[[#This Row],[Date]]),R308)</f>
        <v>29.51</v>
      </c>
      <c r="S309" s="365">
        <f>IF(AND(_xll.Close_Historical(INDEX(Quotes[#Headers],1,COLUMN(S309)),Quotes[[#This Row],[Date]])&lt;&gt;"NA",_xll.Close_Historical(INDEX(Quotes[#Headers],1,COLUMN(S309)),Quotes[[#This Row],[Date]])&lt;&gt;"'close'"),_xll.Close_Historical(INDEX(Quotes[#Headers],1,COLUMN(S309)),Quotes[[#This Row],[Date]]),S308)</f>
        <v>34</v>
      </c>
      <c r="T309" s="365">
        <f>IF(AND(_xll.Close_Historical(INDEX(Quotes[#Headers],1,COLUMN(T309)),Quotes[[#This Row],[Date]])&lt;&gt;"NA",_xll.Close_Historical(INDEX(Quotes[#Headers],1,COLUMN(T309)),Quotes[[#This Row],[Date]])&lt;&gt;"'close'"),_xll.Close_Historical(INDEX(Quotes[#Headers],1,COLUMN(T309)),Quotes[[#This Row],[Date]]),T308)</f>
        <v>27.06</v>
      </c>
      <c r="U309" s="365">
        <f>IF(AND(_xll.Close_Historical(INDEX(Quotes[#Headers],1,COLUMN(U309)),Quotes[[#This Row],[Date]])&lt;&gt;"NA",_xll.Close_Historical(INDEX(Quotes[#Headers],1,COLUMN(U309)),Quotes[[#This Row],[Date]])&lt;&gt;"'close'"),_xll.Close_Historical(INDEX(Quotes[#Headers],1,COLUMN(U309)),Quotes[[#This Row],[Date]]),U308)</f>
        <v>70.119799999999998</v>
      </c>
    </row>
    <row r="310" spans="1:21" x14ac:dyDescent="0.25">
      <c r="A310" s="385">
        <v>43955</v>
      </c>
      <c r="B310" s="336">
        <f>IF(AND(_xll.Close_Historical(INDEX(Quotes[#Headers],1,COLUMN(B310)),Quotes[[#This Row],[Date]])&lt;&gt;"NA",_xll.Close_Historical(INDEX(Quotes[#Headers],1,COLUMN(B310)),Quotes[[#This Row],[Date]])&lt;&gt;"'close'"),_xll.Close_Historical(INDEX(Quotes[#Headers],1,COLUMN(B310)),Quotes[[#This Row],[Date]]),B309)</f>
        <v>87.39</v>
      </c>
      <c r="C310" s="336">
        <f>IF(AND(_xll.Close_Historical(INDEX(Quotes[#Headers],1,COLUMN(C310)),Quotes[[#This Row],[Date]])&lt;&gt;"NA",_xll.Close_Historical(INDEX(Quotes[#Headers],1,COLUMN(C310)),Quotes[[#This Row],[Date]])&lt;&gt;"'close'"),_xll.Close_Historical(INDEX(Quotes[#Headers],1,COLUMN(C310)),Quotes[[#This Row],[Date]]),C309)</f>
        <v>33.99</v>
      </c>
      <c r="D310" s="336">
        <f>IF(AND(_xll.Close_Historical(INDEX(Quotes[#Headers],1,COLUMN(D310)),Quotes[[#This Row],[Date]])&lt;&gt;"NA",_xll.Close_Historical(INDEX(Quotes[#Headers],1,COLUMN(D310)),Quotes[[#This Row],[Date]])&lt;&gt;"'close'"),_xll.Close_Historical(INDEX(Quotes[#Headers],1,COLUMN(D310)),Quotes[[#This Row],[Date]]),D309)</f>
        <v>160.34</v>
      </c>
      <c r="E310" s="336">
        <f>IF(AND(_xll.Close_Historical(INDEX(Quotes[#Headers],1,COLUMN(E310)),Quotes[[#This Row],[Date]])&lt;&gt;"NA",_xll.Close_Historical(INDEX(Quotes[#Headers],1,COLUMN(E310)),Quotes[[#This Row],[Date]])&lt;&gt;"'close'"),_xll.Close_Historical(INDEX(Quotes[#Headers],1,COLUMN(E310)),Quotes[[#This Row],[Date]]),E309)</f>
        <v>60.52</v>
      </c>
      <c r="F310" s="336">
        <f>IF(AND(_xll.Close_Historical(INDEX(Quotes[#Headers],1,COLUMN(F310)),Quotes[[#This Row],[Date]])&lt;&gt;"NA",_xll.Close_Historical(INDEX(Quotes[#Headers],1,COLUMN(F310)),Quotes[[#This Row],[Date]])&lt;&gt;"'close'"),_xll.Close_Historical(INDEX(Quotes[#Headers],1,COLUMN(F310)),Quotes[[#This Row],[Date]]),F309)</f>
        <v>215.22</v>
      </c>
      <c r="G310" s="336">
        <f>IF(AND(_xll.Close_Historical(INDEX(Quotes[#Headers],1,COLUMN(G310)),Quotes[[#This Row],[Date]])&lt;&gt;"NA",_xll.Close_Historical(INDEX(Quotes[#Headers],1,COLUMN(G310)),Quotes[[#This Row],[Date]])&lt;&gt;"'close'"),_xll.Close_Historical(INDEX(Quotes[#Headers],1,COLUMN(G310)),Quotes[[#This Row],[Date]]),G309)</f>
        <v>13.77</v>
      </c>
      <c r="H310" s="336">
        <f>IF(AND(_xll.Close_Historical(INDEX(Quotes[#Headers],1,COLUMN(H310)),Quotes[[#This Row],[Date]])&lt;&gt;"NA",_xll.Close_Historical(INDEX(Quotes[#Headers],1,COLUMN(H310)),Quotes[[#This Row],[Date]])&lt;&gt;"'close'"),_xll.Close_Historical(INDEX(Quotes[#Headers],1,COLUMN(H310)),Quotes[[#This Row],[Date]]),H309)</f>
        <v>26.97</v>
      </c>
      <c r="I310" s="336">
        <f>IF(AND(_xll.Close_Historical(INDEX(Quotes[#Headers],1,COLUMN(I310)),Quotes[[#This Row],[Date]])&lt;&gt;"NA",_xll.Close_Historical(INDEX(Quotes[#Headers],1,COLUMN(I310)),Quotes[[#This Row],[Date]])&lt;&gt;"'close'"),_xll.Close_Historical(INDEX(Quotes[#Headers],1,COLUMN(I310)),Quotes[[#This Row],[Date]]),I309)</f>
        <v>101.94</v>
      </c>
      <c r="J310" s="336">
        <f>IF(AND(_xll.Close_Historical(INDEX(Quotes[#Headers],1,COLUMN(J310)),Quotes[[#This Row],[Date]])&lt;&gt;"NA",_xll.Close_Historical(INDEX(Quotes[#Headers],1,COLUMN(J310)),Quotes[[#This Row],[Date]])&lt;&gt;"'close'"),_xll.Close_Historical(INDEX(Quotes[#Headers],1,COLUMN(J310)),Quotes[[#This Row],[Date]]),J309)</f>
        <v>73.180000000000007</v>
      </c>
      <c r="K310" s="365">
        <f>IF(AND(_xll.Close_Historical(INDEX(Quotes[#Headers],1,COLUMN(K310)),Quotes[[#This Row],[Date]])&lt;&gt;"NA",_xll.Close_Historical(INDEX(Quotes[#Headers],1,COLUMN(K310)),Quotes[[#This Row],[Date]])&lt;&gt;"'close'"),_xll.Close_Historical(INDEX(Quotes[#Headers],1,COLUMN(K310)),Quotes[[#This Row],[Date]]),K309)</f>
        <v>260.64</v>
      </c>
      <c r="L310" s="336">
        <f>IF(AND(_xll.Close_Historical(INDEX(Quotes[#Headers],1,COLUMN(L310)),Quotes[[#This Row],[Date]])&lt;&gt;"NA",_xll.Close_Historical(INDEX(Quotes[#Headers],1,COLUMN(L310)),Quotes[[#This Row],[Date]])&lt;&gt;"'close'"),_xll.Close_Historical(INDEX(Quotes[#Headers],1,COLUMN(L310)),Quotes[[#This Row],[Date]]),L309)</f>
        <v>142.35</v>
      </c>
      <c r="M310" s="336">
        <f>IF(AND(_xll.Close_Historical(INDEX(Quotes[#Headers],1,COLUMN(M310)),Quotes[[#This Row],[Date]])&lt;&gt;"NA",_xll.Close_Historical(INDEX(Quotes[#Headers],1,COLUMN(M310)),Quotes[[#This Row],[Date]])&lt;&gt;"'close'"),_xll.Close_Historical(INDEX(Quotes[#Headers],1,COLUMN(M310)),Quotes[[#This Row],[Date]]),M309)</f>
        <v>90.08</v>
      </c>
      <c r="N310" s="336">
        <f>IF(AND(_xll.Close_Historical(INDEX(Quotes[#Headers],1,COLUMN(N310)),Quotes[[#This Row],[Date]])&lt;&gt;"NA",_xll.Close_Historical(INDEX(Quotes[#Headers],1,COLUMN(N310)),Quotes[[#This Row],[Date]])&lt;&gt;"'close'"),_xll.Close_Historical(INDEX(Quotes[#Headers],1,COLUMN(N310)),Quotes[[#This Row],[Date]]),N309)</f>
        <v>30.99</v>
      </c>
      <c r="O310" s="336">
        <f>IF(AND(_xll.Close_Historical(INDEX(Quotes[#Headers],1,COLUMN(O310)),Quotes[[#This Row],[Date]])&lt;&gt;"NA",_xll.Close_Historical(INDEX(Quotes[#Headers],1,COLUMN(O310)),Quotes[[#This Row],[Date]])&lt;&gt;"'close'"),_xll.Close_Historical(INDEX(Quotes[#Headers],1,COLUMN(O310)),Quotes[[#This Row],[Date]]),O309)</f>
        <v>14.28</v>
      </c>
      <c r="P310" s="336">
        <f>IF(AND(_xll.Close_Historical(INDEX(Quotes[#Headers],1,COLUMN(P310)),Quotes[[#This Row],[Date]])&lt;&gt;"NA",_xll.Close_Historical(INDEX(Quotes[#Headers],1,COLUMN(P310)),Quotes[[#This Row],[Date]])&lt;&gt;"'close'"),_xll.Close_Historical(INDEX(Quotes[#Headers],1,COLUMN(P310)),Quotes[[#This Row],[Date]]),P309)</f>
        <v>24.64</v>
      </c>
      <c r="Q310" s="336">
        <f>IF(AND(_xll.Close_Historical(INDEX(Quotes[#Headers],1,COLUMN(Q310)),Quotes[[#This Row],[Date]])&lt;&gt;"NA",_xll.Close_Historical(INDEX(Quotes[#Headers],1,COLUMN(Q310)),Quotes[[#This Row],[Date]])&lt;&gt;"'close'"),_xll.Close_Historical(INDEX(Quotes[#Headers],1,COLUMN(Q310)),Quotes[[#This Row],[Date]]),Q309)</f>
        <v>25.06</v>
      </c>
      <c r="R310" s="336">
        <f>IF(AND(_xll.Close_Historical(INDEX(Quotes[#Headers],1,COLUMN(R310)),Quotes[[#This Row],[Date]])&lt;&gt;"NA",_xll.Close_Historical(INDEX(Quotes[#Headers],1,COLUMN(R310)),Quotes[[#This Row],[Date]])&lt;&gt;"'close'"),_xll.Close_Historical(INDEX(Quotes[#Headers],1,COLUMN(R310)),Quotes[[#This Row],[Date]]),R309)</f>
        <v>29.75</v>
      </c>
      <c r="S310" s="336">
        <f>IF(AND(_xll.Close_Historical(INDEX(Quotes[#Headers],1,COLUMN(S310)),Quotes[[#This Row],[Date]])&lt;&gt;"NA",_xll.Close_Historical(INDEX(Quotes[#Headers],1,COLUMN(S310)),Quotes[[#This Row],[Date]])&lt;&gt;"'close'"),_xll.Close_Historical(INDEX(Quotes[#Headers],1,COLUMN(S310)),Quotes[[#This Row],[Date]]),S309)</f>
        <v>34.659999999999997</v>
      </c>
      <c r="T310" s="336">
        <f>IF(AND(_xll.Close_Historical(INDEX(Quotes[#Headers],1,COLUMN(T310)),Quotes[[#This Row],[Date]])&lt;&gt;"NA",_xll.Close_Historical(INDEX(Quotes[#Headers],1,COLUMN(T310)),Quotes[[#This Row],[Date]])&lt;&gt;"'close'"),_xll.Close_Historical(INDEX(Quotes[#Headers],1,COLUMN(T310)),Quotes[[#This Row],[Date]]),T309)</f>
        <v>26.98</v>
      </c>
      <c r="U310" s="336">
        <f>IF(AND(_xll.Close_Historical(INDEX(Quotes[#Headers],1,COLUMN(U310)),Quotes[[#This Row],[Date]])&lt;&gt;"NA",_xll.Close_Historical(INDEX(Quotes[#Headers],1,COLUMN(U310)),Quotes[[#This Row],[Date]])&lt;&gt;"'close'"),_xll.Close_Historical(INDEX(Quotes[#Headers],1,COLUMN(U310)),Quotes[[#This Row],[Date]]),U309)</f>
        <v>70.013099999999994</v>
      </c>
    </row>
    <row r="311" spans="1:21" x14ac:dyDescent="0.25">
      <c r="A311" s="364">
        <v>43956</v>
      </c>
      <c r="B311" s="365">
        <f>IF(AND(_xll.Close_Historical(INDEX(Quotes[#Headers],1,COLUMN(B311)),Quotes[[#This Row],[Date]])&lt;&gt;"NA",_xll.Close_Historical(INDEX(Quotes[#Headers],1,COLUMN(B311)),Quotes[[#This Row],[Date]])&lt;&gt;"'close'"),_xll.Close_Historical(INDEX(Quotes[#Headers],1,COLUMN(B311)),Quotes[[#This Row],[Date]]),B310)</f>
        <v>87.31</v>
      </c>
      <c r="C311" s="365">
        <f>IF(AND(_xll.Close_Historical(INDEX(Quotes[#Headers],1,COLUMN(C311)),Quotes[[#This Row],[Date]])&lt;&gt;"NA",_xll.Close_Historical(INDEX(Quotes[#Headers],1,COLUMN(C311)),Quotes[[#This Row],[Date]])&lt;&gt;"'close'"),_xll.Close_Historical(INDEX(Quotes[#Headers],1,COLUMN(C311)),Quotes[[#This Row],[Date]]),C310)</f>
        <v>34.79</v>
      </c>
      <c r="D311" s="365">
        <f>IF(AND(_xll.Close_Historical(INDEX(Quotes[#Headers],1,COLUMN(D311)),Quotes[[#This Row],[Date]])&lt;&gt;"NA",_xll.Close_Historical(INDEX(Quotes[#Headers],1,COLUMN(D311)),Quotes[[#This Row],[Date]])&lt;&gt;"'close'"),_xll.Close_Historical(INDEX(Quotes[#Headers],1,COLUMN(D311)),Quotes[[#This Row],[Date]]),D310)</f>
        <v>161.02000000000001</v>
      </c>
      <c r="E311" s="365">
        <f>IF(AND(_xll.Close_Historical(INDEX(Quotes[#Headers],1,COLUMN(E311)),Quotes[[#This Row],[Date]])&lt;&gt;"NA",_xll.Close_Historical(INDEX(Quotes[#Headers],1,COLUMN(E311)),Quotes[[#This Row],[Date]])&lt;&gt;"'close'"),_xll.Close_Historical(INDEX(Quotes[#Headers],1,COLUMN(E311)),Quotes[[#This Row],[Date]]),E310)</f>
        <v>60.68</v>
      </c>
      <c r="F311" s="365">
        <f>IF(AND(_xll.Close_Historical(INDEX(Quotes[#Headers],1,COLUMN(F311)),Quotes[[#This Row],[Date]])&lt;&gt;"NA",_xll.Close_Historical(INDEX(Quotes[#Headers],1,COLUMN(F311)),Quotes[[#This Row],[Date]])&lt;&gt;"'close'"),_xll.Close_Historical(INDEX(Quotes[#Headers],1,COLUMN(F311)),Quotes[[#This Row],[Date]]),F310)</f>
        <v>217.66</v>
      </c>
      <c r="G311" s="365">
        <f>IF(AND(_xll.Close_Historical(INDEX(Quotes[#Headers],1,COLUMN(G311)),Quotes[[#This Row],[Date]])&lt;&gt;"NA",_xll.Close_Historical(INDEX(Quotes[#Headers],1,COLUMN(G311)),Quotes[[#This Row],[Date]])&lt;&gt;"'close'"),_xll.Close_Historical(INDEX(Quotes[#Headers],1,COLUMN(G311)),Quotes[[#This Row],[Date]]),G310)</f>
        <v>13.93</v>
      </c>
      <c r="H311" s="365">
        <f>IF(AND(_xll.Close_Historical(INDEX(Quotes[#Headers],1,COLUMN(H311)),Quotes[[#This Row],[Date]])&lt;&gt;"NA",_xll.Close_Historical(INDEX(Quotes[#Headers],1,COLUMN(H311)),Quotes[[#This Row],[Date]])&lt;&gt;"'close'"),_xll.Close_Historical(INDEX(Quotes[#Headers],1,COLUMN(H311)),Quotes[[#This Row],[Date]]),H310)</f>
        <v>26.99</v>
      </c>
      <c r="I311" s="365">
        <f>IF(AND(_xll.Close_Historical(INDEX(Quotes[#Headers],1,COLUMN(I311)),Quotes[[#This Row],[Date]])&lt;&gt;"NA",_xll.Close_Historical(INDEX(Quotes[#Headers],1,COLUMN(I311)),Quotes[[#This Row],[Date]])&lt;&gt;"'close'"),_xll.Close_Historical(INDEX(Quotes[#Headers],1,COLUMN(I311)),Quotes[[#This Row],[Date]]),I310)</f>
        <v>101.39</v>
      </c>
      <c r="J311" s="365">
        <f>IF(AND(_xll.Close_Historical(INDEX(Quotes[#Headers],1,COLUMN(J311)),Quotes[[#This Row],[Date]])&lt;&gt;"NA",_xll.Close_Historical(INDEX(Quotes[#Headers],1,COLUMN(J311)),Quotes[[#This Row],[Date]])&lt;&gt;"'close'"),_xll.Close_Historical(INDEX(Quotes[#Headers],1,COLUMN(J311)),Quotes[[#This Row],[Date]]),J310)</f>
        <v>73.540000000000006</v>
      </c>
      <c r="K311" s="365">
        <f>IF(AND(_xll.Close_Historical(INDEX(Quotes[#Headers],1,COLUMN(K311)),Quotes[[#This Row],[Date]])&lt;&gt;"NA",_xll.Close_Historical(INDEX(Quotes[#Headers],1,COLUMN(K311)),Quotes[[#This Row],[Date]])&lt;&gt;"'close'"),_xll.Close_Historical(INDEX(Quotes[#Headers],1,COLUMN(K311)),Quotes[[#This Row],[Date]]),K310)</f>
        <v>263.04000000000002</v>
      </c>
      <c r="L311" s="365">
        <f>IF(AND(_xll.Close_Historical(INDEX(Quotes[#Headers],1,COLUMN(L311)),Quotes[[#This Row],[Date]])&lt;&gt;"NA",_xll.Close_Historical(INDEX(Quotes[#Headers],1,COLUMN(L311)),Quotes[[#This Row],[Date]])&lt;&gt;"'close'"),_xll.Close_Historical(INDEX(Quotes[#Headers],1,COLUMN(L311)),Quotes[[#This Row],[Date]]),L310)</f>
        <v>143.66999999999999</v>
      </c>
      <c r="M311" s="365">
        <f>IF(AND(_xll.Close_Historical(INDEX(Quotes[#Headers],1,COLUMN(M311)),Quotes[[#This Row],[Date]])&lt;&gt;"NA",_xll.Close_Historical(INDEX(Quotes[#Headers],1,COLUMN(M311)),Quotes[[#This Row],[Date]])&lt;&gt;"'close'"),_xll.Close_Historical(INDEX(Quotes[#Headers],1,COLUMN(M311)),Quotes[[#This Row],[Date]]),M310)</f>
        <v>91.32</v>
      </c>
      <c r="N311" s="365">
        <f>IF(AND(_xll.Close_Historical(INDEX(Quotes[#Headers],1,COLUMN(N311)),Quotes[[#This Row],[Date]])&lt;&gt;"NA",_xll.Close_Historical(INDEX(Quotes[#Headers],1,COLUMN(N311)),Quotes[[#This Row],[Date]])&lt;&gt;"'close'"),_xll.Close_Historical(INDEX(Quotes[#Headers],1,COLUMN(N311)),Quotes[[#This Row],[Date]]),N310)</f>
        <v>31.3</v>
      </c>
      <c r="O311" s="365">
        <f>IF(AND(_xll.Close_Historical(INDEX(Quotes[#Headers],1,COLUMN(O311)),Quotes[[#This Row],[Date]])&lt;&gt;"NA",_xll.Close_Historical(INDEX(Quotes[#Headers],1,COLUMN(O311)),Quotes[[#This Row],[Date]])&lt;&gt;"'close'"),_xll.Close_Historical(INDEX(Quotes[#Headers],1,COLUMN(O311)),Quotes[[#This Row],[Date]]),O310)</f>
        <v>14.32</v>
      </c>
      <c r="P311" s="365">
        <f>IF(AND(_xll.Close_Historical(INDEX(Quotes[#Headers],1,COLUMN(P311)),Quotes[[#This Row],[Date]])&lt;&gt;"NA",_xll.Close_Historical(INDEX(Quotes[#Headers],1,COLUMN(P311)),Quotes[[#This Row],[Date]])&lt;&gt;"'close'"),_xll.Close_Historical(INDEX(Quotes[#Headers],1,COLUMN(P311)),Quotes[[#This Row],[Date]]),P310)</f>
        <v>24.73</v>
      </c>
      <c r="Q311" s="365">
        <f>IF(AND(_xll.Close_Historical(INDEX(Quotes[#Headers],1,COLUMN(Q311)),Quotes[[#This Row],[Date]])&lt;&gt;"NA",_xll.Close_Historical(INDEX(Quotes[#Headers],1,COLUMN(Q311)),Quotes[[#This Row],[Date]])&lt;&gt;"'close'"),_xll.Close_Historical(INDEX(Quotes[#Headers],1,COLUMN(Q311)),Quotes[[#This Row],[Date]]),Q310)</f>
        <v>25.31</v>
      </c>
      <c r="R311" s="365">
        <f>IF(AND(_xll.Close_Historical(INDEX(Quotes[#Headers],1,COLUMN(R311)),Quotes[[#This Row],[Date]])&lt;&gt;"NA",_xll.Close_Historical(INDEX(Quotes[#Headers],1,COLUMN(R311)),Quotes[[#This Row],[Date]])&lt;&gt;"'close'"),_xll.Close_Historical(INDEX(Quotes[#Headers],1,COLUMN(R311)),Quotes[[#This Row],[Date]]),R310)</f>
        <v>29.92</v>
      </c>
      <c r="S311" s="365">
        <f>IF(AND(_xll.Close_Historical(INDEX(Quotes[#Headers],1,COLUMN(S311)),Quotes[[#This Row],[Date]])&lt;&gt;"NA",_xll.Close_Historical(INDEX(Quotes[#Headers],1,COLUMN(S311)),Quotes[[#This Row],[Date]])&lt;&gt;"'close'"),_xll.Close_Historical(INDEX(Quotes[#Headers],1,COLUMN(S311)),Quotes[[#This Row],[Date]]),S310)</f>
        <v>34.85</v>
      </c>
      <c r="T311" s="365">
        <f>IF(AND(_xll.Close_Historical(INDEX(Quotes[#Headers],1,COLUMN(T311)),Quotes[[#This Row],[Date]])&lt;&gt;"NA",_xll.Close_Historical(INDEX(Quotes[#Headers],1,COLUMN(T311)),Quotes[[#This Row],[Date]])&lt;&gt;"'close'"),_xll.Close_Historical(INDEX(Quotes[#Headers],1,COLUMN(T311)),Quotes[[#This Row],[Date]]),T310)</f>
        <v>27.02</v>
      </c>
      <c r="U311" s="365">
        <f>IF(AND(_xll.Close_Historical(INDEX(Quotes[#Headers],1,COLUMN(U311)),Quotes[[#This Row],[Date]])&lt;&gt;"NA",_xll.Close_Historical(INDEX(Quotes[#Headers],1,COLUMN(U311)),Quotes[[#This Row],[Date]])&lt;&gt;"'close'"),_xll.Close_Historical(INDEX(Quotes[#Headers],1,COLUMN(U311)),Quotes[[#This Row],[Date]]),U310)</f>
        <v>70.180000000000007</v>
      </c>
    </row>
    <row r="312" spans="1:21" x14ac:dyDescent="0.25">
      <c r="A312" s="364">
        <v>43957</v>
      </c>
      <c r="B312" s="365">
        <f>IF(AND(_xll.Close_Historical(INDEX(Quotes[#Headers],1,COLUMN(B312)),Quotes[[#This Row],[Date]])&lt;&gt;"NA",_xll.Close_Historical(INDEX(Quotes[#Headers],1,COLUMN(B312)),Quotes[[#This Row],[Date]])&lt;&gt;"'close'"),_xll.Close_Historical(INDEX(Quotes[#Headers],1,COLUMN(B312)),Quotes[[#This Row],[Date]]),B311)</f>
        <v>86.92</v>
      </c>
      <c r="C312" s="365">
        <f>IF(AND(_xll.Close_Historical(INDEX(Quotes[#Headers],1,COLUMN(C312)),Quotes[[#This Row],[Date]])&lt;&gt;"NA",_xll.Close_Historical(INDEX(Quotes[#Headers],1,COLUMN(C312)),Quotes[[#This Row],[Date]])&lt;&gt;"'close'"),_xll.Close_Historical(INDEX(Quotes[#Headers],1,COLUMN(C312)),Quotes[[#This Row],[Date]]),C311)</f>
        <v>33.700000000000003</v>
      </c>
      <c r="D312" s="365">
        <f>IF(AND(_xll.Close_Historical(INDEX(Quotes[#Headers],1,COLUMN(D312)),Quotes[[#This Row],[Date]])&lt;&gt;"NA",_xll.Close_Historical(INDEX(Quotes[#Headers],1,COLUMN(D312)),Quotes[[#This Row],[Date]])&lt;&gt;"'close'"),_xll.Close_Historical(INDEX(Quotes[#Headers],1,COLUMN(D312)),Quotes[[#This Row],[Date]]),D311)</f>
        <v>158.94999999999999</v>
      </c>
      <c r="E312" s="365">
        <f>IF(AND(_xll.Close_Historical(INDEX(Quotes[#Headers],1,COLUMN(E312)),Quotes[[#This Row],[Date]])&lt;&gt;"NA",_xll.Close_Historical(INDEX(Quotes[#Headers],1,COLUMN(E312)),Quotes[[#This Row],[Date]])&lt;&gt;"'close'"),_xll.Close_Historical(INDEX(Quotes[#Headers],1,COLUMN(E312)),Quotes[[#This Row],[Date]]),E311)</f>
        <v>59.96</v>
      </c>
      <c r="F312" s="365">
        <f>IF(AND(_xll.Close_Historical(INDEX(Quotes[#Headers],1,COLUMN(F312)),Quotes[[#This Row],[Date]])&lt;&gt;"NA",_xll.Close_Historical(INDEX(Quotes[#Headers],1,COLUMN(F312)),Quotes[[#This Row],[Date]])&lt;&gt;"'close'"),_xll.Close_Historical(INDEX(Quotes[#Headers],1,COLUMN(F312)),Quotes[[#This Row],[Date]]),F311)</f>
        <v>219</v>
      </c>
      <c r="G312" s="365">
        <f>IF(AND(_xll.Close_Historical(INDEX(Quotes[#Headers],1,COLUMN(G312)),Quotes[[#This Row],[Date]])&lt;&gt;"NA",_xll.Close_Historical(INDEX(Quotes[#Headers],1,COLUMN(G312)),Quotes[[#This Row],[Date]])&lt;&gt;"'close'"),_xll.Close_Historical(INDEX(Quotes[#Headers],1,COLUMN(G312)),Quotes[[#This Row],[Date]]),G311)</f>
        <v>13.92</v>
      </c>
      <c r="H312" s="365">
        <f>IF(AND(_xll.Close_Historical(INDEX(Quotes[#Headers],1,COLUMN(H312)),Quotes[[#This Row],[Date]])&lt;&gt;"NA",_xll.Close_Historical(INDEX(Quotes[#Headers],1,COLUMN(H312)),Quotes[[#This Row],[Date]])&lt;&gt;"'close'"),_xll.Close_Historical(INDEX(Quotes[#Headers],1,COLUMN(H312)),Quotes[[#This Row],[Date]]),H311)</f>
        <v>27.12</v>
      </c>
      <c r="I312" s="365">
        <f>IF(AND(_xll.Close_Historical(INDEX(Quotes[#Headers],1,COLUMN(I312)),Quotes[[#This Row],[Date]])&lt;&gt;"NA",_xll.Close_Historical(INDEX(Quotes[#Headers],1,COLUMN(I312)),Quotes[[#This Row],[Date]])&lt;&gt;"'close'"),_xll.Close_Historical(INDEX(Quotes[#Headers],1,COLUMN(I312)),Quotes[[#This Row],[Date]]),I311)</f>
        <v>99.86</v>
      </c>
      <c r="J312" s="365">
        <f>IF(AND(_xll.Close_Historical(INDEX(Quotes[#Headers],1,COLUMN(J312)),Quotes[[#This Row],[Date]])&lt;&gt;"NA",_xll.Close_Historical(INDEX(Quotes[#Headers],1,COLUMN(J312)),Quotes[[#This Row],[Date]])&lt;&gt;"'close'"),_xll.Close_Historical(INDEX(Quotes[#Headers],1,COLUMN(J312)),Quotes[[#This Row],[Date]]),J311)</f>
        <v>72.22</v>
      </c>
      <c r="K312" s="365">
        <f>IF(AND(_xll.Close_Historical(INDEX(Quotes[#Headers],1,COLUMN(K312)),Quotes[[#This Row],[Date]])&lt;&gt;"NA",_xll.Close_Historical(INDEX(Quotes[#Headers],1,COLUMN(K312)),Quotes[[#This Row],[Date]])&lt;&gt;"'close'"),_xll.Close_Historical(INDEX(Quotes[#Headers],1,COLUMN(K312)),Quotes[[#This Row],[Date]]),K311)</f>
        <v>261.27</v>
      </c>
      <c r="L312" s="365">
        <f>IF(AND(_xll.Close_Historical(INDEX(Quotes[#Headers],1,COLUMN(L312)),Quotes[[#This Row],[Date]])&lt;&gt;"NA",_xll.Close_Historical(INDEX(Quotes[#Headers],1,COLUMN(L312)),Quotes[[#This Row],[Date]])&lt;&gt;"'close'"),_xll.Close_Historical(INDEX(Quotes[#Headers],1,COLUMN(L312)),Quotes[[#This Row],[Date]]),L311)</f>
        <v>142.88</v>
      </c>
      <c r="M312" s="365">
        <f>IF(AND(_xll.Close_Historical(INDEX(Quotes[#Headers],1,COLUMN(M312)),Quotes[[#This Row],[Date]])&lt;&gt;"NA",_xll.Close_Historical(INDEX(Quotes[#Headers],1,COLUMN(M312)),Quotes[[#This Row],[Date]])&lt;&gt;"'close'"),_xll.Close_Historical(INDEX(Quotes[#Headers],1,COLUMN(M312)),Quotes[[#This Row],[Date]]),M311)</f>
        <v>92.03</v>
      </c>
      <c r="N312" s="365">
        <f>IF(AND(_xll.Close_Historical(INDEX(Quotes[#Headers],1,COLUMN(N312)),Quotes[[#This Row],[Date]])&lt;&gt;"NA",_xll.Close_Historical(INDEX(Quotes[#Headers],1,COLUMN(N312)),Quotes[[#This Row],[Date]])&lt;&gt;"'close'"),_xll.Close_Historical(INDEX(Quotes[#Headers],1,COLUMN(N312)),Quotes[[#This Row],[Date]]),N311)</f>
        <v>31.04</v>
      </c>
      <c r="O312" s="365">
        <f>IF(AND(_xll.Close_Historical(INDEX(Quotes[#Headers],1,COLUMN(O312)),Quotes[[#This Row],[Date]])&lt;&gt;"NA",_xll.Close_Historical(INDEX(Quotes[#Headers],1,COLUMN(O312)),Quotes[[#This Row],[Date]])&lt;&gt;"'close'"),_xll.Close_Historical(INDEX(Quotes[#Headers],1,COLUMN(O312)),Quotes[[#This Row],[Date]]),O311)</f>
        <v>14.17</v>
      </c>
      <c r="P312" s="365">
        <f>IF(AND(_xll.Close_Historical(INDEX(Quotes[#Headers],1,COLUMN(P312)),Quotes[[#This Row],[Date]])&lt;&gt;"NA",_xll.Close_Historical(INDEX(Quotes[#Headers],1,COLUMN(P312)),Quotes[[#This Row],[Date]])&lt;&gt;"'close'"),_xll.Close_Historical(INDEX(Quotes[#Headers],1,COLUMN(P312)),Quotes[[#This Row],[Date]]),P311)</f>
        <v>24.69</v>
      </c>
      <c r="Q312" s="365">
        <f>IF(AND(_xll.Close_Historical(INDEX(Quotes[#Headers],1,COLUMN(Q312)),Quotes[[#This Row],[Date]])&lt;&gt;"NA",_xll.Close_Historical(INDEX(Quotes[#Headers],1,COLUMN(Q312)),Quotes[[#This Row],[Date]])&lt;&gt;"'close'"),_xll.Close_Historical(INDEX(Quotes[#Headers],1,COLUMN(Q312)),Quotes[[#This Row],[Date]]),Q311)</f>
        <v>25.12</v>
      </c>
      <c r="R312" s="365">
        <f>IF(AND(_xll.Close_Historical(INDEX(Quotes[#Headers],1,COLUMN(R312)),Quotes[[#This Row],[Date]])&lt;&gt;"NA",_xll.Close_Historical(INDEX(Quotes[#Headers],1,COLUMN(R312)),Quotes[[#This Row],[Date]])&lt;&gt;"'close'"),_xll.Close_Historical(INDEX(Quotes[#Headers],1,COLUMN(R312)),Quotes[[#This Row],[Date]]),R311)</f>
        <v>29.98</v>
      </c>
      <c r="S312" s="365">
        <f>IF(AND(_xll.Close_Historical(INDEX(Quotes[#Headers],1,COLUMN(S312)),Quotes[[#This Row],[Date]])&lt;&gt;"NA",_xll.Close_Historical(INDEX(Quotes[#Headers],1,COLUMN(S312)),Quotes[[#This Row],[Date]])&lt;&gt;"'close'"),_xll.Close_Historical(INDEX(Quotes[#Headers],1,COLUMN(S312)),Quotes[[#This Row],[Date]]),S311)</f>
        <v>34.5</v>
      </c>
      <c r="T312" s="365">
        <f>IF(AND(_xll.Close_Historical(INDEX(Quotes[#Headers],1,COLUMN(T312)),Quotes[[#This Row],[Date]])&lt;&gt;"NA",_xll.Close_Historical(INDEX(Quotes[#Headers],1,COLUMN(T312)),Quotes[[#This Row],[Date]])&lt;&gt;"'close'"),_xll.Close_Historical(INDEX(Quotes[#Headers],1,COLUMN(T312)),Quotes[[#This Row],[Date]]),T311)</f>
        <v>26.9</v>
      </c>
      <c r="U312" s="365">
        <f>IF(AND(_xll.Close_Historical(INDEX(Quotes[#Headers],1,COLUMN(U312)),Quotes[[#This Row],[Date]])&lt;&gt;"NA",_xll.Close_Historical(INDEX(Quotes[#Headers],1,COLUMN(U312)),Quotes[[#This Row],[Date]])&lt;&gt;"'close'"),_xll.Close_Historical(INDEX(Quotes[#Headers],1,COLUMN(U312)),Quotes[[#This Row],[Date]]),U311)</f>
        <v>69.709999999999994</v>
      </c>
    </row>
    <row r="313" spans="1:21" x14ac:dyDescent="0.25">
      <c r="A313" s="385">
        <v>43958</v>
      </c>
      <c r="B313" s="336">
        <f>IF(AND(_xll.Close_Historical(INDEX(Quotes[#Headers],1,COLUMN(B313)),Quotes[[#This Row],[Date]])&lt;&gt;"NA",_xll.Close_Historical(INDEX(Quotes[#Headers],1,COLUMN(B313)),Quotes[[#This Row],[Date]])&lt;&gt;"'close'"),_xll.Close_Historical(INDEX(Quotes[#Headers],1,COLUMN(B313)),Quotes[[#This Row],[Date]]),B312)</f>
        <v>87.2</v>
      </c>
      <c r="C313" s="336">
        <f>IF(AND(_xll.Close_Historical(INDEX(Quotes[#Headers],1,COLUMN(C313)),Quotes[[#This Row],[Date]])&lt;&gt;"NA",_xll.Close_Historical(INDEX(Quotes[#Headers],1,COLUMN(C313)),Quotes[[#This Row],[Date]])&lt;&gt;"'close'"),_xll.Close_Historical(INDEX(Quotes[#Headers],1,COLUMN(C313)),Quotes[[#This Row],[Date]]),C312)</f>
        <v>35.03</v>
      </c>
      <c r="D313" s="336">
        <f>IF(AND(_xll.Close_Historical(INDEX(Quotes[#Headers],1,COLUMN(D313)),Quotes[[#This Row],[Date]])&lt;&gt;"NA",_xll.Close_Historical(INDEX(Quotes[#Headers],1,COLUMN(D313)),Quotes[[#This Row],[Date]])&lt;&gt;"'close'"),_xll.Close_Historical(INDEX(Quotes[#Headers],1,COLUMN(D313)),Quotes[[#This Row],[Date]]),D312)</f>
        <v>161.38999999999999</v>
      </c>
      <c r="E313" s="336">
        <f>IF(AND(_xll.Close_Historical(INDEX(Quotes[#Headers],1,COLUMN(E313)),Quotes[[#This Row],[Date]])&lt;&gt;"NA",_xll.Close_Historical(INDEX(Quotes[#Headers],1,COLUMN(E313)),Quotes[[#This Row],[Date]])&lt;&gt;"'close'"),_xll.Close_Historical(INDEX(Quotes[#Headers],1,COLUMN(E313)),Quotes[[#This Row],[Date]]),E312)</f>
        <v>60.81</v>
      </c>
      <c r="F313" s="336">
        <f>IF(AND(_xll.Close_Historical(INDEX(Quotes[#Headers],1,COLUMN(F313)),Quotes[[#This Row],[Date]])&lt;&gt;"NA",_xll.Close_Historical(INDEX(Quotes[#Headers],1,COLUMN(F313)),Quotes[[#This Row],[Date]])&lt;&gt;"'close'"),_xll.Close_Historical(INDEX(Quotes[#Headers],1,COLUMN(F313)),Quotes[[#This Row],[Date]]),F312)</f>
        <v>221.82</v>
      </c>
      <c r="G313" s="336">
        <f>IF(AND(_xll.Close_Historical(INDEX(Quotes[#Headers],1,COLUMN(G313)),Quotes[[#This Row],[Date]])&lt;&gt;"NA",_xll.Close_Historical(INDEX(Quotes[#Headers],1,COLUMN(G313)),Quotes[[#This Row],[Date]])&lt;&gt;"'close'"),_xll.Close_Historical(INDEX(Quotes[#Headers],1,COLUMN(G313)),Quotes[[#This Row],[Date]]),G312)</f>
        <v>14.26</v>
      </c>
      <c r="H313" s="336">
        <f>IF(AND(_xll.Close_Historical(INDEX(Quotes[#Headers],1,COLUMN(H313)),Quotes[[#This Row],[Date]])&lt;&gt;"NA",_xll.Close_Historical(INDEX(Quotes[#Headers],1,COLUMN(H313)),Quotes[[#This Row],[Date]])&lt;&gt;"'close'"),_xll.Close_Historical(INDEX(Quotes[#Headers],1,COLUMN(H313)),Quotes[[#This Row],[Date]]),H312)</f>
        <v>27.04</v>
      </c>
      <c r="I313" s="336">
        <f>IF(AND(_xll.Close_Historical(INDEX(Quotes[#Headers],1,COLUMN(I313)),Quotes[[#This Row],[Date]])&lt;&gt;"NA",_xll.Close_Historical(INDEX(Quotes[#Headers],1,COLUMN(I313)),Quotes[[#This Row],[Date]])&lt;&gt;"'close'"),_xll.Close_Historical(INDEX(Quotes[#Headers],1,COLUMN(I313)),Quotes[[#This Row],[Date]]),I312)</f>
        <v>101.48</v>
      </c>
      <c r="J313" s="336">
        <f>IF(AND(_xll.Close_Historical(INDEX(Quotes[#Headers],1,COLUMN(J313)),Quotes[[#This Row],[Date]])&lt;&gt;"NA",_xll.Close_Historical(INDEX(Quotes[#Headers],1,COLUMN(J313)),Quotes[[#This Row],[Date]])&lt;&gt;"'close'"),_xll.Close_Historical(INDEX(Quotes[#Headers],1,COLUMN(J313)),Quotes[[#This Row],[Date]]),J312)</f>
        <v>73.25</v>
      </c>
      <c r="K313" s="365">
        <f>IF(AND(_xll.Close_Historical(INDEX(Quotes[#Headers],1,COLUMN(K313)),Quotes[[#This Row],[Date]])&lt;&gt;"NA",_xll.Close_Historical(INDEX(Quotes[#Headers],1,COLUMN(K313)),Quotes[[#This Row],[Date]])&lt;&gt;"'close'"),_xll.Close_Historical(INDEX(Quotes[#Headers],1,COLUMN(K313)),Quotes[[#This Row],[Date]]),K312)</f>
        <v>264.36</v>
      </c>
      <c r="L313" s="336">
        <f>IF(AND(_xll.Close_Historical(INDEX(Quotes[#Headers],1,COLUMN(L313)),Quotes[[#This Row],[Date]])&lt;&gt;"NA",_xll.Close_Historical(INDEX(Quotes[#Headers],1,COLUMN(L313)),Quotes[[#This Row],[Date]])&lt;&gt;"'close'"),_xll.Close_Historical(INDEX(Quotes[#Headers],1,COLUMN(L313)),Quotes[[#This Row],[Date]]),L312)</f>
        <v>144.75</v>
      </c>
      <c r="M313" s="336">
        <f>IF(AND(_xll.Close_Historical(INDEX(Quotes[#Headers],1,COLUMN(M313)),Quotes[[#This Row],[Date]])&lt;&gt;"NA",_xll.Close_Historical(INDEX(Quotes[#Headers],1,COLUMN(M313)),Quotes[[#This Row],[Date]])&lt;&gt;"'close'"),_xll.Close_Historical(INDEX(Quotes[#Headers],1,COLUMN(M313)),Quotes[[#This Row],[Date]]),M312)</f>
        <v>93.41</v>
      </c>
      <c r="N313" s="336">
        <f>IF(AND(_xll.Close_Historical(INDEX(Quotes[#Headers],1,COLUMN(N313)),Quotes[[#This Row],[Date]])&lt;&gt;"NA",_xll.Close_Historical(INDEX(Quotes[#Headers],1,COLUMN(N313)),Quotes[[#This Row],[Date]])&lt;&gt;"'close'"),_xll.Close_Historical(INDEX(Quotes[#Headers],1,COLUMN(N313)),Quotes[[#This Row],[Date]]),N312)</f>
        <v>31.41</v>
      </c>
      <c r="O313" s="336">
        <f>IF(AND(_xll.Close_Historical(INDEX(Quotes[#Headers],1,COLUMN(O313)),Quotes[[#This Row],[Date]])&lt;&gt;"NA",_xll.Close_Historical(INDEX(Quotes[#Headers],1,COLUMN(O313)),Quotes[[#This Row],[Date]])&lt;&gt;"'close'"),_xll.Close_Historical(INDEX(Quotes[#Headers],1,COLUMN(O313)),Quotes[[#This Row],[Date]]),O312)</f>
        <v>14.36</v>
      </c>
      <c r="P313" s="336">
        <f>IF(AND(_xll.Close_Historical(INDEX(Quotes[#Headers],1,COLUMN(P313)),Quotes[[#This Row],[Date]])&lt;&gt;"NA",_xll.Close_Historical(INDEX(Quotes[#Headers],1,COLUMN(P313)),Quotes[[#This Row],[Date]])&lt;&gt;"'close'"),_xll.Close_Historical(INDEX(Quotes[#Headers],1,COLUMN(P313)),Quotes[[#This Row],[Date]]),P312)</f>
        <v>24.73</v>
      </c>
      <c r="Q313" s="336">
        <f>IF(AND(_xll.Close_Historical(INDEX(Quotes[#Headers],1,COLUMN(Q313)),Quotes[[#This Row],[Date]])&lt;&gt;"NA",_xll.Close_Historical(INDEX(Quotes[#Headers],1,COLUMN(Q313)),Quotes[[#This Row],[Date]])&lt;&gt;"'close'"),_xll.Close_Historical(INDEX(Quotes[#Headers],1,COLUMN(Q313)),Quotes[[#This Row],[Date]]),Q312)</f>
        <v>25.15</v>
      </c>
      <c r="R313" s="336">
        <f>IF(AND(_xll.Close_Historical(INDEX(Quotes[#Headers],1,COLUMN(R313)),Quotes[[#This Row],[Date]])&lt;&gt;"NA",_xll.Close_Historical(INDEX(Quotes[#Headers],1,COLUMN(R313)),Quotes[[#This Row],[Date]])&lt;&gt;"'close'"),_xll.Close_Historical(INDEX(Quotes[#Headers],1,COLUMN(R313)),Quotes[[#This Row],[Date]]),R312)</f>
        <v>29.97</v>
      </c>
      <c r="S313" s="336">
        <f>IF(AND(_xll.Close_Historical(INDEX(Quotes[#Headers],1,COLUMN(S313)),Quotes[[#This Row],[Date]])&lt;&gt;"NA",_xll.Close_Historical(INDEX(Quotes[#Headers],1,COLUMN(S313)),Quotes[[#This Row],[Date]])&lt;&gt;"'close'"),_xll.Close_Historical(INDEX(Quotes[#Headers],1,COLUMN(S313)),Quotes[[#This Row],[Date]]),S312)</f>
        <v>35.520000000000003</v>
      </c>
      <c r="T313" s="336">
        <f>IF(AND(_xll.Close_Historical(INDEX(Quotes[#Headers],1,COLUMN(T313)),Quotes[[#This Row],[Date]])&lt;&gt;"NA",_xll.Close_Historical(INDEX(Quotes[#Headers],1,COLUMN(T313)),Quotes[[#This Row],[Date]])&lt;&gt;"'close'"),_xll.Close_Historical(INDEX(Quotes[#Headers],1,COLUMN(T313)),Quotes[[#This Row],[Date]]),T312)</f>
        <v>26.97</v>
      </c>
      <c r="U313" s="336">
        <f>IF(AND(_xll.Close_Historical(INDEX(Quotes[#Headers],1,COLUMN(U313)),Quotes[[#This Row],[Date]])&lt;&gt;"NA",_xll.Close_Historical(INDEX(Quotes[#Headers],1,COLUMN(U313)),Quotes[[#This Row],[Date]])&lt;&gt;"'close'"),_xll.Close_Historical(INDEX(Quotes[#Headers],1,COLUMN(U313)),Quotes[[#This Row],[Date]]),U312)</f>
        <v>70.42</v>
      </c>
    </row>
    <row r="314" spans="1:21" x14ac:dyDescent="0.25">
      <c r="A314" s="364">
        <v>43959</v>
      </c>
      <c r="B314" s="365">
        <f>IF(AND(_xll.Close_Historical(INDEX(Quotes[#Headers],1,COLUMN(B314)),Quotes[[#This Row],[Date]])&lt;&gt;"NA",_xll.Close_Historical(INDEX(Quotes[#Headers],1,COLUMN(B314)),Quotes[[#This Row],[Date]])&lt;&gt;"'close'"),_xll.Close_Historical(INDEX(Quotes[#Headers],1,COLUMN(B314)),Quotes[[#This Row],[Date]]),B313)</f>
        <v>86.95</v>
      </c>
      <c r="C314" s="365">
        <f>IF(AND(_xll.Close_Historical(INDEX(Quotes[#Headers],1,COLUMN(C314)),Quotes[[#This Row],[Date]])&lt;&gt;"NA",_xll.Close_Historical(INDEX(Quotes[#Headers],1,COLUMN(C314)),Quotes[[#This Row],[Date]])&lt;&gt;"'close'"),_xll.Close_Historical(INDEX(Quotes[#Headers],1,COLUMN(C314)),Quotes[[#This Row],[Date]]),C313)</f>
        <v>34.86</v>
      </c>
      <c r="D314" s="365">
        <f>IF(AND(_xll.Close_Historical(INDEX(Quotes[#Headers],1,COLUMN(D314)),Quotes[[#This Row],[Date]])&lt;&gt;"NA",_xll.Close_Historical(INDEX(Quotes[#Headers],1,COLUMN(D314)),Quotes[[#This Row],[Date]])&lt;&gt;"'close'"),_xll.Close_Historical(INDEX(Quotes[#Headers],1,COLUMN(D314)),Quotes[[#This Row],[Date]]),D313)</f>
        <v>160.41999999999999</v>
      </c>
      <c r="E314" s="365">
        <f>IF(AND(_xll.Close_Historical(INDEX(Quotes[#Headers],1,COLUMN(E314)),Quotes[[#This Row],[Date]])&lt;&gt;"NA",_xll.Close_Historical(INDEX(Quotes[#Headers],1,COLUMN(E314)),Quotes[[#This Row],[Date]])&lt;&gt;"'close'"),_xll.Close_Historical(INDEX(Quotes[#Headers],1,COLUMN(E314)),Quotes[[#This Row],[Date]]),E313)</f>
        <v>63.39</v>
      </c>
      <c r="F314" s="365">
        <f>IF(AND(_xll.Close_Historical(INDEX(Quotes[#Headers],1,COLUMN(F314)),Quotes[[#This Row],[Date]])&lt;&gt;"NA",_xll.Close_Historical(INDEX(Quotes[#Headers],1,COLUMN(F314)),Quotes[[#This Row],[Date]])&lt;&gt;"'close'"),_xll.Close_Historical(INDEX(Quotes[#Headers],1,COLUMN(F314)),Quotes[[#This Row],[Date]]),F313)</f>
        <v>224.86</v>
      </c>
      <c r="G314" s="365">
        <f>IF(AND(_xll.Close_Historical(INDEX(Quotes[#Headers],1,COLUMN(G314)),Quotes[[#This Row],[Date]])&lt;&gt;"NA",_xll.Close_Historical(INDEX(Quotes[#Headers],1,COLUMN(G314)),Quotes[[#This Row],[Date]])&lt;&gt;"'close'"),_xll.Close_Historical(INDEX(Quotes[#Headers],1,COLUMN(G314)),Quotes[[#This Row],[Date]]),G313)</f>
        <v>14.44</v>
      </c>
      <c r="H314" s="365">
        <f>IF(AND(_xll.Close_Historical(INDEX(Quotes[#Headers],1,COLUMN(H314)),Quotes[[#This Row],[Date]])&lt;&gt;"NA",_xll.Close_Historical(INDEX(Quotes[#Headers],1,COLUMN(H314)),Quotes[[#This Row],[Date]])&lt;&gt;"'close'"),_xll.Close_Historical(INDEX(Quotes[#Headers],1,COLUMN(H314)),Quotes[[#This Row],[Date]]),H313)</f>
        <v>27.03</v>
      </c>
      <c r="I314" s="365">
        <f>IF(AND(_xll.Close_Historical(INDEX(Quotes[#Headers],1,COLUMN(I314)),Quotes[[#This Row],[Date]])&lt;&gt;"NA",_xll.Close_Historical(INDEX(Quotes[#Headers],1,COLUMN(I314)),Quotes[[#This Row],[Date]])&lt;&gt;"'close'"),_xll.Close_Historical(INDEX(Quotes[#Headers],1,COLUMN(I314)),Quotes[[#This Row],[Date]]),I313)</f>
        <v>100.19</v>
      </c>
      <c r="J314" s="365">
        <f>IF(AND(_xll.Close_Historical(INDEX(Quotes[#Headers],1,COLUMN(J314)),Quotes[[#This Row],[Date]])&lt;&gt;"NA",_xll.Close_Historical(INDEX(Quotes[#Headers],1,COLUMN(J314)),Quotes[[#This Row],[Date]])&lt;&gt;"'close'"),_xll.Close_Historical(INDEX(Quotes[#Headers],1,COLUMN(J314)),Quotes[[#This Row],[Date]]),J313)</f>
        <v>74.989999999999995</v>
      </c>
      <c r="K314" s="365">
        <f>IF(AND(_xll.Close_Historical(INDEX(Quotes[#Headers],1,COLUMN(K314)),Quotes[[#This Row],[Date]])&lt;&gt;"NA",_xll.Close_Historical(INDEX(Quotes[#Headers],1,COLUMN(K314)),Quotes[[#This Row],[Date]])&lt;&gt;"'close'"),_xll.Close_Historical(INDEX(Quotes[#Headers],1,COLUMN(K314)),Quotes[[#This Row],[Date]]),K313)</f>
        <v>268.77999999999997</v>
      </c>
      <c r="L314" s="365">
        <f>IF(AND(_xll.Close_Historical(INDEX(Quotes[#Headers],1,COLUMN(L314)),Quotes[[#This Row],[Date]])&lt;&gt;"NA",_xll.Close_Historical(INDEX(Quotes[#Headers],1,COLUMN(L314)),Quotes[[#This Row],[Date]])&lt;&gt;"'close'"),_xll.Close_Historical(INDEX(Quotes[#Headers],1,COLUMN(L314)),Quotes[[#This Row],[Date]]),L313)</f>
        <v>147.47</v>
      </c>
      <c r="M314" s="365">
        <f>IF(AND(_xll.Close_Historical(INDEX(Quotes[#Headers],1,COLUMN(M314)),Quotes[[#This Row],[Date]])&lt;&gt;"NA",_xll.Close_Historical(INDEX(Quotes[#Headers],1,COLUMN(M314)),Quotes[[#This Row],[Date]])&lt;&gt;"'close'"),_xll.Close_Historical(INDEX(Quotes[#Headers],1,COLUMN(M314)),Quotes[[#This Row],[Date]]),M313)</f>
        <v>94.78</v>
      </c>
      <c r="N314" s="365">
        <f>IF(AND(_xll.Close_Historical(INDEX(Quotes[#Headers],1,COLUMN(N314)),Quotes[[#This Row],[Date]])&lt;&gt;"NA",_xll.Close_Historical(INDEX(Quotes[#Headers],1,COLUMN(N314)),Quotes[[#This Row],[Date]])&lt;&gt;"'close'"),_xll.Close_Historical(INDEX(Quotes[#Headers],1,COLUMN(N314)),Quotes[[#This Row],[Date]]),N313)</f>
        <v>31.94</v>
      </c>
      <c r="O314" s="365">
        <f>IF(AND(_xll.Close_Historical(INDEX(Quotes[#Headers],1,COLUMN(O314)),Quotes[[#This Row],[Date]])&lt;&gt;"NA",_xll.Close_Historical(INDEX(Quotes[#Headers],1,COLUMN(O314)),Quotes[[#This Row],[Date]])&lt;&gt;"'close'"),_xll.Close_Historical(INDEX(Quotes[#Headers],1,COLUMN(O314)),Quotes[[#This Row],[Date]]),O313)</f>
        <v>14.31</v>
      </c>
      <c r="P314" s="365">
        <f>IF(AND(_xll.Close_Historical(INDEX(Quotes[#Headers],1,COLUMN(P314)),Quotes[[#This Row],[Date]])&lt;&gt;"NA",_xll.Close_Historical(INDEX(Quotes[#Headers],1,COLUMN(P314)),Quotes[[#This Row],[Date]])&lt;&gt;"'close'"),_xll.Close_Historical(INDEX(Quotes[#Headers],1,COLUMN(P314)),Quotes[[#This Row],[Date]]),P313)</f>
        <v>24.99</v>
      </c>
      <c r="Q314" s="365">
        <f>IF(AND(_xll.Close_Historical(INDEX(Quotes[#Headers],1,COLUMN(Q314)),Quotes[[#This Row],[Date]])&lt;&gt;"NA",_xll.Close_Historical(INDEX(Quotes[#Headers],1,COLUMN(Q314)),Quotes[[#This Row],[Date]])&lt;&gt;"'close'"),_xll.Close_Historical(INDEX(Quotes[#Headers],1,COLUMN(Q314)),Quotes[[#This Row],[Date]]),Q313)</f>
        <v>25.48</v>
      </c>
      <c r="R314" s="365">
        <f>IF(AND(_xll.Close_Historical(INDEX(Quotes[#Headers],1,COLUMN(R314)),Quotes[[#This Row],[Date]])&lt;&gt;"NA",_xll.Close_Historical(INDEX(Quotes[#Headers],1,COLUMN(R314)),Quotes[[#This Row],[Date]])&lt;&gt;"'close'"),_xll.Close_Historical(INDEX(Quotes[#Headers],1,COLUMN(R314)),Quotes[[#This Row],[Date]]),R313)</f>
        <v>30.23</v>
      </c>
      <c r="S314" s="365">
        <f>IF(AND(_xll.Close_Historical(INDEX(Quotes[#Headers],1,COLUMN(S314)),Quotes[[#This Row],[Date]])&lt;&gt;"NA",_xll.Close_Historical(INDEX(Quotes[#Headers],1,COLUMN(S314)),Quotes[[#This Row],[Date]])&lt;&gt;"'close'"),_xll.Close_Historical(INDEX(Quotes[#Headers],1,COLUMN(S314)),Quotes[[#This Row],[Date]]),S313)</f>
        <v>35.14</v>
      </c>
      <c r="T314" s="365">
        <f>IF(AND(_xll.Close_Historical(INDEX(Quotes[#Headers],1,COLUMN(T314)),Quotes[[#This Row],[Date]])&lt;&gt;"NA",_xll.Close_Historical(INDEX(Quotes[#Headers],1,COLUMN(T314)),Quotes[[#This Row],[Date]])&lt;&gt;"'close'"),_xll.Close_Historical(INDEX(Quotes[#Headers],1,COLUMN(T314)),Quotes[[#This Row],[Date]]),T313)</f>
        <v>26.97</v>
      </c>
      <c r="U314" s="365">
        <f>IF(AND(_xll.Close_Historical(INDEX(Quotes[#Headers],1,COLUMN(U314)),Quotes[[#This Row],[Date]])&lt;&gt;"NA",_xll.Close_Historical(INDEX(Quotes[#Headers],1,COLUMN(U314)),Quotes[[#This Row],[Date]])&lt;&gt;"'close'"),_xll.Close_Historical(INDEX(Quotes[#Headers],1,COLUMN(U314)),Quotes[[#This Row],[Date]]),U313)</f>
        <v>70.819999999999993</v>
      </c>
    </row>
    <row r="315" spans="1:21" x14ac:dyDescent="0.25">
      <c r="A315" s="364">
        <v>43960</v>
      </c>
      <c r="B315" s="365">
        <f>IF(AND(_xll.Close_Historical(INDEX(Quotes[#Headers],1,COLUMN(B315)),Quotes[[#This Row],[Date]])&lt;&gt;"NA",_xll.Close_Historical(INDEX(Quotes[#Headers],1,COLUMN(B315)),Quotes[[#This Row],[Date]])&lt;&gt;"'close'"),_xll.Close_Historical(INDEX(Quotes[#Headers],1,COLUMN(B315)),Quotes[[#This Row],[Date]]),B314)</f>
        <v>86.95</v>
      </c>
      <c r="C315" s="365">
        <f>IF(AND(_xll.Close_Historical(INDEX(Quotes[#Headers],1,COLUMN(C315)),Quotes[[#This Row],[Date]])&lt;&gt;"NA",_xll.Close_Historical(INDEX(Quotes[#Headers],1,COLUMN(C315)),Quotes[[#This Row],[Date]])&lt;&gt;"'close'"),_xll.Close_Historical(INDEX(Quotes[#Headers],1,COLUMN(C315)),Quotes[[#This Row],[Date]]),C314)</f>
        <v>34.86</v>
      </c>
      <c r="D315" s="365">
        <f>IF(AND(_xll.Close_Historical(INDEX(Quotes[#Headers],1,COLUMN(D315)),Quotes[[#This Row],[Date]])&lt;&gt;"NA",_xll.Close_Historical(INDEX(Quotes[#Headers],1,COLUMN(D315)),Quotes[[#This Row],[Date]])&lt;&gt;"'close'"),_xll.Close_Historical(INDEX(Quotes[#Headers],1,COLUMN(D315)),Quotes[[#This Row],[Date]]),D314)</f>
        <v>160.41999999999999</v>
      </c>
      <c r="E315" s="365">
        <f>IF(AND(_xll.Close_Historical(INDEX(Quotes[#Headers],1,COLUMN(E315)),Quotes[[#This Row],[Date]])&lt;&gt;"NA",_xll.Close_Historical(INDEX(Quotes[#Headers],1,COLUMN(E315)),Quotes[[#This Row],[Date]])&lt;&gt;"'close'"),_xll.Close_Historical(INDEX(Quotes[#Headers],1,COLUMN(E315)),Quotes[[#This Row],[Date]]),E314)</f>
        <v>63.39</v>
      </c>
      <c r="F315" s="365">
        <f>IF(AND(_xll.Close_Historical(INDEX(Quotes[#Headers],1,COLUMN(F315)),Quotes[[#This Row],[Date]])&lt;&gt;"NA",_xll.Close_Historical(INDEX(Quotes[#Headers],1,COLUMN(F315)),Quotes[[#This Row],[Date]])&lt;&gt;"'close'"),_xll.Close_Historical(INDEX(Quotes[#Headers],1,COLUMN(F315)),Quotes[[#This Row],[Date]]),F314)</f>
        <v>224.86</v>
      </c>
      <c r="G315" s="365">
        <f>IF(AND(_xll.Close_Historical(INDEX(Quotes[#Headers],1,COLUMN(G315)),Quotes[[#This Row],[Date]])&lt;&gt;"NA",_xll.Close_Historical(INDEX(Quotes[#Headers],1,COLUMN(G315)),Quotes[[#This Row],[Date]])&lt;&gt;"'close'"),_xll.Close_Historical(INDEX(Quotes[#Headers],1,COLUMN(G315)),Quotes[[#This Row],[Date]]),G314)</f>
        <v>14.44</v>
      </c>
      <c r="H315" s="365">
        <f>IF(AND(_xll.Close_Historical(INDEX(Quotes[#Headers],1,COLUMN(H315)),Quotes[[#This Row],[Date]])&lt;&gt;"NA",_xll.Close_Historical(INDEX(Quotes[#Headers],1,COLUMN(H315)),Quotes[[#This Row],[Date]])&lt;&gt;"'close'"),_xll.Close_Historical(INDEX(Quotes[#Headers],1,COLUMN(H315)),Quotes[[#This Row],[Date]]),H314)</f>
        <v>27.03</v>
      </c>
      <c r="I315" s="365">
        <f>IF(AND(_xll.Close_Historical(INDEX(Quotes[#Headers],1,COLUMN(I315)),Quotes[[#This Row],[Date]])&lt;&gt;"NA",_xll.Close_Historical(INDEX(Quotes[#Headers],1,COLUMN(I315)),Quotes[[#This Row],[Date]])&lt;&gt;"'close'"),_xll.Close_Historical(INDEX(Quotes[#Headers],1,COLUMN(I315)),Quotes[[#This Row],[Date]]),I314)</f>
        <v>100.19</v>
      </c>
      <c r="J315" s="365">
        <f>IF(AND(_xll.Close_Historical(INDEX(Quotes[#Headers],1,COLUMN(J315)),Quotes[[#This Row],[Date]])&lt;&gt;"NA",_xll.Close_Historical(INDEX(Quotes[#Headers],1,COLUMN(J315)),Quotes[[#This Row],[Date]])&lt;&gt;"'close'"),_xll.Close_Historical(INDEX(Quotes[#Headers],1,COLUMN(J315)),Quotes[[#This Row],[Date]]),J314)</f>
        <v>74.989999999999995</v>
      </c>
      <c r="K315" s="365">
        <f>IF(AND(_xll.Close_Historical(INDEX(Quotes[#Headers],1,COLUMN(K315)),Quotes[[#This Row],[Date]])&lt;&gt;"NA",_xll.Close_Historical(INDEX(Quotes[#Headers],1,COLUMN(K315)),Quotes[[#This Row],[Date]])&lt;&gt;"'close'"),_xll.Close_Historical(INDEX(Quotes[#Headers],1,COLUMN(K315)),Quotes[[#This Row],[Date]]),K314)</f>
        <v>268.77999999999997</v>
      </c>
      <c r="L315" s="365">
        <f>IF(AND(_xll.Close_Historical(INDEX(Quotes[#Headers],1,COLUMN(L315)),Quotes[[#This Row],[Date]])&lt;&gt;"NA",_xll.Close_Historical(INDEX(Quotes[#Headers],1,COLUMN(L315)),Quotes[[#This Row],[Date]])&lt;&gt;"'close'"),_xll.Close_Historical(INDEX(Quotes[#Headers],1,COLUMN(L315)),Quotes[[#This Row],[Date]]),L314)</f>
        <v>147.47</v>
      </c>
      <c r="M315" s="365">
        <f>IF(AND(_xll.Close_Historical(INDEX(Quotes[#Headers],1,COLUMN(M315)),Quotes[[#This Row],[Date]])&lt;&gt;"NA",_xll.Close_Historical(INDEX(Quotes[#Headers],1,COLUMN(M315)),Quotes[[#This Row],[Date]])&lt;&gt;"'close'"),_xll.Close_Historical(INDEX(Quotes[#Headers],1,COLUMN(M315)),Quotes[[#This Row],[Date]]),M314)</f>
        <v>94.78</v>
      </c>
      <c r="N315" s="365">
        <f>IF(AND(_xll.Close_Historical(INDEX(Quotes[#Headers],1,COLUMN(N315)),Quotes[[#This Row],[Date]])&lt;&gt;"NA",_xll.Close_Historical(INDEX(Quotes[#Headers],1,COLUMN(N315)),Quotes[[#This Row],[Date]])&lt;&gt;"'close'"),_xll.Close_Historical(INDEX(Quotes[#Headers],1,COLUMN(N315)),Quotes[[#This Row],[Date]]),N314)</f>
        <v>31.94</v>
      </c>
      <c r="O315" s="365">
        <f>IF(AND(_xll.Close_Historical(INDEX(Quotes[#Headers],1,COLUMN(O315)),Quotes[[#This Row],[Date]])&lt;&gt;"NA",_xll.Close_Historical(INDEX(Quotes[#Headers],1,COLUMN(O315)),Quotes[[#This Row],[Date]])&lt;&gt;"'close'"),_xll.Close_Historical(INDEX(Quotes[#Headers],1,COLUMN(O315)),Quotes[[#This Row],[Date]]),O314)</f>
        <v>14.31</v>
      </c>
      <c r="P315" s="365">
        <f>IF(AND(_xll.Close_Historical(INDEX(Quotes[#Headers],1,COLUMN(P315)),Quotes[[#This Row],[Date]])&lt;&gt;"NA",_xll.Close_Historical(INDEX(Quotes[#Headers],1,COLUMN(P315)),Quotes[[#This Row],[Date]])&lt;&gt;"'close'"),_xll.Close_Historical(INDEX(Quotes[#Headers],1,COLUMN(P315)),Quotes[[#This Row],[Date]]),P314)</f>
        <v>24.99</v>
      </c>
      <c r="Q315" s="365">
        <f>IF(AND(_xll.Close_Historical(INDEX(Quotes[#Headers],1,COLUMN(Q315)),Quotes[[#This Row],[Date]])&lt;&gt;"NA",_xll.Close_Historical(INDEX(Quotes[#Headers],1,COLUMN(Q315)),Quotes[[#This Row],[Date]])&lt;&gt;"'close'"),_xll.Close_Historical(INDEX(Quotes[#Headers],1,COLUMN(Q315)),Quotes[[#This Row],[Date]]),Q314)</f>
        <v>25.48</v>
      </c>
      <c r="R315" s="365">
        <f>IF(AND(_xll.Close_Historical(INDEX(Quotes[#Headers],1,COLUMN(R315)),Quotes[[#This Row],[Date]])&lt;&gt;"NA",_xll.Close_Historical(INDEX(Quotes[#Headers],1,COLUMN(R315)),Quotes[[#This Row],[Date]])&lt;&gt;"'close'"),_xll.Close_Historical(INDEX(Quotes[#Headers],1,COLUMN(R315)),Quotes[[#This Row],[Date]]),R314)</f>
        <v>30.23</v>
      </c>
      <c r="S315" s="365">
        <f>IF(AND(_xll.Close_Historical(INDEX(Quotes[#Headers],1,COLUMN(S315)),Quotes[[#This Row],[Date]])&lt;&gt;"NA",_xll.Close_Historical(INDEX(Quotes[#Headers],1,COLUMN(S315)),Quotes[[#This Row],[Date]])&lt;&gt;"'close'"),_xll.Close_Historical(INDEX(Quotes[#Headers],1,COLUMN(S315)),Quotes[[#This Row],[Date]]),S314)</f>
        <v>35.14</v>
      </c>
      <c r="T315" s="365">
        <f>IF(AND(_xll.Close_Historical(INDEX(Quotes[#Headers],1,COLUMN(T315)),Quotes[[#This Row],[Date]])&lt;&gt;"NA",_xll.Close_Historical(INDEX(Quotes[#Headers],1,COLUMN(T315)),Quotes[[#This Row],[Date]])&lt;&gt;"'close'"),_xll.Close_Historical(INDEX(Quotes[#Headers],1,COLUMN(T315)),Quotes[[#This Row],[Date]]),T314)</f>
        <v>26.97</v>
      </c>
      <c r="U315" s="365">
        <f>IF(AND(_xll.Close_Historical(INDEX(Quotes[#Headers],1,COLUMN(U315)),Quotes[[#This Row],[Date]])&lt;&gt;"NA",_xll.Close_Historical(INDEX(Quotes[#Headers],1,COLUMN(U315)),Quotes[[#This Row],[Date]])&lt;&gt;"'close'"),_xll.Close_Historical(INDEX(Quotes[#Headers],1,COLUMN(U315)),Quotes[[#This Row],[Date]]),U314)</f>
        <v>70.819999999999993</v>
      </c>
    </row>
    <row r="316" spans="1:21" x14ac:dyDescent="0.25">
      <c r="A316" s="385">
        <v>43961</v>
      </c>
      <c r="B316" s="336">
        <f>IF(AND(_xll.Close_Historical(INDEX(Quotes[#Headers],1,COLUMN(B316)),Quotes[[#This Row],[Date]])&lt;&gt;"NA",_xll.Close_Historical(INDEX(Quotes[#Headers],1,COLUMN(B316)),Quotes[[#This Row],[Date]])&lt;&gt;"'close'"),_xll.Close_Historical(INDEX(Quotes[#Headers],1,COLUMN(B316)),Quotes[[#This Row],[Date]]),B315)</f>
        <v>86.95</v>
      </c>
      <c r="C316" s="336">
        <f>IF(AND(_xll.Close_Historical(INDEX(Quotes[#Headers],1,COLUMN(C316)),Quotes[[#This Row],[Date]])&lt;&gt;"NA",_xll.Close_Historical(INDEX(Quotes[#Headers],1,COLUMN(C316)),Quotes[[#This Row],[Date]])&lt;&gt;"'close'"),_xll.Close_Historical(INDEX(Quotes[#Headers],1,COLUMN(C316)),Quotes[[#This Row],[Date]]),C315)</f>
        <v>34.86</v>
      </c>
      <c r="D316" s="336">
        <f>IF(AND(_xll.Close_Historical(INDEX(Quotes[#Headers],1,COLUMN(D316)),Quotes[[#This Row],[Date]])&lt;&gt;"NA",_xll.Close_Historical(INDEX(Quotes[#Headers],1,COLUMN(D316)),Quotes[[#This Row],[Date]])&lt;&gt;"'close'"),_xll.Close_Historical(INDEX(Quotes[#Headers],1,COLUMN(D316)),Quotes[[#This Row],[Date]]),D315)</f>
        <v>160.41999999999999</v>
      </c>
      <c r="E316" s="336">
        <f>IF(AND(_xll.Close_Historical(INDEX(Quotes[#Headers],1,COLUMN(E316)),Quotes[[#This Row],[Date]])&lt;&gt;"NA",_xll.Close_Historical(INDEX(Quotes[#Headers],1,COLUMN(E316)),Quotes[[#This Row],[Date]])&lt;&gt;"'close'"),_xll.Close_Historical(INDEX(Quotes[#Headers],1,COLUMN(E316)),Quotes[[#This Row],[Date]]),E315)</f>
        <v>63.39</v>
      </c>
      <c r="F316" s="336">
        <f>IF(AND(_xll.Close_Historical(INDEX(Quotes[#Headers],1,COLUMN(F316)),Quotes[[#This Row],[Date]])&lt;&gt;"NA",_xll.Close_Historical(INDEX(Quotes[#Headers],1,COLUMN(F316)),Quotes[[#This Row],[Date]])&lt;&gt;"'close'"),_xll.Close_Historical(INDEX(Quotes[#Headers],1,COLUMN(F316)),Quotes[[#This Row],[Date]]),F315)</f>
        <v>224.86</v>
      </c>
      <c r="G316" s="336">
        <f>IF(AND(_xll.Close_Historical(INDEX(Quotes[#Headers],1,COLUMN(G316)),Quotes[[#This Row],[Date]])&lt;&gt;"NA",_xll.Close_Historical(INDEX(Quotes[#Headers],1,COLUMN(G316)),Quotes[[#This Row],[Date]])&lt;&gt;"'close'"),_xll.Close_Historical(INDEX(Quotes[#Headers],1,COLUMN(G316)),Quotes[[#This Row],[Date]]),G315)</f>
        <v>14.44</v>
      </c>
      <c r="H316" s="336">
        <f>IF(AND(_xll.Close_Historical(INDEX(Quotes[#Headers],1,COLUMN(H316)),Quotes[[#This Row],[Date]])&lt;&gt;"NA",_xll.Close_Historical(INDEX(Quotes[#Headers],1,COLUMN(H316)),Quotes[[#This Row],[Date]])&lt;&gt;"'close'"),_xll.Close_Historical(INDEX(Quotes[#Headers],1,COLUMN(H316)),Quotes[[#This Row],[Date]]),H315)</f>
        <v>27.03</v>
      </c>
      <c r="I316" s="336">
        <f>IF(AND(_xll.Close_Historical(INDEX(Quotes[#Headers],1,COLUMN(I316)),Quotes[[#This Row],[Date]])&lt;&gt;"NA",_xll.Close_Historical(INDEX(Quotes[#Headers],1,COLUMN(I316)),Quotes[[#This Row],[Date]])&lt;&gt;"'close'"),_xll.Close_Historical(INDEX(Quotes[#Headers],1,COLUMN(I316)),Quotes[[#This Row],[Date]]),I315)</f>
        <v>100.19</v>
      </c>
      <c r="J316" s="336">
        <f>IF(AND(_xll.Close_Historical(INDEX(Quotes[#Headers],1,COLUMN(J316)),Quotes[[#This Row],[Date]])&lt;&gt;"NA",_xll.Close_Historical(INDEX(Quotes[#Headers],1,COLUMN(J316)),Quotes[[#This Row],[Date]])&lt;&gt;"'close'"),_xll.Close_Historical(INDEX(Quotes[#Headers],1,COLUMN(J316)),Quotes[[#This Row],[Date]]),J315)</f>
        <v>74.989999999999995</v>
      </c>
      <c r="K316" s="365">
        <f>IF(AND(_xll.Close_Historical(INDEX(Quotes[#Headers],1,COLUMN(K316)),Quotes[[#This Row],[Date]])&lt;&gt;"NA",_xll.Close_Historical(INDEX(Quotes[#Headers],1,COLUMN(K316)),Quotes[[#This Row],[Date]])&lt;&gt;"'close'"),_xll.Close_Historical(INDEX(Quotes[#Headers],1,COLUMN(K316)),Quotes[[#This Row],[Date]]),K315)</f>
        <v>268.77999999999997</v>
      </c>
      <c r="L316" s="336">
        <f>IF(AND(_xll.Close_Historical(INDEX(Quotes[#Headers],1,COLUMN(L316)),Quotes[[#This Row],[Date]])&lt;&gt;"NA",_xll.Close_Historical(INDEX(Quotes[#Headers],1,COLUMN(L316)),Quotes[[#This Row],[Date]])&lt;&gt;"'close'"),_xll.Close_Historical(INDEX(Quotes[#Headers],1,COLUMN(L316)),Quotes[[#This Row],[Date]]),L315)</f>
        <v>147.47</v>
      </c>
      <c r="M316" s="336">
        <f>IF(AND(_xll.Close_Historical(INDEX(Quotes[#Headers],1,COLUMN(M316)),Quotes[[#This Row],[Date]])&lt;&gt;"NA",_xll.Close_Historical(INDEX(Quotes[#Headers],1,COLUMN(M316)),Quotes[[#This Row],[Date]])&lt;&gt;"'close'"),_xll.Close_Historical(INDEX(Quotes[#Headers],1,COLUMN(M316)),Quotes[[#This Row],[Date]]),M315)</f>
        <v>94.78</v>
      </c>
      <c r="N316" s="336">
        <f>IF(AND(_xll.Close_Historical(INDEX(Quotes[#Headers],1,COLUMN(N316)),Quotes[[#This Row],[Date]])&lt;&gt;"NA",_xll.Close_Historical(INDEX(Quotes[#Headers],1,COLUMN(N316)),Quotes[[#This Row],[Date]])&lt;&gt;"'close'"),_xll.Close_Historical(INDEX(Quotes[#Headers],1,COLUMN(N316)),Quotes[[#This Row],[Date]]),N315)</f>
        <v>31.94</v>
      </c>
      <c r="O316" s="336">
        <f>IF(AND(_xll.Close_Historical(INDEX(Quotes[#Headers],1,COLUMN(O316)),Quotes[[#This Row],[Date]])&lt;&gt;"NA",_xll.Close_Historical(INDEX(Quotes[#Headers],1,COLUMN(O316)),Quotes[[#This Row],[Date]])&lt;&gt;"'close'"),_xll.Close_Historical(INDEX(Quotes[#Headers],1,COLUMN(O316)),Quotes[[#This Row],[Date]]),O315)</f>
        <v>14.31</v>
      </c>
      <c r="P316" s="336">
        <f>IF(AND(_xll.Close_Historical(INDEX(Quotes[#Headers],1,COLUMN(P316)),Quotes[[#This Row],[Date]])&lt;&gt;"NA",_xll.Close_Historical(INDEX(Quotes[#Headers],1,COLUMN(P316)),Quotes[[#This Row],[Date]])&lt;&gt;"'close'"),_xll.Close_Historical(INDEX(Quotes[#Headers],1,COLUMN(P316)),Quotes[[#This Row],[Date]]),P315)</f>
        <v>24.99</v>
      </c>
      <c r="Q316" s="336">
        <f>IF(AND(_xll.Close_Historical(INDEX(Quotes[#Headers],1,COLUMN(Q316)),Quotes[[#This Row],[Date]])&lt;&gt;"NA",_xll.Close_Historical(INDEX(Quotes[#Headers],1,COLUMN(Q316)),Quotes[[#This Row],[Date]])&lt;&gt;"'close'"),_xll.Close_Historical(INDEX(Quotes[#Headers],1,COLUMN(Q316)),Quotes[[#This Row],[Date]]),Q315)</f>
        <v>25.48</v>
      </c>
      <c r="R316" s="336">
        <f>IF(AND(_xll.Close_Historical(INDEX(Quotes[#Headers],1,COLUMN(R316)),Quotes[[#This Row],[Date]])&lt;&gt;"NA",_xll.Close_Historical(INDEX(Quotes[#Headers],1,COLUMN(R316)),Quotes[[#This Row],[Date]])&lt;&gt;"'close'"),_xll.Close_Historical(INDEX(Quotes[#Headers],1,COLUMN(R316)),Quotes[[#This Row],[Date]]),R315)</f>
        <v>30.23</v>
      </c>
      <c r="S316" s="336">
        <f>IF(AND(_xll.Close_Historical(INDEX(Quotes[#Headers],1,COLUMN(S316)),Quotes[[#This Row],[Date]])&lt;&gt;"NA",_xll.Close_Historical(INDEX(Quotes[#Headers],1,COLUMN(S316)),Quotes[[#This Row],[Date]])&lt;&gt;"'close'"),_xll.Close_Historical(INDEX(Quotes[#Headers],1,COLUMN(S316)),Quotes[[#This Row],[Date]]),S315)</f>
        <v>35.14</v>
      </c>
      <c r="T316" s="336">
        <f>IF(AND(_xll.Close_Historical(INDEX(Quotes[#Headers],1,COLUMN(T316)),Quotes[[#This Row],[Date]])&lt;&gt;"NA",_xll.Close_Historical(INDEX(Quotes[#Headers],1,COLUMN(T316)),Quotes[[#This Row],[Date]])&lt;&gt;"'close'"),_xll.Close_Historical(INDEX(Quotes[#Headers],1,COLUMN(T316)),Quotes[[#This Row],[Date]]),T315)</f>
        <v>26.97</v>
      </c>
      <c r="U316" s="336">
        <f>IF(AND(_xll.Close_Historical(INDEX(Quotes[#Headers],1,COLUMN(U316)),Quotes[[#This Row],[Date]])&lt;&gt;"NA",_xll.Close_Historical(INDEX(Quotes[#Headers],1,COLUMN(U316)),Quotes[[#This Row],[Date]])&lt;&gt;"'close'"),_xll.Close_Historical(INDEX(Quotes[#Headers],1,COLUMN(U316)),Quotes[[#This Row],[Date]]),U315)</f>
        <v>70.819999999999993</v>
      </c>
    </row>
    <row r="317" spans="1:21" x14ac:dyDescent="0.25">
      <c r="A317" s="364">
        <v>43962</v>
      </c>
      <c r="B317" s="365">
        <f>IF(AND(_xll.Close_Historical(INDEX(Quotes[#Headers],1,COLUMN(B317)),Quotes[[#This Row],[Date]])&lt;&gt;"NA",_xll.Close_Historical(INDEX(Quotes[#Headers],1,COLUMN(B317)),Quotes[[#This Row],[Date]])&lt;&gt;"'close'"),_xll.Close_Historical(INDEX(Quotes[#Headers],1,COLUMN(B317)),Quotes[[#This Row],[Date]]),B316)</f>
        <v>86.68</v>
      </c>
      <c r="C317" s="365">
        <f>IF(AND(_xll.Close_Historical(INDEX(Quotes[#Headers],1,COLUMN(C317)),Quotes[[#This Row],[Date]])&lt;&gt;"NA",_xll.Close_Historical(INDEX(Quotes[#Headers],1,COLUMN(C317)),Quotes[[#This Row],[Date]])&lt;&gt;"'close'"),_xll.Close_Historical(INDEX(Quotes[#Headers],1,COLUMN(C317)),Quotes[[#This Row],[Date]]),C316)</f>
        <v>33.89</v>
      </c>
      <c r="D317" s="365">
        <f>IF(AND(_xll.Close_Historical(INDEX(Quotes[#Headers],1,COLUMN(D317)),Quotes[[#This Row],[Date]])&lt;&gt;"NA",_xll.Close_Historical(INDEX(Quotes[#Headers],1,COLUMN(D317)),Quotes[[#This Row],[Date]])&lt;&gt;"'close'"),_xll.Close_Historical(INDEX(Quotes[#Headers],1,COLUMN(D317)),Quotes[[#This Row],[Date]]),D316)</f>
        <v>159.41999999999999</v>
      </c>
      <c r="E317" s="365">
        <f>IF(AND(_xll.Close_Historical(INDEX(Quotes[#Headers],1,COLUMN(E317)),Quotes[[#This Row],[Date]])&lt;&gt;"NA",_xll.Close_Historical(INDEX(Quotes[#Headers],1,COLUMN(E317)),Quotes[[#This Row],[Date]])&lt;&gt;"'close'"),_xll.Close_Historical(INDEX(Quotes[#Headers],1,COLUMN(E317)),Quotes[[#This Row],[Date]]),E316)</f>
        <v>62.23</v>
      </c>
      <c r="F317" s="365">
        <f>IF(AND(_xll.Close_Historical(INDEX(Quotes[#Headers],1,COLUMN(F317)),Quotes[[#This Row],[Date]])&lt;&gt;"NA",_xll.Close_Historical(INDEX(Quotes[#Headers],1,COLUMN(F317)),Quotes[[#This Row],[Date]])&lt;&gt;"'close'"),_xll.Close_Historical(INDEX(Quotes[#Headers],1,COLUMN(F317)),Quotes[[#This Row],[Date]]),F316)</f>
        <v>226.87</v>
      </c>
      <c r="G317" s="365">
        <f>IF(AND(_xll.Close_Historical(INDEX(Quotes[#Headers],1,COLUMN(G317)),Quotes[[#This Row],[Date]])&lt;&gt;"NA",_xll.Close_Historical(INDEX(Quotes[#Headers],1,COLUMN(G317)),Quotes[[#This Row],[Date]])&lt;&gt;"'close'"),_xll.Close_Historical(INDEX(Quotes[#Headers],1,COLUMN(G317)),Quotes[[#This Row],[Date]]),G316)</f>
        <v>14.44</v>
      </c>
      <c r="H317" s="365">
        <f>IF(AND(_xll.Close_Historical(INDEX(Quotes[#Headers],1,COLUMN(H317)),Quotes[[#This Row],[Date]])&lt;&gt;"NA",_xll.Close_Historical(INDEX(Quotes[#Headers],1,COLUMN(H317)),Quotes[[#This Row],[Date]])&lt;&gt;"'close'"),_xll.Close_Historical(INDEX(Quotes[#Headers],1,COLUMN(H317)),Quotes[[#This Row],[Date]]),H316)</f>
        <v>27.13</v>
      </c>
      <c r="I317" s="365">
        <f>IF(AND(_xll.Close_Historical(INDEX(Quotes[#Headers],1,COLUMN(I317)),Quotes[[#This Row],[Date]])&lt;&gt;"NA",_xll.Close_Historical(INDEX(Quotes[#Headers],1,COLUMN(I317)),Quotes[[#This Row],[Date]])&lt;&gt;"'close'"),_xll.Close_Historical(INDEX(Quotes[#Headers],1,COLUMN(I317)),Quotes[[#This Row],[Date]]),I316)</f>
        <v>99.43</v>
      </c>
      <c r="J317" s="365">
        <f>IF(AND(_xll.Close_Historical(INDEX(Quotes[#Headers],1,COLUMN(J317)),Quotes[[#This Row],[Date]])&lt;&gt;"NA",_xll.Close_Historical(INDEX(Quotes[#Headers],1,COLUMN(J317)),Quotes[[#This Row],[Date]])&lt;&gt;"'close'"),_xll.Close_Historical(INDEX(Quotes[#Headers],1,COLUMN(J317)),Quotes[[#This Row],[Date]]),J316)</f>
        <v>73.900000000000006</v>
      </c>
      <c r="K317" s="365">
        <f>IF(AND(_xll.Close_Historical(INDEX(Quotes[#Headers],1,COLUMN(K317)),Quotes[[#This Row],[Date]])&lt;&gt;"NA",_xll.Close_Historical(INDEX(Quotes[#Headers],1,COLUMN(K317)),Quotes[[#This Row],[Date]])&lt;&gt;"'close'"),_xll.Close_Historical(INDEX(Quotes[#Headers],1,COLUMN(K317)),Quotes[[#This Row],[Date]]),K316)</f>
        <v>268.82</v>
      </c>
      <c r="L317" s="365">
        <f>IF(AND(_xll.Close_Historical(INDEX(Quotes[#Headers],1,COLUMN(L317)),Quotes[[#This Row],[Date]])&lt;&gt;"NA",_xll.Close_Historical(INDEX(Quotes[#Headers],1,COLUMN(L317)),Quotes[[#This Row],[Date]])&lt;&gt;"'close'"),_xll.Close_Historical(INDEX(Quotes[#Headers],1,COLUMN(L317)),Quotes[[#This Row],[Date]]),L316)</f>
        <v>147.49</v>
      </c>
      <c r="M317" s="365">
        <f>IF(AND(_xll.Close_Historical(INDEX(Quotes[#Headers],1,COLUMN(M317)),Quotes[[#This Row],[Date]])&lt;&gt;"NA",_xll.Close_Historical(INDEX(Quotes[#Headers],1,COLUMN(M317)),Quotes[[#This Row],[Date]])&lt;&gt;"'close'"),_xll.Close_Historical(INDEX(Quotes[#Headers],1,COLUMN(M317)),Quotes[[#This Row],[Date]]),M316)</f>
        <v>95.41</v>
      </c>
      <c r="N317" s="365">
        <f>IF(AND(_xll.Close_Historical(INDEX(Quotes[#Headers],1,COLUMN(N317)),Quotes[[#This Row],[Date]])&lt;&gt;"NA",_xll.Close_Historical(INDEX(Quotes[#Headers],1,COLUMN(N317)),Quotes[[#This Row],[Date]])&lt;&gt;"'close'"),_xll.Close_Historical(INDEX(Quotes[#Headers],1,COLUMN(N317)),Quotes[[#This Row],[Date]]),N316)</f>
        <v>31.97</v>
      </c>
      <c r="O317" s="365">
        <f>IF(AND(_xll.Close_Historical(INDEX(Quotes[#Headers],1,COLUMN(O317)),Quotes[[#This Row],[Date]])&lt;&gt;"NA",_xll.Close_Historical(INDEX(Quotes[#Headers],1,COLUMN(O317)),Quotes[[#This Row],[Date]])&lt;&gt;"'close'"),_xll.Close_Historical(INDEX(Quotes[#Headers],1,COLUMN(O317)),Quotes[[#This Row],[Date]]),O316)</f>
        <v>14.21</v>
      </c>
      <c r="P317" s="365">
        <f>IF(AND(_xll.Close_Historical(INDEX(Quotes[#Headers],1,COLUMN(P317)),Quotes[[#This Row],[Date]])&lt;&gt;"NA",_xll.Close_Historical(INDEX(Quotes[#Headers],1,COLUMN(P317)),Quotes[[#This Row],[Date]])&lt;&gt;"'close'"),_xll.Close_Historical(INDEX(Quotes[#Headers],1,COLUMN(P317)),Quotes[[#This Row],[Date]]),P316)</f>
        <v>25.11</v>
      </c>
      <c r="Q317" s="365">
        <f>IF(AND(_xll.Close_Historical(INDEX(Quotes[#Headers],1,COLUMN(Q317)),Quotes[[#This Row],[Date]])&lt;&gt;"NA",_xll.Close_Historical(INDEX(Quotes[#Headers],1,COLUMN(Q317)),Quotes[[#This Row],[Date]])&lt;&gt;"'close'"),_xll.Close_Historical(INDEX(Quotes[#Headers],1,COLUMN(Q317)),Quotes[[#This Row],[Date]]),Q316)</f>
        <v>25.12</v>
      </c>
      <c r="R317" s="365">
        <f>IF(AND(_xll.Close_Historical(INDEX(Quotes[#Headers],1,COLUMN(R317)),Quotes[[#This Row],[Date]])&lt;&gt;"NA",_xll.Close_Historical(INDEX(Quotes[#Headers],1,COLUMN(R317)),Quotes[[#This Row],[Date]])&lt;&gt;"'close'"),_xll.Close_Historical(INDEX(Quotes[#Headers],1,COLUMN(R317)),Quotes[[#This Row],[Date]]),R316)</f>
        <v>30.52</v>
      </c>
      <c r="S317" s="365">
        <f>IF(AND(_xll.Close_Historical(INDEX(Quotes[#Headers],1,COLUMN(S317)),Quotes[[#This Row],[Date]])&lt;&gt;"NA",_xll.Close_Historical(INDEX(Quotes[#Headers],1,COLUMN(S317)),Quotes[[#This Row],[Date]])&lt;&gt;"'close'"),_xll.Close_Historical(INDEX(Quotes[#Headers],1,COLUMN(S317)),Quotes[[#This Row],[Date]]),S316)</f>
        <v>34.68</v>
      </c>
      <c r="T317" s="365">
        <f>IF(AND(_xll.Close_Historical(INDEX(Quotes[#Headers],1,COLUMN(T317)),Quotes[[#This Row],[Date]])&lt;&gt;"NA",_xll.Close_Historical(INDEX(Quotes[#Headers],1,COLUMN(T317)),Quotes[[#This Row],[Date]])&lt;&gt;"'close'"),_xll.Close_Historical(INDEX(Quotes[#Headers],1,COLUMN(T317)),Quotes[[#This Row],[Date]]),T316)</f>
        <v>26.89</v>
      </c>
      <c r="U317" s="365">
        <f>IF(AND(_xll.Close_Historical(INDEX(Quotes[#Headers],1,COLUMN(U317)),Quotes[[#This Row],[Date]])&lt;&gt;"NA",_xll.Close_Historical(INDEX(Quotes[#Headers],1,COLUMN(U317)),Quotes[[#This Row],[Date]])&lt;&gt;"'close'"),_xll.Close_Historical(INDEX(Quotes[#Headers],1,COLUMN(U317)),Quotes[[#This Row],[Date]]),U316)</f>
        <v>70.36</v>
      </c>
    </row>
    <row r="318" spans="1:21" x14ac:dyDescent="0.25">
      <c r="A318" s="364">
        <v>43963</v>
      </c>
      <c r="B318" s="365">
        <f>IF(AND(_xll.Close_Historical(INDEX(Quotes[#Headers],1,COLUMN(B318)),Quotes[[#This Row],[Date]])&lt;&gt;"NA",_xll.Close_Historical(INDEX(Quotes[#Headers],1,COLUMN(B318)),Quotes[[#This Row],[Date]])&lt;&gt;"'close'"),_xll.Close_Historical(INDEX(Quotes[#Headers],1,COLUMN(B318)),Quotes[[#This Row],[Date]]),B317)</f>
        <v>86.96</v>
      </c>
      <c r="C318" s="365">
        <f>IF(AND(_xll.Close_Historical(INDEX(Quotes[#Headers],1,COLUMN(C318)),Quotes[[#This Row],[Date]])&lt;&gt;"NA",_xll.Close_Historical(INDEX(Quotes[#Headers],1,COLUMN(C318)),Quotes[[#This Row],[Date]])&lt;&gt;"'close'"),_xll.Close_Historical(INDEX(Quotes[#Headers],1,COLUMN(C318)),Quotes[[#This Row],[Date]]),C317)</f>
        <v>33.840000000000003</v>
      </c>
      <c r="D318" s="365">
        <f>IF(AND(_xll.Close_Historical(INDEX(Quotes[#Headers],1,COLUMN(D318)),Quotes[[#This Row],[Date]])&lt;&gt;"NA",_xll.Close_Historical(INDEX(Quotes[#Headers],1,COLUMN(D318)),Quotes[[#This Row],[Date]])&lt;&gt;"'close'"),_xll.Close_Historical(INDEX(Quotes[#Headers],1,COLUMN(D318)),Quotes[[#This Row],[Date]]),D317)</f>
        <v>160.04</v>
      </c>
      <c r="E318" s="365">
        <f>IF(AND(_xll.Close_Historical(INDEX(Quotes[#Headers],1,COLUMN(E318)),Quotes[[#This Row],[Date]])&lt;&gt;"NA",_xll.Close_Historical(INDEX(Quotes[#Headers],1,COLUMN(E318)),Quotes[[#This Row],[Date]])&lt;&gt;"'close'"),_xll.Close_Historical(INDEX(Quotes[#Headers],1,COLUMN(E318)),Quotes[[#This Row],[Date]]),E317)</f>
        <v>59.92</v>
      </c>
      <c r="F318" s="365">
        <f>IF(AND(_xll.Close_Historical(INDEX(Quotes[#Headers],1,COLUMN(F318)),Quotes[[#This Row],[Date]])&lt;&gt;"NA",_xll.Close_Historical(INDEX(Quotes[#Headers],1,COLUMN(F318)),Quotes[[#This Row],[Date]])&lt;&gt;"'close'"),_xll.Close_Historical(INDEX(Quotes[#Headers],1,COLUMN(F318)),Quotes[[#This Row],[Date]]),F317)</f>
        <v>222.12</v>
      </c>
      <c r="G318" s="365">
        <f>IF(AND(_xll.Close_Historical(INDEX(Quotes[#Headers],1,COLUMN(G318)),Quotes[[#This Row],[Date]])&lt;&gt;"NA",_xll.Close_Historical(INDEX(Quotes[#Headers],1,COLUMN(G318)),Quotes[[#This Row],[Date]])&lt;&gt;"'close'"),_xll.Close_Historical(INDEX(Quotes[#Headers],1,COLUMN(G318)),Quotes[[#This Row],[Date]]),G317)</f>
        <v>14.42</v>
      </c>
      <c r="H318" s="365">
        <f>IF(AND(_xll.Close_Historical(INDEX(Quotes[#Headers],1,COLUMN(H318)),Quotes[[#This Row],[Date]])&lt;&gt;"NA",_xll.Close_Historical(INDEX(Quotes[#Headers],1,COLUMN(H318)),Quotes[[#This Row],[Date]])&lt;&gt;"'close'"),_xll.Close_Historical(INDEX(Quotes[#Headers],1,COLUMN(H318)),Quotes[[#This Row],[Date]]),H317)</f>
        <v>27.08</v>
      </c>
      <c r="I318" s="365">
        <f>IF(AND(_xll.Close_Historical(INDEX(Quotes[#Headers],1,COLUMN(I318)),Quotes[[#This Row],[Date]])&lt;&gt;"NA",_xll.Close_Historical(INDEX(Quotes[#Headers],1,COLUMN(I318)),Quotes[[#This Row],[Date]])&lt;&gt;"'close'"),_xll.Close_Historical(INDEX(Quotes[#Headers],1,COLUMN(I318)),Quotes[[#This Row],[Date]]),I317)</f>
        <v>100.41</v>
      </c>
      <c r="J318" s="365">
        <f>IF(AND(_xll.Close_Historical(INDEX(Quotes[#Headers],1,COLUMN(J318)),Quotes[[#This Row],[Date]])&lt;&gt;"NA",_xll.Close_Historical(INDEX(Quotes[#Headers],1,COLUMN(J318)),Quotes[[#This Row],[Date]])&lt;&gt;"'close'"),_xll.Close_Historical(INDEX(Quotes[#Headers],1,COLUMN(J318)),Quotes[[#This Row],[Date]]),J317)</f>
        <v>70.540000000000006</v>
      </c>
      <c r="K318" s="365">
        <f>IF(AND(_xll.Close_Historical(INDEX(Quotes[#Headers],1,COLUMN(K318)),Quotes[[#This Row],[Date]])&lt;&gt;"NA",_xll.Close_Historical(INDEX(Quotes[#Headers],1,COLUMN(K318)),Quotes[[#This Row],[Date]])&lt;&gt;"'close'"),_xll.Close_Historical(INDEX(Quotes[#Headers],1,COLUMN(K318)),Quotes[[#This Row],[Date]]),K317)</f>
        <v>263.41000000000003</v>
      </c>
      <c r="L318" s="365">
        <f>IF(AND(_xll.Close_Historical(INDEX(Quotes[#Headers],1,COLUMN(L318)),Quotes[[#This Row],[Date]])&lt;&gt;"NA",_xll.Close_Historical(INDEX(Quotes[#Headers],1,COLUMN(L318)),Quotes[[#This Row],[Date]])&lt;&gt;"'close'"),_xll.Close_Historical(INDEX(Quotes[#Headers],1,COLUMN(L318)),Quotes[[#This Row],[Date]]),L317)</f>
        <v>144.35</v>
      </c>
      <c r="M318" s="365">
        <f>IF(AND(_xll.Close_Historical(INDEX(Quotes[#Headers],1,COLUMN(M318)),Quotes[[#This Row],[Date]])&lt;&gt;"NA",_xll.Close_Historical(INDEX(Quotes[#Headers],1,COLUMN(M318)),Quotes[[#This Row],[Date]])&lt;&gt;"'close'"),_xll.Close_Historical(INDEX(Quotes[#Headers],1,COLUMN(M318)),Quotes[[#This Row],[Date]]),M317)</f>
        <v>93.44</v>
      </c>
      <c r="N318" s="365">
        <f>IF(AND(_xll.Close_Historical(INDEX(Quotes[#Headers],1,COLUMN(N318)),Quotes[[#This Row],[Date]])&lt;&gt;"NA",_xll.Close_Historical(INDEX(Quotes[#Headers],1,COLUMN(N318)),Quotes[[#This Row],[Date]])&lt;&gt;"'close'"),_xll.Close_Historical(INDEX(Quotes[#Headers],1,COLUMN(N318)),Quotes[[#This Row],[Date]]),N317)</f>
        <v>31.3</v>
      </c>
      <c r="O318" s="365">
        <f>IF(AND(_xll.Close_Historical(INDEX(Quotes[#Headers],1,COLUMN(O318)),Quotes[[#This Row],[Date]])&lt;&gt;"NA",_xll.Close_Historical(INDEX(Quotes[#Headers],1,COLUMN(O318)),Quotes[[#This Row],[Date]])&lt;&gt;"'close'"),_xll.Close_Historical(INDEX(Quotes[#Headers],1,COLUMN(O318)),Quotes[[#This Row],[Date]]),O317)</f>
        <v>14.25</v>
      </c>
      <c r="P318" s="365">
        <f>IF(AND(_xll.Close_Historical(INDEX(Quotes[#Headers],1,COLUMN(P318)),Quotes[[#This Row],[Date]])&lt;&gt;"NA",_xll.Close_Historical(INDEX(Quotes[#Headers],1,COLUMN(P318)),Quotes[[#This Row],[Date]])&lt;&gt;"'close'"),_xll.Close_Historical(INDEX(Quotes[#Headers],1,COLUMN(P318)),Quotes[[#This Row],[Date]]),P317)</f>
        <v>24.83</v>
      </c>
      <c r="Q318" s="365">
        <f>IF(AND(_xll.Close_Historical(INDEX(Quotes[#Headers],1,COLUMN(Q318)),Quotes[[#This Row],[Date]])&lt;&gt;"NA",_xll.Close_Historical(INDEX(Quotes[#Headers],1,COLUMN(Q318)),Quotes[[#This Row],[Date]])&lt;&gt;"'close'"),_xll.Close_Historical(INDEX(Quotes[#Headers],1,COLUMN(Q318)),Quotes[[#This Row],[Date]]),Q317)</f>
        <v>24.25</v>
      </c>
      <c r="R318" s="365">
        <f>IF(AND(_xll.Close_Historical(INDEX(Quotes[#Headers],1,COLUMN(R318)),Quotes[[#This Row],[Date]])&lt;&gt;"NA",_xll.Close_Historical(INDEX(Quotes[#Headers],1,COLUMN(R318)),Quotes[[#This Row],[Date]])&lt;&gt;"'close'"),_xll.Close_Historical(INDEX(Quotes[#Headers],1,COLUMN(R318)),Quotes[[#This Row],[Date]]),R317)</f>
        <v>30.05</v>
      </c>
      <c r="S318" s="365">
        <f>IF(AND(_xll.Close_Historical(INDEX(Quotes[#Headers],1,COLUMN(S318)),Quotes[[#This Row],[Date]])&lt;&gt;"NA",_xll.Close_Historical(INDEX(Quotes[#Headers],1,COLUMN(S318)),Quotes[[#This Row],[Date]])&lt;&gt;"'close'"),_xll.Close_Historical(INDEX(Quotes[#Headers],1,COLUMN(S318)),Quotes[[#This Row],[Date]]),S317)</f>
        <v>34.549999999999997</v>
      </c>
      <c r="T318" s="365">
        <f>IF(AND(_xll.Close_Historical(INDEX(Quotes[#Headers],1,COLUMN(T318)),Quotes[[#This Row],[Date]])&lt;&gt;"NA",_xll.Close_Historical(INDEX(Quotes[#Headers],1,COLUMN(T318)),Quotes[[#This Row],[Date]])&lt;&gt;"'close'"),_xll.Close_Historical(INDEX(Quotes[#Headers],1,COLUMN(T318)),Quotes[[#This Row],[Date]]),T317)</f>
        <v>26.95</v>
      </c>
      <c r="U318" s="365">
        <f>IF(AND(_xll.Close_Historical(INDEX(Quotes[#Headers],1,COLUMN(U318)),Quotes[[#This Row],[Date]])&lt;&gt;"NA",_xll.Close_Historical(INDEX(Quotes[#Headers],1,COLUMN(U318)),Quotes[[#This Row],[Date]])&lt;&gt;"'close'"),_xll.Close_Historical(INDEX(Quotes[#Headers],1,COLUMN(U318)),Quotes[[#This Row],[Date]]),U317)</f>
        <v>70.13</v>
      </c>
    </row>
    <row r="319" spans="1:21" x14ac:dyDescent="0.25">
      <c r="A319" s="385">
        <v>43964</v>
      </c>
      <c r="B319" s="336">
        <f>IF(AND(_xll.Close_Historical(INDEX(Quotes[#Headers],1,COLUMN(B319)),Quotes[[#This Row],[Date]])&lt;&gt;"NA",_xll.Close_Historical(INDEX(Quotes[#Headers],1,COLUMN(B319)),Quotes[[#This Row],[Date]])&lt;&gt;"'close'"),_xll.Close_Historical(INDEX(Quotes[#Headers],1,COLUMN(B319)),Quotes[[#This Row],[Date]]),B318)</f>
        <v>87.06</v>
      </c>
      <c r="C319" s="336">
        <f>IF(AND(_xll.Close_Historical(INDEX(Quotes[#Headers],1,COLUMN(C319)),Quotes[[#This Row],[Date]])&lt;&gt;"NA",_xll.Close_Historical(INDEX(Quotes[#Headers],1,COLUMN(C319)),Quotes[[#This Row],[Date]])&lt;&gt;"'close'"),_xll.Close_Historical(INDEX(Quotes[#Headers],1,COLUMN(C319)),Quotes[[#This Row],[Date]]),C318)</f>
        <v>34.08</v>
      </c>
      <c r="D319" s="336">
        <f>IF(AND(_xll.Close_Historical(INDEX(Quotes[#Headers],1,COLUMN(D319)),Quotes[[#This Row],[Date]])&lt;&gt;"NA",_xll.Close_Historical(INDEX(Quotes[#Headers],1,COLUMN(D319)),Quotes[[#This Row],[Date]])&lt;&gt;"'close'"),_xll.Close_Historical(INDEX(Quotes[#Headers],1,COLUMN(D319)),Quotes[[#This Row],[Date]]),D318)</f>
        <v>161.58000000000001</v>
      </c>
      <c r="E319" s="336">
        <f>IF(AND(_xll.Close_Historical(INDEX(Quotes[#Headers],1,COLUMN(E319)),Quotes[[#This Row],[Date]])&lt;&gt;"NA",_xll.Close_Historical(INDEX(Quotes[#Headers],1,COLUMN(E319)),Quotes[[#This Row],[Date]])&lt;&gt;"'close'"),_xll.Close_Historical(INDEX(Quotes[#Headers],1,COLUMN(E319)),Quotes[[#This Row],[Date]]),E318)</f>
        <v>57.62</v>
      </c>
      <c r="F319" s="336">
        <f>IF(AND(_xll.Close_Historical(INDEX(Quotes[#Headers],1,COLUMN(F319)),Quotes[[#This Row],[Date]])&lt;&gt;"NA",_xll.Close_Historical(INDEX(Quotes[#Headers],1,COLUMN(F319)),Quotes[[#This Row],[Date]])&lt;&gt;"'close'"),_xll.Close_Historical(INDEX(Quotes[#Headers],1,COLUMN(F319)),Quotes[[#This Row],[Date]]),F318)</f>
        <v>219.34</v>
      </c>
      <c r="G319" s="336">
        <f>IF(AND(_xll.Close_Historical(INDEX(Quotes[#Headers],1,COLUMN(G319)),Quotes[[#This Row],[Date]])&lt;&gt;"NA",_xll.Close_Historical(INDEX(Quotes[#Headers],1,COLUMN(G319)),Quotes[[#This Row],[Date]])&lt;&gt;"'close'"),_xll.Close_Historical(INDEX(Quotes[#Headers],1,COLUMN(G319)),Quotes[[#This Row],[Date]]),G318)</f>
        <v>14.55</v>
      </c>
      <c r="H319" s="336">
        <f>IF(AND(_xll.Close_Historical(INDEX(Quotes[#Headers],1,COLUMN(H319)),Quotes[[#This Row],[Date]])&lt;&gt;"NA",_xll.Close_Historical(INDEX(Quotes[#Headers],1,COLUMN(H319)),Quotes[[#This Row],[Date]])&lt;&gt;"'close'"),_xll.Close_Historical(INDEX(Quotes[#Headers],1,COLUMN(H319)),Quotes[[#This Row],[Date]]),H318)</f>
        <v>27.13</v>
      </c>
      <c r="I319" s="336">
        <f>IF(AND(_xll.Close_Historical(INDEX(Quotes[#Headers],1,COLUMN(I319)),Quotes[[#This Row],[Date]])&lt;&gt;"NA",_xll.Close_Historical(INDEX(Quotes[#Headers],1,COLUMN(I319)),Quotes[[#This Row],[Date]])&lt;&gt;"'close'"),_xll.Close_Historical(INDEX(Quotes[#Headers],1,COLUMN(I319)),Quotes[[#This Row],[Date]]),I318)</f>
        <v>101.07</v>
      </c>
      <c r="J319" s="336">
        <f>IF(AND(_xll.Close_Historical(INDEX(Quotes[#Headers],1,COLUMN(J319)),Quotes[[#This Row],[Date]])&lt;&gt;"NA",_xll.Close_Historical(INDEX(Quotes[#Headers],1,COLUMN(J319)),Quotes[[#This Row],[Date]])&lt;&gt;"'close'"),_xll.Close_Historical(INDEX(Quotes[#Headers],1,COLUMN(J319)),Quotes[[#This Row],[Date]]),J318)</f>
        <v>68.83</v>
      </c>
      <c r="K319" s="365">
        <f>IF(AND(_xll.Close_Historical(INDEX(Quotes[#Headers],1,COLUMN(K319)),Quotes[[#This Row],[Date]])&lt;&gt;"NA",_xll.Close_Historical(INDEX(Quotes[#Headers],1,COLUMN(K319)),Quotes[[#This Row],[Date]])&lt;&gt;"'close'"),_xll.Close_Historical(INDEX(Quotes[#Headers],1,COLUMN(K319)),Quotes[[#This Row],[Date]]),K318)</f>
        <v>258.74</v>
      </c>
      <c r="L319" s="336">
        <f>IF(AND(_xll.Close_Historical(INDEX(Quotes[#Headers],1,COLUMN(L319)),Quotes[[#This Row],[Date]])&lt;&gt;"NA",_xll.Close_Historical(INDEX(Quotes[#Headers],1,COLUMN(L319)),Quotes[[#This Row],[Date]])&lt;&gt;"'close'"),_xll.Close_Historical(INDEX(Quotes[#Headers],1,COLUMN(L319)),Quotes[[#This Row],[Date]]),L318)</f>
        <v>141.44999999999999</v>
      </c>
      <c r="M319" s="336">
        <f>IF(AND(_xll.Close_Historical(INDEX(Quotes[#Headers],1,COLUMN(M319)),Quotes[[#This Row],[Date]])&lt;&gt;"NA",_xll.Close_Historical(INDEX(Quotes[#Headers],1,COLUMN(M319)),Quotes[[#This Row],[Date]])&lt;&gt;"'close'"),_xll.Close_Historical(INDEX(Quotes[#Headers],1,COLUMN(M319)),Quotes[[#This Row],[Date]]),M318)</f>
        <v>91.83</v>
      </c>
      <c r="N319" s="336">
        <f>IF(AND(_xll.Close_Historical(INDEX(Quotes[#Headers],1,COLUMN(N319)),Quotes[[#This Row],[Date]])&lt;&gt;"NA",_xll.Close_Historical(INDEX(Quotes[#Headers],1,COLUMN(N319)),Quotes[[#This Row],[Date]])&lt;&gt;"'close'"),_xll.Close_Historical(INDEX(Quotes[#Headers],1,COLUMN(N319)),Quotes[[#This Row],[Date]]),N318)</f>
        <v>30.75</v>
      </c>
      <c r="O319" s="336">
        <f>IF(AND(_xll.Close_Historical(INDEX(Quotes[#Headers],1,COLUMN(O319)),Quotes[[#This Row],[Date]])&lt;&gt;"NA",_xll.Close_Historical(INDEX(Quotes[#Headers],1,COLUMN(O319)),Quotes[[#This Row],[Date]])&lt;&gt;"'close'"),_xll.Close_Historical(INDEX(Quotes[#Headers],1,COLUMN(O319)),Quotes[[#This Row],[Date]]),O318)</f>
        <v>14.39</v>
      </c>
      <c r="P319" s="336">
        <f>IF(AND(_xll.Close_Historical(INDEX(Quotes[#Headers],1,COLUMN(P319)),Quotes[[#This Row],[Date]])&lt;&gt;"NA",_xll.Close_Historical(INDEX(Quotes[#Headers],1,COLUMN(P319)),Quotes[[#This Row],[Date]])&lt;&gt;"'close'"),_xll.Close_Historical(INDEX(Quotes[#Headers],1,COLUMN(P319)),Quotes[[#This Row],[Date]]),P318)</f>
        <v>24.54</v>
      </c>
      <c r="Q319" s="336">
        <f>IF(AND(_xll.Close_Historical(INDEX(Quotes[#Headers],1,COLUMN(Q319)),Quotes[[#This Row],[Date]])&lt;&gt;"NA",_xll.Close_Historical(INDEX(Quotes[#Headers],1,COLUMN(Q319)),Quotes[[#This Row],[Date]])&lt;&gt;"'close'"),_xll.Close_Historical(INDEX(Quotes[#Headers],1,COLUMN(Q319)),Quotes[[#This Row],[Date]]),Q318)</f>
        <v>23.75</v>
      </c>
      <c r="R319" s="336">
        <f>IF(AND(_xll.Close_Historical(INDEX(Quotes[#Headers],1,COLUMN(R319)),Quotes[[#This Row],[Date]])&lt;&gt;"NA",_xll.Close_Historical(INDEX(Quotes[#Headers],1,COLUMN(R319)),Quotes[[#This Row],[Date]])&lt;&gt;"'close'"),_xll.Close_Historical(INDEX(Quotes[#Headers],1,COLUMN(R319)),Quotes[[#This Row],[Date]]),R318)</f>
        <v>29.31</v>
      </c>
      <c r="S319" s="336">
        <f>IF(AND(_xll.Close_Historical(INDEX(Quotes[#Headers],1,COLUMN(S319)),Quotes[[#This Row],[Date]])&lt;&gt;"NA",_xll.Close_Historical(INDEX(Quotes[#Headers],1,COLUMN(S319)),Quotes[[#This Row],[Date]])&lt;&gt;"'close'"),_xll.Close_Historical(INDEX(Quotes[#Headers],1,COLUMN(S319)),Quotes[[#This Row],[Date]]),S318)</f>
        <v>34.44</v>
      </c>
      <c r="T319" s="336">
        <f>IF(AND(_xll.Close_Historical(INDEX(Quotes[#Headers],1,COLUMN(T319)),Quotes[[#This Row],[Date]])&lt;&gt;"NA",_xll.Close_Historical(INDEX(Quotes[#Headers],1,COLUMN(T319)),Quotes[[#This Row],[Date]])&lt;&gt;"'close'"),_xll.Close_Historical(INDEX(Quotes[#Headers],1,COLUMN(T319)),Quotes[[#This Row],[Date]]),T318)</f>
        <v>26.88</v>
      </c>
      <c r="U319" s="336">
        <f>IF(AND(_xll.Close_Historical(INDEX(Quotes[#Headers],1,COLUMN(U319)),Quotes[[#This Row],[Date]])&lt;&gt;"NA",_xll.Close_Historical(INDEX(Quotes[#Headers],1,COLUMN(U319)),Quotes[[#This Row],[Date]])&lt;&gt;"'close'"),_xll.Close_Historical(INDEX(Quotes[#Headers],1,COLUMN(U319)),Quotes[[#This Row],[Date]]),U318)</f>
        <v>69.95</v>
      </c>
    </row>
    <row r="320" spans="1:21" x14ac:dyDescent="0.25">
      <c r="A320" s="364">
        <v>43965</v>
      </c>
      <c r="B320" s="365">
        <f>IF(AND(_xll.Close_Historical(INDEX(Quotes[#Headers],1,COLUMN(B320)),Quotes[[#This Row],[Date]])&lt;&gt;"NA",_xll.Close_Historical(INDEX(Quotes[#Headers],1,COLUMN(B320)),Quotes[[#This Row],[Date]])&lt;&gt;"'close'"),_xll.Close_Historical(INDEX(Quotes[#Headers],1,COLUMN(B320)),Quotes[[#This Row],[Date]]),B319)</f>
        <v>87.3</v>
      </c>
      <c r="C320" s="365">
        <f>IF(AND(_xll.Close_Historical(INDEX(Quotes[#Headers],1,COLUMN(C320)),Quotes[[#This Row],[Date]])&lt;&gt;"NA",_xll.Close_Historical(INDEX(Quotes[#Headers],1,COLUMN(C320)),Quotes[[#This Row],[Date]])&lt;&gt;"'close'"),_xll.Close_Historical(INDEX(Quotes[#Headers],1,COLUMN(C320)),Quotes[[#This Row],[Date]]),C319)</f>
        <v>35.159999999999997</v>
      </c>
      <c r="D320" s="365">
        <f>IF(AND(_xll.Close_Historical(INDEX(Quotes[#Headers],1,COLUMN(D320)),Quotes[[#This Row],[Date]])&lt;&gt;"NA",_xll.Close_Historical(INDEX(Quotes[#Headers],1,COLUMN(D320)),Quotes[[#This Row],[Date]])&lt;&gt;"'close'"),_xll.Close_Historical(INDEX(Quotes[#Headers],1,COLUMN(D320)),Quotes[[#This Row],[Date]]),D319)</f>
        <v>163.01</v>
      </c>
      <c r="E320" s="365">
        <f>IF(AND(_xll.Close_Historical(INDEX(Quotes[#Headers],1,COLUMN(E320)),Quotes[[#This Row],[Date]])&lt;&gt;"NA",_xll.Close_Historical(INDEX(Quotes[#Headers],1,COLUMN(E320)),Quotes[[#This Row],[Date]])&lt;&gt;"'close'"),_xll.Close_Historical(INDEX(Quotes[#Headers],1,COLUMN(E320)),Quotes[[#This Row],[Date]]),E319)</f>
        <v>57.84</v>
      </c>
      <c r="F320" s="365">
        <f>IF(AND(_xll.Close_Historical(INDEX(Quotes[#Headers],1,COLUMN(F320)),Quotes[[#This Row],[Date]])&lt;&gt;"NA",_xll.Close_Historical(INDEX(Quotes[#Headers],1,COLUMN(F320)),Quotes[[#This Row],[Date]])&lt;&gt;"'close'"),_xll.Close_Historical(INDEX(Quotes[#Headers],1,COLUMN(F320)),Quotes[[#This Row],[Date]]),F319)</f>
        <v>221.83</v>
      </c>
      <c r="G320" s="365">
        <f>IF(AND(_xll.Close_Historical(INDEX(Quotes[#Headers],1,COLUMN(G320)),Quotes[[#This Row],[Date]])&lt;&gt;"NA",_xll.Close_Historical(INDEX(Quotes[#Headers],1,COLUMN(G320)),Quotes[[#This Row],[Date]])&lt;&gt;"'close'"),_xll.Close_Historical(INDEX(Quotes[#Headers],1,COLUMN(G320)),Quotes[[#This Row],[Date]]),G319)</f>
        <v>14.81</v>
      </c>
      <c r="H320" s="365">
        <f>IF(AND(_xll.Close_Historical(INDEX(Quotes[#Headers],1,COLUMN(H320)),Quotes[[#This Row],[Date]])&lt;&gt;"NA",_xll.Close_Historical(INDEX(Quotes[#Headers],1,COLUMN(H320)),Quotes[[#This Row],[Date]])&lt;&gt;"'close'"),_xll.Close_Historical(INDEX(Quotes[#Headers],1,COLUMN(H320)),Quotes[[#This Row],[Date]]),H319)</f>
        <v>27.16</v>
      </c>
      <c r="I320" s="365">
        <f>IF(AND(_xll.Close_Historical(INDEX(Quotes[#Headers],1,COLUMN(I320)),Quotes[[#This Row],[Date]])&lt;&gt;"NA",_xll.Close_Historical(INDEX(Quotes[#Headers],1,COLUMN(I320)),Quotes[[#This Row],[Date]])&lt;&gt;"'close'"),_xll.Close_Historical(INDEX(Quotes[#Headers],1,COLUMN(I320)),Quotes[[#This Row],[Date]]),I319)</f>
        <v>102.01</v>
      </c>
      <c r="J320" s="365">
        <f>IF(AND(_xll.Close_Historical(INDEX(Quotes[#Headers],1,COLUMN(J320)),Quotes[[#This Row],[Date]])&lt;&gt;"NA",_xll.Close_Historical(INDEX(Quotes[#Headers],1,COLUMN(J320)),Quotes[[#This Row],[Date]])&lt;&gt;"'close'"),_xll.Close_Historical(INDEX(Quotes[#Headers],1,COLUMN(J320)),Quotes[[#This Row],[Date]]),J319)</f>
        <v>69.069999999999993</v>
      </c>
      <c r="K320" s="365">
        <f>IF(AND(_xll.Close_Historical(INDEX(Quotes[#Headers],1,COLUMN(K320)),Quotes[[#This Row],[Date]])&lt;&gt;"NA",_xll.Close_Historical(INDEX(Quotes[#Headers],1,COLUMN(K320)),Quotes[[#This Row],[Date]])&lt;&gt;"'close'"),_xll.Close_Historical(INDEX(Quotes[#Headers],1,COLUMN(K320)),Quotes[[#This Row],[Date]]),K319)</f>
        <v>261.86</v>
      </c>
      <c r="L320" s="365">
        <f>IF(AND(_xll.Close_Historical(INDEX(Quotes[#Headers],1,COLUMN(L320)),Quotes[[#This Row],[Date]])&lt;&gt;"NA",_xll.Close_Historical(INDEX(Quotes[#Headers],1,COLUMN(L320)),Quotes[[#This Row],[Date]])&lt;&gt;"'close'"),_xll.Close_Historical(INDEX(Quotes[#Headers],1,COLUMN(L320)),Quotes[[#This Row],[Date]]),L319)</f>
        <v>142.97</v>
      </c>
      <c r="M320" s="365">
        <f>IF(AND(_xll.Close_Historical(INDEX(Quotes[#Headers],1,COLUMN(M320)),Quotes[[#This Row],[Date]])&lt;&gt;"NA",_xll.Close_Historical(INDEX(Quotes[#Headers],1,COLUMN(M320)),Quotes[[#This Row],[Date]])&lt;&gt;"'close'"),_xll.Close_Historical(INDEX(Quotes[#Headers],1,COLUMN(M320)),Quotes[[#This Row],[Date]]),M319)</f>
        <v>93</v>
      </c>
      <c r="N320" s="365">
        <f>IF(AND(_xll.Close_Historical(INDEX(Quotes[#Headers],1,COLUMN(N320)),Quotes[[#This Row],[Date]])&lt;&gt;"NA",_xll.Close_Historical(INDEX(Quotes[#Headers],1,COLUMN(N320)),Quotes[[#This Row],[Date]])&lt;&gt;"'close'"),_xll.Close_Historical(INDEX(Quotes[#Headers],1,COLUMN(N320)),Quotes[[#This Row],[Date]]),N319)</f>
        <v>31.1</v>
      </c>
      <c r="O320" s="365">
        <f>IF(AND(_xll.Close_Historical(INDEX(Quotes[#Headers],1,COLUMN(O320)),Quotes[[#This Row],[Date]])&lt;&gt;"NA",_xll.Close_Historical(INDEX(Quotes[#Headers],1,COLUMN(O320)),Quotes[[#This Row],[Date]])&lt;&gt;"'close'"),_xll.Close_Historical(INDEX(Quotes[#Headers],1,COLUMN(O320)),Quotes[[#This Row],[Date]]),O319)</f>
        <v>14.53</v>
      </c>
      <c r="P320" s="365">
        <f>IF(AND(_xll.Close_Historical(INDEX(Quotes[#Headers],1,COLUMN(P320)),Quotes[[#This Row],[Date]])&lt;&gt;"NA",_xll.Close_Historical(INDEX(Quotes[#Headers],1,COLUMN(P320)),Quotes[[#This Row],[Date]])&lt;&gt;"'close'"),_xll.Close_Historical(INDEX(Quotes[#Headers],1,COLUMN(P320)),Quotes[[#This Row],[Date]]),P319)</f>
        <v>24.51</v>
      </c>
      <c r="Q320" s="365">
        <f>IF(AND(_xll.Close_Historical(INDEX(Quotes[#Headers],1,COLUMN(Q320)),Quotes[[#This Row],[Date]])&lt;&gt;"NA",_xll.Close_Historical(INDEX(Quotes[#Headers],1,COLUMN(Q320)),Quotes[[#This Row],[Date]])&lt;&gt;"'close'"),_xll.Close_Historical(INDEX(Quotes[#Headers],1,COLUMN(Q320)),Quotes[[#This Row],[Date]]),Q319)</f>
        <v>24.05</v>
      </c>
      <c r="R320" s="365">
        <f>IF(AND(_xll.Close_Historical(INDEX(Quotes[#Headers],1,COLUMN(R320)),Quotes[[#This Row],[Date]])&lt;&gt;"NA",_xll.Close_Historical(INDEX(Quotes[#Headers],1,COLUMN(R320)),Quotes[[#This Row],[Date]])&lt;&gt;"'close'"),_xll.Close_Historical(INDEX(Quotes[#Headers],1,COLUMN(R320)),Quotes[[#This Row],[Date]]),R319)</f>
        <v>29.31</v>
      </c>
      <c r="S320" s="365">
        <f>IF(AND(_xll.Close_Historical(INDEX(Quotes[#Headers],1,COLUMN(S320)),Quotes[[#This Row],[Date]])&lt;&gt;"NA",_xll.Close_Historical(INDEX(Quotes[#Headers],1,COLUMN(S320)),Quotes[[#This Row],[Date]])&lt;&gt;"'close'"),_xll.Close_Historical(INDEX(Quotes[#Headers],1,COLUMN(S320)),Quotes[[#This Row],[Date]]),S319)</f>
        <v>35.450000000000003</v>
      </c>
      <c r="T320" s="365">
        <f>IF(AND(_xll.Close_Historical(INDEX(Quotes[#Headers],1,COLUMN(T320)),Quotes[[#This Row],[Date]])&lt;&gt;"NA",_xll.Close_Historical(INDEX(Quotes[#Headers],1,COLUMN(T320)),Quotes[[#This Row],[Date]])&lt;&gt;"'close'"),_xll.Close_Historical(INDEX(Quotes[#Headers],1,COLUMN(T320)),Quotes[[#This Row],[Date]]),T319)</f>
        <v>26.96</v>
      </c>
      <c r="U320" s="365">
        <f>IF(AND(_xll.Close_Historical(INDEX(Quotes[#Headers],1,COLUMN(U320)),Quotes[[#This Row],[Date]])&lt;&gt;"NA",_xll.Close_Historical(INDEX(Quotes[#Headers],1,COLUMN(U320)),Quotes[[#This Row],[Date]])&lt;&gt;"'close'"),_xll.Close_Historical(INDEX(Quotes[#Headers],1,COLUMN(U320)),Quotes[[#This Row],[Date]]),U319)</f>
        <v>70.250500000000002</v>
      </c>
    </row>
    <row r="321" spans="1:21" x14ac:dyDescent="0.25">
      <c r="A321" s="385">
        <v>43966</v>
      </c>
      <c r="B321" s="336">
        <f>IF(AND(_xll.Close_Historical(INDEX(Quotes[#Headers],1,COLUMN(B321)),Quotes[[#This Row],[Date]])&lt;&gt;"NA",_xll.Close_Historical(INDEX(Quotes[#Headers],1,COLUMN(B321)),Quotes[[#This Row],[Date]])&lt;&gt;"'close'"),_xll.Close_Historical(INDEX(Quotes[#Headers],1,COLUMN(B321)),Quotes[[#This Row],[Date]]),B320)</f>
        <v>87.35</v>
      </c>
      <c r="C321" s="336">
        <f>IF(AND(_xll.Close_Historical(INDEX(Quotes[#Headers],1,COLUMN(C321)),Quotes[[#This Row],[Date]])&lt;&gt;"NA",_xll.Close_Historical(INDEX(Quotes[#Headers],1,COLUMN(C321)),Quotes[[#This Row],[Date]])&lt;&gt;"'close'"),_xll.Close_Historical(INDEX(Quotes[#Headers],1,COLUMN(C321)),Quotes[[#This Row],[Date]]),C320)</f>
        <v>36.57</v>
      </c>
      <c r="D321" s="336">
        <f>IF(AND(_xll.Close_Historical(INDEX(Quotes[#Headers],1,COLUMN(D321)),Quotes[[#This Row],[Date]])&lt;&gt;"NA",_xll.Close_Historical(INDEX(Quotes[#Headers],1,COLUMN(D321)),Quotes[[#This Row],[Date]])&lt;&gt;"'close'"),_xll.Close_Historical(INDEX(Quotes[#Headers],1,COLUMN(D321)),Quotes[[#This Row],[Date]]),D320)</f>
        <v>163.93</v>
      </c>
      <c r="E321" s="336">
        <f>IF(AND(_xll.Close_Historical(INDEX(Quotes[#Headers],1,COLUMN(E321)),Quotes[[#This Row],[Date]])&lt;&gt;"NA",_xll.Close_Historical(INDEX(Quotes[#Headers],1,COLUMN(E321)),Quotes[[#This Row],[Date]])&lt;&gt;"'close'"),_xll.Close_Historical(INDEX(Quotes[#Headers],1,COLUMN(E321)),Quotes[[#This Row],[Date]]),E320)</f>
        <v>58.62</v>
      </c>
      <c r="F321" s="336">
        <f>IF(AND(_xll.Close_Historical(INDEX(Quotes[#Headers],1,COLUMN(F321)),Quotes[[#This Row],[Date]])&lt;&gt;"NA",_xll.Close_Historical(INDEX(Quotes[#Headers],1,COLUMN(F321)),Quotes[[#This Row],[Date]])&lt;&gt;"'close'"),_xll.Close_Historical(INDEX(Quotes[#Headers],1,COLUMN(F321)),Quotes[[#This Row],[Date]]),F320)</f>
        <v>223.27</v>
      </c>
      <c r="G321" s="336">
        <f>IF(AND(_xll.Close_Historical(INDEX(Quotes[#Headers],1,COLUMN(G321)),Quotes[[#This Row],[Date]])&lt;&gt;"NA",_xll.Close_Historical(INDEX(Quotes[#Headers],1,COLUMN(G321)),Quotes[[#This Row],[Date]])&lt;&gt;"'close'"),_xll.Close_Historical(INDEX(Quotes[#Headers],1,COLUMN(G321)),Quotes[[#This Row],[Date]]),G320)</f>
        <v>15.51</v>
      </c>
      <c r="H321" s="336">
        <f>IF(AND(_xll.Close_Historical(INDEX(Quotes[#Headers],1,COLUMN(H321)),Quotes[[#This Row],[Date]])&lt;&gt;"NA",_xll.Close_Historical(INDEX(Quotes[#Headers],1,COLUMN(H321)),Quotes[[#This Row],[Date]])&lt;&gt;"'close'"),_xll.Close_Historical(INDEX(Quotes[#Headers],1,COLUMN(H321)),Quotes[[#This Row],[Date]]),H320)</f>
        <v>27.18</v>
      </c>
      <c r="I321" s="336">
        <f>IF(AND(_xll.Close_Historical(INDEX(Quotes[#Headers],1,COLUMN(I321)),Quotes[[#This Row],[Date]])&lt;&gt;"NA",_xll.Close_Historical(INDEX(Quotes[#Headers],1,COLUMN(I321)),Quotes[[#This Row],[Date]])&lt;&gt;"'close'"),_xll.Close_Historical(INDEX(Quotes[#Headers],1,COLUMN(I321)),Quotes[[#This Row],[Date]]),I320)</f>
        <v>101.68</v>
      </c>
      <c r="J321" s="336">
        <f>IF(AND(_xll.Close_Historical(INDEX(Quotes[#Headers],1,COLUMN(J321)),Quotes[[#This Row],[Date]])&lt;&gt;"NA",_xll.Close_Historical(INDEX(Quotes[#Headers],1,COLUMN(J321)),Quotes[[#This Row],[Date]])&lt;&gt;"'close'"),_xll.Close_Historical(INDEX(Quotes[#Headers],1,COLUMN(J321)),Quotes[[#This Row],[Date]]),J320)</f>
        <v>68.8</v>
      </c>
      <c r="K321" s="365">
        <f>IF(AND(_xll.Close_Historical(INDEX(Quotes[#Headers],1,COLUMN(K321)),Quotes[[#This Row],[Date]])&lt;&gt;"NA",_xll.Close_Historical(INDEX(Quotes[#Headers],1,COLUMN(K321)),Quotes[[#This Row],[Date]])&lt;&gt;"'close'"),_xll.Close_Historical(INDEX(Quotes[#Headers],1,COLUMN(K321)),Quotes[[#This Row],[Date]]),K320)</f>
        <v>263.04000000000002</v>
      </c>
      <c r="L321" s="336">
        <f>IF(AND(_xll.Close_Historical(INDEX(Quotes[#Headers],1,COLUMN(L321)),Quotes[[#This Row],[Date]])&lt;&gt;"NA",_xll.Close_Historical(INDEX(Quotes[#Headers],1,COLUMN(L321)),Quotes[[#This Row],[Date]])&lt;&gt;"'close'"),_xll.Close_Historical(INDEX(Quotes[#Headers],1,COLUMN(L321)),Quotes[[#This Row],[Date]]),L320)</f>
        <v>143.83000000000001</v>
      </c>
      <c r="M321" s="336">
        <f>IF(AND(_xll.Close_Historical(INDEX(Quotes[#Headers],1,COLUMN(M321)),Quotes[[#This Row],[Date]])&lt;&gt;"NA",_xll.Close_Historical(INDEX(Quotes[#Headers],1,COLUMN(M321)),Quotes[[#This Row],[Date]])&lt;&gt;"'close'"),_xll.Close_Historical(INDEX(Quotes[#Headers],1,COLUMN(M321)),Quotes[[#This Row],[Date]]),M320)</f>
        <v>93.47</v>
      </c>
      <c r="N321" s="336">
        <f>IF(AND(_xll.Close_Historical(INDEX(Quotes[#Headers],1,COLUMN(N321)),Quotes[[#This Row],[Date]])&lt;&gt;"NA",_xll.Close_Historical(INDEX(Quotes[#Headers],1,COLUMN(N321)),Quotes[[#This Row],[Date]])&lt;&gt;"'close'"),_xll.Close_Historical(INDEX(Quotes[#Headers],1,COLUMN(N321)),Quotes[[#This Row],[Date]]),N320)</f>
        <v>31.25</v>
      </c>
      <c r="O321" s="336">
        <f>IF(AND(_xll.Close_Historical(INDEX(Quotes[#Headers],1,COLUMN(O321)),Quotes[[#This Row],[Date]])&lt;&gt;"NA",_xll.Close_Historical(INDEX(Quotes[#Headers],1,COLUMN(O321)),Quotes[[#This Row],[Date]])&lt;&gt;"'close'"),_xll.Close_Historical(INDEX(Quotes[#Headers],1,COLUMN(O321)),Quotes[[#This Row],[Date]]),O320)</f>
        <v>14.65</v>
      </c>
      <c r="P321" s="336">
        <f>IF(AND(_xll.Close_Historical(INDEX(Quotes[#Headers],1,COLUMN(P321)),Quotes[[#This Row],[Date]])&lt;&gt;"NA",_xll.Close_Historical(INDEX(Quotes[#Headers],1,COLUMN(P321)),Quotes[[#This Row],[Date]])&lt;&gt;"'close'"),_xll.Close_Historical(INDEX(Quotes[#Headers],1,COLUMN(P321)),Quotes[[#This Row],[Date]]),P320)</f>
        <v>24.66</v>
      </c>
      <c r="Q321" s="336">
        <f>IF(AND(_xll.Close_Historical(INDEX(Quotes[#Headers],1,COLUMN(Q321)),Quotes[[#This Row],[Date]])&lt;&gt;"NA",_xll.Close_Historical(INDEX(Quotes[#Headers],1,COLUMN(Q321)),Quotes[[#This Row],[Date]])&lt;&gt;"'close'"),_xll.Close_Historical(INDEX(Quotes[#Headers],1,COLUMN(Q321)),Quotes[[#This Row],[Date]]),Q320)</f>
        <v>24.18</v>
      </c>
      <c r="R321" s="336">
        <f>IF(AND(_xll.Close_Historical(INDEX(Quotes[#Headers],1,COLUMN(R321)),Quotes[[#This Row],[Date]])&lt;&gt;"NA",_xll.Close_Historical(INDEX(Quotes[#Headers],1,COLUMN(R321)),Quotes[[#This Row],[Date]])&lt;&gt;"'close'"),_xll.Close_Historical(INDEX(Quotes[#Headers],1,COLUMN(R321)),Quotes[[#This Row],[Date]]),R320)</f>
        <v>29.64</v>
      </c>
      <c r="S321" s="336">
        <f>IF(AND(_xll.Close_Historical(INDEX(Quotes[#Headers],1,COLUMN(S321)),Quotes[[#This Row],[Date]])&lt;&gt;"NA",_xll.Close_Historical(INDEX(Quotes[#Headers],1,COLUMN(S321)),Quotes[[#This Row],[Date]])&lt;&gt;"'close'"),_xll.Close_Historical(INDEX(Quotes[#Headers],1,COLUMN(S321)),Quotes[[#This Row],[Date]]),S320)</f>
        <v>36.85</v>
      </c>
      <c r="T321" s="336">
        <f>IF(AND(_xll.Close_Historical(INDEX(Quotes[#Headers],1,COLUMN(T321)),Quotes[[#This Row],[Date]])&lt;&gt;"NA",_xll.Close_Historical(INDEX(Quotes[#Headers],1,COLUMN(T321)),Quotes[[#This Row],[Date]])&lt;&gt;"'close'"),_xll.Close_Historical(INDEX(Quotes[#Headers],1,COLUMN(T321)),Quotes[[#This Row],[Date]]),T320)</f>
        <v>27</v>
      </c>
      <c r="U321" s="336">
        <f>IF(AND(_xll.Close_Historical(INDEX(Quotes[#Headers],1,COLUMN(U321)),Quotes[[#This Row],[Date]])&lt;&gt;"NA",_xll.Close_Historical(INDEX(Quotes[#Headers],1,COLUMN(U321)),Quotes[[#This Row],[Date]])&lt;&gt;"'close'"),_xll.Close_Historical(INDEX(Quotes[#Headers],1,COLUMN(U321)),Quotes[[#This Row],[Date]]),U320)</f>
        <v>69.949700000000007</v>
      </c>
    </row>
    <row r="322" spans="1:21" x14ac:dyDescent="0.25">
      <c r="A322" s="364">
        <v>43967</v>
      </c>
      <c r="B322" s="365">
        <f>IF(AND(_xll.Close_Historical(INDEX(Quotes[#Headers],1,COLUMN(B322)),Quotes[[#This Row],[Date]])&lt;&gt;"NA",_xll.Close_Historical(INDEX(Quotes[#Headers],1,COLUMN(B322)),Quotes[[#This Row],[Date]])&lt;&gt;"'close'"),_xll.Close_Historical(INDEX(Quotes[#Headers],1,COLUMN(B322)),Quotes[[#This Row],[Date]]),B321)</f>
        <v>87.35</v>
      </c>
      <c r="C322" s="365">
        <f>IF(AND(_xll.Close_Historical(INDEX(Quotes[#Headers],1,COLUMN(C322)),Quotes[[#This Row],[Date]])&lt;&gt;"NA",_xll.Close_Historical(INDEX(Quotes[#Headers],1,COLUMN(C322)),Quotes[[#This Row],[Date]])&lt;&gt;"'close'"),_xll.Close_Historical(INDEX(Quotes[#Headers],1,COLUMN(C322)),Quotes[[#This Row],[Date]]),C321)</f>
        <v>36.57</v>
      </c>
      <c r="D322" s="365">
        <f>IF(AND(_xll.Close_Historical(INDEX(Quotes[#Headers],1,COLUMN(D322)),Quotes[[#This Row],[Date]])&lt;&gt;"NA",_xll.Close_Historical(INDEX(Quotes[#Headers],1,COLUMN(D322)),Quotes[[#This Row],[Date]])&lt;&gt;"'close'"),_xll.Close_Historical(INDEX(Quotes[#Headers],1,COLUMN(D322)),Quotes[[#This Row],[Date]]),D321)</f>
        <v>163.93</v>
      </c>
      <c r="E322" s="365">
        <f>IF(AND(_xll.Close_Historical(INDEX(Quotes[#Headers],1,COLUMN(E322)),Quotes[[#This Row],[Date]])&lt;&gt;"NA",_xll.Close_Historical(INDEX(Quotes[#Headers],1,COLUMN(E322)),Quotes[[#This Row],[Date]])&lt;&gt;"'close'"),_xll.Close_Historical(INDEX(Quotes[#Headers],1,COLUMN(E322)),Quotes[[#This Row],[Date]]),E321)</f>
        <v>58.62</v>
      </c>
      <c r="F322" s="365">
        <f>IF(AND(_xll.Close_Historical(INDEX(Quotes[#Headers],1,COLUMN(F322)),Quotes[[#This Row],[Date]])&lt;&gt;"NA",_xll.Close_Historical(INDEX(Quotes[#Headers],1,COLUMN(F322)),Quotes[[#This Row],[Date]])&lt;&gt;"'close'"),_xll.Close_Historical(INDEX(Quotes[#Headers],1,COLUMN(F322)),Quotes[[#This Row],[Date]]),F321)</f>
        <v>223.27</v>
      </c>
      <c r="G322" s="365">
        <f>IF(AND(_xll.Close_Historical(INDEX(Quotes[#Headers],1,COLUMN(G322)),Quotes[[#This Row],[Date]])&lt;&gt;"NA",_xll.Close_Historical(INDEX(Quotes[#Headers],1,COLUMN(G322)),Quotes[[#This Row],[Date]])&lt;&gt;"'close'"),_xll.Close_Historical(INDEX(Quotes[#Headers],1,COLUMN(G322)),Quotes[[#This Row],[Date]]),G321)</f>
        <v>15.51</v>
      </c>
      <c r="H322" s="365">
        <f>IF(AND(_xll.Close_Historical(INDEX(Quotes[#Headers],1,COLUMN(H322)),Quotes[[#This Row],[Date]])&lt;&gt;"NA",_xll.Close_Historical(INDEX(Quotes[#Headers],1,COLUMN(H322)),Quotes[[#This Row],[Date]])&lt;&gt;"'close'"),_xll.Close_Historical(INDEX(Quotes[#Headers],1,COLUMN(H322)),Quotes[[#This Row],[Date]]),H321)</f>
        <v>27.18</v>
      </c>
      <c r="I322" s="365">
        <f>IF(AND(_xll.Close_Historical(INDEX(Quotes[#Headers],1,COLUMN(I322)),Quotes[[#This Row],[Date]])&lt;&gt;"NA",_xll.Close_Historical(INDEX(Quotes[#Headers],1,COLUMN(I322)),Quotes[[#This Row],[Date]])&lt;&gt;"'close'"),_xll.Close_Historical(INDEX(Quotes[#Headers],1,COLUMN(I322)),Quotes[[#This Row],[Date]]),I321)</f>
        <v>101.68</v>
      </c>
      <c r="J322" s="365">
        <f>IF(AND(_xll.Close_Historical(INDEX(Quotes[#Headers],1,COLUMN(J322)),Quotes[[#This Row],[Date]])&lt;&gt;"NA",_xll.Close_Historical(INDEX(Quotes[#Headers],1,COLUMN(J322)),Quotes[[#This Row],[Date]])&lt;&gt;"'close'"),_xll.Close_Historical(INDEX(Quotes[#Headers],1,COLUMN(J322)),Quotes[[#This Row],[Date]]),J321)</f>
        <v>68.8</v>
      </c>
      <c r="K322" s="365">
        <f>IF(AND(_xll.Close_Historical(INDEX(Quotes[#Headers],1,COLUMN(K322)),Quotes[[#This Row],[Date]])&lt;&gt;"NA",_xll.Close_Historical(INDEX(Quotes[#Headers],1,COLUMN(K322)),Quotes[[#This Row],[Date]])&lt;&gt;"'close'"),_xll.Close_Historical(INDEX(Quotes[#Headers],1,COLUMN(K322)),Quotes[[#This Row],[Date]]),K321)</f>
        <v>263.04000000000002</v>
      </c>
      <c r="L322" s="365">
        <f>IF(AND(_xll.Close_Historical(INDEX(Quotes[#Headers],1,COLUMN(L322)),Quotes[[#This Row],[Date]])&lt;&gt;"NA",_xll.Close_Historical(INDEX(Quotes[#Headers],1,COLUMN(L322)),Quotes[[#This Row],[Date]])&lt;&gt;"'close'"),_xll.Close_Historical(INDEX(Quotes[#Headers],1,COLUMN(L322)),Quotes[[#This Row],[Date]]),L321)</f>
        <v>143.83000000000001</v>
      </c>
      <c r="M322" s="365">
        <f>IF(AND(_xll.Close_Historical(INDEX(Quotes[#Headers],1,COLUMN(M322)),Quotes[[#This Row],[Date]])&lt;&gt;"NA",_xll.Close_Historical(INDEX(Quotes[#Headers],1,COLUMN(M322)),Quotes[[#This Row],[Date]])&lt;&gt;"'close'"),_xll.Close_Historical(INDEX(Quotes[#Headers],1,COLUMN(M322)),Quotes[[#This Row],[Date]]),M321)</f>
        <v>93.47</v>
      </c>
      <c r="N322" s="365">
        <f>IF(AND(_xll.Close_Historical(INDEX(Quotes[#Headers],1,COLUMN(N322)),Quotes[[#This Row],[Date]])&lt;&gt;"NA",_xll.Close_Historical(INDEX(Quotes[#Headers],1,COLUMN(N322)),Quotes[[#This Row],[Date]])&lt;&gt;"'close'"),_xll.Close_Historical(INDEX(Quotes[#Headers],1,COLUMN(N322)),Quotes[[#This Row],[Date]]),N321)</f>
        <v>31.25</v>
      </c>
      <c r="O322" s="365">
        <f>IF(AND(_xll.Close_Historical(INDEX(Quotes[#Headers],1,COLUMN(O322)),Quotes[[#This Row],[Date]])&lt;&gt;"NA",_xll.Close_Historical(INDEX(Quotes[#Headers],1,COLUMN(O322)),Quotes[[#This Row],[Date]])&lt;&gt;"'close'"),_xll.Close_Historical(INDEX(Quotes[#Headers],1,COLUMN(O322)),Quotes[[#This Row],[Date]]),O321)</f>
        <v>14.65</v>
      </c>
      <c r="P322" s="365">
        <f>IF(AND(_xll.Close_Historical(INDEX(Quotes[#Headers],1,COLUMN(P322)),Quotes[[#This Row],[Date]])&lt;&gt;"NA",_xll.Close_Historical(INDEX(Quotes[#Headers],1,COLUMN(P322)),Quotes[[#This Row],[Date]])&lt;&gt;"'close'"),_xll.Close_Historical(INDEX(Quotes[#Headers],1,COLUMN(P322)),Quotes[[#This Row],[Date]]),P321)</f>
        <v>24.66</v>
      </c>
      <c r="Q322" s="365">
        <f>IF(AND(_xll.Close_Historical(INDEX(Quotes[#Headers],1,COLUMN(Q322)),Quotes[[#This Row],[Date]])&lt;&gt;"NA",_xll.Close_Historical(INDEX(Quotes[#Headers],1,COLUMN(Q322)),Quotes[[#This Row],[Date]])&lt;&gt;"'close'"),_xll.Close_Historical(INDEX(Quotes[#Headers],1,COLUMN(Q322)),Quotes[[#This Row],[Date]]),Q321)</f>
        <v>24.18</v>
      </c>
      <c r="R322" s="365">
        <f>IF(AND(_xll.Close_Historical(INDEX(Quotes[#Headers],1,COLUMN(R322)),Quotes[[#This Row],[Date]])&lt;&gt;"NA",_xll.Close_Historical(INDEX(Quotes[#Headers],1,COLUMN(R322)),Quotes[[#This Row],[Date]])&lt;&gt;"'close'"),_xll.Close_Historical(INDEX(Quotes[#Headers],1,COLUMN(R322)),Quotes[[#This Row],[Date]]),R321)</f>
        <v>29.64</v>
      </c>
      <c r="S322" s="365">
        <f>IF(AND(_xll.Close_Historical(INDEX(Quotes[#Headers],1,COLUMN(S322)),Quotes[[#This Row],[Date]])&lt;&gt;"NA",_xll.Close_Historical(INDEX(Quotes[#Headers],1,COLUMN(S322)),Quotes[[#This Row],[Date]])&lt;&gt;"'close'"),_xll.Close_Historical(INDEX(Quotes[#Headers],1,COLUMN(S322)),Quotes[[#This Row],[Date]]),S321)</f>
        <v>36.85</v>
      </c>
      <c r="T322" s="365">
        <f>IF(AND(_xll.Close_Historical(INDEX(Quotes[#Headers],1,COLUMN(T322)),Quotes[[#This Row],[Date]])&lt;&gt;"NA",_xll.Close_Historical(INDEX(Quotes[#Headers],1,COLUMN(T322)),Quotes[[#This Row],[Date]])&lt;&gt;"'close'"),_xll.Close_Historical(INDEX(Quotes[#Headers],1,COLUMN(T322)),Quotes[[#This Row],[Date]]),T321)</f>
        <v>27</v>
      </c>
      <c r="U322" s="365">
        <f>IF(AND(_xll.Close_Historical(INDEX(Quotes[#Headers],1,COLUMN(U322)),Quotes[[#This Row],[Date]])&lt;&gt;"NA",_xll.Close_Historical(INDEX(Quotes[#Headers],1,COLUMN(U322)),Quotes[[#This Row],[Date]])&lt;&gt;"'close'"),_xll.Close_Historical(INDEX(Quotes[#Headers],1,COLUMN(U322)),Quotes[[#This Row],[Date]]),U321)</f>
        <v>69.949700000000007</v>
      </c>
    </row>
    <row r="323" spans="1:21" x14ac:dyDescent="0.25">
      <c r="A323" s="364">
        <v>43968</v>
      </c>
      <c r="B323" s="365">
        <f>IF(AND(_xll.Close_Historical(INDEX(Quotes[#Headers],1,COLUMN(B323)),Quotes[[#This Row],[Date]])&lt;&gt;"NA",_xll.Close_Historical(INDEX(Quotes[#Headers],1,COLUMN(B323)),Quotes[[#This Row],[Date]])&lt;&gt;"'close'"),_xll.Close_Historical(INDEX(Quotes[#Headers],1,COLUMN(B323)),Quotes[[#This Row],[Date]]),B322)</f>
        <v>87.35</v>
      </c>
      <c r="C323" s="365">
        <f>IF(AND(_xll.Close_Historical(INDEX(Quotes[#Headers],1,COLUMN(C323)),Quotes[[#This Row],[Date]])&lt;&gt;"NA",_xll.Close_Historical(INDEX(Quotes[#Headers],1,COLUMN(C323)),Quotes[[#This Row],[Date]])&lt;&gt;"'close'"),_xll.Close_Historical(INDEX(Quotes[#Headers],1,COLUMN(C323)),Quotes[[#This Row],[Date]]),C322)</f>
        <v>36.57</v>
      </c>
      <c r="D323" s="365">
        <f>IF(AND(_xll.Close_Historical(INDEX(Quotes[#Headers],1,COLUMN(D323)),Quotes[[#This Row],[Date]])&lt;&gt;"NA",_xll.Close_Historical(INDEX(Quotes[#Headers],1,COLUMN(D323)),Quotes[[#This Row],[Date]])&lt;&gt;"'close'"),_xll.Close_Historical(INDEX(Quotes[#Headers],1,COLUMN(D323)),Quotes[[#This Row],[Date]]),D322)</f>
        <v>163.93</v>
      </c>
      <c r="E323" s="365">
        <f>IF(AND(_xll.Close_Historical(INDEX(Quotes[#Headers],1,COLUMN(E323)),Quotes[[#This Row],[Date]])&lt;&gt;"NA",_xll.Close_Historical(INDEX(Quotes[#Headers],1,COLUMN(E323)),Quotes[[#This Row],[Date]])&lt;&gt;"'close'"),_xll.Close_Historical(INDEX(Quotes[#Headers],1,COLUMN(E323)),Quotes[[#This Row],[Date]]),E322)</f>
        <v>58.62</v>
      </c>
      <c r="F323" s="365">
        <f>IF(AND(_xll.Close_Historical(INDEX(Quotes[#Headers],1,COLUMN(F323)),Quotes[[#This Row],[Date]])&lt;&gt;"NA",_xll.Close_Historical(INDEX(Quotes[#Headers],1,COLUMN(F323)),Quotes[[#This Row],[Date]])&lt;&gt;"'close'"),_xll.Close_Historical(INDEX(Quotes[#Headers],1,COLUMN(F323)),Quotes[[#This Row],[Date]]),F322)</f>
        <v>223.27</v>
      </c>
      <c r="G323" s="365">
        <f>IF(AND(_xll.Close_Historical(INDEX(Quotes[#Headers],1,COLUMN(G323)),Quotes[[#This Row],[Date]])&lt;&gt;"NA",_xll.Close_Historical(INDEX(Quotes[#Headers],1,COLUMN(G323)),Quotes[[#This Row],[Date]])&lt;&gt;"'close'"),_xll.Close_Historical(INDEX(Quotes[#Headers],1,COLUMN(G323)),Quotes[[#This Row],[Date]]),G322)</f>
        <v>15.51</v>
      </c>
      <c r="H323" s="365">
        <f>IF(AND(_xll.Close_Historical(INDEX(Quotes[#Headers],1,COLUMN(H323)),Quotes[[#This Row],[Date]])&lt;&gt;"NA",_xll.Close_Historical(INDEX(Quotes[#Headers],1,COLUMN(H323)),Quotes[[#This Row],[Date]])&lt;&gt;"'close'"),_xll.Close_Historical(INDEX(Quotes[#Headers],1,COLUMN(H323)),Quotes[[#This Row],[Date]]),H322)</f>
        <v>27.18</v>
      </c>
      <c r="I323" s="365">
        <f>IF(AND(_xll.Close_Historical(INDEX(Quotes[#Headers],1,COLUMN(I323)),Quotes[[#This Row],[Date]])&lt;&gt;"NA",_xll.Close_Historical(INDEX(Quotes[#Headers],1,COLUMN(I323)),Quotes[[#This Row],[Date]])&lt;&gt;"'close'"),_xll.Close_Historical(INDEX(Quotes[#Headers],1,COLUMN(I323)),Quotes[[#This Row],[Date]]),I322)</f>
        <v>101.68</v>
      </c>
      <c r="J323" s="365">
        <f>IF(AND(_xll.Close_Historical(INDEX(Quotes[#Headers],1,COLUMN(J323)),Quotes[[#This Row],[Date]])&lt;&gt;"NA",_xll.Close_Historical(INDEX(Quotes[#Headers],1,COLUMN(J323)),Quotes[[#This Row],[Date]])&lt;&gt;"'close'"),_xll.Close_Historical(INDEX(Quotes[#Headers],1,COLUMN(J323)),Quotes[[#This Row],[Date]]),J322)</f>
        <v>68.8</v>
      </c>
      <c r="K323" s="365">
        <f>IF(AND(_xll.Close_Historical(INDEX(Quotes[#Headers],1,COLUMN(K323)),Quotes[[#This Row],[Date]])&lt;&gt;"NA",_xll.Close_Historical(INDEX(Quotes[#Headers],1,COLUMN(K323)),Quotes[[#This Row],[Date]])&lt;&gt;"'close'"),_xll.Close_Historical(INDEX(Quotes[#Headers],1,COLUMN(K323)),Quotes[[#This Row],[Date]]),K322)</f>
        <v>263.04000000000002</v>
      </c>
      <c r="L323" s="365">
        <f>IF(AND(_xll.Close_Historical(INDEX(Quotes[#Headers],1,COLUMN(L323)),Quotes[[#This Row],[Date]])&lt;&gt;"NA",_xll.Close_Historical(INDEX(Quotes[#Headers],1,COLUMN(L323)),Quotes[[#This Row],[Date]])&lt;&gt;"'close'"),_xll.Close_Historical(INDEX(Quotes[#Headers],1,COLUMN(L323)),Quotes[[#This Row],[Date]]),L322)</f>
        <v>143.83000000000001</v>
      </c>
      <c r="M323" s="365">
        <f>IF(AND(_xll.Close_Historical(INDEX(Quotes[#Headers],1,COLUMN(M323)),Quotes[[#This Row],[Date]])&lt;&gt;"NA",_xll.Close_Historical(INDEX(Quotes[#Headers],1,COLUMN(M323)),Quotes[[#This Row],[Date]])&lt;&gt;"'close'"),_xll.Close_Historical(INDEX(Quotes[#Headers],1,COLUMN(M323)),Quotes[[#This Row],[Date]]),M322)</f>
        <v>93.47</v>
      </c>
      <c r="N323" s="365">
        <f>IF(AND(_xll.Close_Historical(INDEX(Quotes[#Headers],1,COLUMN(N323)),Quotes[[#This Row],[Date]])&lt;&gt;"NA",_xll.Close_Historical(INDEX(Quotes[#Headers],1,COLUMN(N323)),Quotes[[#This Row],[Date]])&lt;&gt;"'close'"),_xll.Close_Historical(INDEX(Quotes[#Headers],1,COLUMN(N323)),Quotes[[#This Row],[Date]]),N322)</f>
        <v>31.25</v>
      </c>
      <c r="O323" s="365">
        <f>IF(AND(_xll.Close_Historical(INDEX(Quotes[#Headers],1,COLUMN(O323)),Quotes[[#This Row],[Date]])&lt;&gt;"NA",_xll.Close_Historical(INDEX(Quotes[#Headers],1,COLUMN(O323)),Quotes[[#This Row],[Date]])&lt;&gt;"'close'"),_xll.Close_Historical(INDEX(Quotes[#Headers],1,COLUMN(O323)),Quotes[[#This Row],[Date]]),O322)</f>
        <v>14.65</v>
      </c>
      <c r="P323" s="365">
        <f>IF(AND(_xll.Close_Historical(INDEX(Quotes[#Headers],1,COLUMN(P323)),Quotes[[#This Row],[Date]])&lt;&gt;"NA",_xll.Close_Historical(INDEX(Quotes[#Headers],1,COLUMN(P323)),Quotes[[#This Row],[Date]])&lt;&gt;"'close'"),_xll.Close_Historical(INDEX(Quotes[#Headers],1,COLUMN(P323)),Quotes[[#This Row],[Date]]),P322)</f>
        <v>24.66</v>
      </c>
      <c r="Q323" s="365">
        <f>IF(AND(_xll.Close_Historical(INDEX(Quotes[#Headers],1,COLUMN(Q323)),Quotes[[#This Row],[Date]])&lt;&gt;"NA",_xll.Close_Historical(INDEX(Quotes[#Headers],1,COLUMN(Q323)),Quotes[[#This Row],[Date]])&lt;&gt;"'close'"),_xll.Close_Historical(INDEX(Quotes[#Headers],1,COLUMN(Q323)),Quotes[[#This Row],[Date]]),Q322)</f>
        <v>24.18</v>
      </c>
      <c r="R323" s="365">
        <f>IF(AND(_xll.Close_Historical(INDEX(Quotes[#Headers],1,COLUMN(R323)),Quotes[[#This Row],[Date]])&lt;&gt;"NA",_xll.Close_Historical(INDEX(Quotes[#Headers],1,COLUMN(R323)),Quotes[[#This Row],[Date]])&lt;&gt;"'close'"),_xll.Close_Historical(INDEX(Quotes[#Headers],1,COLUMN(R323)),Quotes[[#This Row],[Date]]),R322)</f>
        <v>29.64</v>
      </c>
      <c r="S323" s="365">
        <f>IF(AND(_xll.Close_Historical(INDEX(Quotes[#Headers],1,COLUMN(S323)),Quotes[[#This Row],[Date]])&lt;&gt;"NA",_xll.Close_Historical(INDEX(Quotes[#Headers],1,COLUMN(S323)),Quotes[[#This Row],[Date]])&lt;&gt;"'close'"),_xll.Close_Historical(INDEX(Quotes[#Headers],1,COLUMN(S323)),Quotes[[#This Row],[Date]]),S322)</f>
        <v>36.85</v>
      </c>
      <c r="T323" s="365">
        <f>IF(AND(_xll.Close_Historical(INDEX(Quotes[#Headers],1,COLUMN(T323)),Quotes[[#This Row],[Date]])&lt;&gt;"NA",_xll.Close_Historical(INDEX(Quotes[#Headers],1,COLUMN(T323)),Quotes[[#This Row],[Date]])&lt;&gt;"'close'"),_xll.Close_Historical(INDEX(Quotes[#Headers],1,COLUMN(T323)),Quotes[[#This Row],[Date]]),T322)</f>
        <v>27</v>
      </c>
      <c r="U323" s="365">
        <f>IF(AND(_xll.Close_Historical(INDEX(Quotes[#Headers],1,COLUMN(U323)),Quotes[[#This Row],[Date]])&lt;&gt;"NA",_xll.Close_Historical(INDEX(Quotes[#Headers],1,COLUMN(U323)),Quotes[[#This Row],[Date]])&lt;&gt;"'close'"),_xll.Close_Historical(INDEX(Quotes[#Headers],1,COLUMN(U323)),Quotes[[#This Row],[Date]]),U322)</f>
        <v>69.949700000000007</v>
      </c>
    </row>
    <row r="324" spans="1:21" x14ac:dyDescent="0.25">
      <c r="A324" s="385">
        <v>43969</v>
      </c>
      <c r="B324" s="336">
        <f>IF(AND(_xll.Close_Historical(INDEX(Quotes[#Headers],1,COLUMN(B324)),Quotes[[#This Row],[Date]])&lt;&gt;"NA",_xll.Close_Historical(INDEX(Quotes[#Headers],1,COLUMN(B324)),Quotes[[#This Row],[Date]])&lt;&gt;"'close'"),_xll.Close_Historical(INDEX(Quotes[#Headers],1,COLUMN(B324)),Quotes[[#This Row],[Date]]),B323)</f>
        <v>87.19</v>
      </c>
      <c r="C324" s="336">
        <f>IF(AND(_xll.Close_Historical(INDEX(Quotes[#Headers],1,COLUMN(C324)),Quotes[[#This Row],[Date]])&lt;&gt;"NA",_xll.Close_Historical(INDEX(Quotes[#Headers],1,COLUMN(C324)),Quotes[[#This Row],[Date]])&lt;&gt;"'close'"),_xll.Close_Historical(INDEX(Quotes[#Headers],1,COLUMN(C324)),Quotes[[#This Row],[Date]]),C323)</f>
        <v>35.93</v>
      </c>
      <c r="D324" s="336">
        <f>IF(AND(_xll.Close_Historical(INDEX(Quotes[#Headers],1,COLUMN(D324)),Quotes[[#This Row],[Date]])&lt;&gt;"NA",_xll.Close_Historical(INDEX(Quotes[#Headers],1,COLUMN(D324)),Quotes[[#This Row],[Date]])&lt;&gt;"'close'"),_xll.Close_Historical(INDEX(Quotes[#Headers],1,COLUMN(D324)),Quotes[[#This Row],[Date]]),D323)</f>
        <v>162.69</v>
      </c>
      <c r="E324" s="336">
        <f>IF(AND(_xll.Close_Historical(INDEX(Quotes[#Headers],1,COLUMN(E324)),Quotes[[#This Row],[Date]])&lt;&gt;"NA",_xll.Close_Historical(INDEX(Quotes[#Headers],1,COLUMN(E324)),Quotes[[#This Row],[Date]])&lt;&gt;"'close'"),_xll.Close_Historical(INDEX(Quotes[#Headers],1,COLUMN(E324)),Quotes[[#This Row],[Date]]),E323)</f>
        <v>62.8</v>
      </c>
      <c r="F324" s="336">
        <f>IF(AND(_xll.Close_Historical(INDEX(Quotes[#Headers],1,COLUMN(F324)),Quotes[[#This Row],[Date]])&lt;&gt;"NA",_xll.Close_Historical(INDEX(Quotes[#Headers],1,COLUMN(F324)),Quotes[[#This Row],[Date]])&lt;&gt;"'close'"),_xll.Close_Historical(INDEX(Quotes[#Headers],1,COLUMN(F324)),Quotes[[#This Row],[Date]]),F323)</f>
        <v>227.43</v>
      </c>
      <c r="G324" s="336">
        <f>IF(AND(_xll.Close_Historical(INDEX(Quotes[#Headers],1,COLUMN(G324)),Quotes[[#This Row],[Date]])&lt;&gt;"NA",_xll.Close_Historical(INDEX(Quotes[#Headers],1,COLUMN(G324)),Quotes[[#This Row],[Date]])&lt;&gt;"'close'"),_xll.Close_Historical(INDEX(Quotes[#Headers],1,COLUMN(G324)),Quotes[[#This Row],[Date]]),G323)</f>
        <v>15.79</v>
      </c>
      <c r="H324" s="336">
        <f>IF(AND(_xll.Close_Historical(INDEX(Quotes[#Headers],1,COLUMN(H324)),Quotes[[#This Row],[Date]])&lt;&gt;"NA",_xll.Close_Historical(INDEX(Quotes[#Headers],1,COLUMN(H324)),Quotes[[#This Row],[Date]])&lt;&gt;"'close'"),_xll.Close_Historical(INDEX(Quotes[#Headers],1,COLUMN(H324)),Quotes[[#This Row],[Date]]),H323)</f>
        <v>26.96</v>
      </c>
      <c r="I324" s="336">
        <f>IF(AND(_xll.Close_Historical(INDEX(Quotes[#Headers],1,COLUMN(I324)),Quotes[[#This Row],[Date]])&lt;&gt;"NA",_xll.Close_Historical(INDEX(Quotes[#Headers],1,COLUMN(I324)),Quotes[[#This Row],[Date]])&lt;&gt;"'close'"),_xll.Close_Historical(INDEX(Quotes[#Headers],1,COLUMN(I324)),Quotes[[#This Row],[Date]]),I323)</f>
        <v>99.59</v>
      </c>
      <c r="J324" s="336">
        <f>IF(AND(_xll.Close_Historical(INDEX(Quotes[#Headers],1,COLUMN(J324)),Quotes[[#This Row],[Date]])&lt;&gt;"NA",_xll.Close_Historical(INDEX(Quotes[#Headers],1,COLUMN(J324)),Quotes[[#This Row],[Date]])&lt;&gt;"'close'"),_xll.Close_Historical(INDEX(Quotes[#Headers],1,COLUMN(J324)),Quotes[[#This Row],[Date]]),J323)</f>
        <v>72.87</v>
      </c>
      <c r="K324" s="365">
        <f>IF(AND(_xll.Close_Historical(INDEX(Quotes[#Headers],1,COLUMN(K324)),Quotes[[#This Row],[Date]])&lt;&gt;"NA",_xll.Close_Historical(INDEX(Quotes[#Headers],1,COLUMN(K324)),Quotes[[#This Row],[Date]])&lt;&gt;"'close'"),_xll.Close_Historical(INDEX(Quotes[#Headers],1,COLUMN(K324)),Quotes[[#This Row],[Date]]),K323)</f>
        <v>271.08</v>
      </c>
      <c r="L324" s="336">
        <f>IF(AND(_xll.Close_Historical(INDEX(Quotes[#Headers],1,COLUMN(L324)),Quotes[[#This Row],[Date]])&lt;&gt;"NA",_xll.Close_Historical(INDEX(Quotes[#Headers],1,COLUMN(L324)),Quotes[[#This Row],[Date]])&lt;&gt;"'close'"),_xll.Close_Historical(INDEX(Quotes[#Headers],1,COLUMN(L324)),Quotes[[#This Row],[Date]]),L323)</f>
        <v>148.6</v>
      </c>
      <c r="M324" s="336">
        <f>IF(AND(_xll.Close_Historical(INDEX(Quotes[#Headers],1,COLUMN(M324)),Quotes[[#This Row],[Date]])&lt;&gt;"NA",_xll.Close_Historical(INDEX(Quotes[#Headers],1,COLUMN(M324)),Quotes[[#This Row],[Date]])&lt;&gt;"'close'"),_xll.Close_Historical(INDEX(Quotes[#Headers],1,COLUMN(M324)),Quotes[[#This Row],[Date]]),M323)</f>
        <v>95.76</v>
      </c>
      <c r="N324" s="336">
        <f>IF(AND(_xll.Close_Historical(INDEX(Quotes[#Headers],1,COLUMN(N324)),Quotes[[#This Row],[Date]])&lt;&gt;"NA",_xll.Close_Historical(INDEX(Quotes[#Headers],1,COLUMN(N324)),Quotes[[#This Row],[Date]])&lt;&gt;"'close'"),_xll.Close_Historical(INDEX(Quotes[#Headers],1,COLUMN(N324)),Quotes[[#This Row],[Date]]),N323)</f>
        <v>31.25</v>
      </c>
      <c r="O324" s="336">
        <f>IF(AND(_xll.Close_Historical(INDEX(Quotes[#Headers],1,COLUMN(O324)),Quotes[[#This Row],[Date]])&lt;&gt;"NA",_xll.Close_Historical(INDEX(Quotes[#Headers],1,COLUMN(O324)),Quotes[[#This Row],[Date]])&lt;&gt;"'close'"),_xll.Close_Historical(INDEX(Quotes[#Headers],1,COLUMN(O324)),Quotes[[#This Row],[Date]]),O323)</f>
        <v>14.65</v>
      </c>
      <c r="P324" s="336">
        <f>IF(AND(_xll.Close_Historical(INDEX(Quotes[#Headers],1,COLUMN(P324)),Quotes[[#This Row],[Date]])&lt;&gt;"NA",_xll.Close_Historical(INDEX(Quotes[#Headers],1,COLUMN(P324)),Quotes[[#This Row],[Date]])&lt;&gt;"'close'"),_xll.Close_Historical(INDEX(Quotes[#Headers],1,COLUMN(P324)),Quotes[[#This Row],[Date]]),P323)</f>
        <v>24.66</v>
      </c>
      <c r="Q324" s="336">
        <f>IF(AND(_xll.Close_Historical(INDEX(Quotes[#Headers],1,COLUMN(Q324)),Quotes[[#This Row],[Date]])&lt;&gt;"NA",_xll.Close_Historical(INDEX(Quotes[#Headers],1,COLUMN(Q324)),Quotes[[#This Row],[Date]])&lt;&gt;"'close'"),_xll.Close_Historical(INDEX(Quotes[#Headers],1,COLUMN(Q324)),Quotes[[#This Row],[Date]]),Q323)</f>
        <v>24.18</v>
      </c>
      <c r="R324" s="336">
        <f>IF(AND(_xll.Close_Historical(INDEX(Quotes[#Headers],1,COLUMN(R324)),Quotes[[#This Row],[Date]])&lt;&gt;"NA",_xll.Close_Historical(INDEX(Quotes[#Headers],1,COLUMN(R324)),Quotes[[#This Row],[Date]])&lt;&gt;"'close'"),_xll.Close_Historical(INDEX(Quotes[#Headers],1,COLUMN(R324)),Quotes[[#This Row],[Date]]),R323)</f>
        <v>29.64</v>
      </c>
      <c r="S324" s="336">
        <f>IF(AND(_xll.Close_Historical(INDEX(Quotes[#Headers],1,COLUMN(S324)),Quotes[[#This Row],[Date]])&lt;&gt;"NA",_xll.Close_Historical(INDEX(Quotes[#Headers],1,COLUMN(S324)),Quotes[[#This Row],[Date]])&lt;&gt;"'close'"),_xll.Close_Historical(INDEX(Quotes[#Headers],1,COLUMN(S324)),Quotes[[#This Row],[Date]]),S323)</f>
        <v>36.85</v>
      </c>
      <c r="T324" s="336">
        <f>IF(AND(_xll.Close_Historical(INDEX(Quotes[#Headers],1,COLUMN(T324)),Quotes[[#This Row],[Date]])&lt;&gt;"NA",_xll.Close_Historical(INDEX(Quotes[#Headers],1,COLUMN(T324)),Quotes[[#This Row],[Date]])&lt;&gt;"'close'"),_xll.Close_Historical(INDEX(Quotes[#Headers],1,COLUMN(T324)),Quotes[[#This Row],[Date]]),T323)</f>
        <v>27</v>
      </c>
      <c r="U324" s="336">
        <f>IF(AND(_xll.Close_Historical(INDEX(Quotes[#Headers],1,COLUMN(U324)),Quotes[[#This Row],[Date]])&lt;&gt;"NA",_xll.Close_Historical(INDEX(Quotes[#Headers],1,COLUMN(U324)),Quotes[[#This Row],[Date]])&lt;&gt;"'close'"),_xll.Close_Historical(INDEX(Quotes[#Headers],1,COLUMN(U324)),Quotes[[#This Row],[Date]]),U323)</f>
        <v>70.660799999999995</v>
      </c>
    </row>
    <row r="325" spans="1:21" x14ac:dyDescent="0.25">
      <c r="A325" s="364">
        <v>43970</v>
      </c>
      <c r="B325" s="365">
        <f>IF(AND(_xll.Close_Historical(INDEX(Quotes[#Headers],1,COLUMN(B325)),Quotes[[#This Row],[Date]])&lt;&gt;"NA",_xll.Close_Historical(INDEX(Quotes[#Headers],1,COLUMN(B325)),Quotes[[#This Row],[Date]])&lt;&gt;"'close'"),_xll.Close_Historical(INDEX(Quotes[#Headers],1,COLUMN(B325)),Quotes[[#This Row],[Date]]),B324)</f>
        <v>87.3</v>
      </c>
      <c r="C325" s="365">
        <f>IF(AND(_xll.Close_Historical(INDEX(Quotes[#Headers],1,COLUMN(C325)),Quotes[[#This Row],[Date]])&lt;&gt;"NA",_xll.Close_Historical(INDEX(Quotes[#Headers],1,COLUMN(C325)),Quotes[[#This Row],[Date]])&lt;&gt;"'close'"),_xll.Close_Historical(INDEX(Quotes[#Headers],1,COLUMN(C325)),Quotes[[#This Row],[Date]]),C324)</f>
        <v>37.21</v>
      </c>
      <c r="D325" s="365">
        <f>IF(AND(_xll.Close_Historical(INDEX(Quotes[#Headers],1,COLUMN(D325)),Quotes[[#This Row],[Date]])&lt;&gt;"NA",_xll.Close_Historical(INDEX(Quotes[#Headers],1,COLUMN(D325)),Quotes[[#This Row],[Date]])&lt;&gt;"'close'"),_xll.Close_Historical(INDEX(Quotes[#Headers],1,COLUMN(D325)),Quotes[[#This Row],[Date]]),D324)</f>
        <v>164.26</v>
      </c>
      <c r="E325" s="365">
        <f>IF(AND(_xll.Close_Historical(INDEX(Quotes[#Headers],1,COLUMN(E325)),Quotes[[#This Row],[Date]])&lt;&gt;"NA",_xll.Close_Historical(INDEX(Quotes[#Headers],1,COLUMN(E325)),Quotes[[#This Row],[Date]])&lt;&gt;"'close'"),_xll.Close_Historical(INDEX(Quotes[#Headers],1,COLUMN(E325)),Quotes[[#This Row],[Date]]),E324)</f>
        <v>61.52</v>
      </c>
      <c r="F325" s="365">
        <f>IF(AND(_xll.Close_Historical(INDEX(Quotes[#Headers],1,COLUMN(F325)),Quotes[[#This Row],[Date]])&lt;&gt;"NA",_xll.Close_Historical(INDEX(Quotes[#Headers],1,COLUMN(F325)),Quotes[[#This Row],[Date]])&lt;&gt;"'close'"),_xll.Close_Historical(INDEX(Quotes[#Headers],1,COLUMN(F325)),Quotes[[#This Row],[Date]]),F324)</f>
        <v>226.86</v>
      </c>
      <c r="G325" s="365">
        <f>IF(AND(_xll.Close_Historical(INDEX(Quotes[#Headers],1,COLUMN(G325)),Quotes[[#This Row],[Date]])&lt;&gt;"NA",_xll.Close_Historical(INDEX(Quotes[#Headers],1,COLUMN(G325)),Quotes[[#This Row],[Date]])&lt;&gt;"'close'"),_xll.Close_Historical(INDEX(Quotes[#Headers],1,COLUMN(G325)),Quotes[[#This Row],[Date]]),G324)</f>
        <v>16.170000000000002</v>
      </c>
      <c r="H325" s="365">
        <f>IF(AND(_xll.Close_Historical(INDEX(Quotes[#Headers],1,COLUMN(H325)),Quotes[[#This Row],[Date]])&lt;&gt;"NA",_xll.Close_Historical(INDEX(Quotes[#Headers],1,COLUMN(H325)),Quotes[[#This Row],[Date]])&lt;&gt;"'close'"),_xll.Close_Historical(INDEX(Quotes[#Headers],1,COLUMN(H325)),Quotes[[#This Row],[Date]]),H324)</f>
        <v>26.94</v>
      </c>
      <c r="I325" s="365">
        <f>IF(AND(_xll.Close_Historical(INDEX(Quotes[#Headers],1,COLUMN(I325)),Quotes[[#This Row],[Date]])&lt;&gt;"NA",_xll.Close_Historical(INDEX(Quotes[#Headers],1,COLUMN(I325)),Quotes[[#This Row],[Date]])&lt;&gt;"'close'"),_xll.Close_Historical(INDEX(Quotes[#Headers],1,COLUMN(I325)),Quotes[[#This Row],[Date]]),I324)</f>
        <v>99.98</v>
      </c>
      <c r="J325" s="365">
        <f>IF(AND(_xll.Close_Historical(INDEX(Quotes[#Headers],1,COLUMN(J325)),Quotes[[#This Row],[Date]])&lt;&gt;"NA",_xll.Close_Historical(INDEX(Quotes[#Headers],1,COLUMN(J325)),Quotes[[#This Row],[Date]])&lt;&gt;"'close'"),_xll.Close_Historical(INDEX(Quotes[#Headers],1,COLUMN(J325)),Quotes[[#This Row],[Date]]),J324)</f>
        <v>71.89</v>
      </c>
      <c r="K325" s="365">
        <f>IF(AND(_xll.Close_Historical(INDEX(Quotes[#Headers],1,COLUMN(K325)),Quotes[[#This Row],[Date]])&lt;&gt;"NA",_xll.Close_Historical(INDEX(Quotes[#Headers],1,COLUMN(K325)),Quotes[[#This Row],[Date]])&lt;&gt;"'close'"),_xll.Close_Historical(INDEX(Quotes[#Headers],1,COLUMN(K325)),Quotes[[#This Row],[Date]]),K324)</f>
        <v>268.52</v>
      </c>
      <c r="L325" s="365">
        <f>IF(AND(_xll.Close_Historical(INDEX(Quotes[#Headers],1,COLUMN(L325)),Quotes[[#This Row],[Date]])&lt;&gt;"NA",_xll.Close_Historical(INDEX(Quotes[#Headers],1,COLUMN(L325)),Quotes[[#This Row],[Date]])&lt;&gt;"'close'"),_xll.Close_Historical(INDEX(Quotes[#Headers],1,COLUMN(L325)),Quotes[[#This Row],[Date]]),L324)</f>
        <v>147.02000000000001</v>
      </c>
      <c r="M325" s="365">
        <f>IF(AND(_xll.Close_Historical(INDEX(Quotes[#Headers],1,COLUMN(M325)),Quotes[[#This Row],[Date]])&lt;&gt;"NA",_xll.Close_Historical(INDEX(Quotes[#Headers],1,COLUMN(M325)),Quotes[[#This Row],[Date]])&lt;&gt;"'close'"),_xll.Close_Historical(INDEX(Quotes[#Headers],1,COLUMN(M325)),Quotes[[#This Row],[Date]]),M324)</f>
        <v>95.41</v>
      </c>
      <c r="N325" s="365">
        <f>IF(AND(_xll.Close_Historical(INDEX(Quotes[#Headers],1,COLUMN(N325)),Quotes[[#This Row],[Date]])&lt;&gt;"NA",_xll.Close_Historical(INDEX(Quotes[#Headers],1,COLUMN(N325)),Quotes[[#This Row],[Date]])&lt;&gt;"'close'"),_xll.Close_Historical(INDEX(Quotes[#Headers],1,COLUMN(N325)),Quotes[[#This Row],[Date]]),N324)</f>
        <v>31.93</v>
      </c>
      <c r="O325" s="365">
        <f>IF(AND(_xll.Close_Historical(INDEX(Quotes[#Headers],1,COLUMN(O325)),Quotes[[#This Row],[Date]])&lt;&gt;"NA",_xll.Close_Historical(INDEX(Quotes[#Headers],1,COLUMN(O325)),Quotes[[#This Row],[Date]])&lt;&gt;"'close'"),_xll.Close_Historical(INDEX(Quotes[#Headers],1,COLUMN(O325)),Quotes[[#This Row],[Date]]),O324)</f>
        <v>14.59</v>
      </c>
      <c r="P325" s="365">
        <f>IF(AND(_xll.Close_Historical(INDEX(Quotes[#Headers],1,COLUMN(P325)),Quotes[[#This Row],[Date]])&lt;&gt;"NA",_xll.Close_Historical(INDEX(Quotes[#Headers],1,COLUMN(P325)),Quotes[[#This Row],[Date]])&lt;&gt;"'close'"),_xll.Close_Historical(INDEX(Quotes[#Headers],1,COLUMN(P325)),Quotes[[#This Row],[Date]]),P324)</f>
        <v>24.94</v>
      </c>
      <c r="Q325" s="365">
        <f>IF(AND(_xll.Close_Historical(INDEX(Quotes[#Headers],1,COLUMN(Q325)),Quotes[[#This Row],[Date]])&lt;&gt;"NA",_xll.Close_Historical(INDEX(Quotes[#Headers],1,COLUMN(Q325)),Quotes[[#This Row],[Date]])&lt;&gt;"'close'"),_xll.Close_Historical(INDEX(Quotes[#Headers],1,COLUMN(Q325)),Quotes[[#This Row],[Date]]),Q324)</f>
        <v>24.95</v>
      </c>
      <c r="R325" s="365">
        <f>IF(AND(_xll.Close_Historical(INDEX(Quotes[#Headers],1,COLUMN(R325)),Quotes[[#This Row],[Date]])&lt;&gt;"NA",_xll.Close_Historical(INDEX(Quotes[#Headers],1,COLUMN(R325)),Quotes[[#This Row],[Date]])&lt;&gt;"'close'"),_xll.Close_Historical(INDEX(Quotes[#Headers],1,COLUMN(R325)),Quotes[[#This Row],[Date]]),R324)</f>
        <v>30.11</v>
      </c>
      <c r="S325" s="365">
        <f>IF(AND(_xll.Close_Historical(INDEX(Quotes[#Headers],1,COLUMN(S325)),Quotes[[#This Row],[Date]])&lt;&gt;"NA",_xll.Close_Historical(INDEX(Quotes[#Headers],1,COLUMN(S325)),Quotes[[#This Row],[Date]])&lt;&gt;"'close'"),_xll.Close_Historical(INDEX(Quotes[#Headers],1,COLUMN(S325)),Quotes[[#This Row],[Date]]),S324)</f>
        <v>36.85</v>
      </c>
      <c r="T325" s="365">
        <f>IF(AND(_xll.Close_Historical(INDEX(Quotes[#Headers],1,COLUMN(T325)),Quotes[[#This Row],[Date]])&lt;&gt;"NA",_xll.Close_Historical(INDEX(Quotes[#Headers],1,COLUMN(T325)),Quotes[[#This Row],[Date]])&lt;&gt;"'close'"),_xll.Close_Historical(INDEX(Quotes[#Headers],1,COLUMN(T325)),Quotes[[#This Row],[Date]]),T324)</f>
        <v>26.9</v>
      </c>
      <c r="U325" s="365">
        <f>IF(AND(_xll.Close_Historical(INDEX(Quotes[#Headers],1,COLUMN(U325)),Quotes[[#This Row],[Date]])&lt;&gt;"NA",_xll.Close_Historical(INDEX(Quotes[#Headers],1,COLUMN(U325)),Quotes[[#This Row],[Date]])&lt;&gt;"'close'"),_xll.Close_Historical(INDEX(Quotes[#Headers],1,COLUMN(U325)),Quotes[[#This Row],[Date]]),U324)</f>
        <v>70.8</v>
      </c>
    </row>
    <row r="326" spans="1:21" x14ac:dyDescent="0.25">
      <c r="A326" s="385">
        <v>43971</v>
      </c>
      <c r="B326" s="336">
        <f>IF(AND(_xll.Close_Historical(INDEX(Quotes[#Headers],1,COLUMN(B326)),Quotes[[#This Row],[Date]])&lt;&gt;"NA",_xll.Close_Historical(INDEX(Quotes[#Headers],1,COLUMN(B326)),Quotes[[#This Row],[Date]])&lt;&gt;"'close'"),_xll.Close_Historical(INDEX(Quotes[#Headers],1,COLUMN(B326)),Quotes[[#This Row],[Date]]),B325)</f>
        <v>87.53</v>
      </c>
      <c r="C326" s="336">
        <f>IF(AND(_xll.Close_Historical(INDEX(Quotes[#Headers],1,COLUMN(C326)),Quotes[[#This Row],[Date]])&lt;&gt;"NA",_xll.Close_Historical(INDEX(Quotes[#Headers],1,COLUMN(C326)),Quotes[[#This Row],[Date]])&lt;&gt;"'close'"),_xll.Close_Historical(INDEX(Quotes[#Headers],1,COLUMN(C326)),Quotes[[#This Row],[Date]]),C325)</f>
        <v>36.61</v>
      </c>
      <c r="D326" s="336">
        <f>IF(AND(_xll.Close_Historical(INDEX(Quotes[#Headers],1,COLUMN(D326)),Quotes[[#This Row],[Date]])&lt;&gt;"NA",_xll.Close_Historical(INDEX(Quotes[#Headers],1,COLUMN(D326)),Quotes[[#This Row],[Date]])&lt;&gt;"'close'"),_xll.Close_Historical(INDEX(Quotes[#Headers],1,COLUMN(D326)),Quotes[[#This Row],[Date]]),D325)</f>
        <v>164.65</v>
      </c>
      <c r="E326" s="336">
        <f>IF(AND(_xll.Close_Historical(INDEX(Quotes[#Headers],1,COLUMN(E326)),Quotes[[#This Row],[Date]])&lt;&gt;"NA",_xll.Close_Historical(INDEX(Quotes[#Headers],1,COLUMN(E326)),Quotes[[#This Row],[Date]])&lt;&gt;"'close'"),_xll.Close_Historical(INDEX(Quotes[#Headers],1,COLUMN(E326)),Quotes[[#This Row],[Date]]),E325)</f>
        <v>63.44</v>
      </c>
      <c r="F326" s="336">
        <f>IF(AND(_xll.Close_Historical(INDEX(Quotes[#Headers],1,COLUMN(F326)),Quotes[[#This Row],[Date]])&lt;&gt;"NA",_xll.Close_Historical(INDEX(Quotes[#Headers],1,COLUMN(F326)),Quotes[[#This Row],[Date]])&lt;&gt;"'close'"),_xll.Close_Historical(INDEX(Quotes[#Headers],1,COLUMN(F326)),Quotes[[#This Row],[Date]]),F325)</f>
        <v>231.39</v>
      </c>
      <c r="G326" s="336">
        <f>IF(AND(_xll.Close_Historical(INDEX(Quotes[#Headers],1,COLUMN(G326)),Quotes[[#This Row],[Date]])&lt;&gt;"NA",_xll.Close_Historical(INDEX(Quotes[#Headers],1,COLUMN(G326)),Quotes[[#This Row],[Date]])&lt;&gt;"'close'"),_xll.Close_Historical(INDEX(Quotes[#Headers],1,COLUMN(G326)),Quotes[[#This Row],[Date]]),G325)</f>
        <v>16.36</v>
      </c>
      <c r="H326" s="336">
        <f>IF(AND(_xll.Close_Historical(INDEX(Quotes[#Headers],1,COLUMN(H326)),Quotes[[#This Row],[Date]])&lt;&gt;"NA",_xll.Close_Historical(INDEX(Quotes[#Headers],1,COLUMN(H326)),Quotes[[#This Row],[Date]])&lt;&gt;"'close'"),_xll.Close_Historical(INDEX(Quotes[#Headers],1,COLUMN(H326)),Quotes[[#This Row],[Date]]),H325)</f>
        <v>26.85</v>
      </c>
      <c r="I326" s="336">
        <f>IF(AND(_xll.Close_Historical(INDEX(Quotes[#Headers],1,COLUMN(I326)),Quotes[[#This Row],[Date]])&lt;&gt;"NA",_xll.Close_Historical(INDEX(Quotes[#Headers],1,COLUMN(I326)),Quotes[[#This Row],[Date]])&lt;&gt;"'close'"),_xll.Close_Historical(INDEX(Quotes[#Headers],1,COLUMN(I326)),Quotes[[#This Row],[Date]]),I325)</f>
        <v>100.18</v>
      </c>
      <c r="J326" s="336">
        <f>IF(AND(_xll.Close_Historical(INDEX(Quotes[#Headers],1,COLUMN(J326)),Quotes[[#This Row],[Date]])&lt;&gt;"NA",_xll.Close_Historical(INDEX(Quotes[#Headers],1,COLUMN(J326)),Quotes[[#This Row],[Date]])&lt;&gt;"'close'"),_xll.Close_Historical(INDEX(Quotes[#Headers],1,COLUMN(J326)),Quotes[[#This Row],[Date]]),J325)</f>
        <v>72.53</v>
      </c>
      <c r="K326" s="365">
        <f>IF(AND(_xll.Close_Historical(INDEX(Quotes[#Headers],1,COLUMN(K326)),Quotes[[#This Row],[Date]])&lt;&gt;"NA",_xll.Close_Historical(INDEX(Quotes[#Headers],1,COLUMN(K326)),Quotes[[#This Row],[Date]])&lt;&gt;"'close'"),_xll.Close_Historical(INDEX(Quotes[#Headers],1,COLUMN(K326)),Quotes[[#This Row],[Date]]),K325)</f>
        <v>272.89999999999998</v>
      </c>
      <c r="L326" s="336">
        <f>IF(AND(_xll.Close_Historical(INDEX(Quotes[#Headers],1,COLUMN(L326)),Quotes[[#This Row],[Date]])&lt;&gt;"NA",_xll.Close_Historical(INDEX(Quotes[#Headers],1,COLUMN(L326)),Quotes[[#This Row],[Date]])&lt;&gt;"'close'"),_xll.Close_Historical(INDEX(Quotes[#Headers],1,COLUMN(L326)),Quotes[[#This Row],[Date]]),L325)</f>
        <v>149.74</v>
      </c>
      <c r="M326" s="336">
        <f>IF(AND(_xll.Close_Historical(INDEX(Quotes[#Headers],1,COLUMN(M326)),Quotes[[#This Row],[Date]])&lt;&gt;"NA",_xll.Close_Historical(INDEX(Quotes[#Headers],1,COLUMN(M326)),Quotes[[#This Row],[Date]])&lt;&gt;"'close'"),_xll.Close_Historical(INDEX(Quotes[#Headers],1,COLUMN(M326)),Quotes[[#This Row],[Date]]),M325)</f>
        <v>97.5</v>
      </c>
      <c r="N326" s="336">
        <f>IF(AND(_xll.Close_Historical(INDEX(Quotes[#Headers],1,COLUMN(N326)),Quotes[[#This Row],[Date]])&lt;&gt;"NA",_xll.Close_Historical(INDEX(Quotes[#Headers],1,COLUMN(N326)),Quotes[[#This Row],[Date]])&lt;&gt;"'close'"),_xll.Close_Historical(INDEX(Quotes[#Headers],1,COLUMN(N326)),Quotes[[#This Row],[Date]]),N325)</f>
        <v>32.44</v>
      </c>
      <c r="O326" s="336">
        <f>IF(AND(_xll.Close_Historical(INDEX(Quotes[#Headers],1,COLUMN(O326)),Quotes[[#This Row],[Date]])&lt;&gt;"NA",_xll.Close_Historical(INDEX(Quotes[#Headers],1,COLUMN(O326)),Quotes[[#This Row],[Date]])&lt;&gt;"'close'"),_xll.Close_Historical(INDEX(Quotes[#Headers],1,COLUMN(O326)),Quotes[[#This Row],[Date]]),O325)</f>
        <v>14.66</v>
      </c>
      <c r="P326" s="336">
        <f>IF(AND(_xll.Close_Historical(INDEX(Quotes[#Headers],1,COLUMN(P326)),Quotes[[#This Row],[Date]])&lt;&gt;"NA",_xll.Close_Historical(INDEX(Quotes[#Headers],1,COLUMN(P326)),Quotes[[#This Row],[Date]])&lt;&gt;"'close'"),_xll.Close_Historical(INDEX(Quotes[#Headers],1,COLUMN(P326)),Quotes[[#This Row],[Date]]),P325)</f>
        <v>25.22</v>
      </c>
      <c r="Q326" s="336">
        <f>IF(AND(_xll.Close_Historical(INDEX(Quotes[#Headers],1,COLUMN(Q326)),Quotes[[#This Row],[Date]])&lt;&gt;"NA",_xll.Close_Historical(INDEX(Quotes[#Headers],1,COLUMN(Q326)),Quotes[[#This Row],[Date]])&lt;&gt;"'close'"),_xll.Close_Historical(INDEX(Quotes[#Headers],1,COLUMN(Q326)),Quotes[[#This Row],[Date]]),Q325)</f>
        <v>25</v>
      </c>
      <c r="R326" s="336">
        <f>IF(AND(_xll.Close_Historical(INDEX(Quotes[#Headers],1,COLUMN(R326)),Quotes[[#This Row],[Date]])&lt;&gt;"NA",_xll.Close_Historical(INDEX(Quotes[#Headers],1,COLUMN(R326)),Quotes[[#This Row],[Date]])&lt;&gt;"'close'"),_xll.Close_Historical(INDEX(Quotes[#Headers],1,COLUMN(R326)),Quotes[[#This Row],[Date]]),R325)</f>
        <v>30.38</v>
      </c>
      <c r="S326" s="336">
        <f>IF(AND(_xll.Close_Historical(INDEX(Quotes[#Headers],1,COLUMN(S326)),Quotes[[#This Row],[Date]])&lt;&gt;"NA",_xll.Close_Historical(INDEX(Quotes[#Headers],1,COLUMN(S326)),Quotes[[#This Row],[Date]])&lt;&gt;"'close'"),_xll.Close_Historical(INDEX(Quotes[#Headers],1,COLUMN(S326)),Quotes[[#This Row],[Date]]),S325)</f>
        <v>36.57</v>
      </c>
      <c r="T326" s="336">
        <f>IF(AND(_xll.Close_Historical(INDEX(Quotes[#Headers],1,COLUMN(T326)),Quotes[[#This Row],[Date]])&lt;&gt;"NA",_xll.Close_Historical(INDEX(Quotes[#Headers],1,COLUMN(T326)),Quotes[[#This Row],[Date]])&lt;&gt;"'close'"),_xll.Close_Historical(INDEX(Quotes[#Headers],1,COLUMN(T326)),Quotes[[#This Row],[Date]]),T325)</f>
        <v>27</v>
      </c>
      <c r="U326" s="336">
        <f>IF(AND(_xll.Close_Historical(INDEX(Quotes[#Headers],1,COLUMN(U326)),Quotes[[#This Row],[Date]])&lt;&gt;"NA",_xll.Close_Historical(INDEX(Quotes[#Headers],1,COLUMN(U326)),Quotes[[#This Row],[Date]])&lt;&gt;"'close'"),_xll.Close_Historical(INDEX(Quotes[#Headers],1,COLUMN(U326)),Quotes[[#This Row],[Date]]),U325)</f>
        <v>70.959599999999995</v>
      </c>
    </row>
    <row r="327" spans="1:21" x14ac:dyDescent="0.25">
      <c r="A327" s="364">
        <v>43972</v>
      </c>
      <c r="B327" s="365">
        <f>IF(AND(_xll.Close_Historical(INDEX(Quotes[#Headers],1,COLUMN(B327)),Quotes[[#This Row],[Date]])&lt;&gt;"NA",_xll.Close_Historical(INDEX(Quotes[#Headers],1,COLUMN(B327)),Quotes[[#This Row],[Date]])&lt;&gt;"'close'"),_xll.Close_Historical(INDEX(Quotes[#Headers],1,COLUMN(B327)),Quotes[[#This Row],[Date]]),B326)</f>
        <v>87.53</v>
      </c>
      <c r="C327" s="365">
        <f>IF(AND(_xll.Close_Historical(INDEX(Quotes[#Headers],1,COLUMN(C327)),Quotes[[#This Row],[Date]])&lt;&gt;"NA",_xll.Close_Historical(INDEX(Quotes[#Headers],1,COLUMN(C327)),Quotes[[#This Row],[Date]])&lt;&gt;"'close'"),_xll.Close_Historical(INDEX(Quotes[#Headers],1,COLUMN(C327)),Quotes[[#This Row],[Date]]),C326)</f>
        <v>36.61</v>
      </c>
      <c r="D327" s="365">
        <f>IF(AND(_xll.Close_Historical(INDEX(Quotes[#Headers],1,COLUMN(D327)),Quotes[[#This Row],[Date]])&lt;&gt;"NA",_xll.Close_Historical(INDEX(Quotes[#Headers],1,COLUMN(D327)),Quotes[[#This Row],[Date]])&lt;&gt;"'close'"),_xll.Close_Historical(INDEX(Quotes[#Headers],1,COLUMN(D327)),Quotes[[#This Row],[Date]]),D326)</f>
        <v>164.65</v>
      </c>
      <c r="E327" s="365">
        <f>IF(AND(_xll.Close_Historical(INDEX(Quotes[#Headers],1,COLUMN(E327)),Quotes[[#This Row],[Date]])&lt;&gt;"NA",_xll.Close_Historical(INDEX(Quotes[#Headers],1,COLUMN(E327)),Quotes[[#This Row],[Date]])&lt;&gt;"'close'"),_xll.Close_Historical(INDEX(Quotes[#Headers],1,COLUMN(E327)),Quotes[[#This Row],[Date]]),E326)</f>
        <v>63.44</v>
      </c>
      <c r="F327" s="365">
        <f>IF(AND(_xll.Close_Historical(INDEX(Quotes[#Headers],1,COLUMN(F327)),Quotes[[#This Row],[Date]])&lt;&gt;"NA",_xll.Close_Historical(INDEX(Quotes[#Headers],1,COLUMN(F327)),Quotes[[#This Row],[Date]])&lt;&gt;"'close'"),_xll.Close_Historical(INDEX(Quotes[#Headers],1,COLUMN(F327)),Quotes[[#This Row],[Date]]),F326)</f>
        <v>231.39</v>
      </c>
      <c r="G327" s="365">
        <f>IF(AND(_xll.Close_Historical(INDEX(Quotes[#Headers],1,COLUMN(G327)),Quotes[[#This Row],[Date]])&lt;&gt;"NA",_xll.Close_Historical(INDEX(Quotes[#Headers],1,COLUMN(G327)),Quotes[[#This Row],[Date]])&lt;&gt;"'close'"),_xll.Close_Historical(INDEX(Quotes[#Headers],1,COLUMN(G327)),Quotes[[#This Row],[Date]]),G326)</f>
        <v>16.36</v>
      </c>
      <c r="H327" s="365">
        <f>IF(AND(_xll.Close_Historical(INDEX(Quotes[#Headers],1,COLUMN(H327)),Quotes[[#This Row],[Date]])&lt;&gt;"NA",_xll.Close_Historical(INDEX(Quotes[#Headers],1,COLUMN(H327)),Quotes[[#This Row],[Date]])&lt;&gt;"'close'"),_xll.Close_Historical(INDEX(Quotes[#Headers],1,COLUMN(H327)),Quotes[[#This Row],[Date]]),H326)</f>
        <v>26.85</v>
      </c>
      <c r="I327" s="365">
        <f>IF(AND(_xll.Close_Historical(INDEX(Quotes[#Headers],1,COLUMN(I327)),Quotes[[#This Row],[Date]])&lt;&gt;"NA",_xll.Close_Historical(INDEX(Quotes[#Headers],1,COLUMN(I327)),Quotes[[#This Row],[Date]])&lt;&gt;"'close'"),_xll.Close_Historical(INDEX(Quotes[#Headers],1,COLUMN(I327)),Quotes[[#This Row],[Date]]),I326)</f>
        <v>100.18</v>
      </c>
      <c r="J327" s="365">
        <f>IF(AND(_xll.Close_Historical(INDEX(Quotes[#Headers],1,COLUMN(J327)),Quotes[[#This Row],[Date]])&lt;&gt;"NA",_xll.Close_Historical(INDEX(Quotes[#Headers],1,COLUMN(J327)),Quotes[[#This Row],[Date]])&lt;&gt;"'close'"),_xll.Close_Historical(INDEX(Quotes[#Headers],1,COLUMN(J327)),Quotes[[#This Row],[Date]]),J326)</f>
        <v>72.53</v>
      </c>
      <c r="K327" s="420">
        <v>270.94</v>
      </c>
      <c r="L327" s="365">
        <f>IF(AND(_xll.Close_Historical(INDEX(Quotes[#Headers],1,COLUMN(L327)),Quotes[[#This Row],[Date]])&lt;&gt;"NA",_xll.Close_Historical(INDEX(Quotes[#Headers],1,COLUMN(L327)),Quotes[[#This Row],[Date]])&lt;&gt;"'close'"),_xll.Close_Historical(INDEX(Quotes[#Headers],1,COLUMN(L327)),Quotes[[#This Row],[Date]]),L326)</f>
        <v>149.74</v>
      </c>
      <c r="M327" s="365">
        <f>IF(AND(_xll.Close_Historical(INDEX(Quotes[#Headers],1,COLUMN(M327)),Quotes[[#This Row],[Date]])&lt;&gt;"NA",_xll.Close_Historical(INDEX(Quotes[#Headers],1,COLUMN(M327)),Quotes[[#This Row],[Date]])&lt;&gt;"'close'"),_xll.Close_Historical(INDEX(Quotes[#Headers],1,COLUMN(M327)),Quotes[[#This Row],[Date]]),M326)</f>
        <v>97.5</v>
      </c>
      <c r="N327" s="365">
        <f>IF(AND(_xll.Close_Historical(INDEX(Quotes[#Headers],1,COLUMN(N327)),Quotes[[#This Row],[Date]])&lt;&gt;"NA",_xll.Close_Historical(INDEX(Quotes[#Headers],1,COLUMN(N327)),Quotes[[#This Row],[Date]])&lt;&gt;"'close'"),_xll.Close_Historical(INDEX(Quotes[#Headers],1,COLUMN(N327)),Quotes[[#This Row],[Date]]),N326)</f>
        <v>32.44</v>
      </c>
      <c r="O327" s="365">
        <f>IF(AND(_xll.Close_Historical(INDEX(Quotes[#Headers],1,COLUMN(O327)),Quotes[[#This Row],[Date]])&lt;&gt;"NA",_xll.Close_Historical(INDEX(Quotes[#Headers],1,COLUMN(O327)),Quotes[[#This Row],[Date]])&lt;&gt;"'close'"),_xll.Close_Historical(INDEX(Quotes[#Headers],1,COLUMN(O327)),Quotes[[#This Row],[Date]]),O326)</f>
        <v>14.66</v>
      </c>
      <c r="P327" s="365">
        <f>IF(AND(_xll.Close_Historical(INDEX(Quotes[#Headers],1,COLUMN(P327)),Quotes[[#This Row],[Date]])&lt;&gt;"NA",_xll.Close_Historical(INDEX(Quotes[#Headers],1,COLUMN(P327)),Quotes[[#This Row],[Date]])&lt;&gt;"'close'"),_xll.Close_Historical(INDEX(Quotes[#Headers],1,COLUMN(P327)),Quotes[[#This Row],[Date]]),P326)</f>
        <v>25.22</v>
      </c>
      <c r="Q327" s="365">
        <f>IF(AND(_xll.Close_Historical(INDEX(Quotes[#Headers],1,COLUMN(Q327)),Quotes[[#This Row],[Date]])&lt;&gt;"NA",_xll.Close_Historical(INDEX(Quotes[#Headers],1,COLUMN(Q327)),Quotes[[#This Row],[Date]])&lt;&gt;"'close'"),_xll.Close_Historical(INDEX(Quotes[#Headers],1,COLUMN(Q327)),Quotes[[#This Row],[Date]]),Q326)</f>
        <v>25</v>
      </c>
      <c r="R327" s="365">
        <f>IF(AND(_xll.Close_Historical(INDEX(Quotes[#Headers],1,COLUMN(R327)),Quotes[[#This Row],[Date]])&lt;&gt;"NA",_xll.Close_Historical(INDEX(Quotes[#Headers],1,COLUMN(R327)),Quotes[[#This Row],[Date]])&lt;&gt;"'close'"),_xll.Close_Historical(INDEX(Quotes[#Headers],1,COLUMN(R327)),Quotes[[#This Row],[Date]]),R326)</f>
        <v>30.38</v>
      </c>
      <c r="S327" s="365">
        <f>IF(AND(_xll.Close_Historical(INDEX(Quotes[#Headers],1,COLUMN(S327)),Quotes[[#This Row],[Date]])&lt;&gt;"NA",_xll.Close_Historical(INDEX(Quotes[#Headers],1,COLUMN(S327)),Quotes[[#This Row],[Date]])&lt;&gt;"'close'"),_xll.Close_Historical(INDEX(Quotes[#Headers],1,COLUMN(S327)),Quotes[[#This Row],[Date]]),S326)</f>
        <v>36.57</v>
      </c>
      <c r="T327" s="365">
        <f>IF(AND(_xll.Close_Historical(INDEX(Quotes[#Headers],1,COLUMN(T327)),Quotes[[#This Row],[Date]])&lt;&gt;"NA",_xll.Close_Historical(INDEX(Quotes[#Headers],1,COLUMN(T327)),Quotes[[#This Row],[Date]])&lt;&gt;"'close'"),_xll.Close_Historical(INDEX(Quotes[#Headers],1,COLUMN(T327)),Quotes[[#This Row],[Date]]),T326)</f>
        <v>27</v>
      </c>
      <c r="U327" s="365">
        <f>IF(AND(_xll.Close_Historical(INDEX(Quotes[#Headers],1,COLUMN(U327)),Quotes[[#This Row],[Date]])&lt;&gt;"NA",_xll.Close_Historical(INDEX(Quotes[#Headers],1,COLUMN(U327)),Quotes[[#This Row],[Date]])&lt;&gt;"'close'"),_xll.Close_Historical(INDEX(Quotes[#Headers],1,COLUMN(U327)),Quotes[[#This Row],[Date]]),U326)</f>
        <v>70.959599999999995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0CC6AA9-4322-4796-92D9-981A0D3887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30</vt:i4>
      </vt:variant>
    </vt:vector>
  </HeadingPairs>
  <TitlesOfParts>
    <vt:vector size="39" baseType="lpstr">
      <vt:lpstr>Dashboard</vt:lpstr>
      <vt:lpstr>Balance</vt:lpstr>
      <vt:lpstr>Dailies</vt:lpstr>
      <vt:lpstr>Reports</vt:lpstr>
      <vt:lpstr>USD Markets</vt:lpstr>
      <vt:lpstr>CAD Markets</vt:lpstr>
      <vt:lpstr>Holidays</vt:lpstr>
      <vt:lpstr>Scratch pad</vt:lpstr>
      <vt:lpstr>Quotes</vt:lpstr>
      <vt:lpstr>CARESP_GainLossPct</vt:lpstr>
      <vt:lpstr>Daily_Cols</vt:lpstr>
      <vt:lpstr>Day_Lookup</vt:lpstr>
      <vt:lpstr>'CAD Markets'!EndDate</vt:lpstr>
      <vt:lpstr>EndDate</vt:lpstr>
      <vt:lpstr>EXACT_MATCH</vt:lpstr>
      <vt:lpstr>iLastTradeDate</vt:lpstr>
      <vt:lpstr>MSFT</vt:lpstr>
      <vt:lpstr>PFV_Green</vt:lpstr>
      <vt:lpstr>PFV_Grn</vt:lpstr>
      <vt:lpstr>PFV_Red</vt:lpstr>
      <vt:lpstr>PSR_Green</vt:lpstr>
      <vt:lpstr>PSR_Red</vt:lpstr>
      <vt:lpstr>RatingDefault</vt:lpstr>
      <vt:lpstr>Return12Mo_Grn</vt:lpstr>
      <vt:lpstr>Return12Mo_Red</vt:lpstr>
      <vt:lpstr>Return3Mo_Grn</vt:lpstr>
      <vt:lpstr>Return3Mo_Red</vt:lpstr>
      <vt:lpstr>SI_Interest</vt:lpstr>
      <vt:lpstr>'CAD Markets'!StartDate</vt:lpstr>
      <vt:lpstr>StartDate</vt:lpstr>
      <vt:lpstr>'CAD Markets'!tbActualPerformance</vt:lpstr>
      <vt:lpstr>tbActualPerformance</vt:lpstr>
      <vt:lpstr>USD_ExRate</vt:lpstr>
      <vt:lpstr>USHolidays</vt:lpstr>
      <vt:lpstr>USRRSP_AnnualPct</vt:lpstr>
      <vt:lpstr>USRRSP_GainLoss</vt:lpstr>
      <vt:lpstr>USRRSP_GainLossPct</vt:lpstr>
      <vt:lpstr>USRRSP_Principal</vt:lpstr>
      <vt:lpstr>USRRSP_TotalVal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subject/>
  <dc:creator>David Chase (PREMIER)</dc:creator>
  <cp:lastModifiedBy>David Chase</cp:lastModifiedBy>
  <cp:lastPrinted>2018-07-17T21:07:14Z</cp:lastPrinted>
  <dcterms:created xsi:type="dcterms:W3CDTF">2017-10-31T12:16:13Z</dcterms:created>
  <dcterms:modified xsi:type="dcterms:W3CDTF">2020-05-29T23:35:44Z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7ba5c36-b7cf-4793-bbc2-bd5b3a9f95ca_Enabled">
    <vt:lpwstr>True</vt:lpwstr>
  </property>
  <property fmtid="{D5CDD505-2E9C-101B-9397-08002B2CF9AE}" pid="3" name="MSIP_Label_87ba5c36-b7cf-4793-bbc2-bd5b3a9f95ca_SiteId">
    <vt:lpwstr>72f988bf-86f1-41af-91ab-2d7cd011db47</vt:lpwstr>
  </property>
  <property fmtid="{D5CDD505-2E9C-101B-9397-08002B2CF9AE}" pid="4" name="MSIP_Label_87ba5c36-b7cf-4793-bbc2-bd5b3a9f95ca_Owner">
    <vt:lpwstr>davidch@microsoft.com</vt:lpwstr>
  </property>
  <property fmtid="{D5CDD505-2E9C-101B-9397-08002B2CF9AE}" pid="5" name="MSIP_Label_87ba5c36-b7cf-4793-bbc2-bd5b3a9f95ca_SetDate">
    <vt:lpwstr>2017-11-21T13:55:23.3294969Z</vt:lpwstr>
  </property>
  <property fmtid="{D5CDD505-2E9C-101B-9397-08002B2CF9AE}" pid="6" name="MSIP_Label_87ba5c36-b7cf-4793-bbc2-bd5b3a9f95ca_Name">
    <vt:lpwstr>Non-Business</vt:lpwstr>
  </property>
  <property fmtid="{D5CDD505-2E9C-101B-9397-08002B2CF9AE}" pid="7" name="MSIP_Label_87ba5c36-b7cf-4793-bbc2-bd5b3a9f95ca_Application">
    <vt:lpwstr>Microsoft Azure Information Protection</vt:lpwstr>
  </property>
  <property fmtid="{D5CDD505-2E9C-101B-9397-08002B2CF9AE}" pid="8" name="MSIP_Label_87ba5c36-b7cf-4793-bbc2-bd5b3a9f95ca_Extended_MSFT_Method">
    <vt:lpwstr>Manual</vt:lpwstr>
  </property>
  <property fmtid="{D5CDD505-2E9C-101B-9397-08002B2CF9AE}" pid="9" name="Sensitivity">
    <vt:lpwstr>Non-Business</vt:lpwstr>
  </property>
</Properties>
</file>